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3210" windowHeight="1275" firstSheet="13" activeTab="21"/>
  </bookViews>
  <sheets>
    <sheet name="01.08.20 " sheetId="472" r:id="rId1"/>
    <sheet name="02.08.20 (1)" sheetId="475" r:id="rId2"/>
    <sheet name="02.08.20(2)" sheetId="477" r:id="rId3"/>
    <sheet name="03.08.20 " sheetId="476" r:id="rId4"/>
    <sheet name="04.08.20(1)" sheetId="473" r:id="rId5"/>
    <sheet name="04.08.20" sheetId="478" r:id="rId6"/>
    <sheet name="05.08.20" sheetId="479" r:id="rId7"/>
    <sheet name="06.08.20" sheetId="480" r:id="rId8"/>
    <sheet name="07.08.20" sheetId="481" r:id="rId9"/>
    <sheet name="08.08.20" sheetId="482" r:id="rId10"/>
    <sheet name="09.08.20 " sheetId="484" r:id="rId11"/>
    <sheet name="10.08.20 " sheetId="485" r:id="rId12"/>
    <sheet name="11.08.20 " sheetId="486" r:id="rId13"/>
    <sheet name="12.08.20" sheetId="483" r:id="rId14"/>
    <sheet name="12.08.20 (2)" sheetId="487" r:id="rId15"/>
    <sheet name="13.08.20 " sheetId="489" r:id="rId16"/>
    <sheet name="14.08.20" sheetId="488" r:id="rId17"/>
    <sheet name="15.08.20" sheetId="490" r:id="rId18"/>
    <sheet name="16.08.20" sheetId="491" r:id="rId19"/>
    <sheet name="17.08.20" sheetId="492" r:id="rId20"/>
    <sheet name="18.08.20 (1)" sheetId="494" r:id="rId21"/>
    <sheet name="18.08.20(2)" sheetId="493" r:id="rId22"/>
  </sheets>
  <definedNames>
    <definedName name="_xlnm.Print_Area" localSheetId="0">'01.08.20 '!$A$1:$P$94</definedName>
    <definedName name="_xlnm.Print_Area" localSheetId="1">'02.08.20 (1)'!$A$1:$P$94</definedName>
    <definedName name="_xlnm.Print_Area" localSheetId="2">'02.08.20(2)'!$A$1:$P$94</definedName>
    <definedName name="_xlnm.Print_Area" localSheetId="3">'03.08.20 '!$A$1:$P$94</definedName>
    <definedName name="_xlnm.Print_Area" localSheetId="5">'04.08.20'!$A$1:$P$94</definedName>
    <definedName name="_xlnm.Print_Area" localSheetId="4">'04.08.20(1)'!$A$1:$P$94</definedName>
    <definedName name="_xlnm.Print_Area" localSheetId="6">'05.08.20'!$A$1:$P$94</definedName>
    <definedName name="_xlnm.Print_Area" localSheetId="7">'06.08.20'!$A$1:$P$94</definedName>
    <definedName name="_xlnm.Print_Area" localSheetId="8">'07.08.20'!$A$1:$P$94</definedName>
    <definedName name="_xlnm.Print_Area" localSheetId="9">'08.08.20'!$A$1:$P$94</definedName>
    <definedName name="_xlnm.Print_Area" localSheetId="10">'09.08.20 '!$A$1:$P$94</definedName>
    <definedName name="_xlnm.Print_Area" localSheetId="11">'10.08.20 '!$A$1:$P$94</definedName>
    <definedName name="_xlnm.Print_Area" localSheetId="12">'11.08.20 '!$A$1:$P$94</definedName>
    <definedName name="_xlnm.Print_Area" localSheetId="13">'12.08.20'!$A$1:$P$94</definedName>
    <definedName name="_xlnm.Print_Area" localSheetId="14">'12.08.20 (2)'!$A$1:$P$94</definedName>
    <definedName name="_xlnm.Print_Area" localSheetId="15">'13.08.20 '!$A$1:$P$94</definedName>
    <definedName name="_xlnm.Print_Area" localSheetId="16">'14.08.20'!$A$1:$P$94</definedName>
    <definedName name="_xlnm.Print_Area" localSheetId="17">'15.08.20'!$A$1:$P$94</definedName>
    <definedName name="_xlnm.Print_Area" localSheetId="18">'16.08.20'!$A$1:$P$94</definedName>
    <definedName name="_xlnm.Print_Area" localSheetId="19">'17.08.20'!$A$1:$P$94</definedName>
    <definedName name="_xlnm.Print_Area" localSheetId="20">'18.08.20 (1)'!$A$1:$P$94</definedName>
    <definedName name="_xlnm.Print_Area" localSheetId="21">'18.08.20(2)'!$A$1:$P$94</definedName>
  </definedNames>
  <calcPr calcId="124519"/>
</workbook>
</file>

<file path=xl/calcChain.xml><?xml version="1.0" encoding="utf-8"?>
<calcChain xmlns="http://schemas.openxmlformats.org/spreadsheetml/2006/main">
  <c r="H61" i="493"/>
  <c r="H60"/>
  <c r="H59"/>
  <c r="H58"/>
  <c r="H57"/>
  <c r="H56"/>
  <c r="H55"/>
  <c r="H53"/>
  <c r="H51"/>
  <c r="H50"/>
  <c r="L85" i="494"/>
  <c r="L84"/>
  <c r="J80"/>
  <c r="L80" s="1"/>
  <c r="J79"/>
  <c r="L79" s="1"/>
  <c r="L75"/>
  <c r="L74"/>
  <c r="L73"/>
  <c r="L72"/>
  <c r="L65"/>
  <c r="L64"/>
  <c r="F61"/>
  <c r="F60"/>
  <c r="F59"/>
  <c r="F58"/>
  <c r="F57"/>
  <c r="F56"/>
  <c r="M55"/>
  <c r="J55"/>
  <c r="F55"/>
  <c r="F54"/>
  <c r="M53"/>
  <c r="J53"/>
  <c r="F53"/>
  <c r="F52"/>
  <c r="M51"/>
  <c r="J51"/>
  <c r="F51"/>
  <c r="F62" s="1"/>
  <c r="F50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G33"/>
  <c r="G32"/>
  <c r="G31"/>
  <c r="M29"/>
  <c r="M27"/>
  <c r="G27"/>
  <c r="F27"/>
  <c r="D27"/>
  <c r="F26"/>
  <c r="G26" s="1"/>
  <c r="D26"/>
  <c r="M25"/>
  <c r="J25"/>
  <c r="G25"/>
  <c r="F25"/>
  <c r="D25"/>
  <c r="F24"/>
  <c r="G24" s="1"/>
  <c r="D24"/>
  <c r="M23"/>
  <c r="J23"/>
  <c r="G23"/>
  <c r="F23"/>
  <c r="D23"/>
  <c r="F22"/>
  <c r="G22" s="1"/>
  <c r="D22"/>
  <c r="M21"/>
  <c r="J21"/>
  <c r="G21"/>
  <c r="F21"/>
  <c r="D21"/>
  <c r="F20"/>
  <c r="G20" s="1"/>
  <c r="D20"/>
  <c r="M19"/>
  <c r="J19"/>
  <c r="G19"/>
  <c r="F19"/>
  <c r="D19"/>
  <c r="F18"/>
  <c r="G18" s="1"/>
  <c r="D18"/>
  <c r="M17"/>
  <c r="J17"/>
  <c r="G17"/>
  <c r="F17"/>
  <c r="D17"/>
  <c r="F16"/>
  <c r="G16" s="1"/>
  <c r="D16"/>
  <c r="M15"/>
  <c r="J15"/>
  <c r="G15"/>
  <c r="F15"/>
  <c r="D15"/>
  <c r="F14"/>
  <c r="G14" s="1"/>
  <c r="D14"/>
  <c r="M13"/>
  <c r="J13"/>
  <c r="M11"/>
  <c r="J11"/>
  <c r="M9"/>
  <c r="J9"/>
  <c r="G8"/>
  <c r="M7"/>
  <c r="J7"/>
  <c r="G7"/>
  <c r="F27" i="493"/>
  <c r="F26"/>
  <c r="F25"/>
  <c r="F24"/>
  <c r="G24" s="1"/>
  <c r="F23"/>
  <c r="G23" s="1"/>
  <c r="F22"/>
  <c r="G22" s="1"/>
  <c r="F21"/>
  <c r="F20"/>
  <c r="G20" s="1"/>
  <c r="F19"/>
  <c r="F18"/>
  <c r="F17"/>
  <c r="F16"/>
  <c r="F15"/>
  <c r="F14"/>
  <c r="M55"/>
  <c r="M53"/>
  <c r="M51"/>
  <c r="M49"/>
  <c r="M47"/>
  <c r="M45"/>
  <c r="M43"/>
  <c r="M41"/>
  <c r="M39"/>
  <c r="M37"/>
  <c r="M35"/>
  <c r="M33"/>
  <c r="J35"/>
  <c r="J37"/>
  <c r="J39"/>
  <c r="J41"/>
  <c r="J43"/>
  <c r="J45"/>
  <c r="J47"/>
  <c r="J49"/>
  <c r="J51"/>
  <c r="J53"/>
  <c r="J55"/>
  <c r="D27"/>
  <c r="D26"/>
  <c r="G26" s="1"/>
  <c r="D25"/>
  <c r="G25" s="1"/>
  <c r="D24"/>
  <c r="D23"/>
  <c r="D22"/>
  <c r="D21"/>
  <c r="D20"/>
  <c r="D19"/>
  <c r="G19" s="1"/>
  <c r="D18"/>
  <c r="D17"/>
  <c r="G17" s="1"/>
  <c r="D16"/>
  <c r="D15"/>
  <c r="D14"/>
  <c r="G14" s="1"/>
  <c r="J80"/>
  <c r="L80" s="1"/>
  <c r="J79"/>
  <c r="L79" s="1"/>
  <c r="M29"/>
  <c r="M27"/>
  <c r="M25"/>
  <c r="M23"/>
  <c r="M21"/>
  <c r="M19"/>
  <c r="M17"/>
  <c r="M15"/>
  <c r="M13"/>
  <c r="M11"/>
  <c r="M9"/>
  <c r="M7"/>
  <c r="J25"/>
  <c r="J23"/>
  <c r="J21"/>
  <c r="J19"/>
  <c r="J17"/>
  <c r="J15"/>
  <c r="J13"/>
  <c r="J11"/>
  <c r="J9"/>
  <c r="J7"/>
  <c r="L85"/>
  <c r="L84"/>
  <c r="L75"/>
  <c r="L74"/>
  <c r="L73"/>
  <c r="L72"/>
  <c r="L65"/>
  <c r="L64"/>
  <c r="G46"/>
  <c r="G44"/>
  <c r="G43"/>
  <c r="G42"/>
  <c r="G41"/>
  <c r="G40"/>
  <c r="G39"/>
  <c r="G38"/>
  <c r="G37"/>
  <c r="G36"/>
  <c r="G35"/>
  <c r="G34"/>
  <c r="G33"/>
  <c r="G32"/>
  <c r="G31"/>
  <c r="G21"/>
  <c r="G18"/>
  <c r="G16"/>
  <c r="G15"/>
  <c r="G8"/>
  <c r="G7"/>
  <c r="G27" l="1"/>
  <c r="F26" i="492"/>
  <c r="F25"/>
  <c r="F24"/>
  <c r="F27"/>
  <c r="F23"/>
  <c r="F22"/>
  <c r="F21"/>
  <c r="F20"/>
  <c r="F19"/>
  <c r="F18"/>
  <c r="F17"/>
  <c r="F16"/>
  <c r="F14"/>
  <c r="F15"/>
  <c r="K80"/>
  <c r="K79"/>
  <c r="M47"/>
  <c r="M55"/>
  <c r="M53"/>
  <c r="M51"/>
  <c r="M49"/>
  <c r="M41"/>
  <c r="M39"/>
  <c r="M37"/>
  <c r="M35"/>
  <c r="M33"/>
  <c r="J55"/>
  <c r="J53"/>
  <c r="J51"/>
  <c r="J49"/>
  <c r="J47"/>
  <c r="J45"/>
  <c r="J43"/>
  <c r="J41"/>
  <c r="J39"/>
  <c r="J37"/>
  <c r="J35"/>
  <c r="J33"/>
  <c r="D27" l="1"/>
  <c r="G27"/>
  <c r="D26"/>
  <c r="G26" s="1"/>
  <c r="D24"/>
  <c r="D21"/>
  <c r="D20"/>
  <c r="G20" s="1"/>
  <c r="D19"/>
  <c r="G19" s="1"/>
  <c r="D18"/>
  <c r="D17"/>
  <c r="D16"/>
  <c r="G16" s="1"/>
  <c r="D15"/>
  <c r="D14"/>
  <c r="G14" s="1"/>
  <c r="M29"/>
  <c r="M27"/>
  <c r="M25"/>
  <c r="M23"/>
  <c r="M21"/>
  <c r="M19"/>
  <c r="M17"/>
  <c r="M15"/>
  <c r="M13"/>
  <c r="M11"/>
  <c r="M9"/>
  <c r="M7"/>
  <c r="J29"/>
  <c r="J27"/>
  <c r="J25"/>
  <c r="J23"/>
  <c r="J21"/>
  <c r="J19"/>
  <c r="J17"/>
  <c r="J15"/>
  <c r="J13"/>
  <c r="J11"/>
  <c r="J9"/>
  <c r="J7"/>
  <c r="J80"/>
  <c r="J79"/>
  <c r="L85"/>
  <c r="L84"/>
  <c r="L80"/>
  <c r="L79"/>
  <c r="L75"/>
  <c r="L74"/>
  <c r="L73"/>
  <c r="L72"/>
  <c r="L65"/>
  <c r="L64"/>
  <c r="F61"/>
  <c r="F60"/>
  <c r="F59"/>
  <c r="F58"/>
  <c r="F57"/>
  <c r="F56"/>
  <c r="F55"/>
  <c r="F54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5"/>
  <c r="G24"/>
  <c r="G23"/>
  <c r="G22"/>
  <c r="G21"/>
  <c r="G18"/>
  <c r="G17"/>
  <c r="G15"/>
  <c r="G8"/>
  <c r="G7"/>
  <c r="F62" l="1"/>
  <c r="M55" i="491" l="1"/>
  <c r="M53"/>
  <c r="M51"/>
  <c r="M49"/>
  <c r="M47"/>
  <c r="M45"/>
  <c r="M43"/>
  <c r="M41"/>
  <c r="M39"/>
  <c r="M37"/>
  <c r="M35"/>
  <c r="M33"/>
  <c r="J55"/>
  <c r="J53"/>
  <c r="J51"/>
  <c r="J49"/>
  <c r="J47"/>
  <c r="J45"/>
  <c r="J43"/>
  <c r="J41"/>
  <c r="J39"/>
  <c r="J33"/>
  <c r="D18" l="1"/>
  <c r="F27"/>
  <c r="F26"/>
  <c r="F25"/>
  <c r="F24"/>
  <c r="F23"/>
  <c r="F22"/>
  <c r="F21"/>
  <c r="F20"/>
  <c r="F19"/>
  <c r="F18"/>
  <c r="F17"/>
  <c r="F16"/>
  <c r="F15"/>
  <c r="F14"/>
  <c r="D27" l="1"/>
  <c r="D26"/>
  <c r="D25"/>
  <c r="D24"/>
  <c r="D23"/>
  <c r="D22"/>
  <c r="D21"/>
  <c r="D20"/>
  <c r="D19"/>
  <c r="D17"/>
  <c r="D16"/>
  <c r="D15"/>
  <c r="D14"/>
  <c r="J80"/>
  <c r="J79"/>
  <c r="M27"/>
  <c r="M29"/>
  <c r="M21"/>
  <c r="M19"/>
  <c r="M17"/>
  <c r="M15"/>
  <c r="M13"/>
  <c r="M11"/>
  <c r="M9"/>
  <c r="M7"/>
  <c r="J29"/>
  <c r="J27"/>
  <c r="J25"/>
  <c r="J23"/>
  <c r="J21"/>
  <c r="J19"/>
  <c r="J17"/>
  <c r="J15"/>
  <c r="J13"/>
  <c r="J11"/>
  <c r="J9"/>
  <c r="J7"/>
  <c r="L85" l="1"/>
  <c r="L84"/>
  <c r="L80"/>
  <c r="L79"/>
  <c r="L75"/>
  <c r="L74"/>
  <c r="L73"/>
  <c r="L72"/>
  <c r="L65"/>
  <c r="L64"/>
  <c r="F61"/>
  <c r="F60"/>
  <c r="F59"/>
  <c r="F58"/>
  <c r="F57"/>
  <c r="F56"/>
  <c r="F55"/>
  <c r="F54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F62" l="1"/>
  <c r="F27" i="490" l="1"/>
  <c r="F26"/>
  <c r="F25"/>
  <c r="F24"/>
  <c r="F23"/>
  <c r="F22"/>
  <c r="F21"/>
  <c r="F20"/>
  <c r="F19"/>
  <c r="F18"/>
  <c r="F17"/>
  <c r="F16"/>
  <c r="F15"/>
  <c r="F14"/>
  <c r="K80"/>
  <c r="K79"/>
  <c r="M55"/>
  <c r="M53"/>
  <c r="M51"/>
  <c r="M49"/>
  <c r="M47"/>
  <c r="M45"/>
  <c r="M43"/>
  <c r="M41"/>
  <c r="M39"/>
  <c r="M37"/>
  <c r="M35"/>
  <c r="M33"/>
  <c r="J55"/>
  <c r="J53"/>
  <c r="J51"/>
  <c r="J49"/>
  <c r="J47"/>
  <c r="J45"/>
  <c r="J43"/>
  <c r="J39"/>
  <c r="J37"/>
  <c r="J41"/>
  <c r="J35"/>
  <c r="J33"/>
  <c r="F54"/>
  <c r="D27" l="1"/>
  <c r="D26"/>
  <c r="G26" s="1"/>
  <c r="D25"/>
  <c r="G25" s="1"/>
  <c r="D24"/>
  <c r="G24" s="1"/>
  <c r="D23"/>
  <c r="G23" s="1"/>
  <c r="D22"/>
  <c r="G22" s="1"/>
  <c r="D21"/>
  <c r="G21" s="1"/>
  <c r="D20"/>
  <c r="G20" s="1"/>
  <c r="D19"/>
  <c r="G19" s="1"/>
  <c r="D18"/>
  <c r="G18" s="1"/>
  <c r="D17"/>
  <c r="G17" s="1"/>
  <c r="D16"/>
  <c r="G16" s="1"/>
  <c r="D15"/>
  <c r="D14"/>
  <c r="G14" s="1"/>
  <c r="J80"/>
  <c r="L80" s="1"/>
  <c r="J79"/>
  <c r="L79" s="1"/>
  <c r="M29"/>
  <c r="M27"/>
  <c r="M23"/>
  <c r="M21"/>
  <c r="M19"/>
  <c r="M17"/>
  <c r="M15"/>
  <c r="M13"/>
  <c r="M11"/>
  <c r="M9"/>
  <c r="M7"/>
  <c r="J29"/>
  <c r="J27"/>
  <c r="J25"/>
  <c r="J23"/>
  <c r="J21"/>
  <c r="J19"/>
  <c r="J17"/>
  <c r="J9"/>
  <c r="L85"/>
  <c r="L84"/>
  <c r="L75"/>
  <c r="L74"/>
  <c r="L73"/>
  <c r="L72"/>
  <c r="L65"/>
  <c r="L64"/>
  <c r="F61"/>
  <c r="F60"/>
  <c r="F59"/>
  <c r="F58"/>
  <c r="F57"/>
  <c r="F56"/>
  <c r="F55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7"/>
  <c r="G15"/>
  <c r="G8"/>
  <c r="G7"/>
  <c r="F62" l="1"/>
  <c r="K80" i="488" l="1"/>
  <c r="K79"/>
  <c r="F27"/>
  <c r="F26"/>
  <c r="F25"/>
  <c r="F24"/>
  <c r="F23"/>
  <c r="F22"/>
  <c r="F21"/>
  <c r="F20"/>
  <c r="F19"/>
  <c r="F18"/>
  <c r="F17"/>
  <c r="F16"/>
  <c r="F15"/>
  <c r="F14"/>
  <c r="M55"/>
  <c r="M53"/>
  <c r="M51"/>
  <c r="M49"/>
  <c r="M47"/>
  <c r="M45"/>
  <c r="M43"/>
  <c r="M41"/>
  <c r="M39"/>
  <c r="M37"/>
  <c r="M35"/>
  <c r="M33"/>
  <c r="J55"/>
  <c r="J53"/>
  <c r="J51"/>
  <c r="J49"/>
  <c r="J47"/>
  <c r="J45"/>
  <c r="J43"/>
  <c r="J41"/>
  <c r="J39"/>
  <c r="J37"/>
  <c r="J35"/>
  <c r="J33"/>
  <c r="D27" l="1"/>
  <c r="D26"/>
  <c r="D25"/>
  <c r="D24"/>
  <c r="D23"/>
  <c r="D22"/>
  <c r="D21"/>
  <c r="D20"/>
  <c r="D19"/>
  <c r="D18"/>
  <c r="D17"/>
  <c r="D16"/>
  <c r="D15"/>
  <c r="D14"/>
  <c r="M23"/>
  <c r="M29"/>
  <c r="M27"/>
  <c r="M21"/>
  <c r="M19"/>
  <c r="M17"/>
  <c r="M15"/>
  <c r="M13"/>
  <c r="M11"/>
  <c r="M9"/>
  <c r="M7"/>
  <c r="J29"/>
  <c r="J27"/>
  <c r="J25"/>
  <c r="J23"/>
  <c r="J21"/>
  <c r="J19"/>
  <c r="J17"/>
  <c r="J15"/>
  <c r="J13"/>
  <c r="J11"/>
  <c r="J9"/>
  <c r="J7"/>
  <c r="J80"/>
  <c r="J79"/>
  <c r="L85" i="489" l="1"/>
  <c r="L84"/>
  <c r="L80"/>
  <c r="K80"/>
  <c r="L79"/>
  <c r="K79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F52"/>
  <c r="M51"/>
  <c r="J51"/>
  <c r="F51"/>
  <c r="F62" s="1"/>
  <c r="F50"/>
  <c r="M49"/>
  <c r="J49"/>
  <c r="M47"/>
  <c r="J47"/>
  <c r="G46"/>
  <c r="J45"/>
  <c r="G44"/>
  <c r="J43"/>
  <c r="G43"/>
  <c r="G42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G27" s="1"/>
  <c r="D27"/>
  <c r="F26"/>
  <c r="D26"/>
  <c r="G26" s="1"/>
  <c r="M25"/>
  <c r="J25"/>
  <c r="F25"/>
  <c r="G25" s="1"/>
  <c r="D25"/>
  <c r="F24"/>
  <c r="D24"/>
  <c r="G24" s="1"/>
  <c r="J23"/>
  <c r="F23"/>
  <c r="D23"/>
  <c r="G23" s="1"/>
  <c r="F22"/>
  <c r="D22"/>
  <c r="G22" s="1"/>
  <c r="M21"/>
  <c r="J21"/>
  <c r="F21"/>
  <c r="D21"/>
  <c r="G21" s="1"/>
  <c r="F20"/>
  <c r="D20"/>
  <c r="G20" s="1"/>
  <c r="M19"/>
  <c r="J19"/>
  <c r="F19"/>
  <c r="D19"/>
  <c r="G19" s="1"/>
  <c r="G18"/>
  <c r="F18"/>
  <c r="M17"/>
  <c r="J17"/>
  <c r="G17"/>
  <c r="F17"/>
  <c r="D17"/>
  <c r="G16"/>
  <c r="F16"/>
  <c r="D16"/>
  <c r="M15"/>
  <c r="J15"/>
  <c r="G15"/>
  <c r="F15"/>
  <c r="D15"/>
  <c r="G14"/>
  <c r="F14"/>
  <c r="D14"/>
  <c r="M13"/>
  <c r="J13"/>
  <c r="M11"/>
  <c r="J11"/>
  <c r="M9"/>
  <c r="J9"/>
  <c r="G8"/>
  <c r="M7"/>
  <c r="J7"/>
  <c r="G7"/>
  <c r="F52" i="488"/>
  <c r="F61"/>
  <c r="F60"/>
  <c r="F59"/>
  <c r="F58"/>
  <c r="F57"/>
  <c r="F56"/>
  <c r="F55"/>
  <c r="F53"/>
  <c r="F51"/>
  <c r="F50"/>
  <c r="F62" l="1"/>
  <c r="L85" l="1"/>
  <c r="L84"/>
  <c r="L80"/>
  <c r="L79"/>
  <c r="L75"/>
  <c r="L74"/>
  <c r="L73"/>
  <c r="L72"/>
  <c r="L65"/>
  <c r="L64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H61" i="483" l="1"/>
  <c r="H60"/>
  <c r="H59"/>
  <c r="H58"/>
  <c r="H57"/>
  <c r="H56"/>
  <c r="H55"/>
  <c r="H53"/>
  <c r="H51"/>
  <c r="H50"/>
  <c r="L85" i="487"/>
  <c r="L84"/>
  <c r="L80"/>
  <c r="K80"/>
  <c r="L79"/>
  <c r="K79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M51"/>
  <c r="J51"/>
  <c r="F51"/>
  <c r="F50"/>
  <c r="F62" s="1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F26"/>
  <c r="D26"/>
  <c r="G26" s="1"/>
  <c r="M25"/>
  <c r="J25"/>
  <c r="F25"/>
  <c r="D25"/>
  <c r="G25" s="1"/>
  <c r="F24"/>
  <c r="G24" s="1"/>
  <c r="D24"/>
  <c r="M23"/>
  <c r="J23"/>
  <c r="F23"/>
  <c r="D23"/>
  <c r="G23" s="1"/>
  <c r="F22"/>
  <c r="G22" s="1"/>
  <c r="D22"/>
  <c r="M21"/>
  <c r="J21"/>
  <c r="F21"/>
  <c r="D21"/>
  <c r="G21" s="1"/>
  <c r="F20"/>
  <c r="G20" s="1"/>
  <c r="D20"/>
  <c r="M19"/>
  <c r="J19"/>
  <c r="F19"/>
  <c r="D19"/>
  <c r="G19" s="1"/>
  <c r="G18"/>
  <c r="M17"/>
  <c r="J17"/>
  <c r="G17"/>
  <c r="F17"/>
  <c r="D17"/>
  <c r="F16"/>
  <c r="D16"/>
  <c r="G16" s="1"/>
  <c r="M15"/>
  <c r="J15"/>
  <c r="G15"/>
  <c r="F15"/>
  <c r="D15"/>
  <c r="F14"/>
  <c r="D14"/>
  <c r="G14" s="1"/>
  <c r="M13"/>
  <c r="J13"/>
  <c r="M11"/>
  <c r="J11"/>
  <c r="M9"/>
  <c r="J9"/>
  <c r="G8"/>
  <c r="M7"/>
  <c r="J7"/>
  <c r="G7"/>
  <c r="K80" i="483" l="1"/>
  <c r="K79"/>
  <c r="F27"/>
  <c r="F26"/>
  <c r="F25"/>
  <c r="F24"/>
  <c r="F23"/>
  <c r="F22"/>
  <c r="F21"/>
  <c r="F20"/>
  <c r="F19"/>
  <c r="F17"/>
  <c r="F16"/>
  <c r="F14"/>
  <c r="F15"/>
  <c r="M55" l="1"/>
  <c r="M53"/>
  <c r="M51"/>
  <c r="M49"/>
  <c r="M47"/>
  <c r="M45"/>
  <c r="M43"/>
  <c r="M41"/>
  <c r="M39"/>
  <c r="M37"/>
  <c r="M35"/>
  <c r="M33"/>
  <c r="J55"/>
  <c r="J53"/>
  <c r="J51"/>
  <c r="J49"/>
  <c r="J47"/>
  <c r="J45"/>
  <c r="J43"/>
  <c r="J41"/>
  <c r="J39"/>
  <c r="J37"/>
  <c r="J35"/>
  <c r="J33"/>
  <c r="D27" l="1"/>
  <c r="D26"/>
  <c r="D25"/>
  <c r="D24"/>
  <c r="D23"/>
  <c r="D22"/>
  <c r="D21"/>
  <c r="D20"/>
  <c r="D19"/>
  <c r="D17"/>
  <c r="D16"/>
  <c r="D15"/>
  <c r="D14"/>
  <c r="M29"/>
  <c r="M27"/>
  <c r="M25"/>
  <c r="M23"/>
  <c r="M21"/>
  <c r="M19"/>
  <c r="M17"/>
  <c r="M15"/>
  <c r="M13"/>
  <c r="M11"/>
  <c r="M9"/>
  <c r="M7"/>
  <c r="J29"/>
  <c r="J27"/>
  <c r="J25"/>
  <c r="J23"/>
  <c r="J21"/>
  <c r="J19"/>
  <c r="J17"/>
  <c r="J15"/>
  <c r="J13"/>
  <c r="J11"/>
  <c r="J9"/>
  <c r="J7"/>
  <c r="L85" i="486" l="1"/>
  <c r="L84"/>
  <c r="L80"/>
  <c r="K80"/>
  <c r="J80"/>
  <c r="K79"/>
  <c r="J79"/>
  <c r="L79" s="1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M51"/>
  <c r="J51"/>
  <c r="F51"/>
  <c r="F50"/>
  <c r="F62" s="1"/>
  <c r="M49"/>
  <c r="J49"/>
  <c r="M47"/>
  <c r="J47"/>
  <c r="G46"/>
  <c r="M45"/>
  <c r="J45"/>
  <c r="G44"/>
  <c r="M43"/>
  <c r="J43"/>
  <c r="G43"/>
  <c r="G42"/>
  <c r="M41"/>
  <c r="J41"/>
  <c r="G41"/>
  <c r="G40"/>
  <c r="J39"/>
  <c r="G39"/>
  <c r="G38"/>
  <c r="J37"/>
  <c r="G37"/>
  <c r="G36"/>
  <c r="J35"/>
  <c r="G35"/>
  <c r="G34"/>
  <c r="J33"/>
  <c r="G33"/>
  <c r="G32"/>
  <c r="G31"/>
  <c r="J29"/>
  <c r="J27"/>
  <c r="G27"/>
  <c r="F27"/>
  <c r="D27"/>
  <c r="F26"/>
  <c r="G26" s="1"/>
  <c r="D26"/>
  <c r="J25"/>
  <c r="F25"/>
  <c r="G25" s="1"/>
  <c r="D25"/>
  <c r="F24"/>
  <c r="D24"/>
  <c r="G24" s="1"/>
  <c r="J23"/>
  <c r="F23"/>
  <c r="D23"/>
  <c r="G23" s="1"/>
  <c r="F22"/>
  <c r="D22"/>
  <c r="G22" s="1"/>
  <c r="M21"/>
  <c r="J21"/>
  <c r="F21"/>
  <c r="D21"/>
  <c r="G21" s="1"/>
  <c r="G20"/>
  <c r="F20"/>
  <c r="D20"/>
  <c r="M19"/>
  <c r="J19"/>
  <c r="F19"/>
  <c r="D19"/>
  <c r="G19" s="1"/>
  <c r="G18"/>
  <c r="F18"/>
  <c r="D18"/>
  <c r="M17"/>
  <c r="J17"/>
  <c r="F17"/>
  <c r="D17"/>
  <c r="G17" s="1"/>
  <c r="G16"/>
  <c r="F16"/>
  <c r="D16"/>
  <c r="M15"/>
  <c r="J15"/>
  <c r="F15"/>
  <c r="D15"/>
  <c r="G15" s="1"/>
  <c r="G14"/>
  <c r="F14"/>
  <c r="D14"/>
  <c r="M13"/>
  <c r="J13"/>
  <c r="M11"/>
  <c r="J11"/>
  <c r="M9"/>
  <c r="J9"/>
  <c r="G8"/>
  <c r="M7"/>
  <c r="J7"/>
  <c r="G7"/>
  <c r="L85" i="485" l="1"/>
  <c r="L84"/>
  <c r="K80"/>
  <c r="J80"/>
  <c r="L80" s="1"/>
  <c r="L79"/>
  <c r="K79"/>
  <c r="J79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F52"/>
  <c r="M51"/>
  <c r="J51"/>
  <c r="F51"/>
  <c r="F50"/>
  <c r="F62" s="1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F26"/>
  <c r="D26"/>
  <c r="G26" s="1"/>
  <c r="M25"/>
  <c r="J25"/>
  <c r="G25"/>
  <c r="F25"/>
  <c r="D25"/>
  <c r="F24"/>
  <c r="G24" s="1"/>
  <c r="D24"/>
  <c r="J23"/>
  <c r="F23"/>
  <c r="G23" s="1"/>
  <c r="D23"/>
  <c r="F22"/>
  <c r="D22"/>
  <c r="G22" s="1"/>
  <c r="M21"/>
  <c r="J21"/>
  <c r="F21"/>
  <c r="G21" s="1"/>
  <c r="D21"/>
  <c r="F20"/>
  <c r="D20"/>
  <c r="G20" s="1"/>
  <c r="M19"/>
  <c r="J19"/>
  <c r="F19"/>
  <c r="G19" s="1"/>
  <c r="D19"/>
  <c r="F18"/>
  <c r="D18"/>
  <c r="G18" s="1"/>
  <c r="M17"/>
  <c r="J17"/>
  <c r="F17"/>
  <c r="G17" s="1"/>
  <c r="D17"/>
  <c r="F16"/>
  <c r="D16"/>
  <c r="G16" s="1"/>
  <c r="M15"/>
  <c r="J15"/>
  <c r="F15"/>
  <c r="G15" s="1"/>
  <c r="D15"/>
  <c r="F14"/>
  <c r="D14"/>
  <c r="G14" s="1"/>
  <c r="M13"/>
  <c r="J13"/>
  <c r="M11"/>
  <c r="J11"/>
  <c r="M9"/>
  <c r="J9"/>
  <c r="G8"/>
  <c r="M7"/>
  <c r="J7"/>
  <c r="G7"/>
  <c r="L85" i="484"/>
  <c r="L84"/>
  <c r="K80"/>
  <c r="L80" s="1"/>
  <c r="K79"/>
  <c r="J79"/>
  <c r="L79" s="1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F52"/>
  <c r="M51"/>
  <c r="J51"/>
  <c r="F51"/>
  <c r="F62" s="1"/>
  <c r="F50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F26"/>
  <c r="D26"/>
  <c r="G26" s="1"/>
  <c r="M25"/>
  <c r="J25"/>
  <c r="F25"/>
  <c r="D25"/>
  <c r="G25" s="1"/>
  <c r="F24"/>
  <c r="D24"/>
  <c r="G24" s="1"/>
  <c r="M23"/>
  <c r="J23"/>
  <c r="F23"/>
  <c r="D23"/>
  <c r="G23" s="1"/>
  <c r="F22"/>
  <c r="D22"/>
  <c r="G22" s="1"/>
  <c r="M21"/>
  <c r="J21"/>
  <c r="F21"/>
  <c r="G21" s="1"/>
  <c r="D21"/>
  <c r="F20"/>
  <c r="D20"/>
  <c r="G20" s="1"/>
  <c r="M19"/>
  <c r="J19"/>
  <c r="F19"/>
  <c r="G19" s="1"/>
  <c r="D19"/>
  <c r="F18"/>
  <c r="D18"/>
  <c r="G18" s="1"/>
  <c r="M17"/>
  <c r="J17"/>
  <c r="F17"/>
  <c r="G17" s="1"/>
  <c r="D17"/>
  <c r="F16"/>
  <c r="D16"/>
  <c r="G16" s="1"/>
  <c r="M15"/>
  <c r="J15"/>
  <c r="F15"/>
  <c r="G15" s="1"/>
  <c r="D15"/>
  <c r="F14"/>
  <c r="D14"/>
  <c r="G14" s="1"/>
  <c r="M13"/>
  <c r="J13"/>
  <c r="M11"/>
  <c r="J11"/>
  <c r="M9"/>
  <c r="J9"/>
  <c r="G8"/>
  <c r="M7"/>
  <c r="J7"/>
  <c r="G7"/>
  <c r="L79" i="483" l="1"/>
  <c r="G27"/>
  <c r="G25"/>
  <c r="G24"/>
  <c r="G22"/>
  <c r="G21"/>
  <c r="G19"/>
  <c r="G17"/>
  <c r="G16"/>
  <c r="G15"/>
  <c r="G14"/>
  <c r="L85"/>
  <c r="L84"/>
  <c r="L80"/>
  <c r="L75"/>
  <c r="L74"/>
  <c r="L73"/>
  <c r="L72"/>
  <c r="L65"/>
  <c r="L64"/>
  <c r="G46"/>
  <c r="G44"/>
  <c r="G43"/>
  <c r="G42"/>
  <c r="G41"/>
  <c r="G40"/>
  <c r="G39"/>
  <c r="G38"/>
  <c r="G37"/>
  <c r="G36"/>
  <c r="G35"/>
  <c r="G34"/>
  <c r="G33"/>
  <c r="G32"/>
  <c r="G31"/>
  <c r="G26"/>
  <c r="G23"/>
  <c r="G18"/>
  <c r="G8"/>
  <c r="G7"/>
  <c r="K80" i="482"/>
  <c r="K79"/>
  <c r="F27"/>
  <c r="F26"/>
  <c r="F25"/>
  <c r="F24"/>
  <c r="F23"/>
  <c r="F22"/>
  <c r="F21"/>
  <c r="F20"/>
  <c r="F19"/>
  <c r="F18"/>
  <c r="F17"/>
  <c r="F16"/>
  <c r="F15"/>
  <c r="F14"/>
  <c r="M55"/>
  <c r="M53"/>
  <c r="M51"/>
  <c r="M49"/>
  <c r="M47"/>
  <c r="M45"/>
  <c r="M43"/>
  <c r="M41"/>
  <c r="M39"/>
  <c r="M37"/>
  <c r="M35"/>
  <c r="M33"/>
  <c r="J55"/>
  <c r="J51"/>
  <c r="J45"/>
  <c r="J43"/>
  <c r="J41"/>
  <c r="J39"/>
  <c r="J53"/>
  <c r="J49"/>
  <c r="J47"/>
  <c r="J37"/>
  <c r="J35"/>
  <c r="J33"/>
  <c r="D27" l="1"/>
  <c r="D26"/>
  <c r="D25"/>
  <c r="D24"/>
  <c r="D23"/>
  <c r="D22"/>
  <c r="D21"/>
  <c r="D20"/>
  <c r="D19"/>
  <c r="D18"/>
  <c r="D17"/>
  <c r="D16"/>
  <c r="D15"/>
  <c r="D14"/>
  <c r="M29"/>
  <c r="M27"/>
  <c r="M25"/>
  <c r="M23"/>
  <c r="M21"/>
  <c r="M19"/>
  <c r="M17"/>
  <c r="M15"/>
  <c r="M13"/>
  <c r="M11"/>
  <c r="M9"/>
  <c r="M7"/>
  <c r="J29"/>
  <c r="J27"/>
  <c r="J25"/>
  <c r="J23"/>
  <c r="J21"/>
  <c r="J19"/>
  <c r="J17"/>
  <c r="J15"/>
  <c r="J13"/>
  <c r="J11"/>
  <c r="J9"/>
  <c r="J7"/>
  <c r="J80"/>
  <c r="J79"/>
  <c r="L85"/>
  <c r="L84"/>
  <c r="L80"/>
  <c r="L79"/>
  <c r="L75"/>
  <c r="L74"/>
  <c r="L73"/>
  <c r="L72"/>
  <c r="L65"/>
  <c r="L64"/>
  <c r="F61"/>
  <c r="F60"/>
  <c r="F59"/>
  <c r="F58"/>
  <c r="F57"/>
  <c r="F56"/>
  <c r="F55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K80" i="481"/>
  <c r="K79"/>
  <c r="F27"/>
  <c r="F26"/>
  <c r="F25"/>
  <c r="F24"/>
  <c r="F23"/>
  <c r="F22"/>
  <c r="F21"/>
  <c r="F20"/>
  <c r="F19"/>
  <c r="F18"/>
  <c r="F17"/>
  <c r="F16"/>
  <c r="F15"/>
  <c r="F14"/>
  <c r="M55"/>
  <c r="M53"/>
  <c r="M51"/>
  <c r="M49"/>
  <c r="M47"/>
  <c r="M45"/>
  <c r="M43"/>
  <c r="M41"/>
  <c r="M39"/>
  <c r="M37"/>
  <c r="M35"/>
  <c r="M33"/>
  <c r="J55"/>
  <c r="J53"/>
  <c r="J51"/>
  <c r="J49"/>
  <c r="J47"/>
  <c r="J45"/>
  <c r="J43"/>
  <c r="J41"/>
  <c r="J39"/>
  <c r="J37"/>
  <c r="J35"/>
  <c r="J33"/>
  <c r="F62" i="482" l="1"/>
  <c r="D27" i="481"/>
  <c r="G27" s="1"/>
  <c r="D26"/>
  <c r="D25"/>
  <c r="D24"/>
  <c r="G24" s="1"/>
  <c r="D23"/>
  <c r="G23" s="1"/>
  <c r="D22"/>
  <c r="D21"/>
  <c r="G21" s="1"/>
  <c r="D20"/>
  <c r="D19"/>
  <c r="G19" s="1"/>
  <c r="D18"/>
  <c r="D17"/>
  <c r="D16"/>
  <c r="G16" s="1"/>
  <c r="D15"/>
  <c r="D14"/>
  <c r="G14" s="1"/>
  <c r="J80"/>
  <c r="J79"/>
  <c r="M29"/>
  <c r="M27"/>
  <c r="M25"/>
  <c r="M23"/>
  <c r="M21"/>
  <c r="J29"/>
  <c r="J27"/>
  <c r="J25"/>
  <c r="J23"/>
  <c r="J21"/>
  <c r="J19"/>
  <c r="J17"/>
  <c r="J15"/>
  <c r="J13"/>
  <c r="J11"/>
  <c r="J9"/>
  <c r="J7"/>
  <c r="L85"/>
  <c r="L84"/>
  <c r="L80"/>
  <c r="L79"/>
  <c r="L75"/>
  <c r="L74"/>
  <c r="L73"/>
  <c r="L72"/>
  <c r="L65"/>
  <c r="L64"/>
  <c r="F61"/>
  <c r="F60"/>
  <c r="F59"/>
  <c r="F58"/>
  <c r="F57"/>
  <c r="F56"/>
  <c r="F55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6"/>
  <c r="G25"/>
  <c r="G22"/>
  <c r="G20"/>
  <c r="G18"/>
  <c r="G17"/>
  <c r="G15"/>
  <c r="G8"/>
  <c r="G7"/>
  <c r="F27" i="480"/>
  <c r="F26"/>
  <c r="F25"/>
  <c r="F24"/>
  <c r="F23"/>
  <c r="F22"/>
  <c r="F21"/>
  <c r="F20"/>
  <c r="F19"/>
  <c r="F18"/>
  <c r="F17"/>
  <c r="F16"/>
  <c r="F15"/>
  <c r="F14"/>
  <c r="J55"/>
  <c r="J53"/>
  <c r="J51"/>
  <c r="J49"/>
  <c r="J47"/>
  <c r="J45"/>
  <c r="J43"/>
  <c r="J41"/>
  <c r="J39"/>
  <c r="J37"/>
  <c r="J35"/>
  <c r="J33"/>
  <c r="F62" i="481" l="1"/>
  <c r="D27" i="480"/>
  <c r="D26"/>
  <c r="D25"/>
  <c r="D24"/>
  <c r="D23"/>
  <c r="D22"/>
  <c r="D21"/>
  <c r="D20"/>
  <c r="D19"/>
  <c r="D18"/>
  <c r="D17"/>
  <c r="D16"/>
  <c r="D15"/>
  <c r="D14"/>
  <c r="J80"/>
  <c r="J79"/>
  <c r="J29"/>
  <c r="J27"/>
  <c r="J25"/>
  <c r="J23"/>
  <c r="J21"/>
  <c r="J19"/>
  <c r="J17"/>
  <c r="J15"/>
  <c r="J13"/>
  <c r="J11"/>
  <c r="J9"/>
  <c r="J7"/>
  <c r="L85" l="1"/>
  <c r="L84"/>
  <c r="L80"/>
  <c r="L79"/>
  <c r="L75"/>
  <c r="L74"/>
  <c r="L73"/>
  <c r="L72"/>
  <c r="L65"/>
  <c r="L64"/>
  <c r="F61"/>
  <c r="F60"/>
  <c r="F59"/>
  <c r="F58"/>
  <c r="F57"/>
  <c r="F56"/>
  <c r="F55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K79" i="479"/>
  <c r="F27"/>
  <c r="F26"/>
  <c r="F25"/>
  <c r="F24"/>
  <c r="F23"/>
  <c r="F22"/>
  <c r="F21"/>
  <c r="F20"/>
  <c r="F19"/>
  <c r="F18"/>
  <c r="F17"/>
  <c r="F16"/>
  <c r="F15"/>
  <c r="F14"/>
  <c r="J55"/>
  <c r="J53"/>
  <c r="J51"/>
  <c r="F61"/>
  <c r="F60"/>
  <c r="F59"/>
  <c r="F58"/>
  <c r="F57"/>
  <c r="F56"/>
  <c r="F55"/>
  <c r="F53"/>
  <c r="F52"/>
  <c r="F51"/>
  <c r="F50"/>
  <c r="F62" i="480" l="1"/>
  <c r="J25" i="479"/>
  <c r="J23"/>
  <c r="J21"/>
  <c r="J19"/>
  <c r="J17"/>
  <c r="J15"/>
  <c r="J13"/>
  <c r="J11"/>
  <c r="J9"/>
  <c r="J7"/>
  <c r="L85"/>
  <c r="L84"/>
  <c r="L80"/>
  <c r="L79"/>
  <c r="L75"/>
  <c r="L74"/>
  <c r="L73"/>
  <c r="L72"/>
  <c r="L65"/>
  <c r="L64"/>
  <c r="F62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D14" i="478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H61" l="1"/>
  <c r="H60"/>
  <c r="H59"/>
  <c r="H58"/>
  <c r="H57"/>
  <c r="H56"/>
  <c r="H55"/>
  <c r="H53"/>
  <c r="H52"/>
  <c r="H51"/>
  <c r="H50"/>
  <c r="L85"/>
  <c r="L84"/>
  <c r="K80"/>
  <c r="L80" s="1"/>
  <c r="K79"/>
  <c r="L79" s="1"/>
  <c r="L75"/>
  <c r="L74"/>
  <c r="L73"/>
  <c r="L72"/>
  <c r="L65"/>
  <c r="L64"/>
  <c r="J55"/>
  <c r="J53"/>
  <c r="J51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G27"/>
  <c r="G26"/>
  <c r="M25"/>
  <c r="J25"/>
  <c r="G25"/>
  <c r="G24"/>
  <c r="M23"/>
  <c r="J23"/>
  <c r="G23"/>
  <c r="G22"/>
  <c r="M21"/>
  <c r="J21"/>
  <c r="G21"/>
  <c r="G20"/>
  <c r="M19"/>
  <c r="J19"/>
  <c r="G19"/>
  <c r="G18"/>
  <c r="M17"/>
  <c r="J17"/>
  <c r="G17"/>
  <c r="G16"/>
  <c r="M15"/>
  <c r="J15"/>
  <c r="G15"/>
  <c r="G14"/>
  <c r="M13"/>
  <c r="J13"/>
  <c r="M11"/>
  <c r="J11"/>
  <c r="M9"/>
  <c r="J9"/>
  <c r="G8"/>
  <c r="M7"/>
  <c r="J7"/>
  <c r="G7"/>
  <c r="F18" i="473"/>
  <c r="F27"/>
  <c r="F26"/>
  <c r="F25"/>
  <c r="F24"/>
  <c r="F23"/>
  <c r="F22"/>
  <c r="F21"/>
  <c r="F20"/>
  <c r="F19"/>
  <c r="F17"/>
  <c r="F16"/>
  <c r="F15"/>
  <c r="F14"/>
  <c r="K80"/>
  <c r="K79"/>
  <c r="M47"/>
  <c r="M45"/>
  <c r="M43"/>
  <c r="M41"/>
  <c r="M39"/>
  <c r="M37"/>
  <c r="M35"/>
  <c r="M33"/>
  <c r="J55"/>
  <c r="J53"/>
  <c r="J51"/>
  <c r="J49"/>
  <c r="J47"/>
  <c r="J45"/>
  <c r="J43"/>
  <c r="J41"/>
  <c r="J39"/>
  <c r="J37"/>
  <c r="J35"/>
  <c r="J33"/>
  <c r="L85" i="477"/>
  <c r="L84"/>
  <c r="K80"/>
  <c r="J80"/>
  <c r="L80" s="1"/>
  <c r="L79"/>
  <c r="K79"/>
  <c r="J79"/>
  <c r="L75"/>
  <c r="L74"/>
  <c r="L73"/>
  <c r="L72"/>
  <c r="L65"/>
  <c r="L64"/>
  <c r="H61"/>
  <c r="H60"/>
  <c r="H59"/>
  <c r="H58"/>
  <c r="H57"/>
  <c r="H56"/>
  <c r="M55"/>
  <c r="J55"/>
  <c r="H55"/>
  <c r="M53"/>
  <c r="J53"/>
  <c r="H53"/>
  <c r="H52"/>
  <c r="M51"/>
  <c r="J51"/>
  <c r="H51"/>
  <c r="H50"/>
  <c r="M49"/>
  <c r="J49"/>
  <c r="M47"/>
  <c r="J47"/>
  <c r="G46"/>
  <c r="M45"/>
  <c r="J45"/>
  <c r="G44"/>
  <c r="M43"/>
  <c r="J43"/>
  <c r="G43"/>
  <c r="G42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F26"/>
  <c r="D26"/>
  <c r="G26" s="1"/>
  <c r="M25"/>
  <c r="J25"/>
  <c r="F25"/>
  <c r="D25"/>
  <c r="G25" s="1"/>
  <c r="F24"/>
  <c r="D24"/>
  <c r="G24" s="1"/>
  <c r="M23"/>
  <c r="J23"/>
  <c r="F23"/>
  <c r="D23"/>
  <c r="G23" s="1"/>
  <c r="F22"/>
  <c r="D22"/>
  <c r="G22" s="1"/>
  <c r="M21"/>
  <c r="J21"/>
  <c r="F21"/>
  <c r="D21"/>
  <c r="G21" s="1"/>
  <c r="F20"/>
  <c r="D20"/>
  <c r="G20" s="1"/>
  <c r="M19"/>
  <c r="J19"/>
  <c r="F19"/>
  <c r="D19"/>
  <c r="G19" s="1"/>
  <c r="F18"/>
  <c r="D18"/>
  <c r="G18" s="1"/>
  <c r="M17"/>
  <c r="J17"/>
  <c r="F17"/>
  <c r="D17"/>
  <c r="G17" s="1"/>
  <c r="F16"/>
  <c r="D16"/>
  <c r="G16" s="1"/>
  <c r="M15"/>
  <c r="J15"/>
  <c r="F15"/>
  <c r="D15"/>
  <c r="G15" s="1"/>
  <c r="F14"/>
  <c r="D14"/>
  <c r="G14" s="1"/>
  <c r="M13"/>
  <c r="J13"/>
  <c r="M11"/>
  <c r="J11"/>
  <c r="M9"/>
  <c r="J9"/>
  <c r="G8"/>
  <c r="M7"/>
  <c r="J7"/>
  <c r="G7"/>
  <c r="M23" i="473"/>
  <c r="M29"/>
  <c r="M27"/>
  <c r="M25"/>
  <c r="M21"/>
  <c r="M19"/>
  <c r="M17"/>
  <c r="M15"/>
  <c r="M13"/>
  <c r="M11"/>
  <c r="M9"/>
  <c r="M7"/>
  <c r="D27"/>
  <c r="D26"/>
  <c r="D25"/>
  <c r="D24"/>
  <c r="D23"/>
  <c r="D22"/>
  <c r="D21"/>
  <c r="D18"/>
  <c r="D20"/>
  <c r="D19"/>
  <c r="D17"/>
  <c r="D16"/>
  <c r="D15"/>
  <c r="D14"/>
  <c r="J29"/>
  <c r="J27"/>
  <c r="J25"/>
  <c r="J23"/>
  <c r="J21"/>
  <c r="J19"/>
  <c r="J17"/>
  <c r="J15"/>
  <c r="J13"/>
  <c r="J11"/>
  <c r="J9"/>
  <c r="J7"/>
  <c r="L85" i="476" l="1"/>
  <c r="L84"/>
  <c r="L80"/>
  <c r="K80"/>
  <c r="J80"/>
  <c r="K79"/>
  <c r="L79" s="1"/>
  <c r="J79"/>
  <c r="L75"/>
  <c r="L74"/>
  <c r="L73"/>
  <c r="L72"/>
  <c r="L65"/>
  <c r="L64"/>
  <c r="F61"/>
  <c r="F60"/>
  <c r="F59"/>
  <c r="F58"/>
  <c r="F62" s="1"/>
  <c r="F57"/>
  <c r="F56"/>
  <c r="M55"/>
  <c r="J55"/>
  <c r="F55"/>
  <c r="F54"/>
  <c r="M53"/>
  <c r="J53"/>
  <c r="F53"/>
  <c r="F52"/>
  <c r="M51"/>
  <c r="J51"/>
  <c r="F51"/>
  <c r="F50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G27"/>
  <c r="F27"/>
  <c r="D27"/>
  <c r="F26"/>
  <c r="D26"/>
  <c r="G26" s="1"/>
  <c r="M25"/>
  <c r="J25"/>
  <c r="G25"/>
  <c r="F25"/>
  <c r="D25"/>
  <c r="F24"/>
  <c r="D24"/>
  <c r="G24" s="1"/>
  <c r="M23"/>
  <c r="J23"/>
  <c r="G23"/>
  <c r="F23"/>
  <c r="D23"/>
  <c r="F22"/>
  <c r="D22"/>
  <c r="G22" s="1"/>
  <c r="M21"/>
  <c r="J21"/>
  <c r="G21"/>
  <c r="F21"/>
  <c r="D21"/>
  <c r="F20"/>
  <c r="D20"/>
  <c r="G20" s="1"/>
  <c r="M19"/>
  <c r="J19"/>
  <c r="G19"/>
  <c r="F19"/>
  <c r="D19"/>
  <c r="F18"/>
  <c r="D18"/>
  <c r="G18" s="1"/>
  <c r="J17"/>
  <c r="F17"/>
  <c r="D17"/>
  <c r="G17" s="1"/>
  <c r="F16"/>
  <c r="D16"/>
  <c r="G16" s="1"/>
  <c r="M15"/>
  <c r="J15"/>
  <c r="F15"/>
  <c r="D15"/>
  <c r="G15" s="1"/>
  <c r="F14"/>
  <c r="D14"/>
  <c r="G14" s="1"/>
  <c r="M13"/>
  <c r="J13"/>
  <c r="M11"/>
  <c r="J11"/>
  <c r="M9"/>
  <c r="J9"/>
  <c r="G8"/>
  <c r="M7"/>
  <c r="J7"/>
  <c r="G7"/>
  <c r="F54" i="473" l="1"/>
  <c r="L85" i="475" l="1"/>
  <c r="L84"/>
  <c r="K80"/>
  <c r="J80"/>
  <c r="L80" s="1"/>
  <c r="K79"/>
  <c r="J79"/>
  <c r="L79" s="1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F52"/>
  <c r="M51"/>
  <c r="J51"/>
  <c r="F51"/>
  <c r="F50"/>
  <c r="F62" s="1"/>
  <c r="M49"/>
  <c r="J49"/>
  <c r="M47"/>
  <c r="J47"/>
  <c r="G46"/>
  <c r="M45"/>
  <c r="J45"/>
  <c r="G44"/>
  <c r="M43"/>
  <c r="J43"/>
  <c r="G43"/>
  <c r="G42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G26"/>
  <c r="F26"/>
  <c r="D26"/>
  <c r="M25"/>
  <c r="J25"/>
  <c r="F25"/>
  <c r="G25" s="1"/>
  <c r="D25"/>
  <c r="G24"/>
  <c r="F24"/>
  <c r="D24"/>
  <c r="M23"/>
  <c r="J23"/>
  <c r="F23"/>
  <c r="G23" s="1"/>
  <c r="D23"/>
  <c r="G22"/>
  <c r="F22"/>
  <c r="D22"/>
  <c r="M21"/>
  <c r="J21"/>
  <c r="F21"/>
  <c r="G21" s="1"/>
  <c r="D21"/>
  <c r="G20"/>
  <c r="F20"/>
  <c r="D20"/>
  <c r="M19"/>
  <c r="J19"/>
  <c r="F19"/>
  <c r="G19" s="1"/>
  <c r="D19"/>
  <c r="G18"/>
  <c r="F18"/>
  <c r="D18"/>
  <c r="M17"/>
  <c r="J17"/>
  <c r="F17"/>
  <c r="G17" s="1"/>
  <c r="D17"/>
  <c r="G16"/>
  <c r="F16"/>
  <c r="D16"/>
  <c r="M15"/>
  <c r="J15"/>
  <c r="F15"/>
  <c r="G15" s="1"/>
  <c r="D15"/>
  <c r="G14"/>
  <c r="F14"/>
  <c r="D14"/>
  <c r="M13"/>
  <c r="J13"/>
  <c r="M11"/>
  <c r="J11"/>
  <c r="M9"/>
  <c r="J9"/>
  <c r="G8"/>
  <c r="M7"/>
  <c r="J7"/>
  <c r="G7"/>
  <c r="L85" i="473" l="1"/>
  <c r="L84"/>
  <c r="L80"/>
  <c r="L79"/>
  <c r="L75"/>
  <c r="L74"/>
  <c r="L73"/>
  <c r="L72"/>
  <c r="L65"/>
  <c r="L64"/>
  <c r="F61"/>
  <c r="F60"/>
  <c r="F59"/>
  <c r="F58"/>
  <c r="F57"/>
  <c r="F56"/>
  <c r="F55"/>
  <c r="F53"/>
  <c r="F52"/>
  <c r="F51"/>
  <c r="F50"/>
  <c r="G46"/>
  <c r="G44"/>
  <c r="G43"/>
  <c r="G42"/>
  <c r="G41"/>
  <c r="G40"/>
  <c r="G39"/>
  <c r="G38"/>
  <c r="G37"/>
  <c r="G36"/>
  <c r="G35"/>
  <c r="G34"/>
  <c r="G33"/>
  <c r="G32"/>
  <c r="G31"/>
  <c r="G27"/>
  <c r="G26"/>
  <c r="G25"/>
  <c r="G24"/>
  <c r="G23"/>
  <c r="G22"/>
  <c r="G21"/>
  <c r="G20"/>
  <c r="G19"/>
  <c r="G18"/>
  <c r="G17"/>
  <c r="G16"/>
  <c r="G15"/>
  <c r="G14"/>
  <c r="G8"/>
  <c r="G7"/>
  <c r="F62" l="1"/>
  <c r="L85" i="472" l="1"/>
  <c r="L84"/>
  <c r="J80"/>
  <c r="L80" s="1"/>
  <c r="K79"/>
  <c r="L79" s="1"/>
  <c r="L75"/>
  <c r="L74"/>
  <c r="L73"/>
  <c r="L72"/>
  <c r="L65"/>
  <c r="L64"/>
  <c r="F61"/>
  <c r="F60"/>
  <c r="F59"/>
  <c r="F58"/>
  <c r="F57"/>
  <c r="F56"/>
  <c r="M55"/>
  <c r="J55"/>
  <c r="F55"/>
  <c r="M53"/>
  <c r="J53"/>
  <c r="F53"/>
  <c r="F52"/>
  <c r="M51"/>
  <c r="J51"/>
  <c r="F51"/>
  <c r="F50"/>
  <c r="F62" s="1"/>
  <c r="M49"/>
  <c r="J49"/>
  <c r="M47"/>
  <c r="J47"/>
  <c r="G46"/>
  <c r="M45"/>
  <c r="J45"/>
  <c r="G44"/>
  <c r="M43"/>
  <c r="J43"/>
  <c r="G43"/>
  <c r="G42"/>
  <c r="M41"/>
  <c r="J41"/>
  <c r="G41"/>
  <c r="G40"/>
  <c r="M39"/>
  <c r="J39"/>
  <c r="G39"/>
  <c r="G38"/>
  <c r="M37"/>
  <c r="J37"/>
  <c r="G37"/>
  <c r="G36"/>
  <c r="M35"/>
  <c r="J35"/>
  <c r="G35"/>
  <c r="G34"/>
  <c r="M33"/>
  <c r="J33"/>
  <c r="G33"/>
  <c r="G32"/>
  <c r="G31"/>
  <c r="M29"/>
  <c r="J29"/>
  <c r="M27"/>
  <c r="J27"/>
  <c r="F27"/>
  <c r="D27"/>
  <c r="G27" s="1"/>
  <c r="F26"/>
  <c r="G26" s="1"/>
  <c r="D26"/>
  <c r="M25"/>
  <c r="J25"/>
  <c r="F25"/>
  <c r="D25"/>
  <c r="G25" s="1"/>
  <c r="F24"/>
  <c r="G24" s="1"/>
  <c r="D24"/>
  <c r="M23"/>
  <c r="J23"/>
  <c r="F23"/>
  <c r="D23"/>
  <c r="G23" s="1"/>
  <c r="F22"/>
  <c r="G22" s="1"/>
  <c r="D22"/>
  <c r="M21"/>
  <c r="J21"/>
  <c r="F21"/>
  <c r="D21"/>
  <c r="G21" s="1"/>
  <c r="F20"/>
  <c r="G20" s="1"/>
  <c r="D20"/>
  <c r="M19"/>
  <c r="J19"/>
  <c r="F19"/>
  <c r="D19"/>
  <c r="G19" s="1"/>
  <c r="F18"/>
  <c r="G18" s="1"/>
  <c r="D18"/>
  <c r="M17"/>
  <c r="J17"/>
  <c r="F17"/>
  <c r="D17"/>
  <c r="G17" s="1"/>
  <c r="F16"/>
  <c r="G16" s="1"/>
  <c r="D16"/>
  <c r="M15"/>
  <c r="J15"/>
  <c r="F15"/>
  <c r="D15"/>
  <c r="G15" s="1"/>
  <c r="F14"/>
  <c r="G14" s="1"/>
  <c r="D14"/>
  <c r="M13"/>
  <c r="J13"/>
  <c r="J11"/>
  <c r="M9"/>
  <c r="J9"/>
  <c r="G8"/>
  <c r="M7"/>
  <c r="J7"/>
  <c r="G7"/>
  <c r="G20" i="483"/>
</calcChain>
</file>

<file path=xl/sharedStrings.xml><?xml version="1.0" encoding="utf-8"?>
<sst xmlns="http://schemas.openxmlformats.org/spreadsheetml/2006/main" count="6006" uniqueCount="280">
  <si>
    <t xml:space="preserve">PLANT ASSAY REPORT SHEET </t>
  </si>
  <si>
    <t xml:space="preserve">  </t>
  </si>
  <si>
    <t>REPORT No:</t>
  </si>
  <si>
    <t xml:space="preserve">DATE RECEIVED  </t>
  </si>
  <si>
    <t xml:space="preserve"> </t>
  </si>
  <si>
    <t xml:space="preserve">ASSAY DATE        </t>
  </si>
  <si>
    <t>D/S</t>
  </si>
  <si>
    <t>N/S</t>
  </si>
  <si>
    <t>AVE</t>
  </si>
  <si>
    <t xml:space="preserve">   </t>
  </si>
  <si>
    <t>FEED SOURCE</t>
  </si>
  <si>
    <t>TONNES</t>
  </si>
  <si>
    <t>C/FEED</t>
  </si>
  <si>
    <t>CRUSHER FEED</t>
  </si>
  <si>
    <t>0700HRS</t>
  </si>
  <si>
    <t>ROM</t>
  </si>
  <si>
    <t>MILL FEED</t>
  </si>
  <si>
    <t>0800HRS</t>
  </si>
  <si>
    <t>0900HRS</t>
  </si>
  <si>
    <t>SOLIDS</t>
  </si>
  <si>
    <t>1000HRS</t>
  </si>
  <si>
    <t>C.U.F (LEACH FEED)</t>
  </si>
  <si>
    <t>LEACH TANK 1A</t>
  </si>
  <si>
    <t>1100HRS</t>
  </si>
  <si>
    <t xml:space="preserve">"                      2A </t>
  </si>
  <si>
    <t>"                      3A</t>
  </si>
  <si>
    <t>1200HRS</t>
  </si>
  <si>
    <t>"                      4A</t>
  </si>
  <si>
    <t>1300HRS</t>
  </si>
  <si>
    <t xml:space="preserve">LEACH TANK 1      </t>
  </si>
  <si>
    <t xml:space="preserve">"                      2           </t>
  </si>
  <si>
    <t>1400HRS</t>
  </si>
  <si>
    <t>"                      3</t>
  </si>
  <si>
    <t>"                      4</t>
  </si>
  <si>
    <t>1500HRS</t>
  </si>
  <si>
    <t>"                      5</t>
  </si>
  <si>
    <t>"                      6</t>
  </si>
  <si>
    <t>1600HRS</t>
  </si>
  <si>
    <t>"                      7</t>
  </si>
  <si>
    <t xml:space="preserve"> FINALTAILS </t>
  </si>
  <si>
    <t>1700HRS</t>
  </si>
  <si>
    <t>1800HRS</t>
  </si>
  <si>
    <t>SOLUTIONS</t>
  </si>
  <si>
    <t>LEACH HEAD</t>
  </si>
  <si>
    <t>1900HRS</t>
  </si>
  <si>
    <t>2000HRS</t>
  </si>
  <si>
    <t xml:space="preserve">LEACH TANK   1    </t>
  </si>
  <si>
    <t>2100HRS</t>
  </si>
  <si>
    <t xml:space="preserve">"                        2   </t>
  </si>
  <si>
    <t xml:space="preserve">"                        3   </t>
  </si>
  <si>
    <t>2200HRS</t>
  </si>
  <si>
    <t xml:space="preserve">"                        4  </t>
  </si>
  <si>
    <t xml:space="preserve">"                        5  </t>
  </si>
  <si>
    <t>2300HRS</t>
  </si>
  <si>
    <t xml:space="preserve">"                        6          </t>
  </si>
  <si>
    <t xml:space="preserve">"                        7     </t>
  </si>
  <si>
    <t xml:space="preserve">FINAL TAILS         </t>
  </si>
  <si>
    <t>0100HRS</t>
  </si>
  <si>
    <t xml:space="preserve">F/TAILS AFTER B/ROLL     </t>
  </si>
  <si>
    <t>0200HRS</t>
  </si>
  <si>
    <t>0300HRS</t>
  </si>
  <si>
    <t>0400HRS</t>
  </si>
  <si>
    <t>0500HRS</t>
  </si>
  <si>
    <t>0600HRS</t>
  </si>
  <si>
    <t>% MOISTURE</t>
  </si>
  <si>
    <t>ELUTION CARBON</t>
  </si>
  <si>
    <t>Au g/t</t>
  </si>
  <si>
    <r>
      <t>PARTICLE SIZE ANALYSIS - MINUS 75</t>
    </r>
    <r>
      <rPr>
        <b/>
        <sz val="30"/>
        <rFont val="Calibri"/>
        <family val="2"/>
      </rPr>
      <t>µ</t>
    </r>
    <r>
      <rPr>
        <b/>
        <sz val="30"/>
        <rFont val="Arial"/>
        <family val="2"/>
      </rPr>
      <t xml:space="preserve"> %</t>
    </r>
  </si>
  <si>
    <t>O/F</t>
  </si>
  <si>
    <t>U/F</t>
  </si>
  <si>
    <t>CARBON ACTIVITIES</t>
  </si>
  <si>
    <t>Leachfeed</t>
  </si>
  <si>
    <t>F/Tails</t>
  </si>
  <si>
    <t>Assayer: Chakwana Innocent</t>
  </si>
  <si>
    <t>M/FEED</t>
  </si>
  <si>
    <t>CARBON</t>
  </si>
  <si>
    <t>ELECTROWINNING</t>
  </si>
  <si>
    <t>SCATS</t>
  </si>
  <si>
    <t>MILL 1</t>
  </si>
  <si>
    <t>MILL 3</t>
  </si>
  <si>
    <t>ju</t>
  </si>
  <si>
    <t>SAMPLE DATE</t>
  </si>
  <si>
    <t>BULLION ANALYSIS</t>
  </si>
  <si>
    <t>TAILS</t>
  </si>
  <si>
    <t>HEAD</t>
  </si>
  <si>
    <t>-</t>
  </si>
  <si>
    <t>Lab Tech: Muhamba Eric</t>
  </si>
  <si>
    <t>PICKSTONE PEERLESS MINE</t>
  </si>
  <si>
    <t xml:space="preserve">Mill 1CycloneO/F </t>
  </si>
  <si>
    <t xml:space="preserve">Mill 3CycloneO/F </t>
  </si>
  <si>
    <t>SF</t>
  </si>
  <si>
    <t>*</t>
  </si>
  <si>
    <t>ppm</t>
  </si>
  <si>
    <t>CN-g/L</t>
  </si>
  <si>
    <t>PROCESS WATER</t>
  </si>
  <si>
    <t>g/L</t>
  </si>
  <si>
    <t>Au Lockup (g)</t>
  </si>
  <si>
    <t>CONDITIONER  TANK</t>
  </si>
  <si>
    <t>0000HRS</t>
  </si>
  <si>
    <t>%</t>
  </si>
  <si>
    <t xml:space="preserve">"                        8    </t>
  </si>
  <si>
    <t>95/</t>
  </si>
  <si>
    <t>Q</t>
  </si>
  <si>
    <t>31.07.20</t>
  </si>
  <si>
    <t>PE03BL931CQ4C</t>
  </si>
  <si>
    <t>BBQ2A</t>
  </si>
  <si>
    <t>EL2527</t>
  </si>
  <si>
    <t>P00781</t>
  </si>
  <si>
    <t>01.08.20</t>
  </si>
  <si>
    <t>PE01BL933Q2A</t>
  </si>
  <si>
    <t>PE01BL933Q1B,PE01BL933Q1C</t>
  </si>
  <si>
    <t>EL2528</t>
  </si>
  <si>
    <t>PE01BL933Q1B,PE01BL933Q1C.</t>
  </si>
  <si>
    <t>EL2529</t>
  </si>
  <si>
    <t>.</t>
  </si>
  <si>
    <t>EL2530</t>
  </si>
  <si>
    <t>P00782</t>
  </si>
  <si>
    <t>02.08.20</t>
  </si>
  <si>
    <t>PE01BL933Q1B,PE1BL933Q1C</t>
  </si>
  <si>
    <t>PE03BL931Q1A,PE03BL931Q1B</t>
  </si>
  <si>
    <t>PE03BL934Q3A,PK02BL894Q1C</t>
  </si>
  <si>
    <t>PE03BL934Q3A,PK02BL894Q1B</t>
  </si>
  <si>
    <t>EL2531</t>
  </si>
  <si>
    <t>PE03BL931Q1B,PE03BL934Q3A</t>
  </si>
  <si>
    <t>PK02BL894Q1C,PE03BL91Q1A</t>
  </si>
  <si>
    <t>A</t>
  </si>
  <si>
    <t>PE03BL934Q3A</t>
  </si>
  <si>
    <t>PE03BL931Q1A</t>
  </si>
  <si>
    <t>B</t>
  </si>
  <si>
    <t>C</t>
  </si>
  <si>
    <t>P00783</t>
  </si>
  <si>
    <t>03.08.20</t>
  </si>
  <si>
    <t>PE03BL934Q2B,PE03BL931BQ4B</t>
  </si>
  <si>
    <t>PE03BL931CQ3C,PE01BL933Q1ASELECTED BLDS</t>
  </si>
  <si>
    <t>PE01BL933Q1A,SELECTED BLDS,934Q2B</t>
  </si>
  <si>
    <t>PE93BL931BQ4B,PE03BL931CQ3C</t>
  </si>
  <si>
    <t>85+89</t>
  </si>
  <si>
    <t>PE03BL931B4B,PE03BL931CQ3C</t>
  </si>
  <si>
    <t>PE01BL933Q1A,SELECTEDBLDS,934Q2B</t>
  </si>
  <si>
    <t>PE01BL933Q1B,PE03BL931CQ3C</t>
  </si>
  <si>
    <t>PE01BL933Q1A</t>
  </si>
  <si>
    <t>PE03BL934Q2B</t>
  </si>
  <si>
    <t>PE03BL931Q4C,PE03BL931BQ5A</t>
  </si>
  <si>
    <t>PE03BL931BQ5B,PE01BL933Q1B</t>
  </si>
  <si>
    <t>P00784</t>
  </si>
  <si>
    <t>PE03BL931BQ4C,PE03BL931Q5A</t>
  </si>
  <si>
    <t>PE03BL931Q5B,PE01BL933Q1B</t>
  </si>
  <si>
    <t>PE03BL931BQ4C,PE03BL931BQ5A</t>
  </si>
  <si>
    <t>PE03BL931BQ5B</t>
  </si>
  <si>
    <t>PE03BL931BQ4C</t>
  </si>
  <si>
    <t>PE03BL931BQ5B,PE03BL931BQ5A</t>
  </si>
  <si>
    <t>04.08.20</t>
  </si>
  <si>
    <t>P00785</t>
  </si>
  <si>
    <t>05.08.20</t>
  </si>
  <si>
    <t>ES</t>
  </si>
  <si>
    <t>EL2532</t>
  </si>
  <si>
    <t>EL2533</t>
  </si>
  <si>
    <t>EL2534</t>
  </si>
  <si>
    <t>EL2535</t>
  </si>
  <si>
    <t xml:space="preserve">05.04.20 </t>
  </si>
  <si>
    <t>CO 099</t>
  </si>
  <si>
    <t>P728</t>
  </si>
  <si>
    <t>C729</t>
  </si>
  <si>
    <t>P00786</t>
  </si>
  <si>
    <t>06.08.20</t>
  </si>
  <si>
    <t>EL2536</t>
  </si>
  <si>
    <t>EL2537</t>
  </si>
  <si>
    <t>SC</t>
  </si>
  <si>
    <t>07.08.20</t>
  </si>
  <si>
    <t>P00787</t>
  </si>
  <si>
    <t>PE03BL931BQ5C,PE03BL934Q4B</t>
  </si>
  <si>
    <t>PE03BL934Q4C,PE03BL931BQ6A</t>
  </si>
  <si>
    <t>EL2539</t>
  </si>
  <si>
    <t>PE03BL934Q4C</t>
  </si>
  <si>
    <t>08.08.20</t>
  </si>
  <si>
    <t>P00788</t>
  </si>
  <si>
    <t>PE03BL934Q4C,PE03BL931BQ5C</t>
  </si>
  <si>
    <t>PE03BL934Q4B</t>
  </si>
  <si>
    <t>PE03BL931Q1A,PE03BL934Q2C,PE01BL932Q1A</t>
  </si>
  <si>
    <t>PE03BL934Q5A,PE01BL931Q2A</t>
  </si>
  <si>
    <t>PE03BL934Q5A,PE01BL933Q2A</t>
  </si>
  <si>
    <t>PE03BL931Q1A,PE03BL934Q2C</t>
  </si>
  <si>
    <t>PE03BL934Q5A,PE03BL931Q1A</t>
  </si>
  <si>
    <t>PE03BL932Q1A,PE03BL934Q2C</t>
  </si>
  <si>
    <t>PE03BL934Q2C</t>
  </si>
  <si>
    <t>PE03BL946AQ1C,PE03BL946AQ1A</t>
  </si>
  <si>
    <t>PE03BL946AQ1B</t>
  </si>
  <si>
    <t>EL2538</t>
  </si>
  <si>
    <t>EL2540</t>
  </si>
  <si>
    <t>EL2541</t>
  </si>
  <si>
    <t>09.08.20</t>
  </si>
  <si>
    <t>P00789</t>
  </si>
  <si>
    <t>PE03BL946AQ1A,PE03BL946AQ1B</t>
  </si>
  <si>
    <t>PE03BL946AQ1C</t>
  </si>
  <si>
    <t>PE03BL946AQ2A,PE03BL946AQ2B</t>
  </si>
  <si>
    <t>PE03BL946AQ2C</t>
  </si>
  <si>
    <t>EL2542</t>
  </si>
  <si>
    <t>EL2543</t>
  </si>
  <si>
    <t>P00790</t>
  </si>
  <si>
    <t>10.08.20</t>
  </si>
  <si>
    <t>PE03BL946AQ2A</t>
  </si>
  <si>
    <t>PE03BL946AQ2B,PE03946AQ2C</t>
  </si>
  <si>
    <t>EL2544</t>
  </si>
  <si>
    <t>EL2545</t>
  </si>
  <si>
    <t>EL2546</t>
  </si>
  <si>
    <t>PE03BL946AQ3C,PE03BL946AQ4A</t>
  </si>
  <si>
    <t>PE03BL946AQ4C,BBQ1A</t>
  </si>
  <si>
    <t>P00791</t>
  </si>
  <si>
    <t>11.08.20</t>
  </si>
  <si>
    <t>PE03BL946AQ5A,PE03BL946AQ5B</t>
  </si>
  <si>
    <t>PE03BL946AQ5C</t>
  </si>
  <si>
    <t>EL2547</t>
  </si>
  <si>
    <t>EL2548</t>
  </si>
  <si>
    <t>P00792</t>
  </si>
  <si>
    <t>12.08.20</t>
  </si>
  <si>
    <t>PE03BL946AQ6A,PE03BL946AQ6B</t>
  </si>
  <si>
    <t>PE03BL946AQ6C</t>
  </si>
  <si>
    <t>EL2549</t>
  </si>
  <si>
    <t>P00793</t>
  </si>
  <si>
    <t>13.08.20</t>
  </si>
  <si>
    <t>C0100</t>
  </si>
  <si>
    <t>P730</t>
  </si>
  <si>
    <t>EL2550</t>
  </si>
  <si>
    <t>P00794</t>
  </si>
  <si>
    <t>PE01BL947AQ1A,PE01BL947AQ1B</t>
  </si>
  <si>
    <t>PE03BL946AQ3B,PE03BL946AQ7A</t>
  </si>
  <si>
    <t>PE03BL946AQ3A,PE03BL946AQ7A</t>
  </si>
  <si>
    <t>PE03BL946AQ7A,PE03BL946AQ3B</t>
  </si>
  <si>
    <t>PE01BL946AQ7A,PE03BL946AQ3B</t>
  </si>
  <si>
    <t>PE03BL946AQ3A</t>
  </si>
  <si>
    <t>EL2551</t>
  </si>
  <si>
    <t>EL2552</t>
  </si>
  <si>
    <t>P00795</t>
  </si>
  <si>
    <t>14.08.20</t>
  </si>
  <si>
    <t>PE01BLBL947AQ2A</t>
  </si>
  <si>
    <t>PK02BL945Q1B,PE03BL946AQ3A</t>
  </si>
  <si>
    <t>PE01BL947AQ2APK02BL945Q1B</t>
  </si>
  <si>
    <t>EL2553</t>
  </si>
  <si>
    <t>PE01BL947AQ2A,PE03BL946AQ3A</t>
  </si>
  <si>
    <t>PK02BL945Q1A,PE01BL947AQ3A</t>
  </si>
  <si>
    <t>PE01BL947AQ2B,PE01BL947AQ2C</t>
  </si>
  <si>
    <t>EL2554</t>
  </si>
  <si>
    <t>P00796</t>
  </si>
  <si>
    <t>15.08.20</t>
  </si>
  <si>
    <t>EL2555</t>
  </si>
  <si>
    <t>EL2556</t>
  </si>
  <si>
    <t>PE01BL947AQ2C/PE01BL947AQ3A</t>
  </si>
  <si>
    <t>PE01BL947AQ3C/PK02BL945Q1A</t>
  </si>
  <si>
    <t>PE01BL947AQ3C,PE01BL947AQ3A</t>
  </si>
  <si>
    <t>PE01BL947AQ2C</t>
  </si>
  <si>
    <t>PE01BL947AQ3C,PE01BL974AQ2C</t>
  </si>
  <si>
    <t>PE03BL946BQ1B,PK02BL945BQ2B</t>
  </si>
  <si>
    <t>PE01BL947AQ4A,PE01BL947AQ4C</t>
  </si>
  <si>
    <t>PK02BL945BQ2B,PE03BL946BQ1B</t>
  </si>
  <si>
    <t>P00797</t>
  </si>
  <si>
    <t>16.08.20</t>
  </si>
  <si>
    <t>EL2557</t>
  </si>
  <si>
    <t>EL2558</t>
  </si>
  <si>
    <t>PE03BL946AQ7A,PE03BL946BQ1C</t>
  </si>
  <si>
    <t>PE01BL947AQ4B,PK02BL945Q1C</t>
  </si>
  <si>
    <t>EL2559</t>
  </si>
  <si>
    <t>P00798</t>
  </si>
  <si>
    <t>17.08.20</t>
  </si>
  <si>
    <t>PE01BL947AQ4B,PE03BL946AQ7A</t>
  </si>
  <si>
    <t>PE03BL946BQ1C,PK02BL945Q1C</t>
  </si>
  <si>
    <t>PE01BL947AQ4B,PE03BL946BQ1C</t>
  </si>
  <si>
    <t>PK02BL945Q1C</t>
  </si>
  <si>
    <t>PE03BL946BQ1C</t>
  </si>
  <si>
    <t>PE01BL947AQ4B</t>
  </si>
  <si>
    <t>+</t>
  </si>
  <si>
    <t>PE03BL946BQ2A,PE03BL946BQ2B</t>
  </si>
  <si>
    <t>PE01BL947AQ3B,PK02BL945Q2A</t>
  </si>
  <si>
    <t>P00799</t>
  </si>
  <si>
    <t>18.08.20</t>
  </si>
  <si>
    <t>PE01BL947AQ3B,PE03BL946BQ2A</t>
  </si>
  <si>
    <t>PE03BL946BQ2B,PK02BL945Q2A</t>
  </si>
  <si>
    <t>EL2560</t>
  </si>
  <si>
    <t>PE03BL946BQ3C,PE03BL946BQ2C</t>
  </si>
  <si>
    <t>PE01BL947AQ5A,BBQ1A</t>
  </si>
  <si>
    <t>EL2561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</si>
</sst>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18">
    <font>
      <sz val="11"/>
      <color theme="1"/>
      <name val="Calibri"/>
      <family val="2"/>
      <scheme val="minor"/>
    </font>
    <font>
      <b/>
      <sz val="46"/>
      <name val="Arial"/>
      <family val="2"/>
    </font>
    <font>
      <b/>
      <sz val="30"/>
      <name val="Arial"/>
      <family val="2"/>
    </font>
    <font>
      <b/>
      <u/>
      <sz val="30"/>
      <name val="Arial"/>
      <family val="2"/>
    </font>
    <font>
      <sz val="30"/>
      <name val="Arial"/>
      <family val="2"/>
    </font>
    <font>
      <sz val="30"/>
      <color theme="1"/>
      <name val="Calibri"/>
      <family val="2"/>
      <scheme val="minor"/>
    </font>
    <font>
      <b/>
      <sz val="22"/>
      <name val="Arial"/>
      <family val="2"/>
    </font>
    <font>
      <b/>
      <sz val="30"/>
      <name val="Calibri"/>
      <family val="2"/>
    </font>
    <font>
      <b/>
      <sz val="30"/>
      <color theme="1"/>
      <name val="Arial"/>
      <family val="2"/>
    </font>
    <font>
      <b/>
      <sz val="3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30"/>
      <name val="Arial"/>
      <family val="2"/>
    </font>
    <font>
      <sz val="30"/>
      <color theme="1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26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</cellStyleXfs>
  <cellXfs count="399">
    <xf numFmtId="0" fontId="0" fillId="0" borderId="0" xfId="0"/>
    <xf numFmtId="0" fontId="5" fillId="0" borderId="0" xfId="0" applyFont="1"/>
    <xf numFmtId="0" fontId="4" fillId="2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51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21" xfId="0" applyFont="1" applyFill="1" applyBorder="1"/>
    <xf numFmtId="0" fontId="2" fillId="0" borderId="27" xfId="0" applyFont="1" applyFill="1" applyBorder="1" applyAlignment="1">
      <alignment horizontal="center" textRotation="90"/>
    </xf>
    <xf numFmtId="0" fontId="2" fillId="0" borderId="2" xfId="0" applyFont="1" applyFill="1" applyBorder="1" applyAlignment="1">
      <alignment horizontal="center" textRotation="90"/>
    </xf>
    <xf numFmtId="2" fontId="2" fillId="0" borderId="38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textRotation="90"/>
    </xf>
    <xf numFmtId="0" fontId="2" fillId="0" borderId="2" xfId="0" applyFont="1" applyFill="1" applyBorder="1"/>
    <xf numFmtId="0" fontId="2" fillId="0" borderId="2" xfId="0" applyFont="1" applyFill="1" applyBorder="1" applyAlignment="1"/>
    <xf numFmtId="0" fontId="5" fillId="0" borderId="2" xfId="0" applyFont="1" applyFill="1" applyBorder="1"/>
    <xf numFmtId="0" fontId="2" fillId="2" borderId="49" xfId="0" applyFont="1" applyFill="1" applyBorder="1"/>
    <xf numFmtId="2" fontId="4" fillId="2" borderId="26" xfId="0" applyNumberFormat="1" applyFont="1" applyFill="1" applyBorder="1" applyAlignment="1">
      <alignment horizontal="center"/>
    </xf>
    <xf numFmtId="2" fontId="4" fillId="2" borderId="50" xfId="0" applyNumberFormat="1" applyFont="1" applyFill="1" applyBorder="1" applyAlignment="1">
      <alignment horizontal="center"/>
    </xf>
    <xf numFmtId="2" fontId="2" fillId="2" borderId="51" xfId="0" applyNumberFormat="1" applyFont="1" applyFill="1" applyBorder="1" applyAlignment="1">
      <alignment horizontal="center"/>
    </xf>
    <xf numFmtId="2" fontId="4" fillId="3" borderId="24" xfId="0" applyNumberFormat="1" applyFont="1" applyFill="1" applyBorder="1" applyAlignment="1">
      <alignment horizontal="center"/>
    </xf>
    <xf numFmtId="2" fontId="4" fillId="3" borderId="23" xfId="0" applyNumberFormat="1" applyFont="1" applyFill="1" applyBorder="1" applyAlignment="1">
      <alignment horizontal="center"/>
    </xf>
    <xf numFmtId="2" fontId="4" fillId="3" borderId="53" xfId="0" applyNumberFormat="1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2" fontId="4" fillId="3" borderId="37" xfId="0" applyNumberFormat="1" applyFont="1" applyFill="1" applyBorder="1" applyAlignment="1">
      <alignment horizontal="center"/>
    </xf>
    <xf numFmtId="2" fontId="4" fillId="3" borderId="42" xfId="0" applyNumberFormat="1" applyFont="1" applyFill="1" applyBorder="1" applyAlignment="1">
      <alignment horizontal="center"/>
    </xf>
    <xf numFmtId="2" fontId="4" fillId="3" borderId="30" xfId="0" applyNumberFormat="1" applyFont="1" applyFill="1" applyBorder="1" applyAlignment="1">
      <alignment horizontal="center"/>
    </xf>
    <xf numFmtId="2" fontId="4" fillId="3" borderId="47" xfId="0" applyNumberFormat="1" applyFont="1" applyFill="1" applyBorder="1" applyAlignment="1">
      <alignment horizontal="center"/>
    </xf>
    <xf numFmtId="2" fontId="4" fillId="3" borderId="50" xfId="0" applyNumberFormat="1" applyFont="1" applyFill="1" applyBorder="1" applyAlignment="1">
      <alignment horizontal="center"/>
    </xf>
    <xf numFmtId="2" fontId="2" fillId="3" borderId="30" xfId="0" applyNumberFormat="1" applyFont="1" applyFill="1" applyBorder="1" applyAlignment="1">
      <alignment horizontal="center"/>
    </xf>
    <xf numFmtId="2" fontId="2" fillId="3" borderId="40" xfId="0" applyNumberFormat="1" applyFont="1" applyFill="1" applyBorder="1" applyAlignment="1">
      <alignment horizontal="center"/>
    </xf>
    <xf numFmtId="2" fontId="4" fillId="3" borderId="52" xfId="0" applyNumberFormat="1" applyFont="1" applyFill="1" applyBorder="1" applyAlignment="1">
      <alignment horizontal="center"/>
    </xf>
    <xf numFmtId="2" fontId="2" fillId="3" borderId="65" xfId="0" applyNumberFormat="1" applyFont="1" applyFill="1" applyBorder="1" applyAlignment="1">
      <alignment horizontal="center"/>
    </xf>
    <xf numFmtId="2" fontId="2" fillId="3" borderId="52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0" xfId="0" applyFill="1"/>
    <xf numFmtId="0" fontId="2" fillId="3" borderId="1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left"/>
    </xf>
    <xf numFmtId="0" fontId="2" fillId="3" borderId="18" xfId="0" applyFont="1" applyFill="1" applyBorder="1" applyAlignment="1"/>
    <xf numFmtId="0" fontId="2" fillId="3" borderId="20" xfId="0" applyFont="1" applyFill="1" applyBorder="1" applyAlignment="1"/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0" xfId="0" applyFont="1" applyFill="1" applyBorder="1"/>
    <xf numFmtId="0" fontId="2" fillId="3" borderId="61" xfId="0" applyFont="1" applyFill="1" applyBorder="1"/>
    <xf numFmtId="0" fontId="2" fillId="3" borderId="52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7" xfId="0" applyFont="1" applyFill="1" applyBorder="1"/>
    <xf numFmtId="0" fontId="4" fillId="3" borderId="22" xfId="0" applyFont="1" applyFill="1" applyBorder="1" applyAlignment="1">
      <alignment horizontal="center"/>
    </xf>
    <xf numFmtId="0" fontId="2" fillId="3" borderId="44" xfId="0" applyFont="1" applyFill="1" applyBorder="1"/>
    <xf numFmtId="0" fontId="4" fillId="3" borderId="63" xfId="0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0" fontId="2" fillId="3" borderId="18" xfId="0" applyFont="1" applyFill="1" applyBorder="1"/>
    <xf numFmtId="0" fontId="2" fillId="3" borderId="67" xfId="0" applyFont="1" applyFill="1" applyBorder="1" applyAlignment="1">
      <alignment horizontal="center"/>
    </xf>
    <xf numFmtId="0" fontId="0" fillId="3" borderId="19" xfId="0" applyFill="1" applyBorder="1"/>
    <xf numFmtId="0" fontId="2" fillId="3" borderId="49" xfId="0" applyFont="1" applyFill="1" applyBorder="1"/>
    <xf numFmtId="0" fontId="3" fillId="3" borderId="7" xfId="0" applyFont="1" applyFill="1" applyBorder="1"/>
    <xf numFmtId="0" fontId="2" fillId="3" borderId="12" xfId="0" applyFont="1" applyFill="1" applyBorder="1"/>
    <xf numFmtId="0" fontId="2" fillId="3" borderId="42" xfId="0" applyFont="1" applyFill="1" applyBorder="1" applyAlignment="1">
      <alignment horizontal="center"/>
    </xf>
    <xf numFmtId="2" fontId="4" fillId="3" borderId="43" xfId="0" applyNumberFormat="1" applyFont="1" applyFill="1" applyBorder="1" applyAlignment="1">
      <alignment horizontal="center"/>
    </xf>
    <xf numFmtId="0" fontId="2" fillId="3" borderId="32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2" fontId="4" fillId="3" borderId="47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/>
    </xf>
    <xf numFmtId="0" fontId="2" fillId="3" borderId="30" xfId="0" applyFont="1" applyFill="1" applyBorder="1"/>
    <xf numFmtId="2" fontId="4" fillId="3" borderId="41" xfId="0" applyNumberFormat="1" applyFont="1" applyFill="1" applyBorder="1" applyAlignment="1">
      <alignment horizontal="center" vertical="center"/>
    </xf>
    <xf numFmtId="0" fontId="0" fillId="3" borderId="33" xfId="0" applyFill="1" applyBorder="1"/>
    <xf numFmtId="1" fontId="2" fillId="3" borderId="47" xfId="0" applyNumberFormat="1" applyFont="1" applyFill="1" applyBorder="1" applyAlignment="1">
      <alignment horizontal="center" vertical="center"/>
    </xf>
    <xf numFmtId="1" fontId="2" fillId="3" borderId="41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/>
    </xf>
    <xf numFmtId="0" fontId="2" fillId="3" borderId="36" xfId="0" applyFont="1" applyFill="1" applyBorder="1"/>
    <xf numFmtId="2" fontId="2" fillId="3" borderId="31" xfId="0" applyNumberFormat="1" applyFont="1" applyFill="1" applyBorder="1" applyAlignment="1">
      <alignment horizontal="center"/>
    </xf>
    <xf numFmtId="2" fontId="4" fillId="3" borderId="45" xfId="0" applyNumberFormat="1" applyFont="1" applyFill="1" applyBorder="1" applyAlignment="1">
      <alignment horizontal="center"/>
    </xf>
    <xf numFmtId="0" fontId="3" fillId="3" borderId="7" xfId="0" applyFont="1" applyFill="1" applyBorder="1" applyAlignment="1"/>
    <xf numFmtId="0" fontId="2" fillId="3" borderId="23" xfId="0" applyFont="1" applyFill="1" applyBorder="1"/>
    <xf numFmtId="0" fontId="2" fillId="3" borderId="6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1" fontId="4" fillId="3" borderId="30" xfId="0" applyNumberFormat="1" applyFont="1" applyFill="1" applyBorder="1" applyAlignment="1">
      <alignment horizontal="center"/>
    </xf>
    <xf numFmtId="1" fontId="4" fillId="3" borderId="40" xfId="0" applyNumberFormat="1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2" fontId="2" fillId="3" borderId="33" xfId="0" applyNumberFormat="1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2" fillId="3" borderId="46" xfId="0" applyFont="1" applyFill="1" applyBorder="1"/>
    <xf numFmtId="0" fontId="2" fillId="3" borderId="55" xfId="0" applyFont="1" applyFill="1" applyBorder="1"/>
    <xf numFmtId="0" fontId="2" fillId="3" borderId="56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center"/>
    </xf>
    <xf numFmtId="2" fontId="3" fillId="3" borderId="29" xfId="0" applyNumberFormat="1" applyFont="1" applyFill="1" applyBorder="1" applyAlignment="1">
      <alignment horizontal="center"/>
    </xf>
    <xf numFmtId="2" fontId="3" fillId="3" borderId="30" xfId="0" applyNumberFormat="1" applyFont="1" applyFill="1" applyBorder="1" applyAlignment="1">
      <alignment horizontal="center"/>
    </xf>
    <xf numFmtId="2" fontId="3" fillId="3" borderId="4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2" fontId="2" fillId="3" borderId="29" xfId="0" applyNumberFormat="1" applyFont="1" applyFill="1" applyBorder="1" applyAlignment="1">
      <alignment horizontal="center"/>
    </xf>
    <xf numFmtId="2" fontId="2" fillId="3" borderId="42" xfId="0" applyNumberFormat="1" applyFont="1" applyFill="1" applyBorder="1" applyAlignment="1">
      <alignment horizontal="center"/>
    </xf>
    <xf numFmtId="0" fontId="4" fillId="3" borderId="30" xfId="0" applyNumberFormat="1" applyFont="1" applyFill="1" applyBorder="1" applyAlignment="1">
      <alignment horizontal="center"/>
    </xf>
    <xf numFmtId="0" fontId="2" fillId="3" borderId="11" xfId="0" applyNumberFormat="1" applyFont="1" applyFill="1" applyBorder="1" applyAlignment="1">
      <alignment horizontal="center"/>
    </xf>
    <xf numFmtId="0" fontId="2" fillId="3" borderId="40" xfId="0" applyFont="1" applyFill="1" applyBorder="1"/>
    <xf numFmtId="2" fontId="2" fillId="3" borderId="37" xfId="0" applyNumberFormat="1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2" fontId="12" fillId="3" borderId="52" xfId="0" applyNumberFormat="1" applyFont="1" applyFill="1" applyBorder="1" applyAlignment="1">
      <alignment horizontal="center"/>
    </xf>
    <xf numFmtId="2" fontId="2" fillId="3" borderId="53" xfId="0" applyNumberFormat="1" applyFont="1" applyFill="1" applyBorder="1" applyAlignment="1">
      <alignment horizontal="center"/>
    </xf>
    <xf numFmtId="2" fontId="2" fillId="3" borderId="58" xfId="0" applyNumberFormat="1" applyFont="1" applyFill="1" applyBorder="1" applyAlignment="1">
      <alignment horizontal="center"/>
    </xf>
    <xf numFmtId="0" fontId="2" fillId="3" borderId="38" xfId="0" applyFont="1" applyFill="1" applyBorder="1"/>
    <xf numFmtId="0" fontId="2" fillId="3" borderId="42" xfId="0" applyFont="1" applyFill="1" applyBorder="1" applyAlignment="1"/>
    <xf numFmtId="0" fontId="2" fillId="3" borderId="37" xfId="0" applyFont="1" applyFill="1" applyBorder="1" applyAlignment="1">
      <alignment horizontal="center"/>
    </xf>
    <xf numFmtId="2" fontId="2" fillId="3" borderId="38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0" fontId="2" fillId="3" borderId="54" xfId="0" applyFont="1" applyFill="1" applyBorder="1"/>
    <xf numFmtId="0" fontId="5" fillId="3" borderId="33" xfId="0" applyFont="1" applyFill="1" applyBorder="1"/>
    <xf numFmtId="0" fontId="5" fillId="3" borderId="48" xfId="0" applyFont="1" applyFill="1" applyBorder="1"/>
    <xf numFmtId="0" fontId="0" fillId="3" borderId="30" xfId="0" applyFill="1" applyBorder="1"/>
    <xf numFmtId="0" fontId="5" fillId="3" borderId="30" xfId="0" applyFont="1" applyFill="1" applyBorder="1"/>
    <xf numFmtId="0" fontId="2" fillId="3" borderId="42" xfId="0" applyNumberFormat="1" applyFont="1" applyFill="1" applyBorder="1" applyAlignment="1">
      <alignment horizontal="center"/>
    </xf>
    <xf numFmtId="10" fontId="4" fillId="3" borderId="37" xfId="0" applyNumberFormat="1" applyFont="1" applyFill="1" applyBorder="1" applyAlignment="1">
      <alignment horizontal="center"/>
    </xf>
    <xf numFmtId="0" fontId="2" fillId="3" borderId="30" xfId="0" applyNumberFormat="1" applyFont="1" applyFill="1" applyBorder="1" applyAlignment="1">
      <alignment horizontal="center"/>
    </xf>
    <xf numFmtId="0" fontId="2" fillId="3" borderId="57" xfId="0" applyFont="1" applyFill="1" applyBorder="1" applyAlignment="1"/>
    <xf numFmtId="0" fontId="5" fillId="3" borderId="35" xfId="0" applyFont="1" applyFill="1" applyBorder="1"/>
    <xf numFmtId="0" fontId="5" fillId="3" borderId="34" xfId="0" applyFont="1" applyFill="1" applyBorder="1"/>
    <xf numFmtId="0" fontId="5" fillId="3" borderId="40" xfId="0" applyFont="1" applyFill="1" applyBorder="1"/>
    <xf numFmtId="0" fontId="2" fillId="3" borderId="5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2" fillId="3" borderId="4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31" xfId="0" applyFont="1" applyFill="1" applyBorder="1" applyAlignment="1"/>
    <xf numFmtId="0" fontId="2" fillId="3" borderId="16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48" xfId="0" applyFont="1" applyFill="1" applyBorder="1" applyAlignment="1">
      <alignment horizontal="left"/>
    </xf>
    <xf numFmtId="0" fontId="2" fillId="3" borderId="47" xfId="0" applyFont="1" applyFill="1" applyBorder="1" applyAlignment="1"/>
    <xf numFmtId="0" fontId="3" fillId="3" borderId="44" xfId="0" applyFont="1" applyFill="1" applyBorder="1" applyAlignment="1">
      <alignment horizontal="left"/>
    </xf>
    <xf numFmtId="0" fontId="2" fillId="3" borderId="45" xfId="0" applyFont="1" applyFill="1" applyBorder="1" applyAlignment="1"/>
    <xf numFmtId="10" fontId="2" fillId="3" borderId="17" xfId="0" applyNumberFormat="1" applyFont="1" applyFill="1" applyBorder="1" applyAlignment="1">
      <alignment horizontal="center"/>
    </xf>
    <xf numFmtId="10" fontId="2" fillId="3" borderId="45" xfId="0" applyNumberFormat="1" applyFont="1" applyFill="1" applyBorder="1" applyAlignment="1">
      <alignment horizontal="center"/>
    </xf>
    <xf numFmtId="0" fontId="5" fillId="3" borderId="52" xfId="0" applyFont="1" applyFill="1" applyBorder="1"/>
    <xf numFmtId="0" fontId="5" fillId="3" borderId="58" xfId="0" applyFont="1" applyFill="1" applyBorder="1"/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5" fillId="3" borderId="0" xfId="0" applyFont="1" applyFill="1"/>
    <xf numFmtId="0" fontId="9" fillId="3" borderId="0" xfId="0" applyFont="1" applyFill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10" fontId="2" fillId="3" borderId="0" xfId="1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/>
    <xf numFmtId="2" fontId="4" fillId="3" borderId="30" xfId="1" applyNumberFormat="1" applyFont="1" applyFill="1" applyBorder="1" applyAlignment="1">
      <alignment horizontal="center"/>
    </xf>
    <xf numFmtId="0" fontId="5" fillId="3" borderId="2" xfId="0" applyFont="1" applyFill="1" applyBorder="1"/>
    <xf numFmtId="0" fontId="5" fillId="3" borderId="18" xfId="0" applyFont="1" applyFill="1" applyBorder="1"/>
    <xf numFmtId="0" fontId="4" fillId="3" borderId="37" xfId="0" applyFont="1" applyFill="1" applyBorder="1"/>
    <xf numFmtId="0" fontId="0" fillId="0" borderId="0" xfId="0" applyBorder="1"/>
    <xf numFmtId="0" fontId="2" fillId="3" borderId="42" xfId="0" applyFont="1" applyFill="1" applyBorder="1" applyAlignment="1">
      <alignment horizontal="left"/>
    </xf>
    <xf numFmtId="14" fontId="3" fillId="3" borderId="24" xfId="0" applyNumberFormat="1" applyFont="1" applyFill="1" applyBorder="1" applyAlignment="1">
      <alignment horizontal="center"/>
    </xf>
    <xf numFmtId="0" fontId="2" fillId="3" borderId="43" xfId="0" applyFont="1" applyFill="1" applyBorder="1"/>
    <xf numFmtId="0" fontId="3" fillId="3" borderId="11" xfId="0" applyFont="1" applyFill="1" applyBorder="1" applyAlignment="1">
      <alignment horizontal="left"/>
    </xf>
    <xf numFmtId="0" fontId="2" fillId="3" borderId="17" xfId="0" applyFont="1" applyFill="1" applyBorder="1" applyAlignment="1"/>
    <xf numFmtId="11" fontId="8" fillId="3" borderId="42" xfId="0" applyNumberFormat="1" applyFont="1" applyFill="1" applyBorder="1" applyAlignment="1"/>
    <xf numFmtId="0" fontId="2" fillId="2" borderId="68" xfId="0" applyFont="1" applyFill="1" applyBorder="1" applyAlignment="1"/>
    <xf numFmtId="0" fontId="4" fillId="3" borderId="54" xfId="0" applyFont="1" applyFill="1" applyBorder="1" applyAlignment="1"/>
    <xf numFmtId="0" fontId="4" fillId="3" borderId="16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 textRotation="90"/>
    </xf>
    <xf numFmtId="0" fontId="2" fillId="3" borderId="10" xfId="0" applyFont="1" applyFill="1" applyBorder="1" applyAlignment="1">
      <alignment horizontal="left" textRotation="90"/>
    </xf>
    <xf numFmtId="0" fontId="2" fillId="3" borderId="69" xfId="0" applyFont="1" applyFill="1" applyBorder="1" applyAlignment="1">
      <alignment horizontal="left" textRotation="90"/>
    </xf>
    <xf numFmtId="1" fontId="2" fillId="3" borderId="10" xfId="0" applyNumberFormat="1" applyFont="1" applyFill="1" applyBorder="1" applyAlignment="1">
      <alignment horizontal="center"/>
    </xf>
    <xf numFmtId="0" fontId="4" fillId="3" borderId="70" xfId="0" applyFont="1" applyFill="1" applyBorder="1" applyAlignment="1">
      <alignment horizontal="center"/>
    </xf>
    <xf numFmtId="0" fontId="2" fillId="3" borderId="10" xfId="0" applyFont="1" applyFill="1" applyBorder="1" applyAlignment="1"/>
    <xf numFmtId="0" fontId="2" fillId="3" borderId="10" xfId="0" applyFont="1" applyFill="1" applyBorder="1"/>
    <xf numFmtId="0" fontId="2" fillId="3" borderId="70" xfId="0" applyFont="1" applyFill="1" applyBorder="1" applyAlignment="1"/>
    <xf numFmtId="11" fontId="8" fillId="3" borderId="10" xfId="0" applyNumberFormat="1" applyFont="1" applyFill="1" applyBorder="1" applyAlignment="1"/>
    <xf numFmtId="0" fontId="2" fillId="3" borderId="10" xfId="0" applyFont="1" applyFill="1" applyBorder="1" applyAlignment="1">
      <alignment horizontal="left"/>
    </xf>
    <xf numFmtId="0" fontId="2" fillId="3" borderId="69" xfId="0" applyFont="1" applyFill="1" applyBorder="1" applyAlignment="1">
      <alignment horizontal="center"/>
    </xf>
    <xf numFmtId="0" fontId="2" fillId="3" borderId="69" xfId="0" applyFont="1" applyFill="1" applyBorder="1" applyAlignment="1"/>
    <xf numFmtId="0" fontId="3" fillId="3" borderId="10" xfId="0" applyFont="1" applyFill="1" applyBorder="1" applyAlignment="1"/>
    <xf numFmtId="0" fontId="2" fillId="3" borderId="62" xfId="0" applyFont="1" applyFill="1" applyBorder="1" applyAlignment="1">
      <alignment horizontal="left"/>
    </xf>
    <xf numFmtId="0" fontId="2" fillId="3" borderId="69" xfId="0" applyFont="1" applyFill="1" applyBorder="1" applyAlignment="1">
      <alignment horizontal="left"/>
    </xf>
    <xf numFmtId="0" fontId="2" fillId="3" borderId="71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2" fillId="2" borderId="57" xfId="0" applyFont="1" applyFill="1" applyBorder="1" applyAlignment="1">
      <alignment horizontal="left"/>
    </xf>
    <xf numFmtId="0" fontId="2" fillId="2" borderId="48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2" fillId="2" borderId="24" xfId="0" applyFont="1" applyFill="1" applyBorder="1"/>
    <xf numFmtId="2" fontId="2" fillId="2" borderId="25" xfId="0" applyNumberFormat="1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/>
    </xf>
    <xf numFmtId="2" fontId="2" fillId="3" borderId="41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42" xfId="0" applyBorder="1"/>
    <xf numFmtId="2" fontId="2" fillId="3" borderId="30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40" xfId="0" applyFont="1" applyFill="1" applyBorder="1" applyAlignment="1"/>
    <xf numFmtId="0" fontId="3" fillId="3" borderId="72" xfId="0" applyFont="1" applyFill="1" applyBorder="1" applyAlignment="1">
      <alignment horizontal="center"/>
    </xf>
    <xf numFmtId="0" fontId="3" fillId="3" borderId="73" xfId="0" applyFont="1" applyFill="1" applyBorder="1" applyAlignment="1">
      <alignment horizontal="center"/>
    </xf>
    <xf numFmtId="0" fontId="4" fillId="3" borderId="74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/>
    </xf>
    <xf numFmtId="0" fontId="4" fillId="3" borderId="7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1" fontId="2" fillId="3" borderId="70" xfId="0" applyNumberFormat="1" applyFont="1" applyFill="1" applyBorder="1" applyAlignment="1">
      <alignment horizontal="center"/>
    </xf>
    <xf numFmtId="0" fontId="2" fillId="3" borderId="65" xfId="0" applyFont="1" applyFill="1" applyBorder="1" applyAlignment="1">
      <alignment horizontal="center"/>
    </xf>
    <xf numFmtId="0" fontId="2" fillId="3" borderId="71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10" fontId="4" fillId="0" borderId="42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0" xfId="0" applyFont="1" applyFill="1" applyBorder="1" applyAlignment="1"/>
    <xf numFmtId="10" fontId="2" fillId="0" borderId="42" xfId="0" applyNumberFormat="1" applyFont="1" applyFill="1" applyBorder="1" applyAlignment="1">
      <alignment horizontal="center"/>
    </xf>
    <xf numFmtId="1" fontId="4" fillId="3" borderId="76" xfId="0" applyNumberFormat="1" applyFont="1" applyFill="1" applyBorder="1" applyAlignment="1">
      <alignment horizontal="center"/>
    </xf>
    <xf numFmtId="165" fontId="4" fillId="3" borderId="42" xfId="0" applyNumberFormat="1" applyFont="1" applyFill="1" applyBorder="1" applyAlignment="1">
      <alignment horizontal="center"/>
    </xf>
    <xf numFmtId="10" fontId="4" fillId="0" borderId="41" xfId="0" applyNumberFormat="1" applyFont="1" applyFill="1" applyBorder="1" applyAlignment="1">
      <alignment horizontal="center"/>
    </xf>
    <xf numFmtId="2" fontId="2" fillId="3" borderId="45" xfId="0" applyNumberFormat="1" applyFont="1" applyFill="1" applyBorder="1" applyAlignment="1">
      <alignment horizontal="center"/>
    </xf>
    <xf numFmtId="2" fontId="4" fillId="3" borderId="41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2" fontId="4" fillId="3" borderId="45" xfId="0" applyNumberFormat="1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2" fontId="2" fillId="3" borderId="40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4" fillId="3" borderId="5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2" fillId="3" borderId="40" xfId="0" applyFont="1" applyFill="1" applyBorder="1" applyAlignment="1"/>
    <xf numFmtId="2" fontId="13" fillId="3" borderId="3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0" fontId="2" fillId="3" borderId="23" xfId="0" applyNumberFormat="1" applyFont="1" applyFill="1" applyBorder="1" applyAlignment="1">
      <alignment horizont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2" fontId="4" fillId="3" borderId="37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 vertical="center"/>
    </xf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1" fontId="4" fillId="3" borderId="37" xfId="0" applyNumberFormat="1" applyFont="1" applyFill="1" applyBorder="1" applyAlignment="1">
      <alignment horizontal="center"/>
    </xf>
    <xf numFmtId="1" fontId="4" fillId="3" borderId="75" xfId="0" applyNumberFormat="1" applyFont="1" applyFill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2" fontId="14" fillId="3" borderId="37" xfId="0" applyNumberFormat="1" applyFont="1" applyFill="1" applyBorder="1" applyAlignment="1">
      <alignment horizontal="center"/>
    </xf>
    <xf numFmtId="2" fontId="15" fillId="3" borderId="37" xfId="0" applyNumberFormat="1" applyFont="1" applyFill="1" applyBorder="1" applyAlignment="1">
      <alignment horizontal="center"/>
    </xf>
    <xf numFmtId="2" fontId="16" fillId="3" borderId="37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1" fontId="4" fillId="3" borderId="77" xfId="0" applyNumberFormat="1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1" fontId="4" fillId="3" borderId="48" xfId="0" applyNumberFormat="1" applyFont="1" applyFill="1" applyBorder="1" applyAlignment="1">
      <alignment horizontal="center" vertical="center"/>
    </xf>
    <xf numFmtId="1" fontId="4" fillId="3" borderId="31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10" fontId="4" fillId="3" borderId="23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1" fontId="4" fillId="3" borderId="78" xfId="0" applyNumberFormat="1" applyFont="1" applyFill="1" applyBorder="1" applyAlignment="1">
      <alignment horizontal="center"/>
    </xf>
    <xf numFmtId="0" fontId="4" fillId="0" borderId="41" xfId="0" applyNumberFormat="1" applyFont="1" applyFill="1" applyBorder="1" applyAlignment="1">
      <alignment horizontal="center"/>
    </xf>
    <xf numFmtId="0" fontId="4" fillId="0" borderId="42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17" fillId="3" borderId="33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0" fontId="2" fillId="3" borderId="13" xfId="0" applyFont="1" applyFill="1" applyBorder="1" applyAlignment="1">
      <alignment horizontal="left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0" fontId="2" fillId="0" borderId="30" xfId="0" applyFont="1" applyFill="1" applyBorder="1" applyAlignment="1">
      <alignment horizontal="center"/>
    </xf>
    <xf numFmtId="0" fontId="2" fillId="0" borderId="42" xfId="0" applyNumberFormat="1" applyFont="1" applyFill="1" applyBorder="1" applyAlignment="1">
      <alignment horizontal="center"/>
    </xf>
    <xf numFmtId="10" fontId="2" fillId="3" borderId="52" xfId="0" applyNumberFormat="1" applyFont="1" applyFill="1" applyBorder="1" applyAlignment="1">
      <alignment horizontal="center"/>
    </xf>
    <xf numFmtId="10" fontId="2" fillId="3" borderId="30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2" fontId="4" fillId="3" borderId="28" xfId="0" applyNumberFormat="1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0" fontId="2" fillId="3" borderId="54" xfId="0" applyFont="1" applyFill="1" applyBorder="1" applyAlignment="1"/>
    <xf numFmtId="0" fontId="2" fillId="3" borderId="11" xfId="0" applyFont="1" applyFill="1" applyBorder="1" applyAlignment="1"/>
    <xf numFmtId="0" fontId="5" fillId="3" borderId="0" xfId="0" applyFont="1" applyFill="1" applyBorder="1"/>
    <xf numFmtId="14" fontId="2" fillId="3" borderId="47" xfId="0" applyNumberFormat="1" applyFont="1" applyFill="1" applyBorder="1" applyAlignment="1">
      <alignment horizontal="center" vertical="center"/>
    </xf>
    <xf numFmtId="14" fontId="2" fillId="3" borderId="53" xfId="0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2" fillId="3" borderId="52" xfId="0" applyNumberFormat="1" applyFont="1" applyFill="1" applyBorder="1" applyAlignment="1">
      <alignment horizontal="center" vertical="center"/>
    </xf>
    <xf numFmtId="1" fontId="4" fillId="3" borderId="56" xfId="0" applyNumberFormat="1" applyFont="1" applyFill="1" applyBorder="1" applyAlignment="1">
      <alignment horizontal="center" vertical="center"/>
    </xf>
    <xf numFmtId="1" fontId="4" fillId="3" borderId="58" xfId="0" applyNumberFormat="1" applyFont="1" applyFill="1" applyBorder="1" applyAlignment="1">
      <alignment horizontal="center" vertical="center"/>
    </xf>
    <xf numFmtId="14" fontId="2" fillId="3" borderId="41" xfId="0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2" fontId="4" fillId="3" borderId="28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 vertical="center"/>
    </xf>
    <xf numFmtId="0" fontId="0" fillId="3" borderId="37" xfId="0" applyFill="1" applyBorder="1"/>
    <xf numFmtId="2" fontId="4" fillId="3" borderId="37" xfId="0" applyNumberFormat="1" applyFont="1" applyFill="1" applyBorder="1" applyAlignment="1">
      <alignment horizontal="center" vertical="center"/>
    </xf>
    <xf numFmtId="1" fontId="4" fillId="3" borderId="48" xfId="0" applyNumberFormat="1" applyFont="1" applyFill="1" applyBorder="1" applyAlignment="1">
      <alignment horizontal="center" vertical="center"/>
    </xf>
    <xf numFmtId="1" fontId="4" fillId="3" borderId="31" xfId="0" applyNumberFormat="1" applyFont="1" applyFill="1" applyBorder="1" applyAlignment="1">
      <alignment horizontal="center" vertical="center"/>
    </xf>
    <xf numFmtId="2" fontId="2" fillId="3" borderId="37" xfId="0" applyNumberFormat="1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wrapText="1"/>
    </xf>
    <xf numFmtId="0" fontId="1" fillId="3" borderId="59" xfId="0" applyFont="1" applyFill="1" applyBorder="1" applyAlignment="1">
      <alignment horizontal="center" wrapText="1"/>
    </xf>
    <xf numFmtId="0" fontId="1" fillId="3" borderId="66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3"/>
    <cellStyle name="Normal 3 2" xfId="4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37" t="s">
        <v>81</v>
      </c>
      <c r="C3" s="95" t="s">
        <v>103</v>
      </c>
      <c r="D3" s="38"/>
      <c r="E3" s="39" t="s">
        <v>9</v>
      </c>
      <c r="F3" s="39"/>
      <c r="G3" s="39"/>
      <c r="H3" s="40"/>
      <c r="I3" s="41" t="s">
        <v>2</v>
      </c>
      <c r="J3" s="42" t="s">
        <v>107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103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108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2.17</v>
      </c>
      <c r="E7" s="21"/>
      <c r="F7" s="21">
        <v>2.44</v>
      </c>
      <c r="G7" s="102">
        <f>AVERAGE(D7:F7)</f>
        <v>2.3049999999999997</v>
      </c>
      <c r="H7" s="184"/>
      <c r="I7" s="372" t="s">
        <v>98</v>
      </c>
      <c r="J7" s="383">
        <f>0.4*3.87</f>
        <v>1.548</v>
      </c>
      <c r="K7" s="383" t="s">
        <v>15</v>
      </c>
      <c r="L7" s="251"/>
      <c r="M7" s="383">
        <f>0.4*3.54</f>
        <v>1.4160000000000001</v>
      </c>
      <c r="N7" s="27" t="s">
        <v>104</v>
      </c>
      <c r="O7" s="386">
        <v>20</v>
      </c>
      <c r="P7" s="44"/>
    </row>
    <row r="8" spans="1:17" ht="38.25" thickBot="1">
      <c r="A8" s="12"/>
      <c r="B8" s="68" t="s">
        <v>16</v>
      </c>
      <c r="C8" s="69"/>
      <c r="D8" s="34">
        <v>1.97</v>
      </c>
      <c r="E8" s="23"/>
      <c r="F8" s="23">
        <v>2.2599999999999998</v>
      </c>
      <c r="G8" s="124">
        <f>AVERAGE(D8:F8)</f>
        <v>2.1149999999999998</v>
      </c>
      <c r="H8" s="184"/>
      <c r="I8" s="380"/>
      <c r="J8" s="384"/>
      <c r="K8" s="384"/>
      <c r="L8" s="252"/>
      <c r="M8" s="385"/>
      <c r="N8" s="27" t="s">
        <v>105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0.4*4.01</f>
        <v>1.6040000000000001</v>
      </c>
      <c r="K9" s="383" t="s">
        <v>15</v>
      </c>
      <c r="L9" s="383"/>
      <c r="M9" s="383">
        <f>0.4*3.86</f>
        <v>1.544</v>
      </c>
      <c r="N9" s="27" t="s">
        <v>104</v>
      </c>
      <c r="O9" s="386">
        <v>38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105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0.4*5.05</f>
        <v>2.02</v>
      </c>
      <c r="K11" s="383" t="s">
        <v>90</v>
      </c>
      <c r="L11" s="251"/>
      <c r="M11" s="383" t="s">
        <v>85</v>
      </c>
      <c r="N11" s="27"/>
      <c r="O11" s="386" t="s">
        <v>85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52"/>
      <c r="M12" s="385"/>
      <c r="N12" s="27"/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0.4*3.91</f>
        <v>1.5640000000000001</v>
      </c>
      <c r="K13" s="383" t="s">
        <v>15</v>
      </c>
      <c r="L13" s="251"/>
      <c r="M13" s="383">
        <f>0.4*4.86</f>
        <v>1.9440000000000002</v>
      </c>
      <c r="N13" s="27" t="s">
        <v>104</v>
      </c>
      <c r="O13" s="386">
        <v>51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0.4*4.1</f>
        <v>1.64</v>
      </c>
      <c r="E14" s="28"/>
      <c r="F14" s="28">
        <f>0.4*4.47</f>
        <v>1.788</v>
      </c>
      <c r="G14" s="33">
        <f t="shared" ref="G14:G27" si="0">AVERAGE(D14:F14)</f>
        <v>1.714</v>
      </c>
      <c r="H14" s="184"/>
      <c r="I14" s="380"/>
      <c r="J14" s="384"/>
      <c r="K14" s="384"/>
      <c r="L14" s="252"/>
      <c r="M14" s="385"/>
      <c r="N14" s="27" t="s">
        <v>105</v>
      </c>
      <c r="O14" s="387"/>
      <c r="P14" s="44"/>
    </row>
    <row r="15" spans="1:17" ht="37.5">
      <c r="A15" s="11"/>
      <c r="B15" s="76" t="s">
        <v>97</v>
      </c>
      <c r="C15" s="29"/>
      <c r="D15" s="29">
        <f>0.4*3.92</f>
        <v>1.5680000000000001</v>
      </c>
      <c r="E15" s="28"/>
      <c r="F15" s="29">
        <f>0.4*3.35</f>
        <v>1.34</v>
      </c>
      <c r="G15" s="33">
        <f t="shared" si="0"/>
        <v>1.4540000000000002</v>
      </c>
      <c r="H15" s="184" t="s">
        <v>4</v>
      </c>
      <c r="I15" s="390" t="s">
        <v>61</v>
      </c>
      <c r="J15" s="383">
        <f>0.4*3.47</f>
        <v>1.3880000000000001</v>
      </c>
      <c r="K15" s="383" t="s">
        <v>15</v>
      </c>
      <c r="L15" s="251"/>
      <c r="M15" s="383">
        <f>0.4*3.59</f>
        <v>1.4359999999999999</v>
      </c>
      <c r="N15" s="27"/>
      <c r="O15" s="386">
        <v>60</v>
      </c>
      <c r="P15" s="44"/>
    </row>
    <row r="16" spans="1:17" ht="37.5">
      <c r="A16" s="11"/>
      <c r="B16" s="76" t="s">
        <v>22</v>
      </c>
      <c r="C16" s="28"/>
      <c r="D16" s="28">
        <f>0.4*2.84</f>
        <v>1.1359999999999999</v>
      </c>
      <c r="E16" s="29"/>
      <c r="F16" s="29">
        <f>0.4*2.1</f>
        <v>0.84000000000000008</v>
      </c>
      <c r="G16" s="33">
        <f t="shared" si="0"/>
        <v>0.98799999999999999</v>
      </c>
      <c r="H16" s="184"/>
      <c r="I16" s="391"/>
      <c r="J16" s="384"/>
      <c r="K16" s="384"/>
      <c r="L16" s="252"/>
      <c r="M16" s="385"/>
      <c r="N16" s="27" t="s">
        <v>105</v>
      </c>
      <c r="O16" s="387"/>
      <c r="P16" s="44"/>
    </row>
    <row r="17" spans="1:16" ht="37.5">
      <c r="A17" s="11"/>
      <c r="B17" s="76" t="s">
        <v>24</v>
      </c>
      <c r="C17" s="28"/>
      <c r="D17" s="28">
        <f>0.4*2.46</f>
        <v>0.98399999999999999</v>
      </c>
      <c r="E17" s="28"/>
      <c r="F17" s="29">
        <f>0.4*1.75</f>
        <v>0.70000000000000007</v>
      </c>
      <c r="G17" s="33">
        <f t="shared" si="0"/>
        <v>0.84200000000000008</v>
      </c>
      <c r="H17" s="184"/>
      <c r="I17" s="372" t="s">
        <v>62</v>
      </c>
      <c r="J17" s="383">
        <f>0.4*4.33</f>
        <v>1.7320000000000002</v>
      </c>
      <c r="K17" s="383" t="s">
        <v>15</v>
      </c>
      <c r="L17" s="251"/>
      <c r="M17" s="383">
        <f>0.4*3.58</f>
        <v>1.4320000000000002</v>
      </c>
      <c r="N17" s="27"/>
      <c r="O17" s="386">
        <v>55</v>
      </c>
      <c r="P17" s="44"/>
    </row>
    <row r="18" spans="1:16" ht="37.5">
      <c r="A18" s="11"/>
      <c r="B18" s="76" t="s">
        <v>25</v>
      </c>
      <c r="C18" s="29"/>
      <c r="D18" s="28">
        <f>0.4*1.6</f>
        <v>0.64000000000000012</v>
      </c>
      <c r="E18" s="28"/>
      <c r="F18" s="29">
        <f>0.4*1.23</f>
        <v>0.49199999999999999</v>
      </c>
      <c r="G18" s="33">
        <f t="shared" si="0"/>
        <v>0.56600000000000006</v>
      </c>
      <c r="H18" s="184"/>
      <c r="I18" s="380"/>
      <c r="J18" s="384"/>
      <c r="K18" s="384"/>
      <c r="L18" s="252"/>
      <c r="M18" s="385"/>
      <c r="N18" s="27" t="s">
        <v>105</v>
      </c>
      <c r="O18" s="387"/>
      <c r="P18" s="44"/>
    </row>
    <row r="19" spans="1:16" ht="37.5">
      <c r="A19" s="11"/>
      <c r="B19" s="76" t="s">
        <v>27</v>
      </c>
      <c r="C19" s="29"/>
      <c r="D19" s="28">
        <f>0.4*1.44</f>
        <v>0.57599999999999996</v>
      </c>
      <c r="E19" s="29"/>
      <c r="F19" s="29">
        <f>0.4*1.18</f>
        <v>0.47199999999999998</v>
      </c>
      <c r="G19" s="33">
        <f t="shared" si="0"/>
        <v>0.52400000000000002</v>
      </c>
      <c r="H19" s="184"/>
      <c r="I19" s="372" t="s">
        <v>63</v>
      </c>
      <c r="J19" s="383">
        <f>0.4*5.06</f>
        <v>2.024</v>
      </c>
      <c r="K19" s="383" t="s">
        <v>15</v>
      </c>
      <c r="L19" s="251"/>
      <c r="M19" s="383">
        <f>0.4*4.05</f>
        <v>1.62</v>
      </c>
      <c r="N19" s="27"/>
      <c r="O19" s="386">
        <v>54</v>
      </c>
      <c r="P19" s="44"/>
    </row>
    <row r="20" spans="1:16" ht="37.5">
      <c r="A20" s="11"/>
      <c r="B20" s="76" t="s">
        <v>29</v>
      </c>
      <c r="C20" s="28"/>
      <c r="D20" s="28">
        <f>0.4*1.4</f>
        <v>0.55999999999999994</v>
      </c>
      <c r="E20" s="29"/>
      <c r="F20" s="29">
        <f>0.4*1.2</f>
        <v>0.48</v>
      </c>
      <c r="G20" s="33">
        <f t="shared" si="0"/>
        <v>0.52</v>
      </c>
      <c r="H20" s="184"/>
      <c r="I20" s="380"/>
      <c r="J20" s="384"/>
      <c r="K20" s="384"/>
      <c r="L20" s="252"/>
      <c r="M20" s="385"/>
      <c r="N20" s="27" t="s">
        <v>105</v>
      </c>
      <c r="O20" s="387"/>
      <c r="P20" s="44"/>
    </row>
    <row r="21" spans="1:16" ht="37.5">
      <c r="A21" s="11"/>
      <c r="B21" s="76" t="s">
        <v>30</v>
      </c>
      <c r="C21" s="28"/>
      <c r="D21" s="28">
        <f>0.4*1.22</f>
        <v>0.48799999999999999</v>
      </c>
      <c r="E21" s="28"/>
      <c r="F21" s="29">
        <f>0.4*1.15</f>
        <v>0.45999999999999996</v>
      </c>
      <c r="G21" s="33">
        <f t="shared" si="0"/>
        <v>0.47399999999999998</v>
      </c>
      <c r="H21" s="184"/>
      <c r="I21" s="372" t="s">
        <v>14</v>
      </c>
      <c r="J21" s="383">
        <f>0.4*6.96</f>
        <v>2.7840000000000003</v>
      </c>
      <c r="K21" s="383" t="s">
        <v>15</v>
      </c>
      <c r="L21" s="251"/>
      <c r="M21" s="383">
        <f>0.4*6.34</f>
        <v>2.536</v>
      </c>
      <c r="N21" s="27" t="s">
        <v>109</v>
      </c>
      <c r="O21" s="386">
        <v>47</v>
      </c>
      <c r="P21" s="44"/>
    </row>
    <row r="22" spans="1:16" ht="37.5">
      <c r="A22" s="11"/>
      <c r="B22" s="76" t="s">
        <v>32</v>
      </c>
      <c r="C22" s="78"/>
      <c r="D22" s="28">
        <f>0.4*1.1</f>
        <v>0.44000000000000006</v>
      </c>
      <c r="E22" s="28"/>
      <c r="F22" s="29">
        <f>0.4*1.12</f>
        <v>0.44800000000000006</v>
      </c>
      <c r="G22" s="33">
        <f t="shared" si="0"/>
        <v>0.44400000000000006</v>
      </c>
      <c r="H22" s="184"/>
      <c r="I22" s="380"/>
      <c r="J22" s="384"/>
      <c r="K22" s="384"/>
      <c r="L22" s="252"/>
      <c r="M22" s="385"/>
      <c r="N22" s="27" t="s">
        <v>110</v>
      </c>
      <c r="O22" s="387"/>
      <c r="P22" s="44"/>
    </row>
    <row r="23" spans="1:16" ht="37.5">
      <c r="A23" s="11"/>
      <c r="B23" s="76" t="s">
        <v>33</v>
      </c>
      <c r="C23" s="28"/>
      <c r="D23" s="28">
        <f>0.4*1.08</f>
        <v>0.43200000000000005</v>
      </c>
      <c r="E23" s="28"/>
      <c r="F23" s="28">
        <f>0.4*1.12</f>
        <v>0.44800000000000006</v>
      </c>
      <c r="G23" s="33">
        <f t="shared" si="0"/>
        <v>0.44000000000000006</v>
      </c>
      <c r="H23" s="184"/>
      <c r="I23" s="372" t="s">
        <v>17</v>
      </c>
      <c r="J23" s="383">
        <f>0.4*6.27</f>
        <v>2.508</v>
      </c>
      <c r="K23" s="383" t="s">
        <v>15</v>
      </c>
      <c r="L23" s="251"/>
      <c r="M23" s="383">
        <f>0.4*12.39</f>
        <v>4.9560000000000004</v>
      </c>
      <c r="N23" s="27" t="s">
        <v>109</v>
      </c>
      <c r="O23" s="386">
        <v>79</v>
      </c>
      <c r="P23" s="44"/>
    </row>
    <row r="24" spans="1:16" ht="37.5">
      <c r="A24" s="11"/>
      <c r="B24" s="76" t="s">
        <v>35</v>
      </c>
      <c r="C24" s="29"/>
      <c r="D24" s="28">
        <f>0.4*1.27</f>
        <v>0.50800000000000001</v>
      </c>
      <c r="E24" s="28"/>
      <c r="F24" s="28">
        <f>0.4*0.99</f>
        <v>0.39600000000000002</v>
      </c>
      <c r="G24" s="33">
        <f t="shared" si="0"/>
        <v>0.45200000000000001</v>
      </c>
      <c r="H24" s="184"/>
      <c r="I24" s="380"/>
      <c r="J24" s="384"/>
      <c r="K24" s="384"/>
      <c r="L24" s="252"/>
      <c r="M24" s="385"/>
      <c r="N24" s="27" t="s">
        <v>110</v>
      </c>
      <c r="O24" s="387"/>
      <c r="P24" s="44"/>
    </row>
    <row r="25" spans="1:16" ht="37.5">
      <c r="A25" s="11"/>
      <c r="B25" s="76" t="s">
        <v>36</v>
      </c>
      <c r="C25" s="27"/>
      <c r="D25" s="28">
        <f>0.4*1.13</f>
        <v>0.45199999999999996</v>
      </c>
      <c r="E25" s="28"/>
      <c r="F25" s="28">
        <f>0.4*0.95</f>
        <v>0.38</v>
      </c>
      <c r="G25" s="33">
        <f t="shared" si="0"/>
        <v>0.41599999999999998</v>
      </c>
      <c r="H25" s="184"/>
      <c r="I25" s="372" t="s">
        <v>18</v>
      </c>
      <c r="J25" s="383">
        <f>0.4*7.35</f>
        <v>2.94</v>
      </c>
      <c r="K25" s="383" t="s">
        <v>15</v>
      </c>
      <c r="L25" s="251"/>
      <c r="M25" s="383">
        <f>0.4*5.98</f>
        <v>2.3920000000000003</v>
      </c>
      <c r="N25" s="27" t="s">
        <v>109</v>
      </c>
      <c r="O25" s="386">
        <v>39</v>
      </c>
      <c r="P25" s="44"/>
    </row>
    <row r="26" spans="1:16" ht="37.5">
      <c r="A26" s="11"/>
      <c r="B26" s="76" t="s">
        <v>38</v>
      </c>
      <c r="C26" s="27"/>
      <c r="D26" s="28">
        <f>0.4*0.97</f>
        <v>0.38800000000000001</v>
      </c>
      <c r="E26" s="28"/>
      <c r="F26" s="29">
        <f>0.4*0.89</f>
        <v>0.35600000000000004</v>
      </c>
      <c r="G26" s="33">
        <f t="shared" si="0"/>
        <v>0.372</v>
      </c>
      <c r="H26" s="184"/>
      <c r="I26" s="380"/>
      <c r="J26" s="384"/>
      <c r="K26" s="384"/>
      <c r="L26" s="252"/>
      <c r="M26" s="385"/>
      <c r="N26" s="27" t="s">
        <v>110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0.4*0.96</f>
        <v>0.38400000000000001</v>
      </c>
      <c r="E27" s="30"/>
      <c r="F27" s="29">
        <f>0.4*0.9</f>
        <v>0.36000000000000004</v>
      </c>
      <c r="G27" s="33">
        <f t="shared" si="0"/>
        <v>0.372</v>
      </c>
      <c r="H27" s="184"/>
      <c r="I27" s="372" t="s">
        <v>20</v>
      </c>
      <c r="J27" s="383">
        <f>0.4*4.95</f>
        <v>1.9800000000000002</v>
      </c>
      <c r="K27" s="383" t="s">
        <v>15</v>
      </c>
      <c r="L27" s="251"/>
      <c r="M27" s="383">
        <f>0.4*7.07</f>
        <v>2.8280000000000003</v>
      </c>
      <c r="N27" s="27" t="s">
        <v>109</v>
      </c>
      <c r="O27" s="386">
        <v>38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252"/>
      <c r="M28" s="385"/>
      <c r="N28" s="27" t="s">
        <v>110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0.4*3.96</f>
        <v>1.5840000000000001</v>
      </c>
      <c r="K29" s="383" t="s">
        <v>15</v>
      </c>
      <c r="L29" s="81"/>
      <c r="M29" s="383">
        <f>0.4*4.38</f>
        <v>1.752</v>
      </c>
      <c r="N29" s="27" t="s">
        <v>109</v>
      </c>
      <c r="O29" s="386">
        <v>70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110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0.38</v>
      </c>
      <c r="E31" s="28"/>
      <c r="F31" s="234">
        <v>0.14000000000000001</v>
      </c>
      <c r="G31" s="33">
        <f t="shared" ref="G31:G46" si="1">AVERAGE(D31:F31)</f>
        <v>0.26</v>
      </c>
      <c r="H31" s="184"/>
      <c r="I31" s="372" t="s">
        <v>8</v>
      </c>
      <c r="J31" s="376">
        <v>1.97</v>
      </c>
      <c r="K31" s="85"/>
      <c r="L31" s="86"/>
      <c r="M31" s="376">
        <v>2.17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0.74</v>
      </c>
      <c r="E32" s="28"/>
      <c r="F32" s="29">
        <v>0.25</v>
      </c>
      <c r="G32" s="33">
        <f t="shared" si="1"/>
        <v>0.495</v>
      </c>
      <c r="H32" s="184"/>
      <c r="I32" s="380"/>
      <c r="J32" s="388"/>
      <c r="K32" s="252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0.38</v>
      </c>
      <c r="E33" s="29"/>
      <c r="F33" s="29">
        <v>0.24</v>
      </c>
      <c r="G33" s="33">
        <f t="shared" si="1"/>
        <v>0.31</v>
      </c>
      <c r="H33" s="184"/>
      <c r="I33" s="372" t="s">
        <v>26</v>
      </c>
      <c r="J33" s="381">
        <f>0.4*9.99</f>
        <v>3.9960000000000004</v>
      </c>
      <c r="K33" s="383" t="s">
        <v>15</v>
      </c>
      <c r="L33" s="381"/>
      <c r="M33" s="381">
        <f>0.4*9.51</f>
        <v>3.8040000000000003</v>
      </c>
      <c r="N33" s="88" t="s">
        <v>109</v>
      </c>
      <c r="O33" s="386">
        <v>70</v>
      </c>
      <c r="P33" s="44"/>
    </row>
    <row r="34" spans="1:16" ht="37.5">
      <c r="A34" s="11"/>
      <c r="B34" s="76" t="s">
        <v>24</v>
      </c>
      <c r="C34" s="29"/>
      <c r="D34" s="29">
        <v>0.19</v>
      </c>
      <c r="E34" s="28"/>
      <c r="F34" s="29">
        <v>0.18</v>
      </c>
      <c r="G34" s="33">
        <f t="shared" si="1"/>
        <v>0.185</v>
      </c>
      <c r="H34" s="184"/>
      <c r="I34" s="380"/>
      <c r="J34" s="382"/>
      <c r="K34" s="384"/>
      <c r="L34" s="382"/>
      <c r="M34" s="382"/>
      <c r="N34" s="27" t="s">
        <v>112</v>
      </c>
      <c r="O34" s="387"/>
      <c r="P34" s="44"/>
    </row>
    <row r="35" spans="1:16" ht="37.5">
      <c r="A35" s="11"/>
      <c r="B35" s="76" t="s">
        <v>25</v>
      </c>
      <c r="C35" s="29"/>
      <c r="D35" s="29">
        <v>0.14000000000000001</v>
      </c>
      <c r="E35" s="28"/>
      <c r="F35" s="29">
        <v>0.09</v>
      </c>
      <c r="G35" s="33">
        <f t="shared" si="1"/>
        <v>0.115</v>
      </c>
      <c r="H35" s="184"/>
      <c r="I35" s="372" t="s">
        <v>28</v>
      </c>
      <c r="J35" s="381">
        <f>0.4*5.2</f>
        <v>2.08</v>
      </c>
      <c r="K35" s="383" t="s">
        <v>15</v>
      </c>
      <c r="L35" s="381"/>
      <c r="M35" s="383">
        <f>0.4*3.73</f>
        <v>1.492</v>
      </c>
      <c r="N35" s="88" t="s">
        <v>109</v>
      </c>
      <c r="O35" s="386">
        <v>70</v>
      </c>
      <c r="P35" s="44"/>
    </row>
    <row r="36" spans="1:16" ht="37.5">
      <c r="A36" s="11"/>
      <c r="B36" s="76" t="s">
        <v>27</v>
      </c>
      <c r="C36" s="29"/>
      <c r="D36" s="29">
        <v>0.1</v>
      </c>
      <c r="E36" s="29"/>
      <c r="F36" s="29">
        <v>0.05</v>
      </c>
      <c r="G36" s="33">
        <f t="shared" si="1"/>
        <v>7.5000000000000011E-2</v>
      </c>
      <c r="H36" s="184"/>
      <c r="I36" s="380"/>
      <c r="J36" s="382"/>
      <c r="K36" s="384"/>
      <c r="L36" s="382"/>
      <c r="M36" s="385"/>
      <c r="N36" s="27" t="s">
        <v>112</v>
      </c>
      <c r="O36" s="387"/>
      <c r="P36" s="44"/>
    </row>
    <row r="37" spans="1:16" ht="37.5">
      <c r="A37" s="11"/>
      <c r="B37" s="76" t="s">
        <v>46</v>
      </c>
      <c r="C37" s="29"/>
      <c r="D37" s="29">
        <v>0.05</v>
      </c>
      <c r="E37" s="29"/>
      <c r="F37" s="29">
        <v>0</v>
      </c>
      <c r="G37" s="33">
        <f t="shared" si="1"/>
        <v>2.5000000000000001E-2</v>
      </c>
      <c r="H37" s="184"/>
      <c r="I37" s="372" t="s">
        <v>31</v>
      </c>
      <c r="J37" s="381">
        <f>0.4*4.12</f>
        <v>1.6480000000000001</v>
      </c>
      <c r="K37" s="383" t="s">
        <v>15</v>
      </c>
      <c r="L37" s="381"/>
      <c r="M37" s="383">
        <f>0.4*6.75</f>
        <v>2.7</v>
      </c>
      <c r="N37" s="88" t="s">
        <v>109</v>
      </c>
      <c r="O37" s="386">
        <v>75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</v>
      </c>
      <c r="G38" s="33">
        <f t="shared" si="1"/>
        <v>0</v>
      </c>
      <c r="H38" s="184"/>
      <c r="I38" s="380"/>
      <c r="J38" s="382"/>
      <c r="K38" s="384"/>
      <c r="L38" s="382"/>
      <c r="M38" s="385"/>
      <c r="N38" s="27" t="s">
        <v>112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0.4*6.81</f>
        <v>2.7240000000000002</v>
      </c>
      <c r="K39" s="383" t="s">
        <v>15</v>
      </c>
      <c r="L39" s="381"/>
      <c r="M39" s="383">
        <f>0.4*8.68</f>
        <v>3.472</v>
      </c>
      <c r="N39" s="88" t="s">
        <v>109</v>
      </c>
      <c r="O39" s="386">
        <v>60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112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0.4*5.62</f>
        <v>2.2480000000000002</v>
      </c>
      <c r="K41" s="383" t="s">
        <v>15</v>
      </c>
      <c r="L41" s="381"/>
      <c r="M41" s="383">
        <f>0.4*4.56</f>
        <v>1.8239999999999998</v>
      </c>
      <c r="N41" s="88" t="s">
        <v>109</v>
      </c>
      <c r="O41" s="386">
        <v>64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112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0.4*4.17</f>
        <v>1.6680000000000001</v>
      </c>
      <c r="K43" s="383" t="s">
        <v>15</v>
      </c>
      <c r="L43" s="381"/>
      <c r="M43" s="383">
        <f>0.4*5.45</f>
        <v>2.1800000000000002</v>
      </c>
      <c r="N43" s="88" t="s">
        <v>109</v>
      </c>
      <c r="O43" s="386">
        <v>50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112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0.4*4.51</f>
        <v>1.804</v>
      </c>
      <c r="K45" s="383" t="s">
        <v>15</v>
      </c>
      <c r="L45" s="381"/>
      <c r="M45" s="383">
        <f>0.4*7.43</f>
        <v>2.972</v>
      </c>
      <c r="N45" s="88" t="s">
        <v>109</v>
      </c>
      <c r="O45" s="386">
        <v>50</v>
      </c>
      <c r="P45" s="44"/>
    </row>
    <row r="46" spans="1:16" ht="57.75" customHeight="1" thickBot="1">
      <c r="A46" s="14"/>
      <c r="B46" s="241" t="s">
        <v>58</v>
      </c>
      <c r="C46" s="237"/>
      <c r="D46" s="238">
        <v>0.09</v>
      </c>
      <c r="E46" s="239"/>
      <c r="F46" s="238">
        <v>0.15</v>
      </c>
      <c r="G46" s="240">
        <f t="shared" si="1"/>
        <v>0.12</v>
      </c>
      <c r="H46" s="184"/>
      <c r="I46" s="380"/>
      <c r="J46" s="382"/>
      <c r="K46" s="384"/>
      <c r="L46" s="382"/>
      <c r="M46" s="385"/>
      <c r="N46" s="27" t="s">
        <v>112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0.4*6.67</f>
        <v>2.6680000000000001</v>
      </c>
      <c r="K47" s="383" t="s">
        <v>15</v>
      </c>
      <c r="L47" s="381"/>
      <c r="M47" s="383">
        <f>0.4*5.11</f>
        <v>2.044</v>
      </c>
      <c r="N47" s="88" t="s">
        <v>110</v>
      </c>
      <c r="O47" s="386">
        <v>55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109</v>
      </c>
      <c r="O48" s="387"/>
      <c r="P48" s="44"/>
    </row>
    <row r="49" spans="1:16" ht="38.25" thickBot="1">
      <c r="A49" s="14"/>
      <c r="B49" s="95" t="s">
        <v>103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0.4*4.93</f>
        <v>1.972</v>
      </c>
      <c r="K49" s="383" t="s">
        <v>15</v>
      </c>
      <c r="L49" s="251"/>
      <c r="M49" s="383">
        <f>0.4*4.98</f>
        <v>1.9920000000000002</v>
      </c>
      <c r="N49" s="88" t="s">
        <v>110</v>
      </c>
      <c r="O49" s="386">
        <v>46</v>
      </c>
      <c r="P49" s="44"/>
    </row>
    <row r="50" spans="1:16" ht="37.5">
      <c r="A50" s="14"/>
      <c r="B50" s="76" t="s">
        <v>22</v>
      </c>
      <c r="C50" s="97"/>
      <c r="D50" s="98">
        <v>1119</v>
      </c>
      <c r="E50" s="98">
        <v>14</v>
      </c>
      <c r="F50" s="98">
        <f>(D50*E50)*0.26</f>
        <v>4073.1600000000003</v>
      </c>
      <c r="G50" s="221"/>
      <c r="H50" s="222"/>
      <c r="I50" s="380"/>
      <c r="J50" s="382"/>
      <c r="K50" s="384"/>
      <c r="L50" s="252"/>
      <c r="M50" s="385"/>
      <c r="N50" s="27" t="s">
        <v>109</v>
      </c>
      <c r="O50" s="387"/>
      <c r="P50" s="44"/>
    </row>
    <row r="51" spans="1:16" ht="37.5">
      <c r="A51" s="14"/>
      <c r="B51" s="76" t="s">
        <v>24</v>
      </c>
      <c r="C51" s="97"/>
      <c r="D51" s="98">
        <v>653</v>
      </c>
      <c r="E51" s="98">
        <v>16</v>
      </c>
      <c r="F51" s="98">
        <f>(D51*E51)*0.26</f>
        <v>2716.48</v>
      </c>
      <c r="G51" s="99"/>
      <c r="H51" s="186"/>
      <c r="I51" s="372" t="s">
        <v>47</v>
      </c>
      <c r="J51" s="381">
        <f>0.4*4.26</f>
        <v>1.704</v>
      </c>
      <c r="K51" s="383" t="s">
        <v>15</v>
      </c>
      <c r="L51" s="251"/>
      <c r="M51" s="383">
        <f>0.4*3.83</f>
        <v>1.532</v>
      </c>
      <c r="N51" s="88" t="s">
        <v>110</v>
      </c>
      <c r="O51" s="386">
        <v>49</v>
      </c>
      <c r="P51" s="44"/>
    </row>
    <row r="52" spans="1:16" ht="37.5">
      <c r="A52" s="14"/>
      <c r="B52" s="76" t="s">
        <v>25</v>
      </c>
      <c r="C52" s="97"/>
      <c r="D52" s="98">
        <v>424</v>
      </c>
      <c r="E52" s="98">
        <v>8</v>
      </c>
      <c r="F52" s="98">
        <f>(D52*E52)*0.26</f>
        <v>881.92000000000007</v>
      </c>
      <c r="G52" s="99"/>
      <c r="H52" s="186"/>
      <c r="I52" s="380"/>
      <c r="J52" s="382"/>
      <c r="K52" s="384"/>
      <c r="L52" s="252"/>
      <c r="M52" s="385"/>
      <c r="N52" s="27" t="s">
        <v>109</v>
      </c>
      <c r="O52" s="387"/>
      <c r="P52" s="44"/>
    </row>
    <row r="53" spans="1:16" ht="37.5">
      <c r="A53" s="14"/>
      <c r="B53" s="76" t="s">
        <v>27</v>
      </c>
      <c r="C53" s="97"/>
      <c r="D53" s="98">
        <v>281</v>
      </c>
      <c r="E53" s="98">
        <v>6</v>
      </c>
      <c r="F53" s="98">
        <f>(D53*E53)*0.26</f>
        <v>438.36</v>
      </c>
      <c r="G53" s="99"/>
      <c r="H53" s="186"/>
      <c r="I53" s="372" t="s">
        <v>50</v>
      </c>
      <c r="J53" s="381">
        <f>0.4*7.13</f>
        <v>2.8520000000000003</v>
      </c>
      <c r="K53" s="383" t="s">
        <v>15</v>
      </c>
      <c r="L53" s="251"/>
      <c r="M53" s="383">
        <f>0.4*5.37</f>
        <v>2.1480000000000001</v>
      </c>
      <c r="N53" s="88" t="s">
        <v>110</v>
      </c>
      <c r="O53" s="386">
        <v>33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252"/>
      <c r="M54" s="385"/>
      <c r="N54" s="27" t="s">
        <v>109</v>
      </c>
      <c r="O54" s="387"/>
      <c r="P54" s="44"/>
    </row>
    <row r="55" spans="1:16" ht="37.5">
      <c r="A55" s="15"/>
      <c r="B55" s="76" t="s">
        <v>48</v>
      </c>
      <c r="C55" s="100"/>
      <c r="D55" s="98">
        <v>250</v>
      </c>
      <c r="E55" s="98">
        <v>6</v>
      </c>
      <c r="F55" s="98">
        <f>(D55*E55)*0.13</f>
        <v>195</v>
      </c>
      <c r="G55" s="99"/>
      <c r="H55" s="186"/>
      <c r="I55" s="372" t="s">
        <v>53</v>
      </c>
      <c r="J55" s="381">
        <f>0.4*4.27</f>
        <v>1.708</v>
      </c>
      <c r="K55" s="383" t="s">
        <v>15</v>
      </c>
      <c r="L55" s="251"/>
      <c r="M55" s="383">
        <f>0.4*7.75</f>
        <v>3.1</v>
      </c>
      <c r="N55" s="88" t="s">
        <v>110</v>
      </c>
      <c r="O55" s="386">
        <v>33</v>
      </c>
      <c r="P55" s="44"/>
    </row>
    <row r="56" spans="1:16" ht="37.5">
      <c r="A56" s="15"/>
      <c r="B56" s="76" t="s">
        <v>49</v>
      </c>
      <c r="C56" s="100"/>
      <c r="D56" s="98">
        <v>157</v>
      </c>
      <c r="E56" s="98">
        <v>6</v>
      </c>
      <c r="F56" s="98">
        <f t="shared" ref="F56:F61" si="2">(D56*E56)*0.13</f>
        <v>122.46000000000001</v>
      </c>
      <c r="G56" s="99"/>
      <c r="H56" s="186"/>
      <c r="I56" s="380"/>
      <c r="J56" s="382"/>
      <c r="K56" s="384"/>
      <c r="L56" s="252"/>
      <c r="M56" s="385"/>
      <c r="N56" s="27" t="s">
        <v>109</v>
      </c>
      <c r="O56" s="387"/>
      <c r="P56" s="44"/>
    </row>
    <row r="57" spans="1:16" ht="37.5">
      <c r="A57" s="15"/>
      <c r="B57" s="76" t="s">
        <v>51</v>
      </c>
      <c r="C57" s="100"/>
      <c r="D57" s="98">
        <v>127</v>
      </c>
      <c r="E57" s="98">
        <v>8</v>
      </c>
      <c r="F57" s="98">
        <f t="shared" si="2"/>
        <v>132.08000000000001</v>
      </c>
      <c r="G57" s="99"/>
      <c r="H57" s="186"/>
      <c r="I57" s="372" t="s">
        <v>8</v>
      </c>
      <c r="J57" s="374">
        <v>2.2599999999999998</v>
      </c>
      <c r="K57" s="376"/>
      <c r="L57" s="101"/>
      <c r="M57" s="376">
        <v>2.44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125</v>
      </c>
      <c r="E58" s="98">
        <v>16</v>
      </c>
      <c r="F58" s="98">
        <f t="shared" si="2"/>
        <v>260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84</v>
      </c>
      <c r="E59" s="98">
        <v>22</v>
      </c>
      <c r="F59" s="98">
        <f t="shared" si="2"/>
        <v>240.24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68</v>
      </c>
      <c r="E60" s="98">
        <v>13</v>
      </c>
      <c r="F60" s="98">
        <f t="shared" si="2"/>
        <v>114.92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218"/>
      <c r="D61" s="98">
        <v>58</v>
      </c>
      <c r="E61" s="98">
        <v>26</v>
      </c>
      <c r="F61" s="98">
        <f t="shared" si="2"/>
        <v>196.04000000000002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214"/>
      <c r="C62" s="215"/>
      <c r="D62" s="216"/>
      <c r="E62" s="217"/>
      <c r="F62" s="230">
        <f>SUM(F50:F61)</f>
        <v>9370.66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49" t="s">
        <v>13</v>
      </c>
      <c r="J64" s="29">
        <v>0.79</v>
      </c>
      <c r="K64" s="29">
        <v>0.74</v>
      </c>
      <c r="L64" s="119">
        <f>AVERAGE(J64:K64)</f>
        <v>0.76500000000000001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49" t="s">
        <v>16</v>
      </c>
      <c r="J65" s="29">
        <v>0.93</v>
      </c>
      <c r="K65" s="245">
        <v>0.86</v>
      </c>
      <c r="L65" s="208">
        <f>AVERAGE(J65:K65)</f>
        <v>0.89500000000000002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 t="s">
        <v>4</v>
      </c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103</v>
      </c>
      <c r="C68" s="120" t="s">
        <v>84</v>
      </c>
      <c r="D68" s="120" t="s">
        <v>111</v>
      </c>
      <c r="E68" s="116">
        <v>1256</v>
      </c>
      <c r="F68" s="29"/>
      <c r="G68" s="118"/>
      <c r="H68" s="190"/>
      <c r="I68" s="249" t="s">
        <v>67</v>
      </c>
      <c r="J68" s="249"/>
      <c r="K68" s="249"/>
      <c r="L68" s="126"/>
      <c r="M68" s="248"/>
      <c r="N68" s="127"/>
      <c r="O68" s="128"/>
      <c r="P68" s="44"/>
    </row>
    <row r="69" spans="1:16" ht="37.5">
      <c r="A69" s="15"/>
      <c r="B69" s="95" t="s">
        <v>103</v>
      </c>
      <c r="C69" s="120" t="s">
        <v>84</v>
      </c>
      <c r="D69" s="120" t="s">
        <v>113</v>
      </c>
      <c r="E69" s="116">
        <v>1461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103</v>
      </c>
      <c r="C70" s="120" t="s">
        <v>84</v>
      </c>
      <c r="D70" s="120" t="s">
        <v>115</v>
      </c>
      <c r="E70" s="116">
        <v>1339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103</v>
      </c>
      <c r="C71" s="120" t="s">
        <v>83</v>
      </c>
      <c r="D71" s="120" t="s">
        <v>106</v>
      </c>
      <c r="E71" s="116">
        <v>62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103</v>
      </c>
      <c r="C72" s="120" t="s">
        <v>83</v>
      </c>
      <c r="D72" s="120" t="s">
        <v>111</v>
      </c>
      <c r="E72" s="116">
        <v>76</v>
      </c>
      <c r="F72" s="130"/>
      <c r="G72" s="244"/>
      <c r="H72" s="192"/>
      <c r="I72" s="152" t="s">
        <v>88</v>
      </c>
      <c r="J72" s="29" t="s">
        <v>85</v>
      </c>
      <c r="K72" s="29"/>
      <c r="L72" s="119" t="e">
        <f>AVERAGE(J72:K72)</f>
        <v>#DIV/0!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 t="s">
        <v>85</v>
      </c>
      <c r="K73" s="29"/>
      <c r="L73" s="119" t="e">
        <f>AVERAGE(J73:K73)</f>
        <v>#DIV/0!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60.45</v>
      </c>
      <c r="K74" s="27">
        <v>61.45</v>
      </c>
      <c r="L74" s="119">
        <f>AVERAGE(J74:K74)</f>
        <v>60.95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67.55</v>
      </c>
      <c r="K75" s="91">
        <v>66.900000000000006</v>
      </c>
      <c r="L75" s="119">
        <f>AVERAGE(J75:K75)</f>
        <v>67.224999999999994</v>
      </c>
      <c r="M75" s="115"/>
      <c r="N75" s="91"/>
      <c r="O75" s="35"/>
      <c r="P75" s="44"/>
    </row>
    <row r="76" spans="1:16" ht="39.75" thickBot="1">
      <c r="A76" s="170"/>
      <c r="B76" s="95" t="s">
        <v>103</v>
      </c>
      <c r="C76" s="120" t="s">
        <v>83</v>
      </c>
      <c r="D76" s="120" t="s">
        <v>106</v>
      </c>
      <c r="E76" s="136">
        <v>0.71779999999999999</v>
      </c>
      <c r="F76" s="137"/>
      <c r="G76" s="141"/>
      <c r="H76" s="188"/>
      <c r="I76" s="180"/>
      <c r="J76" s="2" t="s">
        <v>4</v>
      </c>
      <c r="K76" s="2"/>
      <c r="L76" s="2"/>
      <c r="M76" s="3" t="s">
        <v>4</v>
      </c>
      <c r="N76" s="4"/>
      <c r="O76" s="5"/>
      <c r="P76" s="44"/>
    </row>
    <row r="77" spans="1:16" ht="39">
      <c r="A77" s="170"/>
      <c r="B77" s="95" t="s">
        <v>103</v>
      </c>
      <c r="C77" s="120" t="s">
        <v>83</v>
      </c>
      <c r="D77" s="120" t="s">
        <v>111</v>
      </c>
      <c r="E77" s="136">
        <v>0.70979999999999999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48"/>
      <c r="J78" s="236" t="s">
        <v>66</v>
      </c>
      <c r="K78" s="236" t="s">
        <v>66</v>
      </c>
      <c r="L78" s="236" t="s">
        <v>66</v>
      </c>
      <c r="M78" s="113"/>
      <c r="N78" s="248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0.4*1.85</f>
        <v>0.7400000000000001</v>
      </c>
      <c r="L79" s="119">
        <f>AVERAGE(J79:K79)</f>
        <v>0.7400000000000001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0.4*5.15</f>
        <v>2.06</v>
      </c>
      <c r="K80" s="91" t="s">
        <v>85</v>
      </c>
      <c r="L80" s="119">
        <f>AVERAGE(J80:K80)</f>
        <v>2.06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103</v>
      </c>
      <c r="C82" s="120" t="s">
        <v>83</v>
      </c>
      <c r="D82" s="120" t="s">
        <v>106</v>
      </c>
      <c r="E82" s="27">
        <v>2.5099999999999998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103</v>
      </c>
      <c r="C83" s="120" t="s">
        <v>83</v>
      </c>
      <c r="D83" s="120" t="s">
        <v>111</v>
      </c>
      <c r="E83" s="27">
        <v>2.95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>
        <v>5.8999999999999997E-2</v>
      </c>
      <c r="L84" s="119">
        <f>AVERAGE(J84:K84)</f>
        <v>5.8999999999999997E-2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>
        <v>0.17</v>
      </c>
      <c r="L85" s="119">
        <f>AVERAGE(J85:K85)</f>
        <v>0.17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50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168</v>
      </c>
      <c r="D3" s="38"/>
      <c r="E3" s="39" t="s">
        <v>9</v>
      </c>
      <c r="F3" s="39"/>
      <c r="G3" s="39"/>
      <c r="H3" s="40"/>
      <c r="I3" s="41" t="s">
        <v>2</v>
      </c>
      <c r="J3" s="42" t="s">
        <v>175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168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174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1.42</v>
      </c>
      <c r="E7" s="21"/>
      <c r="F7" s="21">
        <v>1.36</v>
      </c>
      <c r="G7" s="102">
        <f>AVERAGE(D7:F7)</f>
        <v>1.3900000000000001</v>
      </c>
      <c r="H7" s="184"/>
      <c r="I7" s="372" t="s">
        <v>98</v>
      </c>
      <c r="J7" s="383">
        <f>3.86*0.4</f>
        <v>1.544</v>
      </c>
      <c r="K7" s="383" t="s">
        <v>15</v>
      </c>
      <c r="L7" s="306"/>
      <c r="M7" s="383">
        <f>2.56*0.4</f>
        <v>1.024</v>
      </c>
      <c r="N7" s="88" t="s">
        <v>176</v>
      </c>
      <c r="O7" s="386">
        <v>53</v>
      </c>
      <c r="P7" s="44"/>
    </row>
    <row r="8" spans="1:17" ht="38.25" thickBot="1">
      <c r="A8" s="12"/>
      <c r="B8" s="68" t="s">
        <v>16</v>
      </c>
      <c r="C8" s="69"/>
      <c r="D8" s="34">
        <v>1.55</v>
      </c>
      <c r="E8" s="23"/>
      <c r="F8" s="23">
        <v>1.53</v>
      </c>
      <c r="G8" s="124">
        <f>AVERAGE(D8:F8)</f>
        <v>1.54</v>
      </c>
      <c r="H8" s="184"/>
      <c r="I8" s="380"/>
      <c r="J8" s="384"/>
      <c r="K8" s="384"/>
      <c r="L8" s="308"/>
      <c r="M8" s="385"/>
      <c r="N8" s="27" t="s">
        <v>177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3.6*0.4</f>
        <v>1.4400000000000002</v>
      </c>
      <c r="K9" s="383" t="s">
        <v>15</v>
      </c>
      <c r="L9" s="383"/>
      <c r="M9" s="383">
        <f>3.23*0.4</f>
        <v>1.292</v>
      </c>
      <c r="N9" s="88" t="s">
        <v>176</v>
      </c>
      <c r="O9" s="386">
        <v>68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177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3.9*0.4</f>
        <v>1.56</v>
      </c>
      <c r="K11" s="383" t="s">
        <v>15</v>
      </c>
      <c r="L11" s="306"/>
      <c r="M11" s="383">
        <f>3.69*0.4</f>
        <v>1.476</v>
      </c>
      <c r="N11" s="312" t="s">
        <v>178</v>
      </c>
      <c r="O11" s="386">
        <v>65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08"/>
      <c r="M12" s="385"/>
      <c r="N12" s="27" t="s">
        <v>179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3.58*0.4</f>
        <v>1.4320000000000002</v>
      </c>
      <c r="K13" s="383" t="s">
        <v>15</v>
      </c>
      <c r="L13" s="306"/>
      <c r="M13" s="383">
        <f>2.58*0.4</f>
        <v>1.032</v>
      </c>
      <c r="N13" s="312" t="s">
        <v>178</v>
      </c>
      <c r="O13" s="386">
        <v>20</v>
      </c>
      <c r="P13" s="44"/>
    </row>
    <row r="14" spans="1:17" ht="37.5">
      <c r="A14" s="11" t="s">
        <v>91</v>
      </c>
      <c r="B14" s="76" t="s">
        <v>21</v>
      </c>
      <c r="C14" s="120"/>
      <c r="D14" s="28">
        <f>4.64*0.4</f>
        <v>1.8559999999999999</v>
      </c>
      <c r="E14" s="28"/>
      <c r="F14" s="28">
        <f>2.44*0.4</f>
        <v>0.97599999999999998</v>
      </c>
      <c r="G14" s="33">
        <f t="shared" ref="G14:G27" si="0">AVERAGE(D14:F14)</f>
        <v>1.4159999999999999</v>
      </c>
      <c r="H14" s="184"/>
      <c r="I14" s="380"/>
      <c r="J14" s="384"/>
      <c r="K14" s="384"/>
      <c r="L14" s="308"/>
      <c r="M14" s="385"/>
      <c r="N14" s="27" t="s">
        <v>179</v>
      </c>
      <c r="O14" s="387"/>
      <c r="P14" s="44"/>
    </row>
    <row r="15" spans="1:17" ht="37.5">
      <c r="A15" s="11"/>
      <c r="B15" s="76" t="s">
        <v>97</v>
      </c>
      <c r="C15" s="29"/>
      <c r="D15" s="29">
        <f>4.09*0.4</f>
        <v>1.6360000000000001</v>
      </c>
      <c r="E15" s="28"/>
      <c r="F15" s="29">
        <f>2.24*0.4</f>
        <v>0.89600000000000013</v>
      </c>
      <c r="G15" s="33">
        <f t="shared" si="0"/>
        <v>1.266</v>
      </c>
      <c r="H15" s="184" t="s">
        <v>4</v>
      </c>
      <c r="I15" s="390" t="s">
        <v>61</v>
      </c>
      <c r="J15" s="383">
        <f>4.01*0.4</f>
        <v>1.6040000000000001</v>
      </c>
      <c r="K15" s="383" t="s">
        <v>15</v>
      </c>
      <c r="L15" s="306"/>
      <c r="M15" s="383">
        <f>7.9*0.4</f>
        <v>3.16</v>
      </c>
      <c r="N15" s="312" t="s">
        <v>178</v>
      </c>
      <c r="O15" s="386">
        <v>46</v>
      </c>
      <c r="P15" s="44"/>
    </row>
    <row r="16" spans="1:17" ht="37.5">
      <c r="A16" s="11"/>
      <c r="B16" s="76" t="s">
        <v>22</v>
      </c>
      <c r="C16" s="28"/>
      <c r="D16" s="28">
        <f>3.93*0.4</f>
        <v>1.5720000000000001</v>
      </c>
      <c r="E16" s="29"/>
      <c r="F16" s="29">
        <f>2.82*0.4</f>
        <v>1.1279999999999999</v>
      </c>
      <c r="G16" s="33">
        <f t="shared" si="0"/>
        <v>1.35</v>
      </c>
      <c r="H16" s="184"/>
      <c r="I16" s="391"/>
      <c r="J16" s="384"/>
      <c r="K16" s="384"/>
      <c r="L16" s="308"/>
      <c r="M16" s="385"/>
      <c r="N16" s="27" t="s">
        <v>179</v>
      </c>
      <c r="O16" s="387"/>
      <c r="P16" s="44"/>
    </row>
    <row r="17" spans="1:16" ht="37.5">
      <c r="A17" s="11"/>
      <c r="B17" s="76" t="s">
        <v>24</v>
      </c>
      <c r="C17" s="28"/>
      <c r="D17" s="28">
        <f>2.66*0.4</f>
        <v>1.0640000000000001</v>
      </c>
      <c r="E17" s="28"/>
      <c r="F17" s="29">
        <f>2.2*0.4</f>
        <v>0.88000000000000012</v>
      </c>
      <c r="G17" s="33">
        <f t="shared" si="0"/>
        <v>0.97200000000000009</v>
      </c>
      <c r="H17" s="184"/>
      <c r="I17" s="372" t="s">
        <v>62</v>
      </c>
      <c r="J17" s="383">
        <f>3.22*0.4</f>
        <v>1.2880000000000003</v>
      </c>
      <c r="K17" s="383" t="s">
        <v>15</v>
      </c>
      <c r="L17" s="306"/>
      <c r="M17" s="383">
        <f>3.74*0.4</f>
        <v>1.4960000000000002</v>
      </c>
      <c r="N17" s="312" t="s">
        <v>178</v>
      </c>
      <c r="O17" s="386">
        <v>12</v>
      </c>
      <c r="P17" s="44"/>
    </row>
    <row r="18" spans="1:16" ht="37.5">
      <c r="A18" s="11"/>
      <c r="B18" s="76" t="s">
        <v>25</v>
      </c>
      <c r="C18" s="29"/>
      <c r="D18" s="28">
        <f>2.9*0.4</f>
        <v>1.1599999999999999</v>
      </c>
      <c r="E18" s="28"/>
      <c r="F18" s="29">
        <f>1.75*0.4</f>
        <v>0.70000000000000007</v>
      </c>
      <c r="G18" s="33">
        <f t="shared" si="0"/>
        <v>0.92999999999999994</v>
      </c>
      <c r="H18" s="184"/>
      <c r="I18" s="380"/>
      <c r="J18" s="384"/>
      <c r="K18" s="384"/>
      <c r="L18" s="308"/>
      <c r="M18" s="385"/>
      <c r="N18" s="27" t="s">
        <v>179</v>
      </c>
      <c r="O18" s="387"/>
      <c r="P18" s="44"/>
    </row>
    <row r="19" spans="1:16" ht="37.5">
      <c r="A19" s="11"/>
      <c r="B19" s="76" t="s">
        <v>27</v>
      </c>
      <c r="C19" s="29"/>
      <c r="D19" s="28">
        <f>2.2*0.4</f>
        <v>0.88000000000000012</v>
      </c>
      <c r="E19" s="29"/>
      <c r="F19" s="29">
        <f>1.69*0.4</f>
        <v>0.67600000000000005</v>
      </c>
      <c r="G19" s="33">
        <f t="shared" si="0"/>
        <v>0.77800000000000002</v>
      </c>
      <c r="H19" s="184"/>
      <c r="I19" s="372" t="s">
        <v>63</v>
      </c>
      <c r="J19" s="383">
        <f>3.67*0.4</f>
        <v>1.468</v>
      </c>
      <c r="K19" s="383" t="s">
        <v>15</v>
      </c>
      <c r="L19" s="306"/>
      <c r="M19" s="383">
        <f>2.6*0.4</f>
        <v>1.04</v>
      </c>
      <c r="N19" s="88" t="s">
        <v>180</v>
      </c>
      <c r="O19" s="386">
        <v>15</v>
      </c>
      <c r="P19" s="44"/>
    </row>
    <row r="20" spans="1:16" ht="37.5">
      <c r="A20" s="11"/>
      <c r="B20" s="76" t="s">
        <v>29</v>
      </c>
      <c r="C20" s="28"/>
      <c r="D20" s="28">
        <f>1.96*0.4</f>
        <v>0.78400000000000003</v>
      </c>
      <c r="E20" s="29"/>
      <c r="F20" s="29">
        <f>1.47*0.4</f>
        <v>0.58799999999999997</v>
      </c>
      <c r="G20" s="33">
        <f t="shared" si="0"/>
        <v>0.68599999999999994</v>
      </c>
      <c r="H20" s="184"/>
      <c r="I20" s="380"/>
      <c r="J20" s="384"/>
      <c r="K20" s="384"/>
      <c r="L20" s="308"/>
      <c r="M20" s="385"/>
      <c r="N20" s="27" t="s">
        <v>181</v>
      </c>
      <c r="O20" s="387"/>
      <c r="P20" s="44"/>
    </row>
    <row r="21" spans="1:16" ht="37.5">
      <c r="A21" s="11"/>
      <c r="B21" s="76" t="s">
        <v>30</v>
      </c>
      <c r="C21" s="28"/>
      <c r="D21" s="28">
        <f>1.67*0.4</f>
        <v>0.66800000000000004</v>
      </c>
      <c r="E21" s="28"/>
      <c r="F21" s="29">
        <f>1.44*0.4</f>
        <v>0.57599999999999996</v>
      </c>
      <c r="G21" s="33">
        <f t="shared" si="0"/>
        <v>0.622</v>
      </c>
      <c r="H21" s="184"/>
      <c r="I21" s="372" t="s">
        <v>14</v>
      </c>
      <c r="J21" s="383">
        <f>6.7*0.4</f>
        <v>2.68</v>
      </c>
      <c r="K21" s="383" t="s">
        <v>15</v>
      </c>
      <c r="L21" s="306"/>
      <c r="M21" s="383">
        <f>3.57*0.4</f>
        <v>1.4279999999999999</v>
      </c>
      <c r="N21" s="88" t="s">
        <v>182</v>
      </c>
      <c r="O21" s="386">
        <v>38</v>
      </c>
      <c r="P21" s="44"/>
    </row>
    <row r="22" spans="1:16" ht="37.5">
      <c r="A22" s="11"/>
      <c r="B22" s="76" t="s">
        <v>32</v>
      </c>
      <c r="C22" s="78"/>
      <c r="D22" s="28">
        <f>1.66*0.4</f>
        <v>0.66400000000000003</v>
      </c>
      <c r="E22" s="28"/>
      <c r="F22" s="29">
        <f>1.23*0.4</f>
        <v>0.49199999999999999</v>
      </c>
      <c r="G22" s="33">
        <f t="shared" si="0"/>
        <v>0.57800000000000007</v>
      </c>
      <c r="H22" s="184"/>
      <c r="I22" s="380"/>
      <c r="J22" s="384"/>
      <c r="K22" s="384"/>
      <c r="L22" s="308"/>
      <c r="M22" s="385"/>
      <c r="N22" s="27" t="s">
        <v>183</v>
      </c>
      <c r="O22" s="387"/>
      <c r="P22" s="44"/>
    </row>
    <row r="23" spans="1:16" ht="37.5">
      <c r="A23" s="11"/>
      <c r="B23" s="76" t="s">
        <v>33</v>
      </c>
      <c r="C23" s="28"/>
      <c r="D23" s="28">
        <f>1.61*0.4</f>
        <v>0.64400000000000013</v>
      </c>
      <c r="E23" s="28"/>
      <c r="F23" s="28">
        <f>1.19*0.4</f>
        <v>0.47599999999999998</v>
      </c>
      <c r="G23" s="33">
        <f t="shared" si="0"/>
        <v>0.56000000000000005</v>
      </c>
      <c r="H23" s="184"/>
      <c r="I23" s="372" t="s">
        <v>17</v>
      </c>
      <c r="J23" s="383">
        <f>4.56*0.4</f>
        <v>1.8239999999999998</v>
      </c>
      <c r="K23" s="383" t="s">
        <v>15</v>
      </c>
      <c r="L23" s="306"/>
      <c r="M23" s="383">
        <f>3.33*0.4</f>
        <v>1.3320000000000001</v>
      </c>
      <c r="N23" s="88" t="s">
        <v>182</v>
      </c>
      <c r="O23" s="386">
        <v>47</v>
      </c>
      <c r="P23" s="44"/>
    </row>
    <row r="24" spans="1:16" ht="37.5">
      <c r="A24" s="11"/>
      <c r="B24" s="76" t="s">
        <v>35</v>
      </c>
      <c r="C24" s="29"/>
      <c r="D24" s="28">
        <f>1.48*0.4</f>
        <v>0.59199999999999997</v>
      </c>
      <c r="E24" s="28"/>
      <c r="F24" s="28">
        <f>0.88*0.4</f>
        <v>0.35200000000000004</v>
      </c>
      <c r="G24" s="33">
        <f t="shared" si="0"/>
        <v>0.47199999999999998</v>
      </c>
      <c r="H24" s="184"/>
      <c r="I24" s="380"/>
      <c r="J24" s="384"/>
      <c r="K24" s="384"/>
      <c r="L24" s="308"/>
      <c r="M24" s="385"/>
      <c r="N24" s="27" t="s">
        <v>183</v>
      </c>
      <c r="O24" s="387"/>
      <c r="P24" s="44"/>
    </row>
    <row r="25" spans="1:16" ht="37.5">
      <c r="A25" s="11"/>
      <c r="B25" s="76" t="s">
        <v>36</v>
      </c>
      <c r="C25" s="27"/>
      <c r="D25" s="28">
        <f>1.39*0.4</f>
        <v>0.55599999999999994</v>
      </c>
      <c r="E25" s="28"/>
      <c r="F25" s="28">
        <f>0.8*0.4</f>
        <v>0.32000000000000006</v>
      </c>
      <c r="G25" s="33">
        <f t="shared" si="0"/>
        <v>0.438</v>
      </c>
      <c r="H25" s="184"/>
      <c r="I25" s="372" t="s">
        <v>18</v>
      </c>
      <c r="J25" s="383">
        <f>2.67*0.4</f>
        <v>1.0680000000000001</v>
      </c>
      <c r="K25" s="383" t="s">
        <v>15</v>
      </c>
      <c r="L25" s="306"/>
      <c r="M25" s="383">
        <f>3.64*0.4</f>
        <v>1.4560000000000002</v>
      </c>
      <c r="N25" s="88" t="s">
        <v>182</v>
      </c>
      <c r="O25" s="386">
        <v>70</v>
      </c>
      <c r="P25" s="44"/>
    </row>
    <row r="26" spans="1:16" ht="37.5">
      <c r="A26" s="11"/>
      <c r="B26" s="76" t="s">
        <v>38</v>
      </c>
      <c r="C26" s="27"/>
      <c r="D26" s="28">
        <f>1.21*0.4</f>
        <v>0.48399999999999999</v>
      </c>
      <c r="E26" s="28"/>
      <c r="F26" s="29">
        <f>0.75*0.4</f>
        <v>0.30000000000000004</v>
      </c>
      <c r="G26" s="33">
        <f t="shared" si="0"/>
        <v>0.39200000000000002</v>
      </c>
      <c r="H26" s="184"/>
      <c r="I26" s="380"/>
      <c r="J26" s="384"/>
      <c r="K26" s="384"/>
      <c r="L26" s="308"/>
      <c r="M26" s="385"/>
      <c r="N26" s="27" t="s">
        <v>183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1.11*0.4</f>
        <v>0.44400000000000006</v>
      </c>
      <c r="E27" s="30"/>
      <c r="F27" s="29">
        <f>0.86*0.4</f>
        <v>0.34400000000000003</v>
      </c>
      <c r="G27" s="33">
        <f t="shared" si="0"/>
        <v>0.39400000000000002</v>
      </c>
      <c r="H27" s="184"/>
      <c r="I27" s="372" t="s">
        <v>20</v>
      </c>
      <c r="J27" s="383">
        <f>4.33*0.4</f>
        <v>1.7320000000000002</v>
      </c>
      <c r="K27" s="383" t="s">
        <v>15</v>
      </c>
      <c r="L27" s="306"/>
      <c r="M27" s="383">
        <f>2.96*0.4</f>
        <v>1.1839999999999999</v>
      </c>
      <c r="N27" s="88" t="s">
        <v>182</v>
      </c>
      <c r="O27" s="386">
        <v>68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08"/>
      <c r="M28" s="385"/>
      <c r="N28" s="27" t="s">
        <v>183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2.52*0.4</f>
        <v>1.008</v>
      </c>
      <c r="K29" s="383" t="s">
        <v>15</v>
      </c>
      <c r="L29" s="81"/>
      <c r="M29" s="383">
        <f>2.76*0.4</f>
        <v>1.1039999999999999</v>
      </c>
      <c r="N29" s="88" t="s">
        <v>182</v>
      </c>
      <c r="O29" s="386">
        <v>51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183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0.62</v>
      </c>
      <c r="E31" s="28"/>
      <c r="F31" s="234">
        <v>0.56999999999999995</v>
      </c>
      <c r="G31" s="33">
        <f t="shared" ref="G31:G46" si="1">AVERAGE(D31:F31)</f>
        <v>0.59499999999999997</v>
      </c>
      <c r="H31" s="184"/>
      <c r="I31" s="372" t="s">
        <v>8</v>
      </c>
      <c r="J31" s="376">
        <v>1.55</v>
      </c>
      <c r="K31" s="306"/>
      <c r="L31" s="86"/>
      <c r="M31" s="376">
        <v>1.42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0.95</v>
      </c>
      <c r="E32" s="28"/>
      <c r="F32" s="29">
        <v>0.75</v>
      </c>
      <c r="G32" s="33">
        <f t="shared" si="1"/>
        <v>0.85</v>
      </c>
      <c r="H32" s="184"/>
      <c r="I32" s="380"/>
      <c r="J32" s="388"/>
      <c r="K32" s="307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0.41</v>
      </c>
      <c r="E33" s="29"/>
      <c r="F33" s="29">
        <v>0.46</v>
      </c>
      <c r="G33" s="33">
        <f t="shared" si="1"/>
        <v>0.435</v>
      </c>
      <c r="H33" s="184"/>
      <c r="I33" s="372" t="s">
        <v>26</v>
      </c>
      <c r="J33" s="381">
        <f>3.52*0.4</f>
        <v>1.4080000000000001</v>
      </c>
      <c r="K33" s="383" t="s">
        <v>15</v>
      </c>
      <c r="L33" s="381"/>
      <c r="M33" s="381">
        <f>2.81*0.4</f>
        <v>1.1240000000000001</v>
      </c>
      <c r="N33" s="88" t="s">
        <v>182</v>
      </c>
      <c r="O33" s="386">
        <v>71</v>
      </c>
      <c r="P33" s="44"/>
    </row>
    <row r="34" spans="1:16" ht="37.5">
      <c r="A34" s="11"/>
      <c r="B34" s="76" t="s">
        <v>24</v>
      </c>
      <c r="C34" s="29"/>
      <c r="D34" s="29">
        <v>0.18</v>
      </c>
      <c r="E34" s="28"/>
      <c r="F34" s="29">
        <v>0.45</v>
      </c>
      <c r="G34" s="33">
        <f t="shared" si="1"/>
        <v>0.315</v>
      </c>
      <c r="H34" s="184"/>
      <c r="I34" s="380"/>
      <c r="J34" s="382"/>
      <c r="K34" s="384"/>
      <c r="L34" s="382"/>
      <c r="M34" s="382"/>
      <c r="N34" s="27" t="s">
        <v>184</v>
      </c>
      <c r="O34" s="387"/>
      <c r="P34" s="44"/>
    </row>
    <row r="35" spans="1:16" ht="37.5">
      <c r="A35" s="11"/>
      <c r="B35" s="76" t="s">
        <v>25</v>
      </c>
      <c r="C35" s="29"/>
      <c r="D35" s="29">
        <v>0.1</v>
      </c>
      <c r="E35" s="28"/>
      <c r="F35" s="29">
        <v>0.21</v>
      </c>
      <c r="G35" s="33">
        <f t="shared" si="1"/>
        <v>0.155</v>
      </c>
      <c r="H35" s="184"/>
      <c r="I35" s="372" t="s">
        <v>28</v>
      </c>
      <c r="J35" s="381">
        <f>2.78*0.4</f>
        <v>1.1119999999999999</v>
      </c>
      <c r="K35" s="383" t="s">
        <v>15</v>
      </c>
      <c r="L35" s="381"/>
      <c r="M35" s="383">
        <f>4.95*0.4</f>
        <v>1.9800000000000002</v>
      </c>
      <c r="N35" s="88" t="s">
        <v>182</v>
      </c>
      <c r="O35" s="386">
        <v>68</v>
      </c>
      <c r="P35" s="44"/>
    </row>
    <row r="36" spans="1:16" ht="37.5">
      <c r="A36" s="11"/>
      <c r="B36" s="76" t="s">
        <v>27</v>
      </c>
      <c r="C36" s="29"/>
      <c r="D36" s="29">
        <v>0</v>
      </c>
      <c r="E36" s="29"/>
      <c r="F36" s="29">
        <v>0.17</v>
      </c>
      <c r="G36" s="33">
        <f t="shared" si="1"/>
        <v>8.5000000000000006E-2</v>
      </c>
      <c r="H36" s="184"/>
      <c r="I36" s="380"/>
      <c r="J36" s="382"/>
      <c r="K36" s="384"/>
      <c r="L36" s="382"/>
      <c r="M36" s="385"/>
      <c r="N36" s="27" t="s">
        <v>184</v>
      </c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0.1</v>
      </c>
      <c r="G37" s="33">
        <f t="shared" si="1"/>
        <v>0.05</v>
      </c>
      <c r="H37" s="184"/>
      <c r="I37" s="372" t="s">
        <v>31</v>
      </c>
      <c r="J37" s="381">
        <f>3.58*0.4</f>
        <v>1.4320000000000002</v>
      </c>
      <c r="K37" s="383" t="s">
        <v>15</v>
      </c>
      <c r="L37" s="381"/>
      <c r="M37" s="383">
        <f>3.63*0.4</f>
        <v>1.452</v>
      </c>
      <c r="N37" s="88" t="s">
        <v>184</v>
      </c>
      <c r="O37" s="386">
        <v>55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0.01</v>
      </c>
      <c r="G38" s="33">
        <f t="shared" si="1"/>
        <v>5.0000000000000001E-3</v>
      </c>
      <c r="H38" s="184"/>
      <c r="I38" s="380"/>
      <c r="J38" s="382"/>
      <c r="K38" s="384"/>
      <c r="L38" s="382"/>
      <c r="M38" s="385"/>
      <c r="N38" s="27"/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4.75*0.4</f>
        <v>1.9000000000000001</v>
      </c>
      <c r="K39" s="383" t="s">
        <v>15</v>
      </c>
      <c r="L39" s="381"/>
      <c r="M39" s="383">
        <f>3.06*0.4</f>
        <v>1.2240000000000002</v>
      </c>
      <c r="N39" s="88" t="s">
        <v>184</v>
      </c>
      <c r="O39" s="386">
        <v>68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/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2.12*0.4</f>
        <v>0.84800000000000009</v>
      </c>
      <c r="K41" s="383" t="s">
        <v>15</v>
      </c>
      <c r="L41" s="381"/>
      <c r="M41" s="383">
        <f>3.98*0.4</f>
        <v>1.5920000000000001</v>
      </c>
      <c r="N41" s="88" t="s">
        <v>184</v>
      </c>
      <c r="O41" s="386">
        <v>64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/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4.55*0.4</f>
        <v>1.82</v>
      </c>
      <c r="K43" s="383" t="s">
        <v>15</v>
      </c>
      <c r="L43" s="381"/>
      <c r="M43" s="383">
        <f>3.05*0.4</f>
        <v>1.22</v>
      </c>
      <c r="N43" s="88" t="s">
        <v>184</v>
      </c>
      <c r="O43" s="386">
        <v>65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/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4.18*0.4</f>
        <v>1.6719999999999999</v>
      </c>
      <c r="K45" s="383" t="s">
        <v>15</v>
      </c>
      <c r="L45" s="381"/>
      <c r="M45" s="383">
        <f>3.84*0.4</f>
        <v>1.536</v>
      </c>
      <c r="N45" s="88" t="s">
        <v>184</v>
      </c>
      <c r="O45" s="386">
        <v>60</v>
      </c>
      <c r="P45" s="44"/>
    </row>
    <row r="46" spans="1:16" ht="57.75" customHeight="1" thickBot="1">
      <c r="A46" s="14"/>
      <c r="B46" s="319" t="s">
        <v>58</v>
      </c>
      <c r="C46" s="237"/>
      <c r="D46" s="238">
        <v>0.02</v>
      </c>
      <c r="E46" s="239"/>
      <c r="F46" s="238">
        <v>0.05</v>
      </c>
      <c r="G46" s="240">
        <f t="shared" si="1"/>
        <v>3.5000000000000003E-2</v>
      </c>
      <c r="H46" s="184"/>
      <c r="I46" s="380"/>
      <c r="J46" s="382"/>
      <c r="K46" s="384"/>
      <c r="L46" s="382"/>
      <c r="M46" s="385"/>
      <c r="N46" s="27"/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2.22*0.4</f>
        <v>0.88800000000000012</v>
      </c>
      <c r="K47" s="383" t="s">
        <v>15</v>
      </c>
      <c r="L47" s="381"/>
      <c r="M47" s="383">
        <f>3*0.4</f>
        <v>1.2000000000000002</v>
      </c>
      <c r="N47" s="88" t="s">
        <v>184</v>
      </c>
      <c r="O47" s="386">
        <v>58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/>
      <c r="O48" s="387"/>
      <c r="P48" s="44"/>
    </row>
    <row r="49" spans="1:16" ht="38.25" thickBot="1">
      <c r="A49" s="14"/>
      <c r="B49" s="95" t="s">
        <v>168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3.27*0.4</f>
        <v>1.3080000000000001</v>
      </c>
      <c r="K49" s="383" t="s">
        <v>15</v>
      </c>
      <c r="L49" s="306"/>
      <c r="M49" s="383">
        <f>2.38*0.4</f>
        <v>0.95199999999999996</v>
      </c>
      <c r="N49" s="88" t="s">
        <v>185</v>
      </c>
      <c r="O49" s="386">
        <v>75</v>
      </c>
      <c r="P49" s="44"/>
    </row>
    <row r="50" spans="1:16" ht="37.5">
      <c r="A50" s="14"/>
      <c r="B50" s="76" t="s">
        <v>22</v>
      </c>
      <c r="C50" s="97"/>
      <c r="D50" s="98">
        <v>1639</v>
      </c>
      <c r="E50" s="98">
        <v>11</v>
      </c>
      <c r="F50" s="98">
        <f>(D50*E50)*0.26</f>
        <v>4687.54</v>
      </c>
      <c r="G50" s="221"/>
      <c r="H50" s="222"/>
      <c r="I50" s="380"/>
      <c r="J50" s="382"/>
      <c r="K50" s="384"/>
      <c r="L50" s="308"/>
      <c r="M50" s="385"/>
      <c r="N50" s="27" t="s">
        <v>186</v>
      </c>
      <c r="O50" s="387"/>
      <c r="P50" s="44"/>
    </row>
    <row r="51" spans="1:16" ht="37.5">
      <c r="A51" s="14"/>
      <c r="B51" s="76" t="s">
        <v>24</v>
      </c>
      <c r="C51" s="97"/>
      <c r="D51" s="98">
        <v>1133</v>
      </c>
      <c r="E51" s="98">
        <v>9</v>
      </c>
      <c r="F51" s="98">
        <f>(D51*E51)*0.26</f>
        <v>2651.2200000000003</v>
      </c>
      <c r="G51" s="99"/>
      <c r="H51" s="186"/>
      <c r="I51" s="372" t="s">
        <v>47</v>
      </c>
      <c r="J51" s="381">
        <f>7.93*0.4</f>
        <v>3.1720000000000002</v>
      </c>
      <c r="K51" s="383" t="s">
        <v>15</v>
      </c>
      <c r="L51" s="306"/>
      <c r="M51" s="383">
        <f>3.16*0.4</f>
        <v>1.2640000000000002</v>
      </c>
      <c r="N51" s="88" t="s">
        <v>185</v>
      </c>
      <c r="O51" s="386">
        <v>60</v>
      </c>
      <c r="P51" s="44"/>
    </row>
    <row r="52" spans="1:16" ht="37.5">
      <c r="A52" s="14"/>
      <c r="B52" s="76" t="s">
        <v>25</v>
      </c>
      <c r="C52" s="97"/>
      <c r="D52" s="98">
        <v>611</v>
      </c>
      <c r="E52" s="98">
        <v>7</v>
      </c>
      <c r="F52" s="98">
        <f>(D52*E52)*0.26</f>
        <v>1112.02</v>
      </c>
      <c r="G52" s="99"/>
      <c r="H52" s="186"/>
      <c r="I52" s="380"/>
      <c r="J52" s="382"/>
      <c r="K52" s="384"/>
      <c r="L52" s="308"/>
      <c r="M52" s="385"/>
      <c r="N52" s="27" t="s">
        <v>186</v>
      </c>
      <c r="O52" s="387"/>
      <c r="P52" s="44"/>
    </row>
    <row r="53" spans="1:16" ht="37.5">
      <c r="A53" s="14"/>
      <c r="B53" s="76" t="s">
        <v>27</v>
      </c>
      <c r="C53" s="97"/>
      <c r="D53" s="98">
        <v>391</v>
      </c>
      <c r="E53" s="98">
        <v>11</v>
      </c>
      <c r="F53" s="98">
        <f>(D53*E53)*0.26</f>
        <v>1118.26</v>
      </c>
      <c r="G53" s="99"/>
      <c r="H53" s="186"/>
      <c r="I53" s="372" t="s">
        <v>50</v>
      </c>
      <c r="J53" s="381">
        <f>2.29*0.4</f>
        <v>0.91600000000000004</v>
      </c>
      <c r="K53" s="383" t="s">
        <v>15</v>
      </c>
      <c r="L53" s="306"/>
      <c r="M53" s="383">
        <f>2.67*0.4</f>
        <v>1.0680000000000001</v>
      </c>
      <c r="N53" s="88" t="s">
        <v>185</v>
      </c>
      <c r="O53" s="386">
        <v>48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08"/>
      <c r="M54" s="385"/>
      <c r="N54" s="27" t="s">
        <v>186</v>
      </c>
      <c r="O54" s="387"/>
      <c r="P54" s="44"/>
    </row>
    <row r="55" spans="1:16" ht="37.5">
      <c r="A55" s="15"/>
      <c r="B55" s="76" t="s">
        <v>48</v>
      </c>
      <c r="C55" s="100"/>
      <c r="D55" s="98">
        <v>200</v>
      </c>
      <c r="E55" s="98">
        <v>11</v>
      </c>
      <c r="F55" s="98">
        <f>(D55*E55)*0.13</f>
        <v>286</v>
      </c>
      <c r="G55" s="99"/>
      <c r="H55" s="186"/>
      <c r="I55" s="372" t="s">
        <v>53</v>
      </c>
      <c r="J55" s="381">
        <f>4.6*0.4</f>
        <v>1.8399999999999999</v>
      </c>
      <c r="K55" s="383" t="s">
        <v>15</v>
      </c>
      <c r="L55" s="306"/>
      <c r="M55" s="383">
        <f>4.18*0.4</f>
        <v>1.6719999999999999</v>
      </c>
      <c r="N55" s="88" t="s">
        <v>185</v>
      </c>
      <c r="O55" s="386">
        <v>84</v>
      </c>
      <c r="P55" s="44"/>
    </row>
    <row r="56" spans="1:16" ht="37.5">
      <c r="A56" s="15"/>
      <c r="B56" s="76" t="s">
        <v>49</v>
      </c>
      <c r="C56" s="100"/>
      <c r="D56" s="98">
        <v>154</v>
      </c>
      <c r="E56" s="98">
        <v>7</v>
      </c>
      <c r="F56" s="98">
        <f t="shared" ref="F56:F61" si="2">(D56*E56)*0.13</f>
        <v>140.14000000000001</v>
      </c>
      <c r="G56" s="99"/>
      <c r="H56" s="186"/>
      <c r="I56" s="380"/>
      <c r="J56" s="382"/>
      <c r="K56" s="384"/>
      <c r="L56" s="308"/>
      <c r="M56" s="385"/>
      <c r="N56" s="27" t="s">
        <v>186</v>
      </c>
      <c r="O56" s="387"/>
      <c r="P56" s="44"/>
    </row>
    <row r="57" spans="1:16" ht="37.5">
      <c r="A57" s="15"/>
      <c r="B57" s="76" t="s">
        <v>51</v>
      </c>
      <c r="C57" s="100"/>
      <c r="D57" s="98">
        <v>152</v>
      </c>
      <c r="E57" s="98">
        <v>11</v>
      </c>
      <c r="F57" s="98">
        <f t="shared" si="2"/>
        <v>217.36</v>
      </c>
      <c r="G57" s="99"/>
      <c r="H57" s="186"/>
      <c r="I57" s="372" t="s">
        <v>8</v>
      </c>
      <c r="J57" s="374">
        <v>1.53</v>
      </c>
      <c r="K57" s="376"/>
      <c r="L57" s="101"/>
      <c r="M57" s="376">
        <v>1.36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153</v>
      </c>
      <c r="E58" s="98">
        <v>9</v>
      </c>
      <c r="F58" s="98">
        <f t="shared" si="2"/>
        <v>179.01000000000002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113</v>
      </c>
      <c r="E59" s="98">
        <v>17</v>
      </c>
      <c r="F59" s="98">
        <f t="shared" si="2"/>
        <v>249.73000000000002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49</v>
      </c>
      <c r="E60" s="98">
        <v>13</v>
      </c>
      <c r="F60" s="98">
        <f t="shared" si="2"/>
        <v>82.81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39</v>
      </c>
      <c r="E61" s="98">
        <v>25</v>
      </c>
      <c r="F61" s="98">
        <f t="shared" si="2"/>
        <v>126.75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10850.84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10" t="s">
        <v>13</v>
      </c>
      <c r="J64" s="29">
        <v>0.52</v>
      </c>
      <c r="K64" s="29">
        <v>0.59</v>
      </c>
      <c r="L64" s="119">
        <f>AVERAGE(J64:K64)</f>
        <v>0.55499999999999994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10" t="s">
        <v>16</v>
      </c>
      <c r="J65" s="29">
        <v>0.74</v>
      </c>
      <c r="K65" s="245">
        <v>1.41</v>
      </c>
      <c r="L65" s="208">
        <f>AVERAGE(J65:K65)</f>
        <v>1.075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168</v>
      </c>
      <c r="C68" s="120" t="s">
        <v>84</v>
      </c>
      <c r="D68" s="120" t="s">
        <v>187</v>
      </c>
      <c r="E68" s="116">
        <v>1704</v>
      </c>
      <c r="F68" s="29"/>
      <c r="G68" s="118"/>
      <c r="H68" s="190"/>
      <c r="I68" s="310" t="s">
        <v>67</v>
      </c>
      <c r="J68" s="310"/>
      <c r="K68" s="310"/>
      <c r="L68" s="126"/>
      <c r="M68" s="309"/>
      <c r="N68" s="127"/>
      <c r="O68" s="128"/>
      <c r="P68" s="44"/>
    </row>
    <row r="69" spans="1:16" ht="37.5">
      <c r="A69" s="15"/>
      <c r="B69" s="95" t="s">
        <v>168</v>
      </c>
      <c r="C69" s="120" t="s">
        <v>84</v>
      </c>
      <c r="D69" s="120" t="s">
        <v>188</v>
      </c>
      <c r="E69" s="116">
        <v>1221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168</v>
      </c>
      <c r="C70" s="120" t="s">
        <v>84</v>
      </c>
      <c r="D70" s="120" t="s">
        <v>189</v>
      </c>
      <c r="E70" s="116">
        <v>1753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168</v>
      </c>
      <c r="C71" s="120" t="s">
        <v>83</v>
      </c>
      <c r="D71" s="120" t="s">
        <v>187</v>
      </c>
      <c r="E71" s="116">
        <v>17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168</v>
      </c>
      <c r="C72" s="120" t="s">
        <v>83</v>
      </c>
      <c r="D72" s="120" t="s">
        <v>172</v>
      </c>
      <c r="E72" s="116">
        <v>24</v>
      </c>
      <c r="F72" s="130"/>
      <c r="G72" s="244"/>
      <c r="H72" s="192"/>
      <c r="I72" s="152" t="s">
        <v>88</v>
      </c>
      <c r="J72" s="29">
        <v>85.67</v>
      </c>
      <c r="K72" s="29"/>
      <c r="L72" s="119">
        <f>AVERAGE(J72:K72)</f>
        <v>85.67</v>
      </c>
      <c r="M72" s="133"/>
      <c r="N72" s="32"/>
      <c r="O72" s="33"/>
      <c r="P72" s="44"/>
    </row>
    <row r="73" spans="1:16" ht="39">
      <c r="A73" s="16"/>
      <c r="B73" s="95" t="s">
        <v>168</v>
      </c>
      <c r="C73" s="120" t="s">
        <v>83</v>
      </c>
      <c r="D73" s="120" t="s">
        <v>188</v>
      </c>
      <c r="E73" s="116">
        <v>24</v>
      </c>
      <c r="F73" s="131"/>
      <c r="G73" s="132"/>
      <c r="H73" s="193"/>
      <c r="I73" s="152" t="s">
        <v>89</v>
      </c>
      <c r="J73" s="29">
        <v>72.77</v>
      </c>
      <c r="K73" s="29"/>
      <c r="L73" s="119">
        <f>AVERAGE(J73:K73)</f>
        <v>72.77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68.45</v>
      </c>
      <c r="K74" s="27">
        <v>61.7</v>
      </c>
      <c r="L74" s="119">
        <f>AVERAGE(J74:K74)</f>
        <v>65.075000000000003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62.1</v>
      </c>
      <c r="K75" s="91">
        <v>60.7</v>
      </c>
      <c r="L75" s="119">
        <f>AVERAGE(J75:K75)</f>
        <v>61.400000000000006</v>
      </c>
      <c r="M75" s="115"/>
      <c r="N75" s="91"/>
      <c r="O75" s="35"/>
      <c r="P75" s="44"/>
    </row>
    <row r="76" spans="1:16" ht="39.75" thickBot="1">
      <c r="A76" s="170"/>
      <c r="B76" s="95" t="s">
        <v>168</v>
      </c>
      <c r="C76" s="120" t="s">
        <v>83</v>
      </c>
      <c r="D76" s="120" t="s">
        <v>187</v>
      </c>
      <c r="E76" s="136">
        <v>0.56289999999999996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168</v>
      </c>
      <c r="C77" s="120" t="s">
        <v>83</v>
      </c>
      <c r="D77" s="120" t="s">
        <v>172</v>
      </c>
      <c r="E77" s="136">
        <v>0.53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09"/>
      <c r="J78" s="236" t="s">
        <v>66</v>
      </c>
      <c r="K78" s="236" t="s">
        <v>66</v>
      </c>
      <c r="L78" s="236" t="s">
        <v>66</v>
      </c>
      <c r="M78" s="113"/>
      <c r="N78" s="309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3.2*0.4</f>
        <v>1.2800000000000002</v>
      </c>
      <c r="K79" s="27">
        <f>3.12*0.4</f>
        <v>1.2480000000000002</v>
      </c>
      <c r="L79" s="119">
        <f>AVERAGE(J79:K79)</f>
        <v>1.2640000000000002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7.38*0.4</f>
        <v>2.952</v>
      </c>
      <c r="K80" s="91">
        <f>2.15*0.4</f>
        <v>0.86</v>
      </c>
      <c r="L80" s="119">
        <f>AVERAGE(J80:K80)</f>
        <v>1.9059999999999999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168</v>
      </c>
      <c r="C82" s="120" t="s">
        <v>83</v>
      </c>
      <c r="D82" s="120" t="s">
        <v>166</v>
      </c>
      <c r="E82" s="27">
        <v>3.02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168</v>
      </c>
      <c r="C83" s="120" t="s">
        <v>83</v>
      </c>
      <c r="D83" s="120" t="s">
        <v>187</v>
      </c>
      <c r="E83" s="27">
        <v>2.12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168</v>
      </c>
      <c r="C84" s="120" t="s">
        <v>83</v>
      </c>
      <c r="D84" s="120" t="s">
        <v>172</v>
      </c>
      <c r="E84" s="27">
        <v>3.01</v>
      </c>
      <c r="F84" s="131"/>
      <c r="G84" s="139"/>
      <c r="H84" s="197"/>
      <c r="I84" s="77" t="s">
        <v>93</v>
      </c>
      <c r="J84" s="32">
        <v>3.9E-2</v>
      </c>
      <c r="K84" s="32">
        <v>0.04</v>
      </c>
      <c r="L84" s="119">
        <f>AVERAGE(J84:K84)</f>
        <v>3.95E-2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0.03</v>
      </c>
      <c r="K85" s="211">
        <v>0.01</v>
      </c>
      <c r="L85" s="119">
        <f>AVERAGE(J85:K85)</f>
        <v>0.02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11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174</v>
      </c>
      <c r="D3" s="38"/>
      <c r="E3" s="39" t="s">
        <v>9</v>
      </c>
      <c r="F3" s="39"/>
      <c r="G3" s="39"/>
      <c r="H3" s="40"/>
      <c r="I3" s="41" t="s">
        <v>2</v>
      </c>
      <c r="J3" s="42" t="s">
        <v>191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174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190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1.22</v>
      </c>
      <c r="E7" s="21"/>
      <c r="F7" s="21">
        <v>1.17</v>
      </c>
      <c r="G7" s="102">
        <f>AVERAGE(D7:F7)</f>
        <v>1.1949999999999998</v>
      </c>
      <c r="H7" s="184"/>
      <c r="I7" s="372" t="s">
        <v>98</v>
      </c>
      <c r="J7" s="383">
        <f>11.52*0.4</f>
        <v>4.6079999999999997</v>
      </c>
      <c r="K7" s="383" t="s">
        <v>15</v>
      </c>
      <c r="L7" s="323"/>
      <c r="M7" s="383">
        <f>2*0.4</f>
        <v>0.8</v>
      </c>
      <c r="N7" s="88" t="s">
        <v>185</v>
      </c>
      <c r="O7" s="386">
        <v>99</v>
      </c>
      <c r="P7" s="44"/>
    </row>
    <row r="8" spans="1:17" ht="38.25" thickBot="1">
      <c r="A8" s="12"/>
      <c r="B8" s="68" t="s">
        <v>16</v>
      </c>
      <c r="C8" s="69"/>
      <c r="D8" s="34">
        <v>1.58</v>
      </c>
      <c r="E8" s="23"/>
      <c r="F8" s="23">
        <v>2.48</v>
      </c>
      <c r="G8" s="124">
        <f>AVERAGE(D8:F8)</f>
        <v>2.0300000000000002</v>
      </c>
      <c r="H8" s="184"/>
      <c r="I8" s="380"/>
      <c r="J8" s="384"/>
      <c r="K8" s="384"/>
      <c r="L8" s="325"/>
      <c r="M8" s="385"/>
      <c r="N8" s="27" t="s">
        <v>186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2.92*0.4</f>
        <v>1.1679999999999999</v>
      </c>
      <c r="K9" s="383" t="s">
        <v>15</v>
      </c>
      <c r="L9" s="383"/>
      <c r="M9" s="383">
        <f>2.59*0.4</f>
        <v>1.036</v>
      </c>
      <c r="N9" s="88" t="s">
        <v>185</v>
      </c>
      <c r="O9" s="386">
        <v>67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186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2.92*0.4</f>
        <v>1.1679999999999999</v>
      </c>
      <c r="K11" s="383" t="s">
        <v>15</v>
      </c>
      <c r="L11" s="323"/>
      <c r="M11" s="383">
        <f>2.23*0.4</f>
        <v>0.89200000000000002</v>
      </c>
      <c r="N11" s="88" t="s">
        <v>185</v>
      </c>
      <c r="O11" s="386">
        <v>71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25"/>
      <c r="M12" s="385"/>
      <c r="N12" s="27" t="s">
        <v>186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2.49*0.4</f>
        <v>0.99600000000000011</v>
      </c>
      <c r="K13" s="383" t="s">
        <v>15</v>
      </c>
      <c r="L13" s="323"/>
      <c r="M13" s="383">
        <f>4.39*0.4</f>
        <v>1.756</v>
      </c>
      <c r="N13" s="88" t="s">
        <v>185</v>
      </c>
      <c r="O13" s="386">
        <v>38</v>
      </c>
      <c r="P13" s="44"/>
    </row>
    <row r="14" spans="1:17" ht="37.5">
      <c r="A14" s="11" t="s">
        <v>91</v>
      </c>
      <c r="B14" s="76" t="s">
        <v>21</v>
      </c>
      <c r="C14" s="120"/>
      <c r="D14" s="28">
        <f>2.71*0.4</f>
        <v>1.0840000000000001</v>
      </c>
      <c r="E14" s="28"/>
      <c r="F14" s="28">
        <f>3.2*0.4</f>
        <v>1.2800000000000002</v>
      </c>
      <c r="G14" s="33">
        <f t="shared" ref="G14:G27" si="0">AVERAGE(D14:F14)</f>
        <v>1.1820000000000002</v>
      </c>
      <c r="H14" s="184"/>
      <c r="I14" s="380"/>
      <c r="J14" s="384"/>
      <c r="K14" s="384"/>
      <c r="L14" s="325"/>
      <c r="M14" s="385"/>
      <c r="N14" s="27" t="s">
        <v>186</v>
      </c>
      <c r="O14" s="387"/>
      <c r="P14" s="44"/>
    </row>
    <row r="15" spans="1:17" ht="37.5">
      <c r="A15" s="11"/>
      <c r="B15" s="76" t="s">
        <v>97</v>
      </c>
      <c r="C15" s="29"/>
      <c r="D15" s="29">
        <f>2.32*0.4</f>
        <v>0.92799999999999994</v>
      </c>
      <c r="E15" s="28"/>
      <c r="F15" s="29">
        <f>3.01*0.4</f>
        <v>1.204</v>
      </c>
      <c r="G15" s="33">
        <f t="shared" si="0"/>
        <v>1.0659999999999998</v>
      </c>
      <c r="H15" s="184" t="s">
        <v>4</v>
      </c>
      <c r="I15" s="390" t="s">
        <v>61</v>
      </c>
      <c r="J15" s="383">
        <f>2.8*0.4</f>
        <v>1.1199999999999999</v>
      </c>
      <c r="K15" s="383" t="s">
        <v>15</v>
      </c>
      <c r="L15" s="323"/>
      <c r="M15" s="383">
        <f>3.39*0.4</f>
        <v>1.3560000000000001</v>
      </c>
      <c r="N15" s="88" t="s">
        <v>185</v>
      </c>
      <c r="O15" s="386">
        <v>72</v>
      </c>
      <c r="P15" s="44"/>
    </row>
    <row r="16" spans="1:17" ht="37.5">
      <c r="A16" s="11"/>
      <c r="B16" s="76" t="s">
        <v>22</v>
      </c>
      <c r="C16" s="28"/>
      <c r="D16" s="28">
        <f>1.29*0.4</f>
        <v>0.51600000000000001</v>
      </c>
      <c r="E16" s="29"/>
      <c r="F16" s="29">
        <f>2.59*0.4</f>
        <v>1.036</v>
      </c>
      <c r="G16" s="33">
        <f t="shared" si="0"/>
        <v>0.77600000000000002</v>
      </c>
      <c r="H16" s="184"/>
      <c r="I16" s="391"/>
      <c r="J16" s="384"/>
      <c r="K16" s="384"/>
      <c r="L16" s="325"/>
      <c r="M16" s="385"/>
      <c r="N16" s="27" t="s">
        <v>186</v>
      </c>
      <c r="O16" s="387"/>
      <c r="P16" s="44"/>
    </row>
    <row r="17" spans="1:16" ht="37.5">
      <c r="A17" s="11"/>
      <c r="B17" s="76" t="s">
        <v>24</v>
      </c>
      <c r="C17" s="28"/>
      <c r="D17" s="28">
        <f>1.07*0.4</f>
        <v>0.42800000000000005</v>
      </c>
      <c r="E17" s="28"/>
      <c r="F17" s="29">
        <f>1.69*0.4</f>
        <v>0.67600000000000005</v>
      </c>
      <c r="G17" s="33">
        <f t="shared" si="0"/>
        <v>0.55200000000000005</v>
      </c>
      <c r="H17" s="184"/>
      <c r="I17" s="372" t="s">
        <v>62</v>
      </c>
      <c r="J17" s="383">
        <f>2.89*0.4</f>
        <v>1.1560000000000001</v>
      </c>
      <c r="K17" s="383" t="s">
        <v>15</v>
      </c>
      <c r="L17" s="323"/>
      <c r="M17" s="383">
        <f>4.44*0.4</f>
        <v>1.7760000000000002</v>
      </c>
      <c r="N17" s="88" t="s">
        <v>185</v>
      </c>
      <c r="O17" s="386">
        <v>83</v>
      </c>
      <c r="P17" s="44"/>
    </row>
    <row r="18" spans="1:16" ht="37.5">
      <c r="A18" s="11"/>
      <c r="B18" s="76" t="s">
        <v>25</v>
      </c>
      <c r="C18" s="29"/>
      <c r="D18" s="28">
        <f>1.86*0.4</f>
        <v>0.74400000000000011</v>
      </c>
      <c r="E18" s="28"/>
      <c r="F18" s="29">
        <f>1.84*0.4</f>
        <v>0.7360000000000001</v>
      </c>
      <c r="G18" s="33">
        <f t="shared" si="0"/>
        <v>0.7400000000000001</v>
      </c>
      <c r="H18" s="184"/>
      <c r="I18" s="380"/>
      <c r="J18" s="384"/>
      <c r="K18" s="384"/>
      <c r="L18" s="325"/>
      <c r="M18" s="385"/>
      <c r="N18" s="27" t="s">
        <v>186</v>
      </c>
      <c r="O18" s="387"/>
      <c r="P18" s="44"/>
    </row>
    <row r="19" spans="1:16" ht="37.5">
      <c r="A19" s="11"/>
      <c r="B19" s="76" t="s">
        <v>27</v>
      </c>
      <c r="C19" s="29"/>
      <c r="D19" s="28">
        <f>1.39*0.4</f>
        <v>0.55599999999999994</v>
      </c>
      <c r="E19" s="29"/>
      <c r="F19" s="29">
        <f>1.48*0.4</f>
        <v>0.59199999999999997</v>
      </c>
      <c r="G19" s="33">
        <f t="shared" si="0"/>
        <v>0.57399999999999995</v>
      </c>
      <c r="H19" s="184"/>
      <c r="I19" s="372" t="s">
        <v>63</v>
      </c>
      <c r="J19" s="383">
        <f>2.81*0.4</f>
        <v>1.1240000000000001</v>
      </c>
      <c r="K19" s="383" t="s">
        <v>15</v>
      </c>
      <c r="L19" s="323"/>
      <c r="M19" s="383">
        <f>3.67*0.4</f>
        <v>1.468</v>
      </c>
      <c r="N19" s="88" t="s">
        <v>185</v>
      </c>
      <c r="O19" s="386">
        <v>65</v>
      </c>
      <c r="P19" s="44"/>
    </row>
    <row r="20" spans="1:16" ht="37.5">
      <c r="A20" s="11"/>
      <c r="B20" s="76" t="s">
        <v>29</v>
      </c>
      <c r="C20" s="28"/>
      <c r="D20" s="28">
        <f>1.29*0.4</f>
        <v>0.51600000000000001</v>
      </c>
      <c r="E20" s="29"/>
      <c r="F20" s="29">
        <f>1.11*0.4</f>
        <v>0.44400000000000006</v>
      </c>
      <c r="G20" s="33">
        <f t="shared" si="0"/>
        <v>0.48000000000000004</v>
      </c>
      <c r="H20" s="184"/>
      <c r="I20" s="380"/>
      <c r="J20" s="384"/>
      <c r="K20" s="384"/>
      <c r="L20" s="325"/>
      <c r="M20" s="385"/>
      <c r="N20" s="27" t="s">
        <v>186</v>
      </c>
      <c r="O20" s="387"/>
      <c r="P20" s="44"/>
    </row>
    <row r="21" spans="1:16" ht="37.5">
      <c r="A21" s="11"/>
      <c r="B21" s="76" t="s">
        <v>30</v>
      </c>
      <c r="C21" s="28"/>
      <c r="D21" s="28">
        <f>1.27*0.4</f>
        <v>0.50800000000000001</v>
      </c>
      <c r="E21" s="28"/>
      <c r="F21" s="29">
        <f>1.01*0.4</f>
        <v>0.40400000000000003</v>
      </c>
      <c r="G21" s="33">
        <f t="shared" si="0"/>
        <v>0.45600000000000002</v>
      </c>
      <c r="H21" s="184"/>
      <c r="I21" s="372" t="s">
        <v>14</v>
      </c>
      <c r="J21" s="383">
        <f>5.86*0.4</f>
        <v>2.3440000000000003</v>
      </c>
      <c r="K21" s="383" t="s">
        <v>15</v>
      </c>
      <c r="L21" s="323"/>
      <c r="M21" s="383">
        <f>3.98*0.4</f>
        <v>1.5920000000000001</v>
      </c>
      <c r="N21" s="88" t="s">
        <v>192</v>
      </c>
      <c r="O21" s="386">
        <v>75</v>
      </c>
      <c r="P21" s="44"/>
    </row>
    <row r="22" spans="1:16" ht="37.5">
      <c r="A22" s="11"/>
      <c r="B22" s="76" t="s">
        <v>32</v>
      </c>
      <c r="C22" s="78"/>
      <c r="D22" s="28">
        <f>1.12*0.4</f>
        <v>0.44800000000000006</v>
      </c>
      <c r="E22" s="28"/>
      <c r="F22" s="29">
        <f>1*0.4</f>
        <v>0.4</v>
      </c>
      <c r="G22" s="33">
        <f t="shared" si="0"/>
        <v>0.42400000000000004</v>
      </c>
      <c r="H22" s="184"/>
      <c r="I22" s="380"/>
      <c r="J22" s="384"/>
      <c r="K22" s="384"/>
      <c r="L22" s="325"/>
      <c r="M22" s="385"/>
      <c r="N22" s="27" t="s">
        <v>193</v>
      </c>
      <c r="O22" s="387"/>
      <c r="P22" s="44"/>
    </row>
    <row r="23" spans="1:16" ht="37.5">
      <c r="A23" s="11"/>
      <c r="B23" s="76" t="s">
        <v>33</v>
      </c>
      <c r="C23" s="28"/>
      <c r="D23" s="28">
        <f>1.01*0.4</f>
        <v>0.40400000000000003</v>
      </c>
      <c r="E23" s="28"/>
      <c r="F23" s="28">
        <f>0.97*0.4</f>
        <v>0.38800000000000001</v>
      </c>
      <c r="G23" s="33">
        <f t="shared" si="0"/>
        <v>0.39600000000000002</v>
      </c>
      <c r="H23" s="184"/>
      <c r="I23" s="372" t="s">
        <v>17</v>
      </c>
      <c r="J23" s="383">
        <f>3.69*0.4</f>
        <v>1.476</v>
      </c>
      <c r="K23" s="383" t="s">
        <v>15</v>
      </c>
      <c r="L23" s="323"/>
      <c r="M23" s="383">
        <f>2.66*0.4</f>
        <v>1.0640000000000001</v>
      </c>
      <c r="N23" s="88" t="s">
        <v>192</v>
      </c>
      <c r="O23" s="386">
        <v>80</v>
      </c>
      <c r="P23" s="44"/>
    </row>
    <row r="24" spans="1:16" ht="37.5">
      <c r="A24" s="11"/>
      <c r="B24" s="76" t="s">
        <v>35</v>
      </c>
      <c r="C24" s="29"/>
      <c r="D24" s="28">
        <f>0.99*0.4</f>
        <v>0.39600000000000002</v>
      </c>
      <c r="E24" s="28"/>
      <c r="F24" s="28">
        <f>0.99*0.4</f>
        <v>0.39600000000000002</v>
      </c>
      <c r="G24" s="33">
        <f t="shared" si="0"/>
        <v>0.39600000000000002</v>
      </c>
      <c r="H24" s="184"/>
      <c r="I24" s="380"/>
      <c r="J24" s="384"/>
      <c r="K24" s="384"/>
      <c r="L24" s="325"/>
      <c r="M24" s="385"/>
      <c r="N24" s="27" t="s">
        <v>193</v>
      </c>
      <c r="O24" s="387"/>
      <c r="P24" s="44"/>
    </row>
    <row r="25" spans="1:16" ht="37.5">
      <c r="A25" s="11"/>
      <c r="B25" s="76" t="s">
        <v>36</v>
      </c>
      <c r="C25" s="27"/>
      <c r="D25" s="28">
        <f>0.97*0.4</f>
        <v>0.38800000000000001</v>
      </c>
      <c r="E25" s="28"/>
      <c r="F25" s="28">
        <f>0.89*0.4</f>
        <v>0.35600000000000004</v>
      </c>
      <c r="G25" s="33">
        <f t="shared" si="0"/>
        <v>0.372</v>
      </c>
      <c r="H25" s="184"/>
      <c r="I25" s="372" t="s">
        <v>18</v>
      </c>
      <c r="J25" s="383">
        <f>2.97*0.4</f>
        <v>1.1880000000000002</v>
      </c>
      <c r="K25" s="383" t="s">
        <v>15</v>
      </c>
      <c r="L25" s="323"/>
      <c r="M25" s="383">
        <f>3.33*0.4</f>
        <v>1.3320000000000001</v>
      </c>
      <c r="N25" s="88" t="s">
        <v>192</v>
      </c>
      <c r="O25" s="386">
        <v>87</v>
      </c>
      <c r="P25" s="44"/>
    </row>
    <row r="26" spans="1:16" ht="37.5">
      <c r="A26" s="11"/>
      <c r="B26" s="76" t="s">
        <v>38</v>
      </c>
      <c r="C26" s="27"/>
      <c r="D26" s="28">
        <f>0.92*0.4</f>
        <v>0.36800000000000005</v>
      </c>
      <c r="E26" s="28"/>
      <c r="F26" s="29">
        <f>0.94*0.4</f>
        <v>0.376</v>
      </c>
      <c r="G26" s="33">
        <f t="shared" si="0"/>
        <v>0.372</v>
      </c>
      <c r="H26" s="184"/>
      <c r="I26" s="380"/>
      <c r="J26" s="384"/>
      <c r="K26" s="384"/>
      <c r="L26" s="325"/>
      <c r="M26" s="385"/>
      <c r="N26" s="27" t="s">
        <v>193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0.86*0.4</f>
        <v>0.34400000000000003</v>
      </c>
      <c r="E27" s="30"/>
      <c r="F27" s="29">
        <f>0.89*0.4</f>
        <v>0.35600000000000004</v>
      </c>
      <c r="G27" s="33">
        <f t="shared" si="0"/>
        <v>0.35000000000000003</v>
      </c>
      <c r="H27" s="184"/>
      <c r="I27" s="372" t="s">
        <v>20</v>
      </c>
      <c r="J27" s="383">
        <f>2.84*0.4</f>
        <v>1.1359999999999999</v>
      </c>
      <c r="K27" s="383" t="s">
        <v>15</v>
      </c>
      <c r="L27" s="323"/>
      <c r="M27" s="383">
        <f>2.08*0.4</f>
        <v>0.83200000000000007</v>
      </c>
      <c r="N27" s="88" t="s">
        <v>192</v>
      </c>
      <c r="O27" s="386">
        <v>87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25"/>
      <c r="M28" s="385"/>
      <c r="N28" s="27" t="s">
        <v>193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3.55*0.4</f>
        <v>1.42</v>
      </c>
      <c r="K29" s="383" t="s">
        <v>15</v>
      </c>
      <c r="L29" s="81"/>
      <c r="M29" s="383">
        <f>1.93*0.4</f>
        <v>0.77200000000000002</v>
      </c>
      <c r="N29" s="88" t="s">
        <v>192</v>
      </c>
      <c r="O29" s="386">
        <v>67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193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0.32</v>
      </c>
      <c r="E31" s="28"/>
      <c r="F31" s="234">
        <v>0.61</v>
      </c>
      <c r="G31" s="33">
        <f t="shared" ref="G31:G46" si="1">AVERAGE(D31:F31)</f>
        <v>0.46499999999999997</v>
      </c>
      <c r="H31" s="184"/>
      <c r="I31" s="372" t="s">
        <v>8</v>
      </c>
      <c r="J31" s="376">
        <v>1.58</v>
      </c>
      <c r="K31" s="323"/>
      <c r="L31" s="86"/>
      <c r="M31" s="376">
        <v>1.22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0.52</v>
      </c>
      <c r="E32" s="28"/>
      <c r="F32" s="29">
        <v>0.87</v>
      </c>
      <c r="G32" s="33">
        <f t="shared" si="1"/>
        <v>0.69500000000000006</v>
      </c>
      <c r="H32" s="184"/>
      <c r="I32" s="380"/>
      <c r="J32" s="388"/>
      <c r="K32" s="324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0.27</v>
      </c>
      <c r="E33" s="29"/>
      <c r="F33" s="29">
        <v>0.44</v>
      </c>
      <c r="G33" s="33">
        <f t="shared" si="1"/>
        <v>0.35499999999999998</v>
      </c>
      <c r="H33" s="184"/>
      <c r="I33" s="372" t="s">
        <v>26</v>
      </c>
      <c r="J33" s="381">
        <f>4.2*0.4</f>
        <v>1.6800000000000002</v>
      </c>
      <c r="K33" s="383" t="s">
        <v>15</v>
      </c>
      <c r="L33" s="381"/>
      <c r="M33" s="381">
        <f>2.08*0.4</f>
        <v>0.83200000000000007</v>
      </c>
      <c r="N33" s="88" t="s">
        <v>194</v>
      </c>
      <c r="O33" s="386">
        <v>61</v>
      </c>
      <c r="P33" s="44"/>
    </row>
    <row r="34" spans="1:16" ht="37.5">
      <c r="A34" s="11"/>
      <c r="B34" s="76" t="s">
        <v>24</v>
      </c>
      <c r="C34" s="29"/>
      <c r="D34" s="29">
        <v>0.32</v>
      </c>
      <c r="E34" s="28"/>
      <c r="F34" s="29">
        <v>0.25</v>
      </c>
      <c r="G34" s="33">
        <f t="shared" si="1"/>
        <v>0.28500000000000003</v>
      </c>
      <c r="H34" s="184"/>
      <c r="I34" s="380"/>
      <c r="J34" s="382"/>
      <c r="K34" s="384"/>
      <c r="L34" s="382"/>
      <c r="M34" s="382"/>
      <c r="N34" s="27" t="s">
        <v>195</v>
      </c>
      <c r="O34" s="387"/>
      <c r="P34" s="44"/>
    </row>
    <row r="35" spans="1:16" ht="37.5">
      <c r="A35" s="11"/>
      <c r="B35" s="76" t="s">
        <v>25</v>
      </c>
      <c r="C35" s="29"/>
      <c r="D35" s="29">
        <v>0.21</v>
      </c>
      <c r="E35" s="28"/>
      <c r="F35" s="29">
        <v>0.17</v>
      </c>
      <c r="G35" s="33">
        <f t="shared" si="1"/>
        <v>0.19</v>
      </c>
      <c r="H35" s="184"/>
      <c r="I35" s="372" t="s">
        <v>28</v>
      </c>
      <c r="J35" s="381">
        <f>4.22*0.4</f>
        <v>1.6879999999999999</v>
      </c>
      <c r="K35" s="383" t="s">
        <v>15</v>
      </c>
      <c r="L35" s="381"/>
      <c r="M35" s="383">
        <f>3.57*0.4</f>
        <v>1.4279999999999999</v>
      </c>
      <c r="N35" s="88" t="s">
        <v>194</v>
      </c>
      <c r="O35" s="386">
        <v>58</v>
      </c>
      <c r="P35" s="44"/>
    </row>
    <row r="36" spans="1:16" ht="37.5">
      <c r="A36" s="11"/>
      <c r="B36" s="76" t="s">
        <v>27</v>
      </c>
      <c r="C36" s="29"/>
      <c r="D36" s="29">
        <v>0.16</v>
      </c>
      <c r="E36" s="29"/>
      <c r="F36" s="29">
        <v>0.1</v>
      </c>
      <c r="G36" s="33">
        <f t="shared" si="1"/>
        <v>0.13</v>
      </c>
      <c r="H36" s="184"/>
      <c r="I36" s="380"/>
      <c r="J36" s="382"/>
      <c r="K36" s="384"/>
      <c r="L36" s="382"/>
      <c r="M36" s="385"/>
      <c r="N36" s="27" t="s">
        <v>195</v>
      </c>
      <c r="O36" s="387"/>
      <c r="P36" s="44"/>
    </row>
    <row r="37" spans="1:16" ht="37.5">
      <c r="A37" s="11"/>
      <c r="B37" s="76" t="s">
        <v>46</v>
      </c>
      <c r="C37" s="29"/>
      <c r="D37" s="29">
        <v>0.12</v>
      </c>
      <c r="E37" s="29"/>
      <c r="F37" s="29">
        <v>0.09</v>
      </c>
      <c r="G37" s="33">
        <f t="shared" si="1"/>
        <v>0.105</v>
      </c>
      <c r="H37" s="184"/>
      <c r="I37" s="372" t="s">
        <v>31</v>
      </c>
      <c r="J37" s="381">
        <f>6.18*0.4</f>
        <v>2.472</v>
      </c>
      <c r="K37" s="383" t="s">
        <v>15</v>
      </c>
      <c r="L37" s="381"/>
      <c r="M37" s="383">
        <f>3.16*0.4</f>
        <v>1.2640000000000002</v>
      </c>
      <c r="N37" s="88" t="s">
        <v>194</v>
      </c>
      <c r="O37" s="386">
        <v>60</v>
      </c>
      <c r="P37" s="44"/>
    </row>
    <row r="38" spans="1:16" ht="37.5">
      <c r="A38" s="11"/>
      <c r="B38" s="76" t="s">
        <v>48</v>
      </c>
      <c r="C38" s="29"/>
      <c r="D38" s="29">
        <v>0.05</v>
      </c>
      <c r="E38" s="231"/>
      <c r="F38" s="29">
        <v>0.06</v>
      </c>
      <c r="G38" s="33">
        <f t="shared" si="1"/>
        <v>5.5E-2</v>
      </c>
      <c r="H38" s="184"/>
      <c r="I38" s="380"/>
      <c r="J38" s="382"/>
      <c r="K38" s="384"/>
      <c r="L38" s="382"/>
      <c r="M38" s="385"/>
      <c r="N38" s="27" t="s">
        <v>195</v>
      </c>
      <c r="O38" s="387"/>
      <c r="P38" s="44"/>
    </row>
    <row r="39" spans="1:16" ht="37.5">
      <c r="A39" s="11"/>
      <c r="B39" s="76" t="s">
        <v>49</v>
      </c>
      <c r="C39" s="29"/>
      <c r="D39" s="29">
        <v>0.03</v>
      </c>
      <c r="E39" s="231"/>
      <c r="F39" s="29">
        <v>0</v>
      </c>
      <c r="G39" s="33">
        <f t="shared" si="1"/>
        <v>1.4999999999999999E-2</v>
      </c>
      <c r="H39" s="184"/>
      <c r="I39" s="372" t="s">
        <v>34</v>
      </c>
      <c r="J39" s="381">
        <f>12.14*0.4</f>
        <v>4.8560000000000008</v>
      </c>
      <c r="K39" s="383" t="s">
        <v>15</v>
      </c>
      <c r="L39" s="381"/>
      <c r="M39" s="383">
        <f>4.09*0.4</f>
        <v>1.6360000000000001</v>
      </c>
      <c r="N39" s="88" t="s">
        <v>194</v>
      </c>
      <c r="O39" s="386">
        <v>56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195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5.17*0.4</f>
        <v>2.0680000000000001</v>
      </c>
      <c r="K41" s="383" t="s">
        <v>15</v>
      </c>
      <c r="L41" s="381"/>
      <c r="M41" s="383">
        <f>1.59*0.4</f>
        <v>0.63600000000000012</v>
      </c>
      <c r="N41" s="88" t="s">
        <v>194</v>
      </c>
      <c r="O41" s="386">
        <v>62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195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4.77*0.4</f>
        <v>1.9079999999999999</v>
      </c>
      <c r="K43" s="383" t="s">
        <v>15</v>
      </c>
      <c r="L43" s="381"/>
      <c r="M43" s="383">
        <f>2.65*0.4</f>
        <v>1.06</v>
      </c>
      <c r="N43" s="88" t="s">
        <v>194</v>
      </c>
      <c r="O43" s="386">
        <v>45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195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6.64*0.4</f>
        <v>2.6560000000000001</v>
      </c>
      <c r="K45" s="383" t="s">
        <v>15</v>
      </c>
      <c r="L45" s="381"/>
      <c r="M45" s="383">
        <f>3.43*0.4</f>
        <v>1.3720000000000001</v>
      </c>
      <c r="N45" s="88" t="s">
        <v>194</v>
      </c>
      <c r="O45" s="386">
        <v>62</v>
      </c>
      <c r="P45" s="44"/>
    </row>
    <row r="46" spans="1:16" ht="57.75" customHeight="1" thickBot="1">
      <c r="A46" s="14"/>
      <c r="B46" s="319" t="s">
        <v>58</v>
      </c>
      <c r="C46" s="237"/>
      <c r="D46" s="238">
        <v>0.1</v>
      </c>
      <c r="E46" s="239"/>
      <c r="F46" s="238">
        <v>0.06</v>
      </c>
      <c r="G46" s="240">
        <f t="shared" si="1"/>
        <v>0.08</v>
      </c>
      <c r="H46" s="184"/>
      <c r="I46" s="380"/>
      <c r="J46" s="382"/>
      <c r="K46" s="384"/>
      <c r="L46" s="382"/>
      <c r="M46" s="385"/>
      <c r="N46" s="27" t="s">
        <v>195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3.53*0.4</f>
        <v>1.4119999999999999</v>
      </c>
      <c r="K47" s="383" t="s">
        <v>15</v>
      </c>
      <c r="L47" s="381"/>
      <c r="M47" s="383">
        <f>2.97*0.4</f>
        <v>1.1880000000000002</v>
      </c>
      <c r="N47" s="88" t="s">
        <v>194</v>
      </c>
      <c r="O47" s="386">
        <v>76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195</v>
      </c>
      <c r="O48" s="387"/>
      <c r="P48" s="44"/>
    </row>
    <row r="49" spans="1:16" ht="38.25" thickBot="1">
      <c r="A49" s="14"/>
      <c r="B49" s="95" t="s">
        <v>174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13.72*0.4</f>
        <v>5.4880000000000004</v>
      </c>
      <c r="K49" s="383" t="s">
        <v>15</v>
      </c>
      <c r="L49" s="323"/>
      <c r="M49" s="383">
        <f>2.03*0.4</f>
        <v>0.81199999999999994</v>
      </c>
      <c r="N49" s="88" t="s">
        <v>194</v>
      </c>
      <c r="O49" s="386">
        <v>66</v>
      </c>
      <c r="P49" s="44"/>
    </row>
    <row r="50" spans="1:16" ht="37.5">
      <c r="A50" s="14"/>
      <c r="B50" s="76" t="s">
        <v>22</v>
      </c>
      <c r="C50" s="97"/>
      <c r="D50" s="98">
        <v>1848</v>
      </c>
      <c r="E50" s="98">
        <v>5</v>
      </c>
      <c r="F50" s="98">
        <f>(D50*E50)*0.26</f>
        <v>2402.4</v>
      </c>
      <c r="G50" s="221"/>
      <c r="H50" s="222"/>
      <c r="I50" s="380"/>
      <c r="J50" s="382"/>
      <c r="K50" s="384"/>
      <c r="L50" s="325"/>
      <c r="M50" s="385"/>
      <c r="N50" s="27" t="s">
        <v>195</v>
      </c>
      <c r="O50" s="387"/>
      <c r="P50" s="44"/>
    </row>
    <row r="51" spans="1:16" ht="37.5">
      <c r="A51" s="14"/>
      <c r="B51" s="76" t="s">
        <v>24</v>
      </c>
      <c r="C51" s="97"/>
      <c r="D51" s="98">
        <v>1283</v>
      </c>
      <c r="E51" s="98">
        <v>5</v>
      </c>
      <c r="F51" s="98">
        <f>(D51*E51)*0.26</f>
        <v>1667.9</v>
      </c>
      <c r="G51" s="99"/>
      <c r="H51" s="186"/>
      <c r="I51" s="372" t="s">
        <v>47</v>
      </c>
      <c r="J51" s="381">
        <f>3.42*0.4</f>
        <v>1.3680000000000001</v>
      </c>
      <c r="K51" s="383" t="s">
        <v>15</v>
      </c>
      <c r="L51" s="323"/>
      <c r="M51" s="383">
        <f>2.7*0.4</f>
        <v>1.08</v>
      </c>
      <c r="N51" s="88" t="s">
        <v>194</v>
      </c>
      <c r="O51" s="386">
        <v>66</v>
      </c>
      <c r="P51" s="44"/>
    </row>
    <row r="52" spans="1:16" ht="37.5">
      <c r="A52" s="14"/>
      <c r="B52" s="76" t="s">
        <v>25</v>
      </c>
      <c r="C52" s="97"/>
      <c r="D52" s="98">
        <v>659</v>
      </c>
      <c r="E52" s="98">
        <v>7</v>
      </c>
      <c r="F52" s="98">
        <f>(D52*E52)*0.26</f>
        <v>1199.3800000000001</v>
      </c>
      <c r="G52" s="99"/>
      <c r="H52" s="186"/>
      <c r="I52" s="380"/>
      <c r="J52" s="382"/>
      <c r="K52" s="384"/>
      <c r="L52" s="325"/>
      <c r="M52" s="385"/>
      <c r="N52" s="27" t="s">
        <v>195</v>
      </c>
      <c r="O52" s="387"/>
      <c r="P52" s="44"/>
    </row>
    <row r="53" spans="1:16" ht="37.5">
      <c r="A53" s="14"/>
      <c r="B53" s="76" t="s">
        <v>27</v>
      </c>
      <c r="C53" s="97"/>
      <c r="D53" s="98">
        <v>295</v>
      </c>
      <c r="E53" s="98">
        <v>9</v>
      </c>
      <c r="F53" s="98">
        <f>(D53*E53)*0.26</f>
        <v>690.30000000000007</v>
      </c>
      <c r="G53" s="99"/>
      <c r="H53" s="186"/>
      <c r="I53" s="372" t="s">
        <v>50</v>
      </c>
      <c r="J53" s="381">
        <f>7.92*0.4</f>
        <v>3.1680000000000001</v>
      </c>
      <c r="K53" s="383" t="s">
        <v>15</v>
      </c>
      <c r="L53" s="323"/>
      <c r="M53" s="383">
        <f>3.2*0.4</f>
        <v>1.2800000000000002</v>
      </c>
      <c r="N53" s="88" t="s">
        <v>194</v>
      </c>
      <c r="O53" s="386">
        <v>76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25"/>
      <c r="M54" s="385"/>
      <c r="N54" s="27" t="s">
        <v>195</v>
      </c>
      <c r="O54" s="387"/>
      <c r="P54" s="44"/>
    </row>
    <row r="55" spans="1:16" ht="37.5">
      <c r="A55" s="15"/>
      <c r="B55" s="76" t="s">
        <v>48</v>
      </c>
      <c r="C55" s="100"/>
      <c r="D55" s="98">
        <v>199</v>
      </c>
      <c r="E55" s="98">
        <v>10</v>
      </c>
      <c r="F55" s="98">
        <f>(D55*E55)*0.13</f>
        <v>258.7</v>
      </c>
      <c r="G55" s="99"/>
      <c r="H55" s="186"/>
      <c r="I55" s="372" t="s">
        <v>53</v>
      </c>
      <c r="J55" s="381">
        <f>2.49*0.4</f>
        <v>0.99600000000000011</v>
      </c>
      <c r="K55" s="383" t="s">
        <v>15</v>
      </c>
      <c r="L55" s="323"/>
      <c r="M55" s="383">
        <f>3.5*0.4</f>
        <v>1.4000000000000001</v>
      </c>
      <c r="N55" s="88" t="s">
        <v>194</v>
      </c>
      <c r="O55" s="386">
        <v>55</v>
      </c>
      <c r="P55" s="44"/>
    </row>
    <row r="56" spans="1:16" ht="37.5">
      <c r="A56" s="15"/>
      <c r="B56" s="76" t="s">
        <v>49</v>
      </c>
      <c r="C56" s="100"/>
      <c r="D56" s="98">
        <v>134</v>
      </c>
      <c r="E56" s="98">
        <v>7</v>
      </c>
      <c r="F56" s="98">
        <f t="shared" ref="F56:F61" si="2">(D56*E56)*0.13</f>
        <v>121.94</v>
      </c>
      <c r="G56" s="99"/>
      <c r="H56" s="186"/>
      <c r="I56" s="380"/>
      <c r="J56" s="382"/>
      <c r="K56" s="384"/>
      <c r="L56" s="325"/>
      <c r="M56" s="385"/>
      <c r="N56" s="27" t="s">
        <v>195</v>
      </c>
      <c r="O56" s="387"/>
      <c r="P56" s="44"/>
    </row>
    <row r="57" spans="1:16" ht="37.5">
      <c r="A57" s="15"/>
      <c r="B57" s="76" t="s">
        <v>51</v>
      </c>
      <c r="C57" s="100"/>
      <c r="D57" s="98">
        <v>130</v>
      </c>
      <c r="E57" s="98">
        <v>10</v>
      </c>
      <c r="F57" s="98">
        <f t="shared" si="2"/>
        <v>169</v>
      </c>
      <c r="G57" s="99"/>
      <c r="H57" s="186"/>
      <c r="I57" s="372" t="s">
        <v>8</v>
      </c>
      <c r="J57" s="374">
        <v>2.48</v>
      </c>
      <c r="K57" s="376"/>
      <c r="L57" s="101"/>
      <c r="M57" s="376">
        <v>1.17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137</v>
      </c>
      <c r="E58" s="98">
        <v>15</v>
      </c>
      <c r="F58" s="98">
        <f t="shared" si="2"/>
        <v>267.15000000000003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97</v>
      </c>
      <c r="E59" s="98">
        <v>7</v>
      </c>
      <c r="F59" s="98">
        <f t="shared" si="2"/>
        <v>88.27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40</v>
      </c>
      <c r="E60" s="98">
        <v>10</v>
      </c>
      <c r="F60" s="98">
        <f t="shared" si="2"/>
        <v>52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21</v>
      </c>
      <c r="E61" s="98">
        <v>25</v>
      </c>
      <c r="F61" s="98">
        <f t="shared" si="2"/>
        <v>68.25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6985.29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21" t="s">
        <v>13</v>
      </c>
      <c r="J64" s="29">
        <v>0.43</v>
      </c>
      <c r="K64" s="29">
        <v>0.48</v>
      </c>
      <c r="L64" s="119">
        <f>AVERAGE(J64:K64)</f>
        <v>0.45499999999999996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21" t="s">
        <v>16</v>
      </c>
      <c r="J65" s="29">
        <v>0.63</v>
      </c>
      <c r="K65" s="245">
        <v>0.63</v>
      </c>
      <c r="L65" s="208">
        <f>AVERAGE(J65:K65)</f>
        <v>0.63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174</v>
      </c>
      <c r="C68" s="120" t="s">
        <v>84</v>
      </c>
      <c r="D68" s="120" t="s">
        <v>189</v>
      </c>
      <c r="E68" s="116">
        <v>1753</v>
      </c>
      <c r="F68" s="29"/>
      <c r="G68" s="118"/>
      <c r="H68" s="190"/>
      <c r="I68" s="321" t="s">
        <v>67</v>
      </c>
      <c r="J68" s="321"/>
      <c r="K68" s="321"/>
      <c r="L68" s="126"/>
      <c r="M68" s="320"/>
      <c r="N68" s="127"/>
      <c r="O68" s="128"/>
      <c r="P68" s="44"/>
    </row>
    <row r="69" spans="1:16" ht="37.5">
      <c r="A69" s="15"/>
      <c r="B69" s="95" t="s">
        <v>174</v>
      </c>
      <c r="C69" s="120" t="s">
        <v>84</v>
      </c>
      <c r="D69" s="120" t="s">
        <v>196</v>
      </c>
      <c r="E69" s="116">
        <v>1636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174</v>
      </c>
      <c r="C70" s="120" t="s">
        <v>84</v>
      </c>
      <c r="D70" s="120" t="s">
        <v>197</v>
      </c>
      <c r="E70" s="116">
        <v>1519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174</v>
      </c>
      <c r="C71" s="120" t="s">
        <v>83</v>
      </c>
      <c r="D71" s="120" t="s">
        <v>189</v>
      </c>
      <c r="E71" s="116">
        <v>14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174</v>
      </c>
      <c r="C72" s="120" t="s">
        <v>83</v>
      </c>
      <c r="D72" s="120" t="s">
        <v>196</v>
      </c>
      <c r="E72" s="116">
        <v>31</v>
      </c>
      <c r="F72" s="130"/>
      <c r="G72" s="244"/>
      <c r="H72" s="192"/>
      <c r="I72" s="152" t="s">
        <v>88</v>
      </c>
      <c r="J72" s="29">
        <v>83.9</v>
      </c>
      <c r="K72" s="29"/>
      <c r="L72" s="119">
        <f>AVERAGE(J72:K72)</f>
        <v>83.9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58.46</v>
      </c>
      <c r="K73" s="29"/>
      <c r="L73" s="119">
        <f>AVERAGE(J73:K73)</f>
        <v>58.46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61.65</v>
      </c>
      <c r="K74" s="27">
        <v>69.099999999999994</v>
      </c>
      <c r="L74" s="119">
        <f>AVERAGE(J74:K74)</f>
        <v>65.375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61.15</v>
      </c>
      <c r="K75" s="91">
        <v>67.900000000000006</v>
      </c>
      <c r="L75" s="119">
        <f>AVERAGE(J75:K75)</f>
        <v>64.525000000000006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20"/>
      <c r="J78" s="236" t="s">
        <v>66</v>
      </c>
      <c r="K78" s="236" t="s">
        <v>66</v>
      </c>
      <c r="L78" s="236" t="s">
        <v>66</v>
      </c>
      <c r="M78" s="113"/>
      <c r="N78" s="320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1.94*0.4</f>
        <v>0.77600000000000002</v>
      </c>
      <c r="K79" s="27">
        <f>6.89*0.4</f>
        <v>2.7560000000000002</v>
      </c>
      <c r="L79" s="119">
        <f>AVERAGE(J79:K79)</f>
        <v>1.766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2.17*0.4</f>
        <v>0.86799999999999999</v>
      </c>
      <c r="L80" s="119">
        <f>AVERAGE(J80:K80)</f>
        <v>0.86799999999999999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174</v>
      </c>
      <c r="C82" s="120" t="s">
        <v>83</v>
      </c>
      <c r="D82" s="120" t="s">
        <v>188</v>
      </c>
      <c r="E82" s="27">
        <v>2.59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174</v>
      </c>
      <c r="C83" s="120" t="s">
        <v>83</v>
      </c>
      <c r="D83" s="120" t="s">
        <v>189</v>
      </c>
      <c r="E83" s="27">
        <v>1.08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174</v>
      </c>
      <c r="C84" s="120" t="s">
        <v>83</v>
      </c>
      <c r="D84" s="120" t="s">
        <v>196</v>
      </c>
      <c r="E84" s="27">
        <v>3.45</v>
      </c>
      <c r="F84" s="131"/>
      <c r="G84" s="139"/>
      <c r="H84" s="197"/>
      <c r="I84" s="77" t="s">
        <v>93</v>
      </c>
      <c r="J84" s="32">
        <v>0.33</v>
      </c>
      <c r="K84" s="32">
        <v>7.8E-2</v>
      </c>
      <c r="L84" s="119">
        <f>AVERAGE(J84:K84)</f>
        <v>0.20400000000000001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</v>
      </c>
      <c r="K85" s="211">
        <v>0.01</v>
      </c>
      <c r="L85" s="119">
        <f>AVERAGE(J85:K85)</f>
        <v>5.0000000000000001E-3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22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T119"/>
  <sheetViews>
    <sheetView view="pageBreakPreview" topLeftCell="A67" zoomScale="30" zoomScaleSheetLayoutView="30" workbookViewId="0">
      <selection activeCell="A104" sqref="A104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190</v>
      </c>
      <c r="D3" s="38"/>
      <c r="E3" s="39" t="s">
        <v>9</v>
      </c>
      <c r="F3" s="39"/>
      <c r="G3" s="39"/>
      <c r="H3" s="40"/>
      <c r="I3" s="41" t="s">
        <v>2</v>
      </c>
      <c r="J3" s="42" t="s">
        <v>198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190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199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2.48</v>
      </c>
      <c r="E7" s="21"/>
      <c r="F7" s="21">
        <v>1.74</v>
      </c>
      <c r="G7" s="102">
        <f>AVERAGE(D7:F7)</f>
        <v>2.11</v>
      </c>
      <c r="H7" s="184"/>
      <c r="I7" s="372" t="s">
        <v>98</v>
      </c>
      <c r="J7" s="383">
        <f>0.4*11.61</f>
        <v>4.6440000000000001</v>
      </c>
      <c r="K7" s="383" t="s">
        <v>15</v>
      </c>
      <c r="L7" s="329"/>
      <c r="M7" s="383">
        <f>0.4*6.64</f>
        <v>2.6560000000000001</v>
      </c>
      <c r="N7" s="88" t="s">
        <v>200</v>
      </c>
      <c r="O7" s="386">
        <v>49</v>
      </c>
      <c r="P7" s="44"/>
    </row>
    <row r="8" spans="1:17" ht="38.25" thickBot="1">
      <c r="A8" s="12"/>
      <c r="B8" s="68" t="s">
        <v>16</v>
      </c>
      <c r="C8" s="69"/>
      <c r="D8" s="34">
        <v>2.91</v>
      </c>
      <c r="E8" s="23"/>
      <c r="F8" s="23">
        <v>1.56</v>
      </c>
      <c r="G8" s="124">
        <f>AVERAGE(D8:F8)</f>
        <v>2.2350000000000003</v>
      </c>
      <c r="H8" s="184"/>
      <c r="I8" s="380"/>
      <c r="J8" s="384"/>
      <c r="K8" s="384"/>
      <c r="L8" s="331"/>
      <c r="M8" s="385"/>
      <c r="N8" s="27" t="s">
        <v>201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0.4*16.66</f>
        <v>6.6640000000000006</v>
      </c>
      <c r="K9" s="383" t="s">
        <v>15</v>
      </c>
      <c r="L9" s="383"/>
      <c r="M9" s="383">
        <f>0.4*5.44</f>
        <v>2.1760000000000002</v>
      </c>
      <c r="N9" s="88" t="s">
        <v>200</v>
      </c>
      <c r="O9" s="386">
        <v>46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201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0.4*7.47</f>
        <v>2.988</v>
      </c>
      <c r="K11" s="383" t="s">
        <v>15</v>
      </c>
      <c r="L11" s="329"/>
      <c r="M11" s="383">
        <f>0.4*4.92</f>
        <v>1.968</v>
      </c>
      <c r="N11" s="88" t="s">
        <v>200</v>
      </c>
      <c r="O11" s="386" t="s">
        <v>85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31"/>
      <c r="M12" s="385"/>
      <c r="N12" s="27" t="s">
        <v>201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0.4*4.93</f>
        <v>1.972</v>
      </c>
      <c r="K13" s="383" t="s">
        <v>15</v>
      </c>
      <c r="L13" s="329"/>
      <c r="M13" s="383">
        <f>0.4*5.19</f>
        <v>2.0760000000000001</v>
      </c>
      <c r="N13" s="88" t="s">
        <v>200</v>
      </c>
      <c r="O13" s="386">
        <v>77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0.4*3.72</f>
        <v>1.4880000000000002</v>
      </c>
      <c r="E14" s="28"/>
      <c r="F14" s="28">
        <f>2.86*0.4</f>
        <v>1.1439999999999999</v>
      </c>
      <c r="G14" s="33">
        <f t="shared" ref="G14:G27" si="0">AVERAGE(D14:F14)</f>
        <v>1.3160000000000001</v>
      </c>
      <c r="H14" s="184"/>
      <c r="I14" s="380"/>
      <c r="J14" s="384"/>
      <c r="K14" s="384"/>
      <c r="L14" s="331"/>
      <c r="M14" s="385"/>
      <c r="N14" s="27" t="s">
        <v>201</v>
      </c>
      <c r="O14" s="387"/>
      <c r="P14" s="44"/>
    </row>
    <row r="15" spans="1:17" ht="37.5">
      <c r="A15" s="11"/>
      <c r="B15" s="76" t="s">
        <v>97</v>
      </c>
      <c r="C15" s="29"/>
      <c r="D15" s="29">
        <f>0.4*1.69</f>
        <v>0.67600000000000005</v>
      </c>
      <c r="E15" s="28"/>
      <c r="F15" s="29">
        <f>2.8*0.4</f>
        <v>1.1199999999999999</v>
      </c>
      <c r="G15" s="33">
        <f t="shared" si="0"/>
        <v>0.89799999999999991</v>
      </c>
      <c r="H15" s="184" t="s">
        <v>4</v>
      </c>
      <c r="I15" s="390" t="s">
        <v>61</v>
      </c>
      <c r="J15" s="383">
        <f>0.4*4.4</f>
        <v>1.7600000000000002</v>
      </c>
      <c r="K15" s="383" t="s">
        <v>15</v>
      </c>
      <c r="L15" s="329"/>
      <c r="M15" s="383">
        <f>0.4*4.23</f>
        <v>1.6920000000000002</v>
      </c>
      <c r="N15" s="88" t="s">
        <v>200</v>
      </c>
      <c r="O15" s="386">
        <v>75</v>
      </c>
      <c r="P15" s="44"/>
    </row>
    <row r="16" spans="1:17" ht="37.5">
      <c r="A16" s="11"/>
      <c r="B16" s="76" t="s">
        <v>22</v>
      </c>
      <c r="C16" s="28"/>
      <c r="D16" s="28">
        <f>0.4*1.47</f>
        <v>0.58799999999999997</v>
      </c>
      <c r="E16" s="29"/>
      <c r="F16" s="29">
        <f>2.79*0.4</f>
        <v>1.1160000000000001</v>
      </c>
      <c r="G16" s="33">
        <f t="shared" si="0"/>
        <v>0.85200000000000009</v>
      </c>
      <c r="H16" s="184"/>
      <c r="I16" s="391"/>
      <c r="J16" s="384"/>
      <c r="K16" s="384"/>
      <c r="L16" s="331"/>
      <c r="M16" s="385"/>
      <c r="N16" s="27" t="s">
        <v>201</v>
      </c>
      <c r="O16" s="387"/>
      <c r="P16" s="44"/>
    </row>
    <row r="17" spans="1:16" ht="37.5">
      <c r="A17" s="11"/>
      <c r="B17" s="76" t="s">
        <v>24</v>
      </c>
      <c r="C17" s="28"/>
      <c r="D17" s="28">
        <f>0.4*1.22</f>
        <v>0.48799999999999999</v>
      </c>
      <c r="E17" s="28"/>
      <c r="F17" s="29">
        <f>1.79*0.4</f>
        <v>0.71600000000000008</v>
      </c>
      <c r="G17" s="33">
        <f t="shared" si="0"/>
        <v>0.60200000000000009</v>
      </c>
      <c r="H17" s="184"/>
      <c r="I17" s="372" t="s">
        <v>62</v>
      </c>
      <c r="J17" s="383">
        <f>0.4*4.12</f>
        <v>1.6480000000000001</v>
      </c>
      <c r="K17" s="383" t="s">
        <v>15</v>
      </c>
      <c r="L17" s="329"/>
      <c r="M17" s="383">
        <f>0.4*5.34</f>
        <v>2.1360000000000001</v>
      </c>
      <c r="N17" s="88" t="s">
        <v>200</v>
      </c>
      <c r="O17" s="386">
        <v>70</v>
      </c>
      <c r="P17" s="44"/>
    </row>
    <row r="18" spans="1:16" ht="37.5">
      <c r="A18" s="11"/>
      <c r="B18" s="76" t="s">
        <v>25</v>
      </c>
      <c r="C18" s="29"/>
      <c r="D18" s="28">
        <f>0.4*1.2</f>
        <v>0.48</v>
      </c>
      <c r="E18" s="28"/>
      <c r="F18" s="29">
        <f>1.48*0.4</f>
        <v>0.59199999999999997</v>
      </c>
      <c r="G18" s="33">
        <f t="shared" si="0"/>
        <v>0.53600000000000003</v>
      </c>
      <c r="H18" s="184"/>
      <c r="I18" s="380"/>
      <c r="J18" s="384"/>
      <c r="K18" s="384"/>
      <c r="L18" s="331"/>
      <c r="M18" s="385"/>
      <c r="N18" s="27" t="s">
        <v>201</v>
      </c>
      <c r="O18" s="387"/>
      <c r="P18" s="44"/>
    </row>
    <row r="19" spans="1:16" ht="37.5">
      <c r="A19" s="11"/>
      <c r="B19" s="76" t="s">
        <v>27</v>
      </c>
      <c r="C19" s="29"/>
      <c r="D19" s="28">
        <f>0.4*1.15</f>
        <v>0.45999999999999996</v>
      </c>
      <c r="E19" s="29"/>
      <c r="F19" s="29">
        <f>1.27*0.4</f>
        <v>0.50800000000000001</v>
      </c>
      <c r="G19" s="33">
        <f t="shared" si="0"/>
        <v>0.48399999999999999</v>
      </c>
      <c r="H19" s="184"/>
      <c r="I19" s="372" t="s">
        <v>63</v>
      </c>
      <c r="J19" s="383">
        <f>0.4*5.08</f>
        <v>2.032</v>
      </c>
      <c r="K19" s="383" t="s">
        <v>15</v>
      </c>
      <c r="L19" s="329"/>
      <c r="M19" s="383">
        <f>0.4*5.46</f>
        <v>2.1840000000000002</v>
      </c>
      <c r="N19" s="88" t="s">
        <v>200</v>
      </c>
      <c r="O19" s="386">
        <v>21</v>
      </c>
      <c r="P19" s="44"/>
    </row>
    <row r="20" spans="1:16" ht="37.5">
      <c r="A20" s="11"/>
      <c r="B20" s="76" t="s">
        <v>29</v>
      </c>
      <c r="C20" s="28"/>
      <c r="D20" s="28">
        <f>0.4*1.05</f>
        <v>0.42000000000000004</v>
      </c>
      <c r="E20" s="29"/>
      <c r="F20" s="29">
        <f>0.99*0.4</f>
        <v>0.39600000000000002</v>
      </c>
      <c r="G20" s="33">
        <f t="shared" si="0"/>
        <v>0.40800000000000003</v>
      </c>
      <c r="H20" s="184"/>
      <c r="I20" s="380"/>
      <c r="J20" s="384"/>
      <c r="K20" s="384"/>
      <c r="L20" s="331"/>
      <c r="M20" s="385"/>
      <c r="N20" s="27" t="s">
        <v>201</v>
      </c>
      <c r="O20" s="387"/>
      <c r="P20" s="44"/>
    </row>
    <row r="21" spans="1:16" ht="37.5">
      <c r="A21" s="11"/>
      <c r="B21" s="76" t="s">
        <v>30</v>
      </c>
      <c r="C21" s="28"/>
      <c r="D21" s="28">
        <f>0.4*0.97</f>
        <v>0.38800000000000001</v>
      </c>
      <c r="E21" s="28"/>
      <c r="F21" s="29">
        <f>1.17*0.4</f>
        <v>0.46799999999999997</v>
      </c>
      <c r="G21" s="33">
        <f t="shared" si="0"/>
        <v>0.42799999999999999</v>
      </c>
      <c r="H21" s="184"/>
      <c r="I21" s="372" t="s">
        <v>14</v>
      </c>
      <c r="J21" s="383">
        <f>0.4*6.59</f>
        <v>2.6360000000000001</v>
      </c>
      <c r="K21" s="383" t="s">
        <v>15</v>
      </c>
      <c r="L21" s="329"/>
      <c r="M21" s="383">
        <f>0.4*5.24</f>
        <v>2.0960000000000001</v>
      </c>
      <c r="N21" s="88" t="s">
        <v>200</v>
      </c>
      <c r="O21" s="386">
        <v>87</v>
      </c>
      <c r="P21" s="44"/>
    </row>
    <row r="22" spans="1:16" ht="37.5">
      <c r="A22" s="11"/>
      <c r="B22" s="76" t="s">
        <v>32</v>
      </c>
      <c r="C22" s="78"/>
      <c r="D22" s="28">
        <f>0.4*0.92</f>
        <v>0.36800000000000005</v>
      </c>
      <c r="E22" s="28"/>
      <c r="F22" s="29">
        <f>1.01*0.4</f>
        <v>0.40400000000000003</v>
      </c>
      <c r="G22" s="33">
        <f t="shared" si="0"/>
        <v>0.38600000000000001</v>
      </c>
      <c r="H22" s="184"/>
      <c r="I22" s="380"/>
      <c r="J22" s="384"/>
      <c r="K22" s="384"/>
      <c r="L22" s="331"/>
      <c r="M22" s="385"/>
      <c r="N22" s="27" t="s">
        <v>201</v>
      </c>
      <c r="O22" s="387"/>
      <c r="P22" s="44"/>
    </row>
    <row r="23" spans="1:16" ht="37.5">
      <c r="A23" s="11"/>
      <c r="B23" s="76" t="s">
        <v>33</v>
      </c>
      <c r="C23" s="28"/>
      <c r="D23" s="28">
        <f>0.4*0.86</f>
        <v>0.34400000000000003</v>
      </c>
      <c r="E23" s="28"/>
      <c r="F23" s="28">
        <f>1*0.4</f>
        <v>0.4</v>
      </c>
      <c r="G23" s="33">
        <f t="shared" si="0"/>
        <v>0.372</v>
      </c>
      <c r="H23" s="184"/>
      <c r="I23" s="372" t="s">
        <v>17</v>
      </c>
      <c r="J23" s="383">
        <f>0.4*5.13</f>
        <v>2.052</v>
      </c>
      <c r="K23" s="383" t="s">
        <v>15</v>
      </c>
      <c r="L23" s="329"/>
      <c r="M23" s="383" t="s">
        <v>85</v>
      </c>
      <c r="N23" s="88" t="s">
        <v>85</v>
      </c>
      <c r="O23" s="386" t="s">
        <v>85</v>
      </c>
      <c r="P23" s="44"/>
    </row>
    <row r="24" spans="1:16" ht="37.5">
      <c r="A24" s="11"/>
      <c r="B24" s="76" t="s">
        <v>35</v>
      </c>
      <c r="C24" s="29"/>
      <c r="D24" s="28">
        <f>0.4*0.89</f>
        <v>0.35600000000000004</v>
      </c>
      <c r="E24" s="28"/>
      <c r="F24" s="28">
        <f>0.99*0.4</f>
        <v>0.39600000000000002</v>
      </c>
      <c r="G24" s="33">
        <f t="shared" si="0"/>
        <v>0.376</v>
      </c>
      <c r="H24" s="184"/>
      <c r="I24" s="380"/>
      <c r="J24" s="384"/>
      <c r="K24" s="384"/>
      <c r="L24" s="331"/>
      <c r="M24" s="385"/>
      <c r="N24" s="27"/>
      <c r="O24" s="387"/>
      <c r="P24" s="44"/>
    </row>
    <row r="25" spans="1:16" ht="37.5">
      <c r="A25" s="11"/>
      <c r="B25" s="76" t="s">
        <v>36</v>
      </c>
      <c r="C25" s="27"/>
      <c r="D25" s="28">
        <f>0.4*0.78</f>
        <v>0.31200000000000006</v>
      </c>
      <c r="E25" s="28"/>
      <c r="F25" s="28">
        <f>0.93*0.4</f>
        <v>0.37200000000000005</v>
      </c>
      <c r="G25" s="33">
        <f t="shared" si="0"/>
        <v>0.34200000000000008</v>
      </c>
      <c r="H25" s="184"/>
      <c r="I25" s="372" t="s">
        <v>18</v>
      </c>
      <c r="J25" s="383">
        <f>0.4*7.01</f>
        <v>2.8040000000000003</v>
      </c>
      <c r="K25" s="383" t="s">
        <v>15</v>
      </c>
      <c r="L25" s="329"/>
      <c r="M25" s="383">
        <f>0.4*14.16</f>
        <v>5.6640000000000006</v>
      </c>
      <c r="N25" s="88" t="s">
        <v>200</v>
      </c>
      <c r="O25" s="386">
        <v>83</v>
      </c>
      <c r="P25" s="44"/>
    </row>
    <row r="26" spans="1:16" ht="37.5">
      <c r="A26" s="11"/>
      <c r="B26" s="76" t="s">
        <v>38</v>
      </c>
      <c r="C26" s="27"/>
      <c r="D26" s="28">
        <f>0.4*0.76</f>
        <v>0.30400000000000005</v>
      </c>
      <c r="E26" s="28"/>
      <c r="F26" s="29">
        <f>0.96*0.4</f>
        <v>0.38400000000000001</v>
      </c>
      <c r="G26" s="33">
        <f t="shared" si="0"/>
        <v>0.34400000000000003</v>
      </c>
      <c r="H26" s="184"/>
      <c r="I26" s="380"/>
      <c r="J26" s="384"/>
      <c r="K26" s="384"/>
      <c r="L26" s="331"/>
      <c r="M26" s="385"/>
      <c r="N26" s="27" t="s">
        <v>201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0.4*0.74</f>
        <v>0.29599999999999999</v>
      </c>
      <c r="E27" s="30"/>
      <c r="F27" s="29">
        <f>0.9*0.4</f>
        <v>0.36000000000000004</v>
      </c>
      <c r="G27" s="33">
        <f t="shared" si="0"/>
        <v>0.32800000000000001</v>
      </c>
      <c r="H27" s="184"/>
      <c r="I27" s="372" t="s">
        <v>20</v>
      </c>
      <c r="J27" s="383">
        <f>0.4*8.34</f>
        <v>3.3360000000000003</v>
      </c>
      <c r="K27" s="383" t="s">
        <v>15</v>
      </c>
      <c r="L27" s="329"/>
      <c r="M27" s="383">
        <f>0.4*7.68</f>
        <v>3.0720000000000001</v>
      </c>
      <c r="N27" s="88" t="s">
        <v>200</v>
      </c>
      <c r="O27" s="386">
        <v>76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31"/>
      <c r="M28" s="385"/>
      <c r="N28" s="27" t="s">
        <v>201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0.4*6.05</f>
        <v>2.42</v>
      </c>
      <c r="K29" s="383" t="s">
        <v>15</v>
      </c>
      <c r="L29" s="81"/>
      <c r="M29" s="383">
        <f>0.4*3.9</f>
        <v>1.56</v>
      </c>
      <c r="N29" s="88" t="s">
        <v>200</v>
      </c>
      <c r="O29" s="386">
        <v>60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201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0.41</v>
      </c>
      <c r="E31" s="28"/>
      <c r="F31" s="234">
        <v>0.38</v>
      </c>
      <c r="G31" s="33">
        <f t="shared" ref="G31:G46" si="1">AVERAGE(D31:F31)</f>
        <v>0.39500000000000002</v>
      </c>
      <c r="H31" s="184"/>
      <c r="I31" s="372" t="s">
        <v>8</v>
      </c>
      <c r="J31" s="376">
        <v>2.91</v>
      </c>
      <c r="K31" s="329"/>
      <c r="L31" s="86"/>
      <c r="M31" s="376">
        <v>2.48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0.67</v>
      </c>
      <c r="E32" s="28"/>
      <c r="F32" s="29">
        <v>0.66</v>
      </c>
      <c r="G32" s="33">
        <f t="shared" si="1"/>
        <v>0.66500000000000004</v>
      </c>
      <c r="H32" s="184"/>
      <c r="I32" s="380"/>
      <c r="J32" s="388"/>
      <c r="K32" s="330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0.4</v>
      </c>
      <c r="E33" s="29"/>
      <c r="F33" s="29">
        <v>0.34</v>
      </c>
      <c r="G33" s="33">
        <f t="shared" si="1"/>
        <v>0.37</v>
      </c>
      <c r="H33" s="184"/>
      <c r="I33" s="372" t="s">
        <v>26</v>
      </c>
      <c r="J33" s="381">
        <f>3.76*0.4</f>
        <v>1.504</v>
      </c>
      <c r="K33" s="383" t="s">
        <v>15</v>
      </c>
      <c r="L33" s="381"/>
      <c r="M33" s="381">
        <f>3.56*0.4</f>
        <v>1.4240000000000002</v>
      </c>
      <c r="N33" s="88" t="s">
        <v>205</v>
      </c>
      <c r="O33" s="386">
        <v>72</v>
      </c>
      <c r="P33" s="44"/>
    </row>
    <row r="34" spans="1:16" ht="37.5">
      <c r="A34" s="11"/>
      <c r="B34" s="76" t="s">
        <v>24</v>
      </c>
      <c r="C34" s="29"/>
      <c r="D34" s="29">
        <v>0.27</v>
      </c>
      <c r="E34" s="28"/>
      <c r="F34" s="29">
        <v>0.21</v>
      </c>
      <c r="G34" s="33">
        <f t="shared" si="1"/>
        <v>0.24</v>
      </c>
      <c r="H34" s="184"/>
      <c r="I34" s="380"/>
      <c r="J34" s="382"/>
      <c r="K34" s="384"/>
      <c r="L34" s="382"/>
      <c r="M34" s="382"/>
      <c r="N34" s="27" t="s">
        <v>206</v>
      </c>
      <c r="O34" s="387"/>
      <c r="P34" s="44"/>
    </row>
    <row r="35" spans="1:16" ht="37.5">
      <c r="A35" s="11"/>
      <c r="B35" s="76" t="s">
        <v>25</v>
      </c>
      <c r="C35" s="29"/>
      <c r="D35" s="29">
        <v>0.17</v>
      </c>
      <c r="E35" s="28"/>
      <c r="F35" s="29">
        <v>0.17</v>
      </c>
      <c r="G35" s="33">
        <f t="shared" si="1"/>
        <v>0.17</v>
      </c>
      <c r="H35" s="184"/>
      <c r="I35" s="372" t="s">
        <v>28</v>
      </c>
      <c r="J35" s="381">
        <f>2.33*0.4</f>
        <v>0.93200000000000005</v>
      </c>
      <c r="K35" s="383" t="s">
        <v>15</v>
      </c>
      <c r="L35" s="381"/>
      <c r="M35" s="383">
        <f>2.98*0.4</f>
        <v>1.1919999999999999</v>
      </c>
      <c r="N35" s="88" t="s">
        <v>205</v>
      </c>
      <c r="O35" s="386">
        <v>63</v>
      </c>
      <c r="P35" s="44"/>
    </row>
    <row r="36" spans="1:16" ht="37.5">
      <c r="A36" s="11"/>
      <c r="B36" s="76" t="s">
        <v>27</v>
      </c>
      <c r="C36" s="29"/>
      <c r="D36" s="29">
        <v>0.11</v>
      </c>
      <c r="E36" s="29"/>
      <c r="F36" s="29">
        <v>0.11</v>
      </c>
      <c r="G36" s="33">
        <f t="shared" si="1"/>
        <v>0.11</v>
      </c>
      <c r="H36" s="184"/>
      <c r="I36" s="380"/>
      <c r="J36" s="382"/>
      <c r="K36" s="384"/>
      <c r="L36" s="382"/>
      <c r="M36" s="385"/>
      <c r="N36" s="27" t="s">
        <v>206</v>
      </c>
      <c r="O36" s="387"/>
      <c r="P36" s="44"/>
    </row>
    <row r="37" spans="1:16" ht="37.5">
      <c r="A37" s="11"/>
      <c r="B37" s="76" t="s">
        <v>46</v>
      </c>
      <c r="C37" s="29"/>
      <c r="D37" s="29">
        <v>0.05</v>
      </c>
      <c r="E37" s="29"/>
      <c r="F37" s="29">
        <v>0.08</v>
      </c>
      <c r="G37" s="33">
        <f t="shared" si="1"/>
        <v>6.5000000000000002E-2</v>
      </c>
      <c r="H37" s="184"/>
      <c r="I37" s="372" t="s">
        <v>31</v>
      </c>
      <c r="J37" s="381">
        <f>4.15*0.4</f>
        <v>1.6600000000000001</v>
      </c>
      <c r="K37" s="383" t="s">
        <v>15</v>
      </c>
      <c r="L37" s="381"/>
      <c r="M37" s="383">
        <f>6.44*0.4</f>
        <v>2.5760000000000005</v>
      </c>
      <c r="N37" s="88" t="s">
        <v>205</v>
      </c>
      <c r="O37" s="386">
        <v>57</v>
      </c>
      <c r="P37" s="44"/>
    </row>
    <row r="38" spans="1:16" ht="37.5">
      <c r="A38" s="11"/>
      <c r="B38" s="76" t="s">
        <v>48</v>
      </c>
      <c r="C38" s="29"/>
      <c r="D38" s="29">
        <v>0.03</v>
      </c>
      <c r="E38" s="231"/>
      <c r="F38" s="29">
        <v>0.03</v>
      </c>
      <c r="G38" s="33">
        <f t="shared" si="1"/>
        <v>0.03</v>
      </c>
      <c r="H38" s="184"/>
      <c r="I38" s="380"/>
      <c r="J38" s="382"/>
      <c r="K38" s="384"/>
      <c r="L38" s="382"/>
      <c r="M38" s="385"/>
      <c r="N38" s="27" t="s">
        <v>206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0.01</v>
      </c>
      <c r="G39" s="33">
        <f t="shared" si="1"/>
        <v>5.0000000000000001E-3</v>
      </c>
      <c r="H39" s="184"/>
      <c r="I39" s="372" t="s">
        <v>34</v>
      </c>
      <c r="J39" s="381">
        <f>2.89*0.4</f>
        <v>1.1560000000000001</v>
      </c>
      <c r="K39" s="383" t="s">
        <v>15</v>
      </c>
      <c r="L39" s="381"/>
      <c r="M39" s="383">
        <f>2.88*0.4</f>
        <v>1.1519999999999999</v>
      </c>
      <c r="N39" s="88" t="s">
        <v>205</v>
      </c>
      <c r="O39" s="386">
        <v>64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206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2.65*0.4</f>
        <v>1.06</v>
      </c>
      <c r="K41" s="383" t="s">
        <v>15</v>
      </c>
      <c r="L41" s="381"/>
      <c r="M41" s="383">
        <f>4.64*0.4</f>
        <v>1.8559999999999999</v>
      </c>
      <c r="N41" s="88" t="s">
        <v>205</v>
      </c>
      <c r="O41" s="386">
        <v>62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206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7.82*0.4</f>
        <v>3.1280000000000001</v>
      </c>
      <c r="K43" s="383" t="s">
        <v>15</v>
      </c>
      <c r="L43" s="381"/>
      <c r="M43" s="383">
        <f>3.75*0.4</f>
        <v>1.5</v>
      </c>
      <c r="N43" s="88" t="s">
        <v>205</v>
      </c>
      <c r="O43" s="386">
        <v>66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206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3.34*0.4</f>
        <v>1.3360000000000001</v>
      </c>
      <c r="K45" s="383" t="s">
        <v>15</v>
      </c>
      <c r="L45" s="381"/>
      <c r="M45" s="383">
        <f>3.06*0.4</f>
        <v>1.2240000000000002</v>
      </c>
      <c r="N45" s="88" t="s">
        <v>205</v>
      </c>
      <c r="O45" s="386">
        <v>44</v>
      </c>
      <c r="P45" s="44"/>
    </row>
    <row r="46" spans="1:16" ht="57.75" customHeight="1" thickBot="1">
      <c r="A46" s="14"/>
      <c r="B46" s="319" t="s">
        <v>58</v>
      </c>
      <c r="C46" s="237"/>
      <c r="D46" s="238">
        <v>0.06</v>
      </c>
      <c r="E46" s="239"/>
      <c r="F46" s="238">
        <v>0.02</v>
      </c>
      <c r="G46" s="240">
        <f t="shared" si="1"/>
        <v>0.04</v>
      </c>
      <c r="H46" s="184"/>
      <c r="I46" s="380"/>
      <c r="J46" s="382"/>
      <c r="K46" s="384"/>
      <c r="L46" s="382"/>
      <c r="M46" s="385"/>
      <c r="N46" s="27" t="s">
        <v>206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4.43*0.4</f>
        <v>1.772</v>
      </c>
      <c r="K47" s="383" t="s">
        <v>15</v>
      </c>
      <c r="L47" s="381"/>
      <c r="M47" s="383">
        <f>3.65*0.4</f>
        <v>1.46</v>
      </c>
      <c r="N47" s="88" t="s">
        <v>205</v>
      </c>
      <c r="O47" s="386">
        <v>65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206</v>
      </c>
      <c r="O48" s="387"/>
      <c r="P48" s="44"/>
    </row>
    <row r="49" spans="1:16" ht="38.25" thickBot="1">
      <c r="A49" s="14"/>
      <c r="B49" s="95" t="s">
        <v>190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2.65*0.4</f>
        <v>1.06</v>
      </c>
      <c r="K49" s="383" t="s">
        <v>15</v>
      </c>
      <c r="L49" s="329"/>
      <c r="M49" s="383">
        <f>7.14*0.4</f>
        <v>2.8559999999999999</v>
      </c>
      <c r="N49" s="88" t="s">
        <v>205</v>
      </c>
      <c r="O49" s="386">
        <v>95</v>
      </c>
      <c r="P49" s="44"/>
    </row>
    <row r="50" spans="1:16" ht="37.5">
      <c r="A50" s="14"/>
      <c r="B50" s="76" t="s">
        <v>22</v>
      </c>
      <c r="C50" s="97"/>
      <c r="D50" s="98">
        <v>1251</v>
      </c>
      <c r="E50" s="98">
        <v>11</v>
      </c>
      <c r="F50" s="98">
        <f>(D50*E50)*0.26</f>
        <v>3577.86</v>
      </c>
      <c r="G50" s="221"/>
      <c r="H50" s="222"/>
      <c r="I50" s="380"/>
      <c r="J50" s="382"/>
      <c r="K50" s="384"/>
      <c r="L50" s="331"/>
      <c r="M50" s="385"/>
      <c r="N50" s="27" t="s">
        <v>206</v>
      </c>
      <c r="O50" s="387"/>
      <c r="P50" s="44"/>
    </row>
    <row r="51" spans="1:16" ht="37.5">
      <c r="A51" s="14"/>
      <c r="B51" s="76" t="s">
        <v>24</v>
      </c>
      <c r="C51" s="97"/>
      <c r="D51" s="98">
        <v>785</v>
      </c>
      <c r="E51" s="98">
        <v>8</v>
      </c>
      <c r="F51" s="98">
        <f>(D51*E51)*0.26</f>
        <v>1632.8</v>
      </c>
      <c r="G51" s="99"/>
      <c r="H51" s="186"/>
      <c r="I51" s="372" t="s">
        <v>47</v>
      </c>
      <c r="J51" s="381">
        <f>2.98*0.4</f>
        <v>1.1919999999999999</v>
      </c>
      <c r="K51" s="383" t="s">
        <v>15</v>
      </c>
      <c r="L51" s="329"/>
      <c r="M51" s="383">
        <f>3.63*0.4</f>
        <v>1.452</v>
      </c>
      <c r="N51" s="88" t="s">
        <v>205</v>
      </c>
      <c r="O51" s="386">
        <v>65</v>
      </c>
      <c r="P51" s="44"/>
    </row>
    <row r="52" spans="1:16" ht="37.5">
      <c r="A52" s="14"/>
      <c r="B52" s="76" t="s">
        <v>25</v>
      </c>
      <c r="C52" s="97"/>
      <c r="D52" s="98">
        <v>473</v>
      </c>
      <c r="E52" s="98">
        <v>7</v>
      </c>
      <c r="F52" s="98">
        <f>(D52*E52)*0.26</f>
        <v>860.86</v>
      </c>
      <c r="G52" s="99"/>
      <c r="H52" s="186"/>
      <c r="I52" s="380"/>
      <c r="J52" s="382"/>
      <c r="K52" s="384"/>
      <c r="L52" s="331"/>
      <c r="M52" s="385"/>
      <c r="N52" s="27" t="s">
        <v>206</v>
      </c>
      <c r="O52" s="387"/>
      <c r="P52" s="44"/>
    </row>
    <row r="53" spans="1:16" ht="37.5">
      <c r="A53" s="14"/>
      <c r="B53" s="76" t="s">
        <v>27</v>
      </c>
      <c r="C53" s="97"/>
      <c r="D53" s="98">
        <v>213</v>
      </c>
      <c r="E53" s="98">
        <v>8</v>
      </c>
      <c r="F53" s="98">
        <f>(D53*E53)*0.26</f>
        <v>443.04</v>
      </c>
      <c r="G53" s="99"/>
      <c r="H53" s="186"/>
      <c r="I53" s="372" t="s">
        <v>50</v>
      </c>
      <c r="J53" s="381">
        <f>3.55*0.4</f>
        <v>1.42</v>
      </c>
      <c r="K53" s="383" t="s">
        <v>15</v>
      </c>
      <c r="L53" s="329"/>
      <c r="M53" s="383">
        <f>6.9*0.4</f>
        <v>2.7600000000000002</v>
      </c>
      <c r="N53" s="88" t="s">
        <v>205</v>
      </c>
      <c r="O53" s="386">
        <v>65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31"/>
      <c r="M54" s="385"/>
      <c r="N54" s="27" t="s">
        <v>206</v>
      </c>
      <c r="O54" s="387"/>
      <c r="P54" s="44"/>
    </row>
    <row r="55" spans="1:16" ht="37.5">
      <c r="A55" s="15"/>
      <c r="B55" s="76" t="s">
        <v>48</v>
      </c>
      <c r="C55" s="100"/>
      <c r="D55" s="98">
        <v>131</v>
      </c>
      <c r="E55" s="98">
        <v>12</v>
      </c>
      <c r="F55" s="98">
        <f>(D55*E55)*0.13</f>
        <v>204.36</v>
      </c>
      <c r="G55" s="99"/>
      <c r="H55" s="186"/>
      <c r="I55" s="372" t="s">
        <v>53</v>
      </c>
      <c r="J55" s="381">
        <f>6.13*0.4</f>
        <v>2.452</v>
      </c>
      <c r="K55" s="383" t="s">
        <v>15</v>
      </c>
      <c r="L55" s="329"/>
      <c r="M55" s="383">
        <f>3.44*0.4</f>
        <v>1.3760000000000001</v>
      </c>
      <c r="N55" s="88" t="s">
        <v>205</v>
      </c>
      <c r="O55" s="386">
        <v>26</v>
      </c>
      <c r="P55" s="44"/>
    </row>
    <row r="56" spans="1:16" ht="37.5">
      <c r="A56" s="15"/>
      <c r="B56" s="76" t="s">
        <v>49</v>
      </c>
      <c r="C56" s="100"/>
      <c r="D56" s="98">
        <v>130</v>
      </c>
      <c r="E56" s="98">
        <v>10</v>
      </c>
      <c r="F56" s="98">
        <f t="shared" ref="F56:F61" si="2">(D56*E56)*0.13</f>
        <v>169</v>
      </c>
      <c r="G56" s="99"/>
      <c r="H56" s="186"/>
      <c r="I56" s="380"/>
      <c r="J56" s="382"/>
      <c r="K56" s="384"/>
      <c r="L56" s="331"/>
      <c r="M56" s="385"/>
      <c r="N56" s="27" t="s">
        <v>206</v>
      </c>
      <c r="O56" s="387"/>
      <c r="P56" s="44"/>
    </row>
    <row r="57" spans="1:16" ht="37.5">
      <c r="A57" s="15"/>
      <c r="B57" s="76" t="s">
        <v>51</v>
      </c>
      <c r="C57" s="100"/>
      <c r="D57" s="98">
        <v>98</v>
      </c>
      <c r="E57" s="98">
        <v>7</v>
      </c>
      <c r="F57" s="98">
        <f t="shared" si="2"/>
        <v>89.18</v>
      </c>
      <c r="G57" s="99"/>
      <c r="H57" s="186"/>
      <c r="I57" s="372" t="s">
        <v>8</v>
      </c>
      <c r="J57" s="374">
        <v>1.56</v>
      </c>
      <c r="K57" s="376"/>
      <c r="L57" s="101"/>
      <c r="M57" s="376">
        <v>1.74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95</v>
      </c>
      <c r="E58" s="98">
        <v>9</v>
      </c>
      <c r="F58" s="98">
        <f t="shared" si="2"/>
        <v>111.15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71</v>
      </c>
      <c r="E59" s="98">
        <v>10</v>
      </c>
      <c r="F59" s="98">
        <f t="shared" si="2"/>
        <v>92.3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43</v>
      </c>
      <c r="E60" s="98">
        <v>13</v>
      </c>
      <c r="F60" s="98">
        <f t="shared" si="2"/>
        <v>72.67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41</v>
      </c>
      <c r="E61" s="98">
        <v>22</v>
      </c>
      <c r="F61" s="98">
        <f t="shared" si="2"/>
        <v>117.26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7370.48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27" t="s">
        <v>13</v>
      </c>
      <c r="J64" s="29">
        <v>0.56000000000000005</v>
      </c>
      <c r="K64" s="29">
        <v>0.67</v>
      </c>
      <c r="L64" s="119">
        <f>AVERAGE(J64:K64)</f>
        <v>0.61499999999999999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27" t="s">
        <v>16</v>
      </c>
      <c r="J65" s="29">
        <v>0.56999999999999995</v>
      </c>
      <c r="K65" s="245">
        <v>0.76</v>
      </c>
      <c r="L65" s="208">
        <f>AVERAGE(J65:K65)</f>
        <v>0.66500000000000004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190</v>
      </c>
      <c r="C68" s="120" t="s">
        <v>84</v>
      </c>
      <c r="D68" s="120" t="s">
        <v>202</v>
      </c>
      <c r="E68" s="116">
        <v>1901</v>
      </c>
      <c r="F68" s="29"/>
      <c r="G68" s="118"/>
      <c r="H68" s="190"/>
      <c r="I68" s="327" t="s">
        <v>67</v>
      </c>
      <c r="J68" s="327"/>
      <c r="K68" s="327"/>
      <c r="L68" s="126"/>
      <c r="M68" s="326"/>
      <c r="N68" s="127"/>
      <c r="O68" s="128"/>
      <c r="P68" s="44"/>
    </row>
    <row r="69" spans="1:16" ht="37.5">
      <c r="A69" s="15"/>
      <c r="B69" s="95" t="s">
        <v>190</v>
      </c>
      <c r="C69" s="120" t="s">
        <v>84</v>
      </c>
      <c r="D69" s="120" t="s">
        <v>203</v>
      </c>
      <c r="E69" s="116">
        <v>1699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190</v>
      </c>
      <c r="C70" s="120" t="s">
        <v>84</v>
      </c>
      <c r="D70" s="120" t="s">
        <v>204</v>
      </c>
      <c r="E70" s="116">
        <v>1137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190</v>
      </c>
      <c r="C71" s="120" t="s">
        <v>83</v>
      </c>
      <c r="D71" s="120" t="s">
        <v>197</v>
      </c>
      <c r="E71" s="116">
        <v>16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190</v>
      </c>
      <c r="C72" s="120" t="s">
        <v>83</v>
      </c>
      <c r="D72" s="120" t="s">
        <v>202</v>
      </c>
      <c r="E72" s="116">
        <v>32</v>
      </c>
      <c r="F72" s="130"/>
      <c r="G72" s="244"/>
      <c r="H72" s="192"/>
      <c r="I72" s="152" t="s">
        <v>88</v>
      </c>
      <c r="J72" s="29">
        <v>75.5</v>
      </c>
      <c r="K72" s="29"/>
      <c r="L72" s="119">
        <f>AVERAGE(J72:K72)</f>
        <v>75.5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83</v>
      </c>
      <c r="K73" s="29"/>
      <c r="L73" s="119">
        <f>AVERAGE(J73:K73)</f>
        <v>83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68.75</v>
      </c>
      <c r="K74" s="27">
        <v>63</v>
      </c>
      <c r="L74" s="119">
        <f>AVERAGE(J74:K74)</f>
        <v>65.875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68.05</v>
      </c>
      <c r="K75" s="91">
        <v>74.5</v>
      </c>
      <c r="L75" s="119">
        <f>AVERAGE(J75:K75)</f>
        <v>71.275000000000006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26"/>
      <c r="J78" s="236" t="s">
        <v>66</v>
      </c>
      <c r="K78" s="236" t="s">
        <v>66</v>
      </c>
      <c r="L78" s="236" t="s">
        <v>66</v>
      </c>
      <c r="M78" s="113"/>
      <c r="N78" s="326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0.4*4.68</f>
        <v>1.8719999999999999</v>
      </c>
      <c r="K79" s="27">
        <f>2.98*0.4</f>
        <v>1.1919999999999999</v>
      </c>
      <c r="L79" s="119">
        <f>AVERAGE(J79:K79)</f>
        <v>1.532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0.4*4.2</f>
        <v>1.6800000000000002</v>
      </c>
      <c r="K80" s="91">
        <f>3.81*0.4</f>
        <v>1.524</v>
      </c>
      <c r="L80" s="119">
        <f>AVERAGE(J80:K80)</f>
        <v>1.6020000000000001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190</v>
      </c>
      <c r="C82" s="120" t="s">
        <v>83</v>
      </c>
      <c r="D82" s="120" t="s">
        <v>197</v>
      </c>
      <c r="E82" s="27">
        <v>2.61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190</v>
      </c>
      <c r="C83" s="120" t="s">
        <v>83</v>
      </c>
      <c r="D83" s="120" t="s">
        <v>202</v>
      </c>
      <c r="E83" s="27">
        <v>2.4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/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>
        <v>7.8E-2</v>
      </c>
      <c r="L84" s="119">
        <f>AVERAGE(J84:K84)</f>
        <v>7.8E-2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>
        <v>0.01</v>
      </c>
      <c r="L85" s="119">
        <f>AVERAGE(J85:K85)</f>
        <v>0.01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28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T119"/>
  <sheetViews>
    <sheetView view="pageBreakPreview" topLeftCell="A64" zoomScale="30" zoomScaleSheetLayoutView="30" workbookViewId="0">
      <selection activeCell="H89" sqref="H89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199</v>
      </c>
      <c r="D3" s="38"/>
      <c r="E3" s="39" t="s">
        <v>9</v>
      </c>
      <c r="F3" s="39"/>
      <c r="G3" s="39"/>
      <c r="H3" s="40"/>
      <c r="I3" s="41" t="s">
        <v>2</v>
      </c>
      <c r="J3" s="42" t="s">
        <v>207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199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208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2.0099999999999998</v>
      </c>
      <c r="E7" s="21"/>
      <c r="F7" s="21">
        <v>1.59</v>
      </c>
      <c r="G7" s="102">
        <f>AVERAGE(D7:F7)</f>
        <v>1.7999999999999998</v>
      </c>
      <c r="H7" s="184"/>
      <c r="I7" s="372" t="s">
        <v>98</v>
      </c>
      <c r="J7" s="383">
        <f>0.4*3.13</f>
        <v>1.252</v>
      </c>
      <c r="K7" s="383" t="s">
        <v>15</v>
      </c>
      <c r="L7" s="332"/>
      <c r="M7" s="383">
        <f>0.4*2.39</f>
        <v>0.95600000000000007</v>
      </c>
      <c r="N7" s="88" t="s">
        <v>205</v>
      </c>
      <c r="O7" s="386">
        <v>61</v>
      </c>
      <c r="P7" s="44"/>
    </row>
    <row r="8" spans="1:17" ht="38.25" thickBot="1">
      <c r="A8" s="12"/>
      <c r="B8" s="68" t="s">
        <v>16</v>
      </c>
      <c r="C8" s="69"/>
      <c r="D8" s="34">
        <v>3.48</v>
      </c>
      <c r="E8" s="23"/>
      <c r="F8" s="23">
        <v>1.22</v>
      </c>
      <c r="G8" s="124">
        <f>AVERAGE(D8:F8)</f>
        <v>2.35</v>
      </c>
      <c r="H8" s="184"/>
      <c r="I8" s="380"/>
      <c r="J8" s="384"/>
      <c r="K8" s="384"/>
      <c r="L8" s="334"/>
      <c r="M8" s="385"/>
      <c r="N8" s="27" t="s">
        <v>206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0.4*11.39</f>
        <v>4.556</v>
      </c>
      <c r="K9" s="383" t="s">
        <v>15</v>
      </c>
      <c r="L9" s="383"/>
      <c r="M9" s="383">
        <f>0.4*7.75</f>
        <v>3.1</v>
      </c>
      <c r="N9" s="88" t="s">
        <v>205</v>
      </c>
      <c r="O9" s="386">
        <v>73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206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0.4*5.85</f>
        <v>2.34</v>
      </c>
      <c r="K11" s="383" t="s">
        <v>15</v>
      </c>
      <c r="L11" s="332"/>
      <c r="M11" s="383">
        <f>0.4*4.73</f>
        <v>1.8920000000000003</v>
      </c>
      <c r="N11" s="88" t="s">
        <v>205</v>
      </c>
      <c r="O11" s="386">
        <v>71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34"/>
      <c r="M12" s="385"/>
      <c r="N12" s="27" t="s">
        <v>206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0.4*3.55</f>
        <v>1.42</v>
      </c>
      <c r="K13" s="383" t="s">
        <v>15</v>
      </c>
      <c r="L13" s="332"/>
      <c r="M13" s="383">
        <f>0.4*6.14</f>
        <v>2.456</v>
      </c>
      <c r="N13" s="88" t="s">
        <v>205</v>
      </c>
      <c r="O13" s="386">
        <v>72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0.4*3.38</f>
        <v>1.3520000000000001</v>
      </c>
      <c r="E14" s="28"/>
      <c r="F14" s="28">
        <f>2.77*0.4</f>
        <v>1.1080000000000001</v>
      </c>
      <c r="G14" s="33">
        <f t="shared" ref="G14:G27" si="0">AVERAGE(D14:F14)</f>
        <v>1.23</v>
      </c>
      <c r="H14" s="184"/>
      <c r="I14" s="380"/>
      <c r="J14" s="384"/>
      <c r="K14" s="384"/>
      <c r="L14" s="334"/>
      <c r="M14" s="385"/>
      <c r="N14" s="27" t="s">
        <v>206</v>
      </c>
      <c r="O14" s="387"/>
      <c r="P14" s="44"/>
    </row>
    <row r="15" spans="1:17" ht="37.5">
      <c r="A15" s="11"/>
      <c r="B15" s="76" t="s">
        <v>97</v>
      </c>
      <c r="C15" s="29"/>
      <c r="D15" s="29">
        <f>0.4*2.12</f>
        <v>0.84800000000000009</v>
      </c>
      <c r="E15" s="28"/>
      <c r="F15" s="29">
        <f>2.33*0.4</f>
        <v>0.93200000000000005</v>
      </c>
      <c r="G15" s="33">
        <f t="shared" si="0"/>
        <v>0.89000000000000012</v>
      </c>
      <c r="H15" s="184" t="s">
        <v>4</v>
      </c>
      <c r="I15" s="390" t="s">
        <v>61</v>
      </c>
      <c r="J15" s="383">
        <f>0.4*11.12</f>
        <v>4.4479999999999995</v>
      </c>
      <c r="K15" s="383" t="s">
        <v>15</v>
      </c>
      <c r="L15" s="332"/>
      <c r="M15" s="383">
        <f>0.4*3.81</f>
        <v>1.524</v>
      </c>
      <c r="N15" s="88" t="s">
        <v>209</v>
      </c>
      <c r="O15" s="386">
        <v>69</v>
      </c>
      <c r="P15" s="44"/>
    </row>
    <row r="16" spans="1:17" ht="37.5">
      <c r="A16" s="11"/>
      <c r="B16" s="76" t="s">
        <v>22</v>
      </c>
      <c r="C16" s="28"/>
      <c r="D16" s="28">
        <f>0.4*1.52</f>
        <v>0.6080000000000001</v>
      </c>
      <c r="E16" s="29"/>
      <c r="F16" s="29">
        <f>2.36*0.4</f>
        <v>0.94399999999999995</v>
      </c>
      <c r="G16" s="33">
        <f t="shared" si="0"/>
        <v>0.77600000000000002</v>
      </c>
      <c r="H16" s="184"/>
      <c r="I16" s="391"/>
      <c r="J16" s="384"/>
      <c r="K16" s="384"/>
      <c r="L16" s="334"/>
      <c r="M16" s="385"/>
      <c r="N16" s="27" t="s">
        <v>210</v>
      </c>
      <c r="O16" s="387"/>
      <c r="P16" s="44"/>
    </row>
    <row r="17" spans="1:16" ht="37.5">
      <c r="A17" s="11"/>
      <c r="B17" s="76" t="s">
        <v>24</v>
      </c>
      <c r="C17" s="28"/>
      <c r="D17" s="28">
        <f>0.4*1.45</f>
        <v>0.57999999999999996</v>
      </c>
      <c r="E17" s="28"/>
      <c r="F17" s="29">
        <f>2.14*0.4</f>
        <v>0.85600000000000009</v>
      </c>
      <c r="G17" s="33">
        <f t="shared" si="0"/>
        <v>0.71799999999999997</v>
      </c>
      <c r="H17" s="184"/>
      <c r="I17" s="372" t="s">
        <v>62</v>
      </c>
      <c r="J17" s="383">
        <f>0.4*10.49</f>
        <v>4.1960000000000006</v>
      </c>
      <c r="K17" s="383" t="s">
        <v>15</v>
      </c>
      <c r="L17" s="332"/>
      <c r="M17" s="383">
        <f>0.4*4.17</f>
        <v>1.6680000000000001</v>
      </c>
      <c r="N17" s="88" t="s">
        <v>209</v>
      </c>
      <c r="O17" s="386">
        <v>58</v>
      </c>
      <c r="P17" s="44"/>
    </row>
    <row r="18" spans="1:16" ht="37.5">
      <c r="A18" s="11"/>
      <c r="B18" s="76" t="s">
        <v>25</v>
      </c>
      <c r="C18" s="29"/>
      <c r="D18" s="28">
        <f>0.4*1.4</f>
        <v>0.55999999999999994</v>
      </c>
      <c r="E18" s="28"/>
      <c r="F18" s="29">
        <f>1.89*0.4</f>
        <v>0.75600000000000001</v>
      </c>
      <c r="G18" s="33">
        <f t="shared" si="0"/>
        <v>0.65799999999999992</v>
      </c>
      <c r="H18" s="184"/>
      <c r="I18" s="380"/>
      <c r="J18" s="384"/>
      <c r="K18" s="384"/>
      <c r="L18" s="334"/>
      <c r="M18" s="385"/>
      <c r="N18" s="27" t="s">
        <v>210</v>
      </c>
      <c r="O18" s="387"/>
      <c r="P18" s="44"/>
    </row>
    <row r="19" spans="1:16" ht="37.5">
      <c r="A19" s="11"/>
      <c r="B19" s="76" t="s">
        <v>27</v>
      </c>
      <c r="C19" s="29"/>
      <c r="D19" s="28">
        <f>0.4*1.35</f>
        <v>0.54</v>
      </c>
      <c r="E19" s="29"/>
      <c r="F19" s="29">
        <f>1.13*0.4</f>
        <v>0.45199999999999996</v>
      </c>
      <c r="G19" s="33">
        <f t="shared" si="0"/>
        <v>0.496</v>
      </c>
      <c r="H19" s="184"/>
      <c r="I19" s="372" t="s">
        <v>63</v>
      </c>
      <c r="J19" s="383">
        <f>0.4*10.59</f>
        <v>4.2359999999999998</v>
      </c>
      <c r="K19" s="383" t="s">
        <v>15</v>
      </c>
      <c r="L19" s="332"/>
      <c r="M19" s="383">
        <f>0.4*4.44</f>
        <v>1.7760000000000002</v>
      </c>
      <c r="N19" s="88" t="s">
        <v>209</v>
      </c>
      <c r="O19" s="386">
        <v>26</v>
      </c>
      <c r="P19" s="44"/>
    </row>
    <row r="20" spans="1:16" ht="37.5">
      <c r="A20" s="11"/>
      <c r="B20" s="76" t="s">
        <v>29</v>
      </c>
      <c r="C20" s="28"/>
      <c r="D20" s="28">
        <f>0.4*1.3</f>
        <v>0.52</v>
      </c>
      <c r="E20" s="29"/>
      <c r="F20" s="29">
        <f>1.38*0.4</f>
        <v>0.55199999999999994</v>
      </c>
      <c r="G20" s="33">
        <f t="shared" si="0"/>
        <v>0.53600000000000003</v>
      </c>
      <c r="H20" s="184"/>
      <c r="I20" s="380"/>
      <c r="J20" s="384"/>
      <c r="K20" s="384"/>
      <c r="L20" s="334"/>
      <c r="M20" s="385"/>
      <c r="N20" s="27" t="s">
        <v>210</v>
      </c>
      <c r="O20" s="387"/>
      <c r="P20" s="44"/>
    </row>
    <row r="21" spans="1:16" ht="37.5">
      <c r="A21" s="11"/>
      <c r="B21" s="76" t="s">
        <v>30</v>
      </c>
      <c r="C21" s="28"/>
      <c r="D21" s="28">
        <f>0.4*1.25</f>
        <v>0.5</v>
      </c>
      <c r="E21" s="28"/>
      <c r="F21" s="29">
        <f>1.01*0.4</f>
        <v>0.40400000000000003</v>
      </c>
      <c r="G21" s="33">
        <f t="shared" si="0"/>
        <v>0.45200000000000001</v>
      </c>
      <c r="H21" s="184"/>
      <c r="I21" s="372" t="s">
        <v>14</v>
      </c>
      <c r="J21" s="383">
        <f>0.4*12.79</f>
        <v>5.1159999999999997</v>
      </c>
      <c r="K21" s="383" t="s">
        <v>15</v>
      </c>
      <c r="L21" s="332"/>
      <c r="M21" s="383">
        <f>0.4*6.77</f>
        <v>2.7080000000000002</v>
      </c>
      <c r="N21" s="88" t="s">
        <v>209</v>
      </c>
      <c r="O21" s="386">
        <v>46</v>
      </c>
      <c r="P21" s="44"/>
    </row>
    <row r="22" spans="1:16" ht="37.5">
      <c r="A22" s="11"/>
      <c r="B22" s="76" t="s">
        <v>32</v>
      </c>
      <c r="C22" s="78"/>
      <c r="D22" s="28">
        <f>0.4*1.15</f>
        <v>0.45999999999999996</v>
      </c>
      <c r="E22" s="28"/>
      <c r="F22" s="29">
        <f>0.94*0.4</f>
        <v>0.376</v>
      </c>
      <c r="G22" s="33">
        <f t="shared" si="0"/>
        <v>0.41799999999999998</v>
      </c>
      <c r="H22" s="184"/>
      <c r="I22" s="380"/>
      <c r="J22" s="384"/>
      <c r="K22" s="384"/>
      <c r="L22" s="334"/>
      <c r="M22" s="385"/>
      <c r="N22" s="27" t="s">
        <v>210</v>
      </c>
      <c r="O22" s="387"/>
      <c r="P22" s="44"/>
    </row>
    <row r="23" spans="1:16" ht="37.5">
      <c r="A23" s="11"/>
      <c r="B23" s="76" t="s">
        <v>33</v>
      </c>
      <c r="C23" s="28"/>
      <c r="D23" s="28">
        <f>0.4*1.2</f>
        <v>0.48</v>
      </c>
      <c r="E23" s="28"/>
      <c r="F23" s="28">
        <f>0.91*0.4</f>
        <v>0.36400000000000005</v>
      </c>
      <c r="G23" s="33">
        <f t="shared" si="0"/>
        <v>0.42200000000000004</v>
      </c>
      <c r="H23" s="184"/>
      <c r="I23" s="372" t="s">
        <v>17</v>
      </c>
      <c r="J23" s="383">
        <f>0.4*15.89</f>
        <v>6.3560000000000008</v>
      </c>
      <c r="K23" s="383" t="s">
        <v>90</v>
      </c>
      <c r="L23" s="332"/>
      <c r="M23" s="383" t="s">
        <v>85</v>
      </c>
      <c r="N23" s="88" t="s">
        <v>85</v>
      </c>
      <c r="O23" s="386" t="s">
        <v>85</v>
      </c>
      <c r="P23" s="44"/>
    </row>
    <row r="24" spans="1:16" ht="37.5">
      <c r="A24" s="11"/>
      <c r="B24" s="76" t="s">
        <v>35</v>
      </c>
      <c r="C24" s="29"/>
      <c r="D24" s="28">
        <f>0.4*1.18</f>
        <v>0.47199999999999998</v>
      </c>
      <c r="E24" s="28"/>
      <c r="F24" s="28">
        <f>0.85*0.4</f>
        <v>0.34</v>
      </c>
      <c r="G24" s="33">
        <f t="shared" si="0"/>
        <v>0.40600000000000003</v>
      </c>
      <c r="H24" s="184"/>
      <c r="I24" s="380"/>
      <c r="J24" s="384"/>
      <c r="K24" s="384"/>
      <c r="L24" s="334"/>
      <c r="M24" s="385"/>
      <c r="N24" s="27"/>
      <c r="O24" s="387"/>
      <c r="P24" s="44"/>
    </row>
    <row r="25" spans="1:16" ht="37.5">
      <c r="A25" s="11"/>
      <c r="B25" s="76" t="s">
        <v>36</v>
      </c>
      <c r="C25" s="27"/>
      <c r="D25" s="28">
        <f>0.4*0.95</f>
        <v>0.38</v>
      </c>
      <c r="E25" s="28"/>
      <c r="F25" s="28">
        <f>0.87*0.4</f>
        <v>0.34800000000000003</v>
      </c>
      <c r="G25" s="33">
        <f t="shared" si="0"/>
        <v>0.36399999999999999</v>
      </c>
      <c r="H25" s="184"/>
      <c r="I25" s="372" t="s">
        <v>18</v>
      </c>
      <c r="J25" s="383">
        <f>0.4*10.5</f>
        <v>4.2</v>
      </c>
      <c r="K25" s="383" t="s">
        <v>90</v>
      </c>
      <c r="L25" s="332"/>
      <c r="M25" s="383" t="s">
        <v>85</v>
      </c>
      <c r="N25" s="88" t="s">
        <v>85</v>
      </c>
      <c r="O25" s="386" t="s">
        <v>85</v>
      </c>
      <c r="P25" s="44"/>
    </row>
    <row r="26" spans="1:16" ht="37.5">
      <c r="A26" s="11"/>
      <c r="B26" s="76" t="s">
        <v>38</v>
      </c>
      <c r="C26" s="27"/>
      <c r="D26" s="28">
        <f>0.4*0.9</f>
        <v>0.36000000000000004</v>
      </c>
      <c r="E26" s="28"/>
      <c r="F26" s="29">
        <f>0.84*0.4</f>
        <v>0.33600000000000002</v>
      </c>
      <c r="G26" s="33">
        <f t="shared" si="0"/>
        <v>0.34800000000000003</v>
      </c>
      <c r="H26" s="184"/>
      <c r="I26" s="380"/>
      <c r="J26" s="384"/>
      <c r="K26" s="384"/>
      <c r="L26" s="334"/>
      <c r="M26" s="385"/>
      <c r="N26" s="27"/>
      <c r="O26" s="387"/>
      <c r="P26" s="44"/>
    </row>
    <row r="27" spans="1:16" ht="38.25" thickBot="1">
      <c r="A27" s="11"/>
      <c r="B27" s="79" t="s">
        <v>39</v>
      </c>
      <c r="C27" s="80"/>
      <c r="D27" s="30">
        <f>0.4*0.88</f>
        <v>0.35200000000000004</v>
      </c>
      <c r="E27" s="30"/>
      <c r="F27" s="29">
        <f>0.81*0.4</f>
        <v>0.32400000000000007</v>
      </c>
      <c r="G27" s="33">
        <f t="shared" si="0"/>
        <v>0.33800000000000008</v>
      </c>
      <c r="H27" s="184"/>
      <c r="I27" s="372" t="s">
        <v>20</v>
      </c>
      <c r="J27" s="383">
        <f>0.4*4.9</f>
        <v>1.9600000000000002</v>
      </c>
      <c r="K27" s="383" t="s">
        <v>90</v>
      </c>
      <c r="L27" s="332"/>
      <c r="M27" s="383" t="s">
        <v>85</v>
      </c>
      <c r="N27" s="88"/>
      <c r="O27" s="386" t="s">
        <v>85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34"/>
      <c r="M28" s="385"/>
      <c r="N28" s="27" t="s">
        <v>85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0.4*4.29</f>
        <v>1.7160000000000002</v>
      </c>
      <c r="K29" s="383" t="s">
        <v>90</v>
      </c>
      <c r="L29" s="81"/>
      <c r="M29" s="383" t="s">
        <v>85</v>
      </c>
      <c r="N29" s="88"/>
      <c r="O29" s="386" t="s">
        <v>85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85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0.22</v>
      </c>
      <c r="E31" s="28"/>
      <c r="F31" s="234">
        <v>0.35</v>
      </c>
      <c r="G31" s="33">
        <f t="shared" ref="G31:G46" si="1">AVERAGE(D31:F31)</f>
        <v>0.28499999999999998</v>
      </c>
      <c r="H31" s="184"/>
      <c r="I31" s="372" t="s">
        <v>8</v>
      </c>
      <c r="J31" s="376">
        <v>3.48</v>
      </c>
      <c r="K31" s="332"/>
      <c r="L31" s="86"/>
      <c r="M31" s="376">
        <v>2.0099999999999998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0.48</v>
      </c>
      <c r="E32" s="28"/>
      <c r="F32" s="29">
        <v>0.6</v>
      </c>
      <c r="G32" s="33">
        <f t="shared" si="1"/>
        <v>0.54</v>
      </c>
      <c r="H32" s="184"/>
      <c r="I32" s="380"/>
      <c r="J32" s="388"/>
      <c r="K32" s="333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0.25</v>
      </c>
      <c r="E33" s="29"/>
      <c r="F33" s="29">
        <v>0.31</v>
      </c>
      <c r="G33" s="33">
        <f t="shared" si="1"/>
        <v>0.28000000000000003</v>
      </c>
      <c r="H33" s="184"/>
      <c r="I33" s="372" t="s">
        <v>26</v>
      </c>
      <c r="J33" s="381">
        <f>2.36*0.4</f>
        <v>0.94399999999999995</v>
      </c>
      <c r="K33" s="383" t="s">
        <v>90</v>
      </c>
      <c r="L33" s="381"/>
      <c r="M33" s="381"/>
      <c r="N33" s="88"/>
      <c r="O33" s="386" t="s">
        <v>85</v>
      </c>
      <c r="P33" s="44"/>
    </row>
    <row r="34" spans="1:16" ht="37.5">
      <c r="A34" s="11"/>
      <c r="B34" s="76" t="s">
        <v>24</v>
      </c>
      <c r="C34" s="29"/>
      <c r="D34" s="29">
        <v>0.13</v>
      </c>
      <c r="E34" s="28"/>
      <c r="F34" s="29">
        <v>0.19</v>
      </c>
      <c r="G34" s="33">
        <f t="shared" si="1"/>
        <v>0.16</v>
      </c>
      <c r="H34" s="184"/>
      <c r="I34" s="380"/>
      <c r="J34" s="382"/>
      <c r="K34" s="384"/>
      <c r="L34" s="382"/>
      <c r="M34" s="382"/>
      <c r="N34" s="27" t="s">
        <v>85</v>
      </c>
      <c r="O34" s="387"/>
      <c r="P34" s="44"/>
    </row>
    <row r="35" spans="1:16" ht="37.5">
      <c r="A35" s="11"/>
      <c r="B35" s="76" t="s">
        <v>25</v>
      </c>
      <c r="C35" s="29"/>
      <c r="D35" s="29">
        <v>0.05</v>
      </c>
      <c r="E35" s="28"/>
      <c r="F35" s="29">
        <v>0.13</v>
      </c>
      <c r="G35" s="33">
        <f t="shared" si="1"/>
        <v>0.09</v>
      </c>
      <c r="H35" s="184"/>
      <c r="I35" s="372" t="s">
        <v>28</v>
      </c>
      <c r="J35" s="381">
        <f>3.85*0.4</f>
        <v>1.54</v>
      </c>
      <c r="K35" s="383" t="s">
        <v>90</v>
      </c>
      <c r="L35" s="381"/>
      <c r="M35" s="383"/>
      <c r="N35" s="88"/>
      <c r="O35" s="386" t="s">
        <v>85</v>
      </c>
      <c r="P35" s="44"/>
    </row>
    <row r="36" spans="1:16" ht="37.5">
      <c r="A36" s="11"/>
      <c r="B36" s="76" t="s">
        <v>27</v>
      </c>
      <c r="C36" s="29"/>
      <c r="D36" s="29">
        <v>0.04</v>
      </c>
      <c r="E36" s="29"/>
      <c r="F36" s="29">
        <v>0.1</v>
      </c>
      <c r="G36" s="33">
        <f t="shared" si="1"/>
        <v>7.0000000000000007E-2</v>
      </c>
      <c r="H36" s="184"/>
      <c r="I36" s="380"/>
      <c r="J36" s="382"/>
      <c r="K36" s="384"/>
      <c r="L36" s="382"/>
      <c r="M36" s="385"/>
      <c r="N36" s="27" t="s">
        <v>85</v>
      </c>
      <c r="O36" s="387"/>
      <c r="P36" s="44"/>
    </row>
    <row r="37" spans="1:16" ht="37.5">
      <c r="A37" s="11"/>
      <c r="B37" s="76" t="s">
        <v>46</v>
      </c>
      <c r="C37" s="29"/>
      <c r="D37" s="29">
        <v>0.01</v>
      </c>
      <c r="E37" s="29"/>
      <c r="F37" s="29">
        <v>7.0000000000000007E-2</v>
      </c>
      <c r="G37" s="33">
        <f t="shared" si="1"/>
        <v>0.04</v>
      </c>
      <c r="H37" s="184"/>
      <c r="I37" s="372" t="s">
        <v>31</v>
      </c>
      <c r="J37" s="381">
        <f>1.84*0.4</f>
        <v>0.7360000000000001</v>
      </c>
      <c r="K37" s="383" t="s">
        <v>90</v>
      </c>
      <c r="L37" s="381"/>
      <c r="M37" s="383"/>
      <c r="N37" s="88"/>
      <c r="O37" s="386" t="s">
        <v>85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0.01</v>
      </c>
      <c r="G38" s="33">
        <f t="shared" si="1"/>
        <v>5.0000000000000001E-3</v>
      </c>
      <c r="H38" s="184"/>
      <c r="I38" s="380"/>
      <c r="J38" s="382"/>
      <c r="K38" s="384"/>
      <c r="L38" s="382"/>
      <c r="M38" s="385"/>
      <c r="N38" s="27" t="s">
        <v>85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3.15*0.4</f>
        <v>1.26</v>
      </c>
      <c r="K39" s="383" t="s">
        <v>90</v>
      </c>
      <c r="L39" s="381"/>
      <c r="M39" s="383"/>
      <c r="N39" s="88"/>
      <c r="O39" s="386" t="s">
        <v>85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85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3.96*0.4</f>
        <v>1.5840000000000001</v>
      </c>
      <c r="K41" s="383" t="s">
        <v>15</v>
      </c>
      <c r="L41" s="381"/>
      <c r="M41" s="383">
        <f>2.95*0.4</f>
        <v>1.1800000000000002</v>
      </c>
      <c r="N41" s="88" t="s">
        <v>209</v>
      </c>
      <c r="O41" s="386">
        <v>84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210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3.42*0.4</f>
        <v>1.3680000000000001</v>
      </c>
      <c r="K43" s="383" t="s">
        <v>15</v>
      </c>
      <c r="L43" s="381"/>
      <c r="M43" s="383">
        <f>3.85*0.4</f>
        <v>1.54</v>
      </c>
      <c r="N43" s="88" t="s">
        <v>209</v>
      </c>
      <c r="O43" s="386">
        <v>63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210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2.13*0.4</f>
        <v>0.85199999999999998</v>
      </c>
      <c r="K45" s="383" t="s">
        <v>15</v>
      </c>
      <c r="L45" s="381"/>
      <c r="M45" s="383">
        <f>2.52*0.4</f>
        <v>1.008</v>
      </c>
      <c r="N45" s="88" t="s">
        <v>209</v>
      </c>
      <c r="O45" s="386"/>
      <c r="P45" s="44"/>
    </row>
    <row r="46" spans="1:16" ht="57.75" customHeight="1" thickBot="1">
      <c r="A46" s="14"/>
      <c r="B46" s="319" t="s">
        <v>58</v>
      </c>
      <c r="C46" s="237"/>
      <c r="D46" s="238">
        <v>0.11</v>
      </c>
      <c r="E46" s="239"/>
      <c r="F46" s="238">
        <v>7.0000000000000007E-2</v>
      </c>
      <c r="G46" s="240">
        <f t="shared" si="1"/>
        <v>0.09</v>
      </c>
      <c r="H46" s="184"/>
      <c r="I46" s="380"/>
      <c r="J46" s="382"/>
      <c r="K46" s="384"/>
      <c r="L46" s="382"/>
      <c r="M46" s="385"/>
      <c r="N46" s="27" t="s">
        <v>210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2.82*0.4</f>
        <v>1.1279999999999999</v>
      </c>
      <c r="K47" s="383" t="s">
        <v>15</v>
      </c>
      <c r="L47" s="381"/>
      <c r="M47" s="383">
        <f>2.97*0.4</f>
        <v>1.1880000000000002</v>
      </c>
      <c r="N47" s="88" t="s">
        <v>209</v>
      </c>
      <c r="O47" s="386">
        <v>71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210</v>
      </c>
      <c r="O48" s="387"/>
      <c r="P48" s="44"/>
    </row>
    <row r="49" spans="1:16" ht="38.25" thickBot="1">
      <c r="A49" s="14"/>
      <c r="B49" s="95" t="s">
        <v>199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2.69*0.4</f>
        <v>1.0760000000000001</v>
      </c>
      <c r="K49" s="383" t="s">
        <v>15</v>
      </c>
      <c r="L49" s="332"/>
      <c r="M49" s="383">
        <f>5.34*0.4</f>
        <v>2.1360000000000001</v>
      </c>
      <c r="N49" s="88" t="s">
        <v>209</v>
      </c>
      <c r="O49" s="386">
        <v>105</v>
      </c>
      <c r="P49" s="44"/>
    </row>
    <row r="50" spans="1:16" ht="37.5">
      <c r="A50" s="14"/>
      <c r="B50" s="76" t="s">
        <v>22</v>
      </c>
      <c r="C50" s="97"/>
      <c r="D50" s="98">
        <v>1456</v>
      </c>
      <c r="E50" s="98">
        <v>10</v>
      </c>
      <c r="F50" s="98">
        <f>(D50*E50)*0.26</f>
        <v>3785.6</v>
      </c>
      <c r="G50" s="221"/>
      <c r="H50" s="222"/>
      <c r="I50" s="380"/>
      <c r="J50" s="382"/>
      <c r="K50" s="384"/>
      <c r="L50" s="334"/>
      <c r="M50" s="385"/>
      <c r="N50" s="27" t="s">
        <v>210</v>
      </c>
      <c r="O50" s="387"/>
      <c r="P50" s="44"/>
    </row>
    <row r="51" spans="1:16" ht="37.5">
      <c r="A51" s="14"/>
      <c r="B51" s="76" t="s">
        <v>24</v>
      </c>
      <c r="C51" s="97"/>
      <c r="D51" s="98">
        <v>844</v>
      </c>
      <c r="E51" s="98">
        <v>5</v>
      </c>
      <c r="F51" s="98">
        <f>(D51*E51)*0.26</f>
        <v>1097.2</v>
      </c>
      <c r="G51" s="99"/>
      <c r="H51" s="186"/>
      <c r="I51" s="372" t="s">
        <v>47</v>
      </c>
      <c r="J51" s="381">
        <f>5.38*0.4</f>
        <v>2.1520000000000001</v>
      </c>
      <c r="K51" s="383" t="s">
        <v>15</v>
      </c>
      <c r="L51" s="332"/>
      <c r="M51" s="383">
        <f>6.26*0.4</f>
        <v>2.504</v>
      </c>
      <c r="N51" s="88" t="s">
        <v>209</v>
      </c>
      <c r="O51" s="386">
        <v>97</v>
      </c>
      <c r="P51" s="44"/>
    </row>
    <row r="52" spans="1:16" ht="37.5">
      <c r="A52" s="14"/>
      <c r="B52" s="76" t="s">
        <v>25</v>
      </c>
      <c r="C52" s="97"/>
      <c r="D52" s="98" t="s">
        <v>85</v>
      </c>
      <c r="E52" s="98" t="s">
        <v>85</v>
      </c>
      <c r="F52" s="98"/>
      <c r="G52" s="99"/>
      <c r="H52" s="186"/>
      <c r="I52" s="380"/>
      <c r="J52" s="382"/>
      <c r="K52" s="384"/>
      <c r="L52" s="334"/>
      <c r="M52" s="385"/>
      <c r="N52" s="27" t="s">
        <v>210</v>
      </c>
      <c r="O52" s="387"/>
      <c r="P52" s="44"/>
    </row>
    <row r="53" spans="1:16" ht="37.5">
      <c r="A53" s="14"/>
      <c r="B53" s="76" t="s">
        <v>27</v>
      </c>
      <c r="C53" s="97"/>
      <c r="D53" s="98">
        <v>320</v>
      </c>
      <c r="E53" s="98">
        <v>8</v>
      </c>
      <c r="F53" s="98">
        <f>(D53*E53)*0.26</f>
        <v>665.6</v>
      </c>
      <c r="G53" s="99"/>
      <c r="H53" s="186"/>
      <c r="I53" s="372" t="s">
        <v>50</v>
      </c>
      <c r="J53" s="381">
        <f>2.35*0.4</f>
        <v>0.94000000000000006</v>
      </c>
      <c r="K53" s="383" t="s">
        <v>15</v>
      </c>
      <c r="L53" s="332"/>
      <c r="M53" s="383">
        <f>5.24*0.4</f>
        <v>2.0960000000000001</v>
      </c>
      <c r="N53" s="88" t="s">
        <v>209</v>
      </c>
      <c r="O53" s="386">
        <v>95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34"/>
      <c r="M54" s="385"/>
      <c r="N54" s="27" t="s">
        <v>210</v>
      </c>
      <c r="O54" s="387"/>
      <c r="P54" s="44"/>
    </row>
    <row r="55" spans="1:16" ht="37.5">
      <c r="A55" s="15"/>
      <c r="B55" s="76" t="s">
        <v>48</v>
      </c>
      <c r="C55" s="100"/>
      <c r="D55" s="98">
        <v>270</v>
      </c>
      <c r="E55" s="98">
        <v>6</v>
      </c>
      <c r="F55" s="98">
        <f>(D55*E55)*0.13</f>
        <v>210.6</v>
      </c>
      <c r="G55" s="99"/>
      <c r="H55" s="186"/>
      <c r="I55" s="372" t="s">
        <v>53</v>
      </c>
      <c r="J55" s="381">
        <f>2.51*0.4</f>
        <v>1.004</v>
      </c>
      <c r="K55" s="383" t="s">
        <v>15</v>
      </c>
      <c r="L55" s="332"/>
      <c r="M55" s="383">
        <f>2.76*0.4</f>
        <v>1.1039999999999999</v>
      </c>
      <c r="N55" s="88" t="s">
        <v>209</v>
      </c>
      <c r="O55" s="386">
        <v>52</v>
      </c>
      <c r="P55" s="44"/>
    </row>
    <row r="56" spans="1:16" ht="37.5">
      <c r="A56" s="15"/>
      <c r="B56" s="76" t="s">
        <v>49</v>
      </c>
      <c r="C56" s="100"/>
      <c r="D56" s="98">
        <v>168</v>
      </c>
      <c r="E56" s="98">
        <v>11</v>
      </c>
      <c r="F56" s="98">
        <f t="shared" ref="F56:F61" si="2">(D56*E56)*0.13</f>
        <v>240.24</v>
      </c>
      <c r="G56" s="99"/>
      <c r="H56" s="186"/>
      <c r="I56" s="380"/>
      <c r="J56" s="382"/>
      <c r="K56" s="384"/>
      <c r="L56" s="334"/>
      <c r="M56" s="385"/>
      <c r="N56" s="27" t="s">
        <v>210</v>
      </c>
      <c r="O56" s="387"/>
      <c r="P56" s="44"/>
    </row>
    <row r="57" spans="1:16" ht="37.5">
      <c r="A57" s="15"/>
      <c r="B57" s="76" t="s">
        <v>51</v>
      </c>
      <c r="C57" s="100"/>
      <c r="D57" s="98">
        <v>139</v>
      </c>
      <c r="E57" s="98">
        <v>12</v>
      </c>
      <c r="F57" s="98">
        <f t="shared" si="2"/>
        <v>216.84</v>
      </c>
      <c r="G57" s="99"/>
      <c r="H57" s="186"/>
      <c r="I57" s="372" t="s">
        <v>8</v>
      </c>
      <c r="J57" s="374">
        <v>1.22</v>
      </c>
      <c r="K57" s="376"/>
      <c r="L57" s="101"/>
      <c r="M57" s="376">
        <v>1.59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158</v>
      </c>
      <c r="E58" s="98">
        <v>12</v>
      </c>
      <c r="F58" s="98">
        <f t="shared" si="2"/>
        <v>246.48000000000002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89</v>
      </c>
      <c r="E59" s="98">
        <v>12</v>
      </c>
      <c r="F59" s="98">
        <f t="shared" si="2"/>
        <v>138.84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35</v>
      </c>
      <c r="E60" s="98">
        <v>9</v>
      </c>
      <c r="F60" s="98">
        <f t="shared" si="2"/>
        <v>40.950000000000003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27</v>
      </c>
      <c r="E61" s="98">
        <v>25</v>
      </c>
      <c r="F61" s="98">
        <f t="shared" si="2"/>
        <v>87.75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6730.1000000000013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36" t="s">
        <v>13</v>
      </c>
      <c r="J64" s="29">
        <v>0.91</v>
      </c>
      <c r="K64" s="29">
        <v>0.59</v>
      </c>
      <c r="L64" s="119">
        <f>AVERAGE(J64:K64)</f>
        <v>0.75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36" t="s">
        <v>16</v>
      </c>
      <c r="J65" s="29">
        <v>0.85</v>
      </c>
      <c r="K65" s="245">
        <v>0.74</v>
      </c>
      <c r="L65" s="208">
        <f>AVERAGE(J65:K65)</f>
        <v>0.79499999999999993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199</v>
      </c>
      <c r="C68" s="120" t="s">
        <v>84</v>
      </c>
      <c r="D68" s="120" t="s">
        <v>211</v>
      </c>
      <c r="E68" s="116">
        <v>1168</v>
      </c>
      <c r="F68" s="29"/>
      <c r="G68" s="118"/>
      <c r="H68" s="190"/>
      <c r="I68" s="336" t="s">
        <v>67</v>
      </c>
      <c r="J68" s="336"/>
      <c r="K68" s="336"/>
      <c r="L68" s="126"/>
      <c r="M68" s="335"/>
      <c r="N68" s="127"/>
      <c r="O68" s="128"/>
      <c r="P68" s="44"/>
    </row>
    <row r="69" spans="1:16" ht="37.5">
      <c r="A69" s="15"/>
      <c r="B69" s="95" t="s">
        <v>199</v>
      </c>
      <c r="C69" s="120" t="s">
        <v>84</v>
      </c>
      <c r="D69" s="120" t="s">
        <v>212</v>
      </c>
      <c r="E69" s="116">
        <v>1365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199</v>
      </c>
      <c r="C70" s="120" t="s">
        <v>83</v>
      </c>
      <c r="D70" s="120" t="s">
        <v>203</v>
      </c>
      <c r="E70" s="116">
        <v>19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199</v>
      </c>
      <c r="C71" s="120" t="s">
        <v>83</v>
      </c>
      <c r="D71" s="120" t="s">
        <v>204</v>
      </c>
      <c r="E71" s="116">
        <v>29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64.98</v>
      </c>
      <c r="K72" s="29"/>
      <c r="L72" s="119">
        <f>AVERAGE(J72:K72)</f>
        <v>64.98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78.989999999999995</v>
      </c>
      <c r="K73" s="29"/>
      <c r="L73" s="119">
        <f>AVERAGE(J73:K73)</f>
        <v>78.989999999999995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68.8</v>
      </c>
      <c r="K74" s="27">
        <v>69.349999999999994</v>
      </c>
      <c r="L74" s="119">
        <f>AVERAGE(J74:K74)</f>
        <v>69.074999999999989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68.349999999999994</v>
      </c>
      <c r="K75" s="91">
        <v>67.150000000000006</v>
      </c>
      <c r="L75" s="119">
        <f>AVERAGE(J75:K75)</f>
        <v>67.75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35"/>
      <c r="J78" s="236" t="s">
        <v>66</v>
      </c>
      <c r="K78" s="236" t="s">
        <v>66</v>
      </c>
      <c r="L78" s="236" t="s">
        <v>66</v>
      </c>
      <c r="M78" s="113"/>
      <c r="N78" s="335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0.4*3.67</f>
        <v>1.468</v>
      </c>
      <c r="K79" s="27">
        <f>0.85*0.4</f>
        <v>0.34</v>
      </c>
      <c r="L79" s="119">
        <f>AVERAGE(J79:K79)</f>
        <v>0.90400000000000003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0.4*4.23</f>
        <v>1.6920000000000002</v>
      </c>
      <c r="K80" s="91">
        <f>2.45*0.4</f>
        <v>0.98000000000000009</v>
      </c>
      <c r="L80" s="119">
        <f>AVERAGE(J80:K80)</f>
        <v>1.3360000000000001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199</v>
      </c>
      <c r="C82" s="120" t="s">
        <v>83</v>
      </c>
      <c r="D82" s="120" t="s">
        <v>203</v>
      </c>
      <c r="E82" s="27">
        <v>3.31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199</v>
      </c>
      <c r="C83" s="120" t="s">
        <v>83</v>
      </c>
      <c r="D83" s="120" t="s">
        <v>204</v>
      </c>
      <c r="E83" s="27">
        <v>2.0099999999999998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/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>
        <v>7.9000000000000001E-2</v>
      </c>
      <c r="L84" s="119">
        <f>AVERAGE(J84:K84)</f>
        <v>7.9000000000000001E-2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>
        <v>0</v>
      </c>
      <c r="L85" s="119">
        <f>AVERAGE(J85:K85)</f>
        <v>0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37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T130"/>
  <sheetViews>
    <sheetView view="pageBreakPreview" topLeftCell="A42" zoomScale="30" zoomScaleSheetLayoutView="30" workbookViewId="0">
      <selection activeCell="E49" sqref="E49:H6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208</v>
      </c>
      <c r="D3" s="38"/>
      <c r="E3" s="39" t="s">
        <v>9</v>
      </c>
      <c r="F3" s="39"/>
      <c r="G3" s="39"/>
      <c r="H3" s="40"/>
      <c r="I3" s="41" t="s">
        <v>2</v>
      </c>
      <c r="J3" s="42" t="s">
        <v>213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208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214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2.21</v>
      </c>
      <c r="E7" s="21"/>
      <c r="F7" s="21">
        <v>1.1499999999999999</v>
      </c>
      <c r="G7" s="102">
        <f>AVERAGE(D7:F7)</f>
        <v>1.68</v>
      </c>
      <c r="H7" s="184"/>
      <c r="I7" s="372" t="s">
        <v>98</v>
      </c>
      <c r="J7" s="383">
        <f>0.4*4.85</f>
        <v>1.94</v>
      </c>
      <c r="K7" s="383" t="s">
        <v>15</v>
      </c>
      <c r="L7" s="313"/>
      <c r="M7" s="383">
        <f>0.4*1.13</f>
        <v>0.45199999999999996</v>
      </c>
      <c r="N7" s="88" t="s">
        <v>209</v>
      </c>
      <c r="O7" s="386">
        <v>68</v>
      </c>
      <c r="P7" s="44"/>
    </row>
    <row r="8" spans="1:17" ht="38.25" thickBot="1">
      <c r="A8" s="12"/>
      <c r="B8" s="68" t="s">
        <v>16</v>
      </c>
      <c r="C8" s="69"/>
      <c r="D8" s="34">
        <v>1.73</v>
      </c>
      <c r="E8" s="23"/>
      <c r="F8" s="23">
        <v>1.49</v>
      </c>
      <c r="G8" s="124">
        <f>AVERAGE(D8:F8)</f>
        <v>1.6099999999999999</v>
      </c>
      <c r="H8" s="184"/>
      <c r="I8" s="380"/>
      <c r="J8" s="384"/>
      <c r="K8" s="384"/>
      <c r="L8" s="315"/>
      <c r="M8" s="385"/>
      <c r="N8" s="27" t="s">
        <v>210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0.4*1.34</f>
        <v>0.53600000000000003</v>
      </c>
      <c r="K9" s="383" t="s">
        <v>15</v>
      </c>
      <c r="L9" s="383"/>
      <c r="M9" s="383">
        <f>0.4*4.91</f>
        <v>1.9640000000000002</v>
      </c>
      <c r="N9" s="88" t="s">
        <v>209</v>
      </c>
      <c r="O9" s="386">
        <v>70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210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0.4*2.13</f>
        <v>0.85199999999999998</v>
      </c>
      <c r="K11" s="383" t="s">
        <v>15</v>
      </c>
      <c r="L11" s="313"/>
      <c r="M11" s="383">
        <f>0.4*6.03</f>
        <v>2.4120000000000004</v>
      </c>
      <c r="N11" s="88" t="s">
        <v>209</v>
      </c>
      <c r="O11" s="386">
        <v>60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15"/>
      <c r="M12" s="385"/>
      <c r="N12" s="27" t="s">
        <v>210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0.4*6.58</f>
        <v>2.6320000000000001</v>
      </c>
      <c r="K13" s="383" t="s">
        <v>15</v>
      </c>
      <c r="L13" s="313"/>
      <c r="M13" s="383">
        <f>0.4*2.8</f>
        <v>1.1199999999999999</v>
      </c>
      <c r="N13" s="88" t="s">
        <v>209</v>
      </c>
      <c r="O13" s="386">
        <v>60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0.4*3.44</f>
        <v>1.3760000000000001</v>
      </c>
      <c r="E14" s="28"/>
      <c r="F14" s="28">
        <f>2.72*0.4</f>
        <v>1.0880000000000001</v>
      </c>
      <c r="G14" s="33">
        <f t="shared" ref="G14:G27" si="0">AVERAGE(D14:F14)</f>
        <v>1.2320000000000002</v>
      </c>
      <c r="H14" s="184"/>
      <c r="I14" s="380"/>
      <c r="J14" s="384"/>
      <c r="K14" s="384"/>
      <c r="L14" s="315"/>
      <c r="M14" s="385"/>
      <c r="N14" s="27" t="s">
        <v>210</v>
      </c>
      <c r="O14" s="387"/>
      <c r="P14" s="44"/>
    </row>
    <row r="15" spans="1:17" ht="37.5">
      <c r="A15" s="11"/>
      <c r="B15" s="76" t="s">
        <v>97</v>
      </c>
      <c r="C15" s="29"/>
      <c r="D15" s="29">
        <f>0.4*2.35</f>
        <v>0.94000000000000006</v>
      </c>
      <c r="E15" s="28"/>
      <c r="F15" s="29">
        <f>2.69*0.4</f>
        <v>1.0760000000000001</v>
      </c>
      <c r="G15" s="33">
        <f t="shared" si="0"/>
        <v>1.008</v>
      </c>
      <c r="H15" s="184" t="s">
        <v>4</v>
      </c>
      <c r="I15" s="390" t="s">
        <v>61</v>
      </c>
      <c r="J15" s="383">
        <f>0.4*5.9</f>
        <v>2.3600000000000003</v>
      </c>
      <c r="K15" s="383" t="s">
        <v>15</v>
      </c>
      <c r="L15" s="313"/>
      <c r="M15" s="383">
        <f>0.4*8.87</f>
        <v>3.548</v>
      </c>
      <c r="N15" s="88" t="s">
        <v>209</v>
      </c>
      <c r="O15" s="386">
        <v>90</v>
      </c>
      <c r="P15" s="44"/>
    </row>
    <row r="16" spans="1:17" ht="37.5">
      <c r="A16" s="11"/>
      <c r="B16" s="76" t="s">
        <v>22</v>
      </c>
      <c r="C16" s="28"/>
      <c r="D16" s="28">
        <f>0.4*2.25</f>
        <v>0.9</v>
      </c>
      <c r="E16" s="29"/>
      <c r="F16" s="29">
        <f>1.2*0.4</f>
        <v>0.48</v>
      </c>
      <c r="G16" s="33">
        <f t="shared" si="0"/>
        <v>0.69</v>
      </c>
      <c r="H16" s="184"/>
      <c r="I16" s="391"/>
      <c r="J16" s="384"/>
      <c r="K16" s="384"/>
      <c r="L16" s="315"/>
      <c r="M16" s="385"/>
      <c r="N16" s="27" t="s">
        <v>210</v>
      </c>
      <c r="O16" s="387"/>
      <c r="P16" s="44"/>
    </row>
    <row r="17" spans="1:16" ht="37.5">
      <c r="A17" s="11"/>
      <c r="B17" s="76" t="s">
        <v>24</v>
      </c>
      <c r="C17" s="28"/>
      <c r="D17" s="28">
        <f>0.4*1.7</f>
        <v>0.68</v>
      </c>
      <c r="E17" s="28"/>
      <c r="F17" s="29">
        <f>0.77*0.4</f>
        <v>0.30800000000000005</v>
      </c>
      <c r="G17" s="33">
        <f t="shared" si="0"/>
        <v>0.49400000000000005</v>
      </c>
      <c r="H17" s="184"/>
      <c r="I17" s="372" t="s">
        <v>62</v>
      </c>
      <c r="J17" s="383">
        <f>0.4*5.57</f>
        <v>2.2280000000000002</v>
      </c>
      <c r="K17" s="383" t="s">
        <v>15</v>
      </c>
      <c r="L17" s="313"/>
      <c r="M17" s="383">
        <f>0.4*5.44</f>
        <v>2.1760000000000002</v>
      </c>
      <c r="N17" s="88" t="s">
        <v>209</v>
      </c>
      <c r="O17" s="386">
        <v>70</v>
      </c>
      <c r="P17" s="44"/>
    </row>
    <row r="18" spans="1:16" ht="37.5">
      <c r="A18" s="11"/>
      <c r="B18" s="76" t="s">
        <v>25</v>
      </c>
      <c r="C18" s="29"/>
      <c r="D18" s="28" t="s">
        <v>85</v>
      </c>
      <c r="E18" s="28"/>
      <c r="F18" s="29" t="s">
        <v>85</v>
      </c>
      <c r="G18" s="33" t="e">
        <f t="shared" si="0"/>
        <v>#DIV/0!</v>
      </c>
      <c r="H18" s="184"/>
      <c r="I18" s="380"/>
      <c r="J18" s="384"/>
      <c r="K18" s="384"/>
      <c r="L18" s="315"/>
      <c r="M18" s="385"/>
      <c r="N18" s="27" t="s">
        <v>210</v>
      </c>
      <c r="O18" s="387"/>
      <c r="P18" s="44"/>
    </row>
    <row r="19" spans="1:16" ht="37.5">
      <c r="A19" s="11"/>
      <c r="B19" s="76" t="s">
        <v>27</v>
      </c>
      <c r="C19" s="29"/>
      <c r="D19" s="28">
        <f>0.4*1.25</f>
        <v>0.5</v>
      </c>
      <c r="E19" s="29"/>
      <c r="F19" s="29">
        <f>0.72*0.4</f>
        <v>0.28799999999999998</v>
      </c>
      <c r="G19" s="33">
        <f t="shared" si="0"/>
        <v>0.39400000000000002</v>
      </c>
      <c r="H19" s="184"/>
      <c r="I19" s="372" t="s">
        <v>63</v>
      </c>
      <c r="J19" s="383">
        <f>0.4*4.53</f>
        <v>1.8120000000000003</v>
      </c>
      <c r="K19" s="383" t="s">
        <v>15</v>
      </c>
      <c r="L19" s="313"/>
      <c r="M19" s="383">
        <f>0.4*5.35</f>
        <v>2.14</v>
      </c>
      <c r="N19" s="88" t="s">
        <v>209</v>
      </c>
      <c r="O19" s="386">
        <v>90</v>
      </c>
      <c r="P19" s="44"/>
    </row>
    <row r="20" spans="1:16" ht="37.5">
      <c r="A20" s="11"/>
      <c r="B20" s="76" t="s">
        <v>29</v>
      </c>
      <c r="C20" s="28"/>
      <c r="D20" s="28">
        <f>0.4*1.28</f>
        <v>0.51200000000000001</v>
      </c>
      <c r="E20" s="29"/>
      <c r="F20" s="29">
        <f>0.75*0.4</f>
        <v>0.30000000000000004</v>
      </c>
      <c r="G20" s="33">
        <f t="shared" si="0"/>
        <v>0.40600000000000003</v>
      </c>
      <c r="H20" s="184"/>
      <c r="I20" s="380"/>
      <c r="J20" s="384"/>
      <c r="K20" s="384"/>
      <c r="L20" s="315"/>
      <c r="M20" s="385"/>
      <c r="N20" s="27" t="s">
        <v>210</v>
      </c>
      <c r="O20" s="387"/>
      <c r="P20" s="44"/>
    </row>
    <row r="21" spans="1:16" ht="37.5">
      <c r="A21" s="11"/>
      <c r="B21" s="76" t="s">
        <v>30</v>
      </c>
      <c r="C21" s="28"/>
      <c r="D21" s="28">
        <f>0.4*1.25</f>
        <v>0.5</v>
      </c>
      <c r="E21" s="28"/>
      <c r="F21" s="29">
        <f>0.68*0.4</f>
        <v>0.27200000000000002</v>
      </c>
      <c r="G21" s="33">
        <f t="shared" si="0"/>
        <v>0.38600000000000001</v>
      </c>
      <c r="H21" s="184"/>
      <c r="I21" s="372" t="s">
        <v>14</v>
      </c>
      <c r="J21" s="383">
        <f>0.4*4.5</f>
        <v>1.8</v>
      </c>
      <c r="K21" s="383" t="s">
        <v>15</v>
      </c>
      <c r="L21" s="313"/>
      <c r="M21" s="383">
        <f>0.4*7.21</f>
        <v>2.8840000000000003</v>
      </c>
      <c r="N21" s="88" t="s">
        <v>209</v>
      </c>
      <c r="O21" s="386">
        <v>66</v>
      </c>
      <c r="P21" s="44"/>
    </row>
    <row r="22" spans="1:16" ht="37.5">
      <c r="A22" s="11"/>
      <c r="B22" s="76" t="s">
        <v>32</v>
      </c>
      <c r="C22" s="78"/>
      <c r="D22" s="28">
        <f>0.4*1.29</f>
        <v>0.51600000000000001</v>
      </c>
      <c r="E22" s="28"/>
      <c r="F22" s="29">
        <f>0.67*0.4</f>
        <v>0.26800000000000002</v>
      </c>
      <c r="G22" s="33">
        <f t="shared" si="0"/>
        <v>0.39200000000000002</v>
      </c>
      <c r="H22" s="184"/>
      <c r="I22" s="380"/>
      <c r="J22" s="384"/>
      <c r="K22" s="384"/>
      <c r="L22" s="315"/>
      <c r="M22" s="385"/>
      <c r="N22" s="27" t="s">
        <v>210</v>
      </c>
      <c r="O22" s="387"/>
      <c r="P22" s="44"/>
    </row>
    <row r="23" spans="1:16" ht="37.5">
      <c r="A23" s="11"/>
      <c r="B23" s="76" t="s">
        <v>33</v>
      </c>
      <c r="C23" s="28"/>
      <c r="D23" s="28">
        <f>0.4*1.25</f>
        <v>0.5</v>
      </c>
      <c r="E23" s="28"/>
      <c r="F23" s="28">
        <f>0.72*0.4</f>
        <v>0.28799999999999998</v>
      </c>
      <c r="G23" s="33">
        <f t="shared" si="0"/>
        <v>0.39400000000000002</v>
      </c>
      <c r="H23" s="184"/>
      <c r="I23" s="372" t="s">
        <v>17</v>
      </c>
      <c r="J23" s="383">
        <f>0.4*3.2</f>
        <v>1.2800000000000002</v>
      </c>
      <c r="K23" s="383" t="s">
        <v>15</v>
      </c>
      <c r="L23" s="313"/>
      <c r="M23" s="383">
        <f>0.4*5.01</f>
        <v>2.004</v>
      </c>
      <c r="N23" s="88" t="s">
        <v>209</v>
      </c>
      <c r="O23" s="386">
        <v>53</v>
      </c>
      <c r="P23" s="44"/>
    </row>
    <row r="24" spans="1:16" ht="37.5">
      <c r="A24" s="11"/>
      <c r="B24" s="76" t="s">
        <v>35</v>
      </c>
      <c r="C24" s="29"/>
      <c r="D24" s="28">
        <f>0.4*1.32</f>
        <v>0.52800000000000002</v>
      </c>
      <c r="E24" s="28"/>
      <c r="F24" s="28">
        <f>0.69*0.4</f>
        <v>0.27599999999999997</v>
      </c>
      <c r="G24" s="33">
        <f t="shared" si="0"/>
        <v>0.40200000000000002</v>
      </c>
      <c r="H24" s="184"/>
      <c r="I24" s="380"/>
      <c r="J24" s="384"/>
      <c r="K24" s="384"/>
      <c r="L24" s="315"/>
      <c r="M24" s="385"/>
      <c r="N24" s="27" t="s">
        <v>210</v>
      </c>
      <c r="O24" s="387"/>
      <c r="P24" s="44"/>
    </row>
    <row r="25" spans="1:16" ht="37.5">
      <c r="A25" s="11"/>
      <c r="B25" s="76" t="s">
        <v>36</v>
      </c>
      <c r="C25" s="27"/>
      <c r="D25" s="28">
        <f>0.4*1.21</f>
        <v>0.48399999999999999</v>
      </c>
      <c r="E25" s="28"/>
      <c r="F25" s="28">
        <f>0.65*0.4</f>
        <v>0.26</v>
      </c>
      <c r="G25" s="33">
        <f t="shared" si="0"/>
        <v>0.372</v>
      </c>
      <c r="H25" s="184"/>
      <c r="I25" s="372" t="s">
        <v>18</v>
      </c>
      <c r="J25" s="383">
        <f>0.4*4.02</f>
        <v>1.6079999999999999</v>
      </c>
      <c r="K25" s="383" t="s">
        <v>15</v>
      </c>
      <c r="L25" s="313"/>
      <c r="M25" s="383">
        <f>0.4*4.42</f>
        <v>1.768</v>
      </c>
      <c r="N25" s="88" t="s">
        <v>209</v>
      </c>
      <c r="O25" s="386">
        <v>70</v>
      </c>
      <c r="P25" s="44"/>
    </row>
    <row r="26" spans="1:16" ht="37.5">
      <c r="A26" s="11"/>
      <c r="B26" s="76" t="s">
        <v>38</v>
      </c>
      <c r="C26" s="27"/>
      <c r="D26" s="28">
        <f>0.4*1.15</f>
        <v>0.45999999999999996</v>
      </c>
      <c r="E26" s="28"/>
      <c r="F26" s="29">
        <f>0.63*0.4</f>
        <v>0.252</v>
      </c>
      <c r="G26" s="33">
        <f t="shared" si="0"/>
        <v>0.35599999999999998</v>
      </c>
      <c r="H26" s="184"/>
      <c r="I26" s="380"/>
      <c r="J26" s="384"/>
      <c r="K26" s="384"/>
      <c r="L26" s="315"/>
      <c r="M26" s="385"/>
      <c r="N26" s="27" t="s">
        <v>210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0.4*1.01</f>
        <v>0.40400000000000003</v>
      </c>
      <c r="E27" s="30"/>
      <c r="F27" s="29">
        <f>0.55*0.4</f>
        <v>0.22000000000000003</v>
      </c>
      <c r="G27" s="33">
        <f t="shared" si="0"/>
        <v>0.31200000000000006</v>
      </c>
      <c r="H27" s="184"/>
      <c r="I27" s="372" t="s">
        <v>20</v>
      </c>
      <c r="J27" s="383">
        <f>0.4*2.9</f>
        <v>1.1599999999999999</v>
      </c>
      <c r="K27" s="383" t="s">
        <v>15</v>
      </c>
      <c r="L27" s="313"/>
      <c r="M27" s="383">
        <f>0.4*6.33</f>
        <v>2.532</v>
      </c>
      <c r="N27" s="27" t="s">
        <v>215</v>
      </c>
      <c r="O27" s="386">
        <v>64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15"/>
      <c r="M28" s="385"/>
      <c r="N28" s="88" t="s">
        <v>216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0.4*6.39</f>
        <v>2.556</v>
      </c>
      <c r="K29" s="383" t="s">
        <v>15</v>
      </c>
      <c r="L29" s="81"/>
      <c r="M29" s="381">
        <f>0.4*8.94</f>
        <v>3.5760000000000001</v>
      </c>
      <c r="N29" s="88" t="s">
        <v>215</v>
      </c>
      <c r="O29" s="386">
        <v>53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216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0.34</v>
      </c>
      <c r="E31" s="28"/>
      <c r="F31" s="234">
        <v>0.33</v>
      </c>
      <c r="G31" s="33">
        <f t="shared" ref="G31:G46" si="1">AVERAGE(D31:F31)</f>
        <v>0.33500000000000002</v>
      </c>
      <c r="H31" s="184"/>
      <c r="I31" s="372" t="s">
        <v>8</v>
      </c>
      <c r="J31" s="376">
        <v>1.73</v>
      </c>
      <c r="K31" s="313"/>
      <c r="L31" s="86"/>
      <c r="M31" s="376">
        <v>2.21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0.6</v>
      </c>
      <c r="E32" s="28"/>
      <c r="F32" s="29">
        <v>0.7</v>
      </c>
      <c r="G32" s="33">
        <f t="shared" si="1"/>
        <v>0.64999999999999991</v>
      </c>
      <c r="H32" s="184"/>
      <c r="I32" s="380"/>
      <c r="J32" s="388"/>
      <c r="K32" s="314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0.27</v>
      </c>
      <c r="E33" s="29"/>
      <c r="F33" s="29">
        <v>0.3</v>
      </c>
      <c r="G33" s="33">
        <f t="shared" si="1"/>
        <v>0.28500000000000003</v>
      </c>
      <c r="H33" s="184"/>
      <c r="I33" s="372" t="s">
        <v>26</v>
      </c>
      <c r="J33" s="381">
        <f>13.47*0.4</f>
        <v>5.3880000000000008</v>
      </c>
      <c r="K33" s="383" t="s">
        <v>15</v>
      </c>
      <c r="L33" s="381"/>
      <c r="M33" s="381">
        <f>6.45*0.4</f>
        <v>2.58</v>
      </c>
      <c r="N33" s="88" t="s">
        <v>215</v>
      </c>
      <c r="O33" s="386">
        <v>103</v>
      </c>
      <c r="P33" s="44"/>
    </row>
    <row r="34" spans="1:16" ht="37.5">
      <c r="A34" s="11"/>
      <c r="B34" s="76" t="s">
        <v>24</v>
      </c>
      <c r="C34" s="29"/>
      <c r="D34" s="29">
        <v>0.25</v>
      </c>
      <c r="E34" s="28"/>
      <c r="F34" s="29">
        <v>0.28000000000000003</v>
      </c>
      <c r="G34" s="33">
        <f t="shared" si="1"/>
        <v>0.26500000000000001</v>
      </c>
      <c r="H34" s="184"/>
      <c r="I34" s="380"/>
      <c r="J34" s="382"/>
      <c r="K34" s="384"/>
      <c r="L34" s="382"/>
      <c r="M34" s="382"/>
      <c r="N34" s="27" t="s">
        <v>216</v>
      </c>
      <c r="O34" s="387"/>
      <c r="P34" s="44"/>
    </row>
    <row r="35" spans="1:16" ht="37.5">
      <c r="A35" s="11"/>
      <c r="B35" s="76" t="s">
        <v>25</v>
      </c>
      <c r="C35" s="29"/>
      <c r="D35" s="29" t="s">
        <v>85</v>
      </c>
      <c r="E35" s="28"/>
      <c r="F35" s="29" t="s">
        <v>85</v>
      </c>
      <c r="G35" s="33" t="e">
        <f t="shared" si="1"/>
        <v>#DIV/0!</v>
      </c>
      <c r="H35" s="184"/>
      <c r="I35" s="372" t="s">
        <v>28</v>
      </c>
      <c r="J35" s="381">
        <f>4*0.4</f>
        <v>1.6</v>
      </c>
      <c r="K35" s="383" t="s">
        <v>15</v>
      </c>
      <c r="L35" s="381"/>
      <c r="M35" s="383">
        <f>3.44*0.4</f>
        <v>1.3760000000000001</v>
      </c>
      <c r="N35" s="88" t="s">
        <v>215</v>
      </c>
      <c r="O35" s="386">
        <v>92</v>
      </c>
      <c r="P35" s="44"/>
    </row>
    <row r="36" spans="1:16" ht="37.5">
      <c r="A36" s="11"/>
      <c r="B36" s="76" t="s">
        <v>27</v>
      </c>
      <c r="C36" s="29"/>
      <c r="D36" s="29">
        <v>0.14000000000000001</v>
      </c>
      <c r="E36" s="29"/>
      <c r="F36" s="29">
        <v>0.17</v>
      </c>
      <c r="G36" s="33">
        <f t="shared" si="1"/>
        <v>0.15500000000000003</v>
      </c>
      <c r="H36" s="184"/>
      <c r="I36" s="380"/>
      <c r="J36" s="382"/>
      <c r="K36" s="384"/>
      <c r="L36" s="382"/>
      <c r="M36" s="385"/>
      <c r="N36" s="27" t="s">
        <v>216</v>
      </c>
      <c r="O36" s="387"/>
      <c r="P36" s="44"/>
    </row>
    <row r="37" spans="1:16" ht="37.5">
      <c r="A37" s="11"/>
      <c r="B37" s="76" t="s">
        <v>46</v>
      </c>
      <c r="C37" s="29"/>
      <c r="D37" s="29">
        <v>0.11</v>
      </c>
      <c r="E37" s="29"/>
      <c r="F37" s="29">
        <v>0.1</v>
      </c>
      <c r="G37" s="33">
        <f t="shared" si="1"/>
        <v>0.10500000000000001</v>
      </c>
      <c r="H37" s="184"/>
      <c r="I37" s="372" t="s">
        <v>31</v>
      </c>
      <c r="J37" s="381">
        <f>3.89*0.4</f>
        <v>1.556</v>
      </c>
      <c r="K37" s="383" t="s">
        <v>15</v>
      </c>
      <c r="L37" s="381"/>
      <c r="M37" s="383">
        <f>1.19*0.4</f>
        <v>0.47599999999999998</v>
      </c>
      <c r="N37" s="88" t="s">
        <v>215</v>
      </c>
      <c r="O37" s="386">
        <v>104</v>
      </c>
      <c r="P37" s="44"/>
    </row>
    <row r="38" spans="1:16" ht="37.5">
      <c r="A38" s="11"/>
      <c r="B38" s="76" t="s">
        <v>48</v>
      </c>
      <c r="C38" s="29"/>
      <c r="D38" s="29">
        <v>7.0000000000000007E-2</v>
      </c>
      <c r="E38" s="231"/>
      <c r="F38" s="29">
        <v>0.08</v>
      </c>
      <c r="G38" s="33">
        <f t="shared" si="1"/>
        <v>7.5000000000000011E-2</v>
      </c>
      <c r="H38" s="184"/>
      <c r="I38" s="380"/>
      <c r="J38" s="382"/>
      <c r="K38" s="384"/>
      <c r="L38" s="382"/>
      <c r="M38" s="385"/>
      <c r="N38" s="27" t="s">
        <v>216</v>
      </c>
      <c r="O38" s="387"/>
      <c r="P38" s="44"/>
    </row>
    <row r="39" spans="1:16" ht="37.5">
      <c r="A39" s="11"/>
      <c r="B39" s="76" t="s">
        <v>49</v>
      </c>
      <c r="C39" s="29"/>
      <c r="D39" s="29">
        <v>0.03</v>
      </c>
      <c r="E39" s="231"/>
      <c r="F39" s="29">
        <v>0.01</v>
      </c>
      <c r="G39" s="33">
        <f t="shared" si="1"/>
        <v>0.02</v>
      </c>
      <c r="H39" s="184"/>
      <c r="I39" s="372" t="s">
        <v>34</v>
      </c>
      <c r="J39" s="381">
        <f>1.77*0.4</f>
        <v>0.70800000000000007</v>
      </c>
      <c r="K39" s="383" t="s">
        <v>15</v>
      </c>
      <c r="L39" s="381"/>
      <c r="M39" s="383">
        <f>3.24*0.4</f>
        <v>1.2960000000000003</v>
      </c>
      <c r="N39" s="88" t="s">
        <v>215</v>
      </c>
      <c r="O39" s="386">
        <v>93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216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1.76*0.4</f>
        <v>0.70400000000000007</v>
      </c>
      <c r="K41" s="383" t="s">
        <v>15</v>
      </c>
      <c r="L41" s="381"/>
      <c r="M41" s="383">
        <f>1.77*0.4</f>
        <v>0.70800000000000007</v>
      </c>
      <c r="N41" s="88" t="s">
        <v>215</v>
      </c>
      <c r="O41" s="386">
        <v>102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216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2.19*0.4</f>
        <v>0.876</v>
      </c>
      <c r="K43" s="383" t="s">
        <v>15</v>
      </c>
      <c r="L43" s="381"/>
      <c r="M43" s="383">
        <f>1.98*0.4</f>
        <v>0.79200000000000004</v>
      </c>
      <c r="N43" s="88" t="s">
        <v>215</v>
      </c>
      <c r="O43" s="386">
        <v>66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216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2.73*0.4</f>
        <v>1.0920000000000001</v>
      </c>
      <c r="K45" s="383" t="s">
        <v>15</v>
      </c>
      <c r="L45" s="381"/>
      <c r="M45" s="383">
        <f>1.48*0.4</f>
        <v>0.59199999999999997</v>
      </c>
      <c r="N45" s="88" t="s">
        <v>215</v>
      </c>
      <c r="O45" s="386">
        <v>66</v>
      </c>
      <c r="P45" s="44"/>
    </row>
    <row r="46" spans="1:16" ht="57.75" customHeight="1" thickBot="1">
      <c r="A46" s="14"/>
      <c r="B46" s="319" t="s">
        <v>58</v>
      </c>
      <c r="C46" s="237"/>
      <c r="D46" s="238">
        <v>0.06</v>
      </c>
      <c r="E46" s="239"/>
      <c r="F46" s="238">
        <v>7.0000000000000007E-2</v>
      </c>
      <c r="G46" s="240">
        <f t="shared" si="1"/>
        <v>6.5000000000000002E-2</v>
      </c>
      <c r="H46" s="184"/>
      <c r="I46" s="380"/>
      <c r="J46" s="382"/>
      <c r="K46" s="384"/>
      <c r="L46" s="382"/>
      <c r="M46" s="385"/>
      <c r="N46" s="27" t="s">
        <v>216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2.56*0.4</f>
        <v>1.024</v>
      </c>
      <c r="K47" s="383" t="s">
        <v>15</v>
      </c>
      <c r="L47" s="381"/>
      <c r="M47" s="383">
        <f>5.11*0.4</f>
        <v>2.044</v>
      </c>
      <c r="N47" s="88" t="s">
        <v>215</v>
      </c>
      <c r="O47" s="386">
        <v>88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216</v>
      </c>
      <c r="O48" s="387"/>
      <c r="P48" s="44"/>
    </row>
    <row r="49" spans="1:16" ht="38.25" thickBot="1">
      <c r="A49" s="14"/>
      <c r="B49" s="95" t="s">
        <v>208</v>
      </c>
      <c r="C49" s="77"/>
      <c r="D49" s="220" t="s">
        <v>66</v>
      </c>
      <c r="E49" s="219" t="s">
        <v>125</v>
      </c>
      <c r="F49" s="219" t="s">
        <v>128</v>
      </c>
      <c r="G49" s="223" t="s">
        <v>129</v>
      </c>
      <c r="H49" s="224" t="s">
        <v>8</v>
      </c>
      <c r="I49" s="372" t="s">
        <v>45</v>
      </c>
      <c r="J49" s="381">
        <f>2.39*0.4</f>
        <v>0.95600000000000007</v>
      </c>
      <c r="K49" s="383" t="s">
        <v>15</v>
      </c>
      <c r="L49" s="313"/>
      <c r="M49" s="383">
        <f>1.61*0.4</f>
        <v>0.64400000000000013</v>
      </c>
      <c r="N49" s="88" t="s">
        <v>215</v>
      </c>
      <c r="O49" s="386">
        <v>81</v>
      </c>
      <c r="P49" s="44"/>
    </row>
    <row r="50" spans="1:16" ht="37.5">
      <c r="A50" s="14"/>
      <c r="B50" s="76" t="s">
        <v>22</v>
      </c>
      <c r="C50" s="97"/>
      <c r="D50" s="98"/>
      <c r="E50" s="258">
        <v>1181</v>
      </c>
      <c r="F50" s="258">
        <v>1161</v>
      </c>
      <c r="G50" s="277">
        <v>1129</v>
      </c>
      <c r="H50" s="260">
        <f>AVERAGE(E50:G50)</f>
        <v>1157</v>
      </c>
      <c r="I50" s="380"/>
      <c r="J50" s="382"/>
      <c r="K50" s="384"/>
      <c r="L50" s="315"/>
      <c r="M50" s="385"/>
      <c r="N50" s="27" t="s">
        <v>216</v>
      </c>
      <c r="O50" s="387"/>
      <c r="P50" s="44"/>
    </row>
    <row r="51" spans="1:16" ht="37.5">
      <c r="A51" s="14"/>
      <c r="B51" s="76" t="s">
        <v>24</v>
      </c>
      <c r="C51" s="97"/>
      <c r="D51" s="98"/>
      <c r="E51" s="98">
        <v>786</v>
      </c>
      <c r="F51" s="98">
        <v>874</v>
      </c>
      <c r="G51" s="99">
        <v>810</v>
      </c>
      <c r="H51" s="260">
        <f t="shared" ref="H51:H61" si="2">AVERAGE(E51:G51)</f>
        <v>823.33333333333337</v>
      </c>
      <c r="I51" s="372" t="s">
        <v>47</v>
      </c>
      <c r="J51" s="381">
        <f>2.76*0.4</f>
        <v>1.1039999999999999</v>
      </c>
      <c r="K51" s="383" t="s">
        <v>15</v>
      </c>
      <c r="L51" s="313"/>
      <c r="M51" s="383">
        <f>2.29*0.4</f>
        <v>0.91600000000000004</v>
      </c>
      <c r="N51" s="88" t="s">
        <v>215</v>
      </c>
      <c r="O51" s="386">
        <v>85</v>
      </c>
      <c r="P51" s="44"/>
    </row>
    <row r="52" spans="1:16" ht="37.5">
      <c r="A52" s="14"/>
      <c r="B52" s="76" t="s">
        <v>25</v>
      </c>
      <c r="C52" s="97"/>
      <c r="D52" s="98"/>
      <c r="E52" s="98"/>
      <c r="F52" s="98"/>
      <c r="G52" s="99"/>
      <c r="H52" s="260"/>
      <c r="I52" s="380"/>
      <c r="J52" s="382"/>
      <c r="K52" s="384"/>
      <c r="L52" s="315"/>
      <c r="M52" s="385"/>
      <c r="N52" s="27" t="s">
        <v>216</v>
      </c>
      <c r="O52" s="387"/>
      <c r="P52" s="44"/>
    </row>
    <row r="53" spans="1:16" ht="37.5">
      <c r="A53" s="14"/>
      <c r="B53" s="76" t="s">
        <v>27</v>
      </c>
      <c r="C53" s="97"/>
      <c r="D53" s="98"/>
      <c r="E53" s="98">
        <v>414</v>
      </c>
      <c r="F53" s="98">
        <v>428</v>
      </c>
      <c r="G53" s="99">
        <v>658</v>
      </c>
      <c r="H53" s="260">
        <f t="shared" si="2"/>
        <v>500</v>
      </c>
      <c r="I53" s="372" t="s">
        <v>50</v>
      </c>
      <c r="J53" s="381">
        <f>2.94*0.4</f>
        <v>1.1759999999999999</v>
      </c>
      <c r="K53" s="383" t="s">
        <v>15</v>
      </c>
      <c r="L53" s="313"/>
      <c r="M53" s="383">
        <f>2.93*0.4</f>
        <v>1.1720000000000002</v>
      </c>
      <c r="N53" s="88" t="s">
        <v>215</v>
      </c>
      <c r="O53" s="386">
        <v>75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260"/>
      <c r="I54" s="380"/>
      <c r="J54" s="382"/>
      <c r="K54" s="384"/>
      <c r="L54" s="315"/>
      <c r="M54" s="385"/>
      <c r="N54" s="27" t="s">
        <v>216</v>
      </c>
      <c r="O54" s="387"/>
      <c r="P54" s="44"/>
    </row>
    <row r="55" spans="1:16" ht="37.5">
      <c r="A55" s="15"/>
      <c r="B55" s="76" t="s">
        <v>48</v>
      </c>
      <c r="C55" s="100"/>
      <c r="D55" s="98"/>
      <c r="E55" s="98">
        <v>261</v>
      </c>
      <c r="F55" s="98">
        <v>203</v>
      </c>
      <c r="G55" s="99">
        <v>500</v>
      </c>
      <c r="H55" s="260">
        <f t="shared" si="2"/>
        <v>321.33333333333331</v>
      </c>
      <c r="I55" s="372" t="s">
        <v>53</v>
      </c>
      <c r="J55" s="381">
        <f>4.34*0.4</f>
        <v>1.736</v>
      </c>
      <c r="K55" s="383" t="s">
        <v>15</v>
      </c>
      <c r="L55" s="313"/>
      <c r="M55" s="383">
        <f>2.88*0.4</f>
        <v>1.1519999999999999</v>
      </c>
      <c r="N55" s="88" t="s">
        <v>215</v>
      </c>
      <c r="O55" s="386">
        <v>91</v>
      </c>
      <c r="P55" s="44"/>
    </row>
    <row r="56" spans="1:16" ht="37.5">
      <c r="A56" s="15"/>
      <c r="B56" s="76" t="s">
        <v>49</v>
      </c>
      <c r="C56" s="100"/>
      <c r="D56" s="98"/>
      <c r="E56" s="98">
        <v>124</v>
      </c>
      <c r="F56" s="98">
        <v>121</v>
      </c>
      <c r="G56" s="99">
        <v>198</v>
      </c>
      <c r="H56" s="260">
        <f t="shared" si="2"/>
        <v>147.66666666666666</v>
      </c>
      <c r="I56" s="380"/>
      <c r="J56" s="382"/>
      <c r="K56" s="384"/>
      <c r="L56" s="315"/>
      <c r="M56" s="385"/>
      <c r="N56" s="27" t="s">
        <v>216</v>
      </c>
      <c r="O56" s="387"/>
      <c r="P56" s="44"/>
    </row>
    <row r="57" spans="1:16" ht="37.5">
      <c r="A57" s="15"/>
      <c r="B57" s="76" t="s">
        <v>51</v>
      </c>
      <c r="C57" s="100"/>
      <c r="D57" s="98"/>
      <c r="E57" s="98">
        <v>86</v>
      </c>
      <c r="F57" s="98">
        <v>78</v>
      </c>
      <c r="G57" s="99">
        <v>77</v>
      </c>
      <c r="H57" s="260">
        <f t="shared" si="2"/>
        <v>80.333333333333329</v>
      </c>
      <c r="I57" s="372" t="s">
        <v>8</v>
      </c>
      <c r="J57" s="374">
        <v>1.49</v>
      </c>
      <c r="K57" s="376"/>
      <c r="L57" s="101"/>
      <c r="M57" s="376">
        <v>1.1499999999999999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/>
      <c r="E58" s="98">
        <v>71</v>
      </c>
      <c r="F58" s="98">
        <v>75</v>
      </c>
      <c r="G58" s="99">
        <v>73</v>
      </c>
      <c r="H58" s="260">
        <f t="shared" si="2"/>
        <v>73</v>
      </c>
      <c r="I58" s="373"/>
      <c r="J58" s="375"/>
      <c r="K58" s="377"/>
      <c r="L58" s="36"/>
      <c r="M58" s="377"/>
      <c r="N58" s="377"/>
      <c r="O58" s="379"/>
      <c r="P58" s="44"/>
    </row>
    <row r="59" spans="1:16" ht="38.25" thickBot="1">
      <c r="A59" s="15"/>
      <c r="B59" s="76" t="s">
        <v>54</v>
      </c>
      <c r="C59" s="100"/>
      <c r="D59" s="98"/>
      <c r="E59" s="98">
        <v>59</v>
      </c>
      <c r="F59" s="259">
        <v>71</v>
      </c>
      <c r="G59" s="99">
        <v>51</v>
      </c>
      <c r="H59" s="260">
        <f t="shared" si="2"/>
        <v>60.333333333333336</v>
      </c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8.25" thickTop="1">
      <c r="A60" s="15"/>
      <c r="B60" s="89" t="s">
        <v>55</v>
      </c>
      <c r="C60" s="100"/>
      <c r="D60" s="98"/>
      <c r="E60" s="98">
        <v>54</v>
      </c>
      <c r="F60" s="98">
        <v>46</v>
      </c>
      <c r="G60" s="99">
        <v>55</v>
      </c>
      <c r="H60" s="260">
        <f t="shared" si="2"/>
        <v>51.666666666666664</v>
      </c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/>
      <c r="E61" s="98">
        <v>42</v>
      </c>
      <c r="F61" s="98">
        <v>46</v>
      </c>
      <c r="G61" s="99">
        <v>41</v>
      </c>
      <c r="H61" s="260">
        <f t="shared" si="2"/>
        <v>43</v>
      </c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/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17" t="s">
        <v>13</v>
      </c>
      <c r="J64" s="29">
        <v>1.05</v>
      </c>
      <c r="K64" s="29">
        <v>0.76</v>
      </c>
      <c r="L64" s="119">
        <f>AVERAGE(J64:K64)</f>
        <v>0.90500000000000003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17" t="s">
        <v>16</v>
      </c>
      <c r="J65" s="29">
        <v>1.0900000000000001</v>
      </c>
      <c r="K65" s="245">
        <v>0.65</v>
      </c>
      <c r="L65" s="208">
        <f>AVERAGE(J65:K65)</f>
        <v>0.87000000000000011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208</v>
      </c>
      <c r="C68" s="120" t="s">
        <v>84</v>
      </c>
      <c r="D68" s="120" t="s">
        <v>217</v>
      </c>
      <c r="E68" s="116">
        <v>1143</v>
      </c>
      <c r="F68" s="29"/>
      <c r="G68" s="118"/>
      <c r="H68" s="190"/>
      <c r="I68" s="317" t="s">
        <v>67</v>
      </c>
      <c r="J68" s="317"/>
      <c r="K68" s="317"/>
      <c r="L68" s="126"/>
      <c r="M68" s="316"/>
      <c r="N68" s="127"/>
      <c r="O68" s="128"/>
      <c r="P68" s="44"/>
    </row>
    <row r="69" spans="1:16" ht="37.5">
      <c r="A69" s="15"/>
      <c r="B69" s="95" t="s">
        <v>208</v>
      </c>
      <c r="C69" s="120" t="s">
        <v>83</v>
      </c>
      <c r="D69" s="120" t="s">
        <v>211</v>
      </c>
      <c r="E69" s="116">
        <v>19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208</v>
      </c>
      <c r="C70" s="120" t="s">
        <v>83</v>
      </c>
      <c r="D70" s="120" t="s">
        <v>212</v>
      </c>
      <c r="E70" s="116">
        <v>35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72.58</v>
      </c>
      <c r="K72" s="29"/>
      <c r="L72" s="119">
        <f>AVERAGE(J72:K72)</f>
        <v>72.58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77.760000000000005</v>
      </c>
      <c r="K73" s="29"/>
      <c r="L73" s="119">
        <f>AVERAGE(J73:K73)</f>
        <v>77.760000000000005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69.05</v>
      </c>
      <c r="K74" s="27">
        <v>64</v>
      </c>
      <c r="L74" s="119">
        <f>AVERAGE(J74:K74)</f>
        <v>66.525000000000006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68.400000000000006</v>
      </c>
      <c r="K75" s="91">
        <v>64.7</v>
      </c>
      <c r="L75" s="119">
        <f>AVERAGE(J75:K75)</f>
        <v>66.550000000000011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16"/>
      <c r="J78" s="236" t="s">
        <v>66</v>
      </c>
      <c r="K78" s="236" t="s">
        <v>66</v>
      </c>
      <c r="L78" s="236" t="s">
        <v>66</v>
      </c>
      <c r="M78" s="113"/>
      <c r="N78" s="316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3.3*0.4</f>
        <v>1.32</v>
      </c>
      <c r="L79" s="119">
        <f>AVERAGE(J79:K79)</f>
        <v>1.32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2.25*0.4</f>
        <v>0.9</v>
      </c>
      <c r="L80" s="119">
        <f>AVERAGE(J80:K80)</f>
        <v>0.9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208</v>
      </c>
      <c r="C82" s="120" t="s">
        <v>83</v>
      </c>
      <c r="D82" s="120" t="s">
        <v>211</v>
      </c>
      <c r="E82" s="27">
        <v>2.1800000000000002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/>
      <c r="C84" s="120"/>
      <c r="D84" s="120"/>
      <c r="E84" s="27"/>
      <c r="F84" s="131"/>
      <c r="G84" s="139"/>
      <c r="H84" s="197"/>
      <c r="I84" s="77" t="s">
        <v>93</v>
      </c>
      <c r="J84" s="32">
        <v>9.8000000000000004E-2</v>
      </c>
      <c r="K84" s="32">
        <v>0.01</v>
      </c>
      <c r="L84" s="119">
        <f>AVERAGE(J84:K84)</f>
        <v>5.3999999999999999E-2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0.03</v>
      </c>
      <c r="K85" s="211">
        <v>0.01</v>
      </c>
      <c r="L85" s="119">
        <f>AVERAGE(J85:K85)</f>
        <v>0.02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18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T130"/>
  <sheetViews>
    <sheetView view="pageBreakPreview" topLeftCell="A23" zoomScale="30" zoomScaleSheetLayoutView="30" workbookViewId="0">
      <selection activeCell="J23" sqref="J23:J24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208</v>
      </c>
      <c r="D3" s="38"/>
      <c r="E3" s="39" t="s">
        <v>9</v>
      </c>
      <c r="F3" s="39"/>
      <c r="G3" s="39"/>
      <c r="H3" s="40"/>
      <c r="I3" s="41" t="s">
        <v>2</v>
      </c>
      <c r="J3" s="42" t="s">
        <v>218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208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214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2.21</v>
      </c>
      <c r="E7" s="21"/>
      <c r="F7" s="21">
        <v>1.1499999999999999</v>
      </c>
      <c r="G7" s="102">
        <f>AVERAGE(D7:F7)</f>
        <v>1.68</v>
      </c>
      <c r="H7" s="184"/>
      <c r="I7" s="372" t="s">
        <v>98</v>
      </c>
      <c r="J7" s="383">
        <f>0.4*4.85</f>
        <v>1.94</v>
      </c>
      <c r="K7" s="383" t="s">
        <v>15</v>
      </c>
      <c r="L7" s="341"/>
      <c r="M7" s="383">
        <f>0.4*1.13</f>
        <v>0.45199999999999996</v>
      </c>
      <c r="N7" s="88" t="s">
        <v>209</v>
      </c>
      <c r="O7" s="386">
        <v>68</v>
      </c>
      <c r="P7" s="44"/>
    </row>
    <row r="8" spans="1:17" ht="38.25" thickBot="1">
      <c r="A8" s="12"/>
      <c r="B8" s="68" t="s">
        <v>16</v>
      </c>
      <c r="C8" s="69"/>
      <c r="D8" s="34">
        <v>1.73</v>
      </c>
      <c r="E8" s="23"/>
      <c r="F8" s="23">
        <v>1.49</v>
      </c>
      <c r="G8" s="124">
        <f>AVERAGE(D8:F8)</f>
        <v>1.6099999999999999</v>
      </c>
      <c r="H8" s="184"/>
      <c r="I8" s="380"/>
      <c r="J8" s="384"/>
      <c r="K8" s="384"/>
      <c r="L8" s="343"/>
      <c r="M8" s="385"/>
      <c r="N8" s="27" t="s">
        <v>210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0.4*1.34</f>
        <v>0.53600000000000003</v>
      </c>
      <c r="K9" s="383" t="s">
        <v>15</v>
      </c>
      <c r="L9" s="383"/>
      <c r="M9" s="383">
        <f>0.4*4.91</f>
        <v>1.9640000000000002</v>
      </c>
      <c r="N9" s="88" t="s">
        <v>209</v>
      </c>
      <c r="O9" s="386">
        <v>70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210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0.4*2.13</f>
        <v>0.85199999999999998</v>
      </c>
      <c r="K11" s="383" t="s">
        <v>15</v>
      </c>
      <c r="L11" s="341"/>
      <c r="M11" s="383">
        <f>0.4*6.03</f>
        <v>2.4120000000000004</v>
      </c>
      <c r="N11" s="88" t="s">
        <v>209</v>
      </c>
      <c r="O11" s="386">
        <v>60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3"/>
      <c r="M12" s="385"/>
      <c r="N12" s="27" t="s">
        <v>210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0.4*6.58</f>
        <v>2.6320000000000001</v>
      </c>
      <c r="K13" s="383" t="s">
        <v>15</v>
      </c>
      <c r="L13" s="341"/>
      <c r="M13" s="383">
        <f>0.4*2.8</f>
        <v>1.1199999999999999</v>
      </c>
      <c r="N13" s="88" t="s">
        <v>209</v>
      </c>
      <c r="O13" s="386">
        <v>60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0.4*3.44</f>
        <v>1.3760000000000001</v>
      </c>
      <c r="E14" s="28"/>
      <c r="F14" s="28">
        <f>2.72*0.4</f>
        <v>1.0880000000000001</v>
      </c>
      <c r="G14" s="33">
        <f t="shared" ref="G14:G27" si="0">AVERAGE(D14:F14)</f>
        <v>1.2320000000000002</v>
      </c>
      <c r="H14" s="184"/>
      <c r="I14" s="380"/>
      <c r="J14" s="384"/>
      <c r="K14" s="384"/>
      <c r="L14" s="343"/>
      <c r="M14" s="385"/>
      <c r="N14" s="27" t="s">
        <v>210</v>
      </c>
      <c r="O14" s="387"/>
      <c r="P14" s="44"/>
    </row>
    <row r="15" spans="1:17" ht="37.5">
      <c r="A15" s="11"/>
      <c r="B15" s="76" t="s">
        <v>97</v>
      </c>
      <c r="C15" s="29"/>
      <c r="D15" s="29">
        <f>0.4*2.35</f>
        <v>0.94000000000000006</v>
      </c>
      <c r="E15" s="28"/>
      <c r="F15" s="29">
        <f>2.69*0.4</f>
        <v>1.0760000000000001</v>
      </c>
      <c r="G15" s="33">
        <f t="shared" si="0"/>
        <v>1.008</v>
      </c>
      <c r="H15" s="184" t="s">
        <v>4</v>
      </c>
      <c r="I15" s="390" t="s">
        <v>61</v>
      </c>
      <c r="J15" s="383">
        <f>0.4*5.9</f>
        <v>2.3600000000000003</v>
      </c>
      <c r="K15" s="383" t="s">
        <v>15</v>
      </c>
      <c r="L15" s="341"/>
      <c r="M15" s="383">
        <f>0.4*8.87</f>
        <v>3.548</v>
      </c>
      <c r="N15" s="88" t="s">
        <v>209</v>
      </c>
      <c r="O15" s="386">
        <v>90</v>
      </c>
      <c r="P15" s="44"/>
    </row>
    <row r="16" spans="1:17" ht="37.5">
      <c r="A16" s="11"/>
      <c r="B16" s="76" t="s">
        <v>22</v>
      </c>
      <c r="C16" s="28"/>
      <c r="D16" s="28">
        <f>0.4*2.25</f>
        <v>0.9</v>
      </c>
      <c r="E16" s="29"/>
      <c r="F16" s="29">
        <f>1.2*0.4</f>
        <v>0.48</v>
      </c>
      <c r="G16" s="33">
        <f t="shared" si="0"/>
        <v>0.69</v>
      </c>
      <c r="H16" s="184"/>
      <c r="I16" s="391"/>
      <c r="J16" s="384"/>
      <c r="K16" s="384"/>
      <c r="L16" s="343"/>
      <c r="M16" s="385"/>
      <c r="N16" s="27" t="s">
        <v>210</v>
      </c>
      <c r="O16" s="387"/>
      <c r="P16" s="44"/>
    </row>
    <row r="17" spans="1:16" ht="37.5">
      <c r="A17" s="11"/>
      <c r="B17" s="76" t="s">
        <v>24</v>
      </c>
      <c r="C17" s="28"/>
      <c r="D17" s="28">
        <f>0.4*1.7</f>
        <v>0.68</v>
      </c>
      <c r="E17" s="28"/>
      <c r="F17" s="29">
        <f>0.77*0.4</f>
        <v>0.30800000000000005</v>
      </c>
      <c r="G17" s="33">
        <f t="shared" si="0"/>
        <v>0.49400000000000005</v>
      </c>
      <c r="H17" s="184"/>
      <c r="I17" s="372" t="s">
        <v>62</v>
      </c>
      <c r="J17" s="383">
        <f>0.4*5.57</f>
        <v>2.2280000000000002</v>
      </c>
      <c r="K17" s="383" t="s">
        <v>15</v>
      </c>
      <c r="L17" s="341"/>
      <c r="M17" s="383">
        <f>0.4*5.44</f>
        <v>2.1760000000000002</v>
      </c>
      <c r="N17" s="88" t="s">
        <v>209</v>
      </c>
      <c r="O17" s="386">
        <v>70</v>
      </c>
      <c r="P17" s="44"/>
    </row>
    <row r="18" spans="1:16" ht="37.5">
      <c r="A18" s="11"/>
      <c r="B18" s="76" t="s">
        <v>25</v>
      </c>
      <c r="C18" s="29"/>
      <c r="D18" s="28" t="s">
        <v>85</v>
      </c>
      <c r="E18" s="28"/>
      <c r="F18" s="29" t="s">
        <v>85</v>
      </c>
      <c r="G18" s="33" t="e">
        <f t="shared" si="0"/>
        <v>#DIV/0!</v>
      </c>
      <c r="H18" s="184"/>
      <c r="I18" s="380"/>
      <c r="J18" s="384"/>
      <c r="K18" s="384"/>
      <c r="L18" s="343"/>
      <c r="M18" s="385"/>
      <c r="N18" s="27" t="s">
        <v>210</v>
      </c>
      <c r="O18" s="387"/>
      <c r="P18" s="44"/>
    </row>
    <row r="19" spans="1:16" ht="37.5">
      <c r="A19" s="11"/>
      <c r="B19" s="76" t="s">
        <v>27</v>
      </c>
      <c r="C19" s="29"/>
      <c r="D19" s="28">
        <f>0.4*1.25</f>
        <v>0.5</v>
      </c>
      <c r="E19" s="29"/>
      <c r="F19" s="29">
        <f>0.72*0.4</f>
        <v>0.28799999999999998</v>
      </c>
      <c r="G19" s="33">
        <f t="shared" si="0"/>
        <v>0.39400000000000002</v>
      </c>
      <c r="H19" s="184"/>
      <c r="I19" s="372" t="s">
        <v>63</v>
      </c>
      <c r="J19" s="383">
        <f>0.4*4.53</f>
        <v>1.8120000000000003</v>
      </c>
      <c r="K19" s="383" t="s">
        <v>15</v>
      </c>
      <c r="L19" s="341"/>
      <c r="M19" s="383">
        <f>0.4*5.35</f>
        <v>2.14</v>
      </c>
      <c r="N19" s="88" t="s">
        <v>209</v>
      </c>
      <c r="O19" s="386">
        <v>90</v>
      </c>
      <c r="P19" s="44"/>
    </row>
    <row r="20" spans="1:16" ht="37.5">
      <c r="A20" s="11"/>
      <c r="B20" s="76" t="s">
        <v>29</v>
      </c>
      <c r="C20" s="28"/>
      <c r="D20" s="28">
        <f>0.4*1.28</f>
        <v>0.51200000000000001</v>
      </c>
      <c r="E20" s="29"/>
      <c r="F20" s="29">
        <f>0.75*0.4</f>
        <v>0.30000000000000004</v>
      </c>
      <c r="G20" s="33">
        <f t="shared" si="0"/>
        <v>0.40600000000000003</v>
      </c>
      <c r="H20" s="184"/>
      <c r="I20" s="380"/>
      <c r="J20" s="384"/>
      <c r="K20" s="384"/>
      <c r="L20" s="343"/>
      <c r="M20" s="385"/>
      <c r="N20" s="27" t="s">
        <v>210</v>
      </c>
      <c r="O20" s="387"/>
      <c r="P20" s="44"/>
    </row>
    <row r="21" spans="1:16" ht="37.5">
      <c r="A21" s="11"/>
      <c r="B21" s="76" t="s">
        <v>30</v>
      </c>
      <c r="C21" s="28"/>
      <c r="D21" s="28">
        <f>0.4*1.25</f>
        <v>0.5</v>
      </c>
      <c r="E21" s="28"/>
      <c r="F21" s="29">
        <f>0.68*0.4</f>
        <v>0.27200000000000002</v>
      </c>
      <c r="G21" s="33">
        <f t="shared" si="0"/>
        <v>0.38600000000000001</v>
      </c>
      <c r="H21" s="184"/>
      <c r="I21" s="372" t="s">
        <v>14</v>
      </c>
      <c r="J21" s="383">
        <f>0.4*4.5</f>
        <v>1.8</v>
      </c>
      <c r="K21" s="383" t="s">
        <v>15</v>
      </c>
      <c r="L21" s="341"/>
      <c r="M21" s="383">
        <f>0.4*7.21</f>
        <v>2.8840000000000003</v>
      </c>
      <c r="N21" s="88" t="s">
        <v>209</v>
      </c>
      <c r="O21" s="386">
        <v>66</v>
      </c>
      <c r="P21" s="44"/>
    </row>
    <row r="22" spans="1:16" ht="37.5">
      <c r="A22" s="11"/>
      <c r="B22" s="76" t="s">
        <v>32</v>
      </c>
      <c r="C22" s="78"/>
      <c r="D22" s="28">
        <f>0.4*1.29</f>
        <v>0.51600000000000001</v>
      </c>
      <c r="E22" s="28"/>
      <c r="F22" s="29">
        <f>0.67*0.4</f>
        <v>0.26800000000000002</v>
      </c>
      <c r="G22" s="33">
        <f t="shared" si="0"/>
        <v>0.39200000000000002</v>
      </c>
      <c r="H22" s="184"/>
      <c r="I22" s="380"/>
      <c r="J22" s="384"/>
      <c r="K22" s="384"/>
      <c r="L22" s="343"/>
      <c r="M22" s="385"/>
      <c r="N22" s="27" t="s">
        <v>210</v>
      </c>
      <c r="O22" s="387"/>
      <c r="P22" s="44"/>
    </row>
    <row r="23" spans="1:16" ht="37.5">
      <c r="A23" s="11"/>
      <c r="B23" s="76" t="s">
        <v>33</v>
      </c>
      <c r="C23" s="28"/>
      <c r="D23" s="28">
        <f>0.4*1.25</f>
        <v>0.5</v>
      </c>
      <c r="E23" s="28"/>
      <c r="F23" s="28">
        <f>0.72*0.4</f>
        <v>0.28799999999999998</v>
      </c>
      <c r="G23" s="33">
        <f t="shared" si="0"/>
        <v>0.39400000000000002</v>
      </c>
      <c r="H23" s="184"/>
      <c r="I23" s="372" t="s">
        <v>17</v>
      </c>
      <c r="J23" s="383">
        <f>0.4*3.2</f>
        <v>1.2800000000000002</v>
      </c>
      <c r="K23" s="383" t="s">
        <v>15</v>
      </c>
      <c r="L23" s="341"/>
      <c r="M23" s="383">
        <f>0.4*5.01</f>
        <v>2.004</v>
      </c>
      <c r="N23" s="88" t="s">
        <v>209</v>
      </c>
      <c r="O23" s="386">
        <v>53</v>
      </c>
      <c r="P23" s="44"/>
    </row>
    <row r="24" spans="1:16" ht="37.5">
      <c r="A24" s="11"/>
      <c r="B24" s="76" t="s">
        <v>35</v>
      </c>
      <c r="C24" s="29"/>
      <c r="D24" s="28">
        <f>0.4*1.32</f>
        <v>0.52800000000000002</v>
      </c>
      <c r="E24" s="28"/>
      <c r="F24" s="28">
        <f>0.69*0.4</f>
        <v>0.27599999999999997</v>
      </c>
      <c r="G24" s="33">
        <f t="shared" si="0"/>
        <v>0.40200000000000002</v>
      </c>
      <c r="H24" s="184"/>
      <c r="I24" s="380"/>
      <c r="J24" s="384"/>
      <c r="K24" s="384"/>
      <c r="L24" s="343"/>
      <c r="M24" s="385"/>
      <c r="N24" s="27" t="s">
        <v>210</v>
      </c>
      <c r="O24" s="387"/>
      <c r="P24" s="44"/>
    </row>
    <row r="25" spans="1:16" ht="37.5">
      <c r="A25" s="11"/>
      <c r="B25" s="76" t="s">
        <v>36</v>
      </c>
      <c r="C25" s="27"/>
      <c r="D25" s="28">
        <f>0.4*1.21</f>
        <v>0.48399999999999999</v>
      </c>
      <c r="E25" s="28"/>
      <c r="F25" s="28">
        <f>0.65*0.4</f>
        <v>0.26</v>
      </c>
      <c r="G25" s="33">
        <f t="shared" si="0"/>
        <v>0.372</v>
      </c>
      <c r="H25" s="184"/>
      <c r="I25" s="372" t="s">
        <v>18</v>
      </c>
      <c r="J25" s="383">
        <f>0.4*4.02</f>
        <v>1.6079999999999999</v>
      </c>
      <c r="K25" s="383" t="s">
        <v>15</v>
      </c>
      <c r="L25" s="341"/>
      <c r="M25" s="383">
        <f>0.4*4.42</f>
        <v>1.768</v>
      </c>
      <c r="N25" s="88" t="s">
        <v>209</v>
      </c>
      <c r="O25" s="386">
        <v>70</v>
      </c>
      <c r="P25" s="44"/>
    </row>
    <row r="26" spans="1:16" ht="37.5">
      <c r="A26" s="11"/>
      <c r="B26" s="76" t="s">
        <v>38</v>
      </c>
      <c r="C26" s="27"/>
      <c r="D26" s="28">
        <f>0.4*1.15</f>
        <v>0.45999999999999996</v>
      </c>
      <c r="E26" s="28"/>
      <c r="F26" s="29">
        <f>0.63*0.4</f>
        <v>0.252</v>
      </c>
      <c r="G26" s="33">
        <f t="shared" si="0"/>
        <v>0.35599999999999998</v>
      </c>
      <c r="H26" s="184"/>
      <c r="I26" s="380"/>
      <c r="J26" s="384"/>
      <c r="K26" s="384"/>
      <c r="L26" s="343"/>
      <c r="M26" s="385"/>
      <c r="N26" s="27" t="s">
        <v>210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0.4*1.01</f>
        <v>0.40400000000000003</v>
      </c>
      <c r="E27" s="30"/>
      <c r="F27" s="29">
        <f>0.55*0.4</f>
        <v>0.22000000000000003</v>
      </c>
      <c r="G27" s="33">
        <f t="shared" si="0"/>
        <v>0.31200000000000006</v>
      </c>
      <c r="H27" s="184"/>
      <c r="I27" s="372" t="s">
        <v>20</v>
      </c>
      <c r="J27" s="383">
        <f>0.4*2.9</f>
        <v>1.1599999999999999</v>
      </c>
      <c r="K27" s="383" t="s">
        <v>15</v>
      </c>
      <c r="L27" s="341"/>
      <c r="M27" s="383">
        <f>0.4*6.33</f>
        <v>2.532</v>
      </c>
      <c r="N27" s="27" t="s">
        <v>215</v>
      </c>
      <c r="O27" s="386">
        <v>64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43"/>
      <c r="M28" s="385"/>
      <c r="N28" s="88" t="s">
        <v>216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0.4*6.39</f>
        <v>2.556</v>
      </c>
      <c r="K29" s="383" t="s">
        <v>15</v>
      </c>
      <c r="L29" s="81"/>
      <c r="M29" s="381">
        <f>0.4*8.94</f>
        <v>3.5760000000000001</v>
      </c>
      <c r="N29" s="88" t="s">
        <v>215</v>
      </c>
      <c r="O29" s="386">
        <v>53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216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0.34</v>
      </c>
      <c r="E31" s="28"/>
      <c r="F31" s="234">
        <v>0.33</v>
      </c>
      <c r="G31" s="33">
        <f t="shared" ref="G31:G46" si="1">AVERAGE(D31:F31)</f>
        <v>0.33500000000000002</v>
      </c>
      <c r="H31" s="184"/>
      <c r="I31" s="372" t="s">
        <v>8</v>
      </c>
      <c r="J31" s="376">
        <v>1.73</v>
      </c>
      <c r="K31" s="341"/>
      <c r="L31" s="86"/>
      <c r="M31" s="376">
        <v>2.21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0.6</v>
      </c>
      <c r="E32" s="28"/>
      <c r="F32" s="29">
        <v>0.7</v>
      </c>
      <c r="G32" s="33">
        <f t="shared" si="1"/>
        <v>0.64999999999999991</v>
      </c>
      <c r="H32" s="184"/>
      <c r="I32" s="380"/>
      <c r="J32" s="388"/>
      <c r="K32" s="342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0.27</v>
      </c>
      <c r="E33" s="29"/>
      <c r="F33" s="29">
        <v>0.3</v>
      </c>
      <c r="G33" s="33">
        <f t="shared" si="1"/>
        <v>0.28500000000000003</v>
      </c>
      <c r="H33" s="184"/>
      <c r="I33" s="372" t="s">
        <v>26</v>
      </c>
      <c r="J33" s="381">
        <f>13.47*0.4</f>
        <v>5.3880000000000008</v>
      </c>
      <c r="K33" s="383" t="s">
        <v>15</v>
      </c>
      <c r="L33" s="381"/>
      <c r="M33" s="381">
        <f>6.45*0.4</f>
        <v>2.58</v>
      </c>
      <c r="N33" s="88" t="s">
        <v>215</v>
      </c>
      <c r="O33" s="386">
        <v>103</v>
      </c>
      <c r="P33" s="44"/>
    </row>
    <row r="34" spans="1:16" ht="37.5">
      <c r="A34" s="11"/>
      <c r="B34" s="76" t="s">
        <v>24</v>
      </c>
      <c r="C34" s="29"/>
      <c r="D34" s="29">
        <v>0.25</v>
      </c>
      <c r="E34" s="28"/>
      <c r="F34" s="29">
        <v>0.28000000000000003</v>
      </c>
      <c r="G34" s="33">
        <f t="shared" si="1"/>
        <v>0.26500000000000001</v>
      </c>
      <c r="H34" s="184"/>
      <c r="I34" s="380"/>
      <c r="J34" s="382"/>
      <c r="K34" s="384"/>
      <c r="L34" s="382"/>
      <c r="M34" s="382"/>
      <c r="N34" s="27" t="s">
        <v>216</v>
      </c>
      <c r="O34" s="387"/>
      <c r="P34" s="44"/>
    </row>
    <row r="35" spans="1:16" ht="37.5">
      <c r="A35" s="11"/>
      <c r="B35" s="76" t="s">
        <v>25</v>
      </c>
      <c r="C35" s="29"/>
      <c r="D35" s="29" t="s">
        <v>85</v>
      </c>
      <c r="E35" s="28"/>
      <c r="F35" s="29" t="s">
        <v>85</v>
      </c>
      <c r="G35" s="33" t="e">
        <f t="shared" si="1"/>
        <v>#DIV/0!</v>
      </c>
      <c r="H35" s="184"/>
      <c r="I35" s="372" t="s">
        <v>28</v>
      </c>
      <c r="J35" s="381">
        <f>4*0.4</f>
        <v>1.6</v>
      </c>
      <c r="K35" s="383" t="s">
        <v>15</v>
      </c>
      <c r="L35" s="381"/>
      <c r="M35" s="383">
        <f>3.44*0.4</f>
        <v>1.3760000000000001</v>
      </c>
      <c r="N35" s="88" t="s">
        <v>215</v>
      </c>
      <c r="O35" s="386">
        <v>92</v>
      </c>
      <c r="P35" s="44"/>
    </row>
    <row r="36" spans="1:16" ht="37.5">
      <c r="A36" s="11"/>
      <c r="B36" s="76" t="s">
        <v>27</v>
      </c>
      <c r="C36" s="29"/>
      <c r="D36" s="29">
        <v>0.14000000000000001</v>
      </c>
      <c r="E36" s="29"/>
      <c r="F36" s="29">
        <v>0.17</v>
      </c>
      <c r="G36" s="33">
        <f t="shared" si="1"/>
        <v>0.15500000000000003</v>
      </c>
      <c r="H36" s="184"/>
      <c r="I36" s="380"/>
      <c r="J36" s="382"/>
      <c r="K36" s="384"/>
      <c r="L36" s="382"/>
      <c r="M36" s="385"/>
      <c r="N36" s="27" t="s">
        <v>216</v>
      </c>
      <c r="O36" s="387"/>
      <c r="P36" s="44"/>
    </row>
    <row r="37" spans="1:16" ht="37.5">
      <c r="A37" s="11"/>
      <c r="B37" s="76" t="s">
        <v>46</v>
      </c>
      <c r="C37" s="29"/>
      <c r="D37" s="29">
        <v>0.11</v>
      </c>
      <c r="E37" s="29"/>
      <c r="F37" s="29">
        <v>0.1</v>
      </c>
      <c r="G37" s="33">
        <f t="shared" si="1"/>
        <v>0.10500000000000001</v>
      </c>
      <c r="H37" s="184"/>
      <c r="I37" s="372" t="s">
        <v>31</v>
      </c>
      <c r="J37" s="381">
        <f>3.89*0.4</f>
        <v>1.556</v>
      </c>
      <c r="K37" s="383" t="s">
        <v>15</v>
      </c>
      <c r="L37" s="381"/>
      <c r="M37" s="383">
        <f>1.19*0.4</f>
        <v>0.47599999999999998</v>
      </c>
      <c r="N37" s="88" t="s">
        <v>215</v>
      </c>
      <c r="O37" s="386">
        <v>104</v>
      </c>
      <c r="P37" s="44"/>
    </row>
    <row r="38" spans="1:16" ht="37.5">
      <c r="A38" s="11"/>
      <c r="B38" s="76" t="s">
        <v>48</v>
      </c>
      <c r="C38" s="29"/>
      <c r="D38" s="29">
        <v>7.0000000000000007E-2</v>
      </c>
      <c r="E38" s="231"/>
      <c r="F38" s="29">
        <v>0.08</v>
      </c>
      <c r="G38" s="33">
        <f t="shared" si="1"/>
        <v>7.5000000000000011E-2</v>
      </c>
      <c r="H38" s="184"/>
      <c r="I38" s="380"/>
      <c r="J38" s="382"/>
      <c r="K38" s="384"/>
      <c r="L38" s="382"/>
      <c r="M38" s="385"/>
      <c r="N38" s="27" t="s">
        <v>216</v>
      </c>
      <c r="O38" s="387"/>
      <c r="P38" s="44"/>
    </row>
    <row r="39" spans="1:16" ht="37.5">
      <c r="A39" s="11"/>
      <c r="B39" s="76" t="s">
        <v>49</v>
      </c>
      <c r="C39" s="29"/>
      <c r="D39" s="29">
        <v>0.03</v>
      </c>
      <c r="E39" s="231"/>
      <c r="F39" s="29">
        <v>0.01</v>
      </c>
      <c r="G39" s="33">
        <f t="shared" si="1"/>
        <v>0.02</v>
      </c>
      <c r="H39" s="184"/>
      <c r="I39" s="372" t="s">
        <v>34</v>
      </c>
      <c r="J39" s="381">
        <f>1.77*0.4</f>
        <v>0.70800000000000007</v>
      </c>
      <c r="K39" s="383" t="s">
        <v>15</v>
      </c>
      <c r="L39" s="381"/>
      <c r="M39" s="383">
        <f>3.24*0.4</f>
        <v>1.2960000000000003</v>
      </c>
      <c r="N39" s="88" t="s">
        <v>215</v>
      </c>
      <c r="O39" s="386">
        <v>93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216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1.76*0.4</f>
        <v>0.70400000000000007</v>
      </c>
      <c r="K41" s="383" t="s">
        <v>15</v>
      </c>
      <c r="L41" s="381"/>
      <c r="M41" s="383">
        <f>1.77*0.4</f>
        <v>0.70800000000000007</v>
      </c>
      <c r="N41" s="88" t="s">
        <v>215</v>
      </c>
      <c r="O41" s="386">
        <v>102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216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2.19*0.4</f>
        <v>0.876</v>
      </c>
      <c r="K43" s="383" t="s">
        <v>15</v>
      </c>
      <c r="L43" s="381"/>
      <c r="M43" s="383">
        <f>1.98*0.4</f>
        <v>0.79200000000000004</v>
      </c>
      <c r="N43" s="88" t="s">
        <v>215</v>
      </c>
      <c r="O43" s="386">
        <v>66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216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2.73*0.4</f>
        <v>1.0920000000000001</v>
      </c>
      <c r="K45" s="383" t="s">
        <v>15</v>
      </c>
      <c r="L45" s="381"/>
      <c r="M45" s="383">
        <f>1.48*0.4</f>
        <v>0.59199999999999997</v>
      </c>
      <c r="N45" s="88" t="s">
        <v>215</v>
      </c>
      <c r="O45" s="386">
        <v>66</v>
      </c>
      <c r="P45" s="44"/>
    </row>
    <row r="46" spans="1:16" ht="57.75" customHeight="1" thickBot="1">
      <c r="A46" s="14"/>
      <c r="B46" s="319" t="s">
        <v>58</v>
      </c>
      <c r="C46" s="237"/>
      <c r="D46" s="238">
        <v>0.06</v>
      </c>
      <c r="E46" s="239"/>
      <c r="F46" s="238">
        <v>7.0000000000000007E-2</v>
      </c>
      <c r="G46" s="240">
        <f t="shared" si="1"/>
        <v>6.5000000000000002E-2</v>
      </c>
      <c r="H46" s="184"/>
      <c r="I46" s="380"/>
      <c r="J46" s="382"/>
      <c r="K46" s="384"/>
      <c r="L46" s="382"/>
      <c r="M46" s="385"/>
      <c r="N46" s="27" t="s">
        <v>216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2.56*0.4</f>
        <v>1.024</v>
      </c>
      <c r="K47" s="383" t="s">
        <v>15</v>
      </c>
      <c r="L47" s="381"/>
      <c r="M47" s="383">
        <f>5.11*0.4</f>
        <v>2.044</v>
      </c>
      <c r="N47" s="88" t="s">
        <v>215</v>
      </c>
      <c r="O47" s="386">
        <v>88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216</v>
      </c>
      <c r="O48" s="387"/>
      <c r="P48" s="44"/>
    </row>
    <row r="49" spans="1:16" ht="38.25" thickBot="1">
      <c r="A49" s="14"/>
      <c r="B49" s="95" t="s">
        <v>208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2.39*0.4</f>
        <v>0.95600000000000007</v>
      </c>
      <c r="K49" s="383" t="s">
        <v>15</v>
      </c>
      <c r="L49" s="341"/>
      <c r="M49" s="383">
        <f>1.61*0.4</f>
        <v>0.64400000000000013</v>
      </c>
      <c r="N49" s="88" t="s">
        <v>215</v>
      </c>
      <c r="O49" s="386">
        <v>81</v>
      </c>
      <c r="P49" s="44"/>
    </row>
    <row r="50" spans="1:16" ht="37.5">
      <c r="A50" s="14"/>
      <c r="B50" s="76" t="s">
        <v>22</v>
      </c>
      <c r="C50" s="97"/>
      <c r="D50" s="98">
        <v>1016</v>
      </c>
      <c r="E50" s="98">
        <v>5</v>
      </c>
      <c r="F50" s="98">
        <f>(D50*E50)*0.26</f>
        <v>1320.8</v>
      </c>
      <c r="G50" s="221"/>
      <c r="H50" s="222"/>
      <c r="I50" s="380"/>
      <c r="J50" s="382"/>
      <c r="K50" s="384"/>
      <c r="L50" s="343"/>
      <c r="M50" s="385"/>
      <c r="N50" s="27" t="s">
        <v>216</v>
      </c>
      <c r="O50" s="387"/>
      <c r="P50" s="44"/>
    </row>
    <row r="51" spans="1:16" ht="37.5">
      <c r="A51" s="14"/>
      <c r="B51" s="76" t="s">
        <v>24</v>
      </c>
      <c r="C51" s="97"/>
      <c r="D51" s="98">
        <v>664</v>
      </c>
      <c r="E51" s="98">
        <v>6</v>
      </c>
      <c r="F51" s="98">
        <f>(D51*E51)*0.26</f>
        <v>1035.8400000000001</v>
      </c>
      <c r="G51" s="99"/>
      <c r="H51" s="186"/>
      <c r="I51" s="372" t="s">
        <v>47</v>
      </c>
      <c r="J51" s="381">
        <f>2.76*0.4</f>
        <v>1.1039999999999999</v>
      </c>
      <c r="K51" s="383" t="s">
        <v>15</v>
      </c>
      <c r="L51" s="341"/>
      <c r="M51" s="383">
        <f>2.29*0.4</f>
        <v>0.91600000000000004</v>
      </c>
      <c r="N51" s="88" t="s">
        <v>215</v>
      </c>
      <c r="O51" s="386">
        <v>85</v>
      </c>
      <c r="P51" s="44"/>
    </row>
    <row r="52" spans="1:16" ht="37.5">
      <c r="A52" s="14"/>
      <c r="B52" s="76" t="s">
        <v>25</v>
      </c>
      <c r="C52" s="97"/>
      <c r="D52" s="98" t="s">
        <v>85</v>
      </c>
      <c r="E52" s="98" t="s">
        <v>85</v>
      </c>
      <c r="F52" s="98"/>
      <c r="G52" s="99"/>
      <c r="H52" s="186"/>
      <c r="I52" s="380"/>
      <c r="J52" s="382"/>
      <c r="K52" s="384"/>
      <c r="L52" s="343"/>
      <c r="M52" s="385"/>
      <c r="N52" s="27" t="s">
        <v>216</v>
      </c>
      <c r="O52" s="387"/>
      <c r="P52" s="44"/>
    </row>
    <row r="53" spans="1:16" ht="37.5">
      <c r="A53" s="14"/>
      <c r="B53" s="76" t="s">
        <v>27</v>
      </c>
      <c r="C53" s="97"/>
      <c r="D53" s="98">
        <v>249</v>
      </c>
      <c r="E53" s="98">
        <v>11</v>
      </c>
      <c r="F53" s="98">
        <f>(D53*E53)*0.26</f>
        <v>712.14</v>
      </c>
      <c r="G53" s="99"/>
      <c r="H53" s="186"/>
      <c r="I53" s="372" t="s">
        <v>50</v>
      </c>
      <c r="J53" s="381">
        <f>2.94*0.4</f>
        <v>1.1759999999999999</v>
      </c>
      <c r="K53" s="383" t="s">
        <v>15</v>
      </c>
      <c r="L53" s="341"/>
      <c r="M53" s="383">
        <f>2.93*0.4</f>
        <v>1.1720000000000002</v>
      </c>
      <c r="N53" s="88" t="s">
        <v>215</v>
      </c>
      <c r="O53" s="386">
        <v>75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43"/>
      <c r="M54" s="385"/>
      <c r="N54" s="27" t="s">
        <v>216</v>
      </c>
      <c r="O54" s="387"/>
      <c r="P54" s="44"/>
    </row>
    <row r="55" spans="1:16" ht="37.5">
      <c r="A55" s="15"/>
      <c r="B55" s="76" t="s">
        <v>48</v>
      </c>
      <c r="C55" s="100"/>
      <c r="D55" s="98">
        <v>150</v>
      </c>
      <c r="E55" s="98">
        <v>7</v>
      </c>
      <c r="F55" s="98">
        <f>(D55*E55)*0.13</f>
        <v>136.5</v>
      </c>
      <c r="G55" s="99"/>
      <c r="H55" s="186"/>
      <c r="I55" s="372" t="s">
        <v>53</v>
      </c>
      <c r="J55" s="381">
        <f>4.34*0.4</f>
        <v>1.736</v>
      </c>
      <c r="K55" s="383" t="s">
        <v>15</v>
      </c>
      <c r="L55" s="341"/>
      <c r="M55" s="383">
        <f>2.88*0.4</f>
        <v>1.1519999999999999</v>
      </c>
      <c r="N55" s="88" t="s">
        <v>215</v>
      </c>
      <c r="O55" s="386">
        <v>91</v>
      </c>
      <c r="P55" s="44"/>
    </row>
    <row r="56" spans="1:16" ht="37.5">
      <c r="A56" s="15"/>
      <c r="B56" s="76" t="s">
        <v>49</v>
      </c>
      <c r="C56" s="100"/>
      <c r="D56" s="98">
        <v>118</v>
      </c>
      <c r="E56" s="98">
        <v>9</v>
      </c>
      <c r="F56" s="98">
        <f t="shared" ref="F56:F61" si="2">(D56*E56)*0.13</f>
        <v>138.06</v>
      </c>
      <c r="G56" s="99"/>
      <c r="H56" s="186"/>
      <c r="I56" s="380"/>
      <c r="J56" s="382"/>
      <c r="K56" s="384"/>
      <c r="L56" s="343"/>
      <c r="M56" s="385"/>
      <c r="N56" s="27" t="s">
        <v>216</v>
      </c>
      <c r="O56" s="387"/>
      <c r="P56" s="44"/>
    </row>
    <row r="57" spans="1:16" ht="37.5">
      <c r="A57" s="15"/>
      <c r="B57" s="76" t="s">
        <v>51</v>
      </c>
      <c r="C57" s="100"/>
      <c r="D57" s="98">
        <v>80</v>
      </c>
      <c r="E57" s="98">
        <v>6</v>
      </c>
      <c r="F57" s="98">
        <f t="shared" si="2"/>
        <v>62.400000000000006</v>
      </c>
      <c r="G57" s="99"/>
      <c r="H57" s="186"/>
      <c r="I57" s="372" t="s">
        <v>8</v>
      </c>
      <c r="J57" s="374">
        <v>1.49</v>
      </c>
      <c r="K57" s="376"/>
      <c r="L57" s="101"/>
      <c r="M57" s="376">
        <v>1.1499999999999999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64</v>
      </c>
      <c r="E58" s="98">
        <v>12</v>
      </c>
      <c r="F58" s="98">
        <f t="shared" si="2"/>
        <v>99.84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29</v>
      </c>
      <c r="E59" s="98">
        <v>22</v>
      </c>
      <c r="F59" s="98">
        <f t="shared" si="2"/>
        <v>82.94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24</v>
      </c>
      <c r="E60" s="98">
        <v>25</v>
      </c>
      <c r="F60" s="98">
        <f t="shared" si="2"/>
        <v>78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28</v>
      </c>
      <c r="E61" s="98">
        <v>11</v>
      </c>
      <c r="F61" s="98">
        <f t="shared" si="2"/>
        <v>40.04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3706.5600000000004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39" t="s">
        <v>13</v>
      </c>
      <c r="J64" s="29">
        <v>1.05</v>
      </c>
      <c r="K64" s="29">
        <v>0.76</v>
      </c>
      <c r="L64" s="119">
        <f>AVERAGE(J64:K64)</f>
        <v>0.90500000000000003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39" t="s">
        <v>16</v>
      </c>
      <c r="J65" s="29">
        <v>1.0900000000000001</v>
      </c>
      <c r="K65" s="245">
        <v>0.65</v>
      </c>
      <c r="L65" s="208">
        <f>AVERAGE(J65:K65)</f>
        <v>0.87000000000000011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208</v>
      </c>
      <c r="C68" s="120" t="s">
        <v>84</v>
      </c>
      <c r="D68" s="120" t="s">
        <v>217</v>
      </c>
      <c r="E68" s="116">
        <v>1143</v>
      </c>
      <c r="F68" s="29"/>
      <c r="G68" s="118"/>
      <c r="H68" s="190"/>
      <c r="I68" s="339" t="s">
        <v>67</v>
      </c>
      <c r="J68" s="339"/>
      <c r="K68" s="339"/>
      <c r="L68" s="126"/>
      <c r="M68" s="338"/>
      <c r="N68" s="127"/>
      <c r="O68" s="128"/>
      <c r="P68" s="44"/>
    </row>
    <row r="69" spans="1:16" ht="37.5">
      <c r="A69" s="15"/>
      <c r="B69" s="95" t="s">
        <v>208</v>
      </c>
      <c r="C69" s="120" t="s">
        <v>83</v>
      </c>
      <c r="D69" s="120" t="s">
        <v>211</v>
      </c>
      <c r="E69" s="116">
        <v>19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208</v>
      </c>
      <c r="C70" s="120" t="s">
        <v>83</v>
      </c>
      <c r="D70" s="120" t="s">
        <v>212</v>
      </c>
      <c r="E70" s="116">
        <v>35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72.58</v>
      </c>
      <c r="K72" s="29"/>
      <c r="L72" s="119">
        <f>AVERAGE(J72:K72)</f>
        <v>72.58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77.760000000000005</v>
      </c>
      <c r="K73" s="29"/>
      <c r="L73" s="119">
        <f>AVERAGE(J73:K73)</f>
        <v>77.760000000000005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69.05</v>
      </c>
      <c r="K74" s="27">
        <v>64</v>
      </c>
      <c r="L74" s="119">
        <f>AVERAGE(J74:K74)</f>
        <v>66.525000000000006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68.400000000000006</v>
      </c>
      <c r="K75" s="91">
        <v>64.7</v>
      </c>
      <c r="L75" s="119">
        <f>AVERAGE(J75:K75)</f>
        <v>66.550000000000011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38"/>
      <c r="J78" s="236" t="s">
        <v>66</v>
      </c>
      <c r="K78" s="236" t="s">
        <v>66</v>
      </c>
      <c r="L78" s="236" t="s">
        <v>66</v>
      </c>
      <c r="M78" s="113"/>
      <c r="N78" s="338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3.3*0.4</f>
        <v>1.32</v>
      </c>
      <c r="L79" s="119">
        <f>AVERAGE(J79:K79)</f>
        <v>1.32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2.25*0.4</f>
        <v>0.9</v>
      </c>
      <c r="L80" s="119">
        <f>AVERAGE(J80:K80)</f>
        <v>0.9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208</v>
      </c>
      <c r="C82" s="120" t="s">
        <v>83</v>
      </c>
      <c r="D82" s="120" t="s">
        <v>211</v>
      </c>
      <c r="E82" s="27">
        <v>2.1800000000000002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/>
      <c r="C84" s="120"/>
      <c r="D84" s="120"/>
      <c r="E84" s="27"/>
      <c r="F84" s="131"/>
      <c r="G84" s="139"/>
      <c r="H84" s="197"/>
      <c r="I84" s="77" t="s">
        <v>93</v>
      </c>
      <c r="J84" s="32">
        <v>9.8000000000000004E-2</v>
      </c>
      <c r="K84" s="32">
        <v>0.01</v>
      </c>
      <c r="L84" s="119">
        <f>AVERAGE(J84:K84)</f>
        <v>5.3999999999999999E-2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0.03</v>
      </c>
      <c r="K85" s="211">
        <v>0.01</v>
      </c>
      <c r="L85" s="119">
        <f>AVERAGE(J85:K85)</f>
        <v>0.02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0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T130"/>
  <sheetViews>
    <sheetView view="pageBreakPreview" topLeftCell="A61" zoomScale="30" zoomScaleSheetLayoutView="30" workbookViewId="0">
      <selection activeCell="K92" sqref="K92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214</v>
      </c>
      <c r="D3" s="38"/>
      <c r="E3" s="39" t="s">
        <v>9</v>
      </c>
      <c r="F3" s="39"/>
      <c r="G3" s="39"/>
      <c r="H3" s="40"/>
      <c r="I3" s="41" t="s">
        <v>2</v>
      </c>
      <c r="J3" s="42" t="s">
        <v>223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214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219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1.76</v>
      </c>
      <c r="E7" s="21"/>
      <c r="F7" s="21">
        <v>1.61</v>
      </c>
      <c r="G7" s="102">
        <f>AVERAGE(D7:F7)</f>
        <v>1.6850000000000001</v>
      </c>
      <c r="H7" s="184"/>
      <c r="I7" s="372" t="s">
        <v>98</v>
      </c>
      <c r="J7" s="383">
        <f>10.23*0.4</f>
        <v>4.0920000000000005</v>
      </c>
      <c r="K7" s="383" t="s">
        <v>15</v>
      </c>
      <c r="L7" s="344"/>
      <c r="M7" s="383">
        <f>3*0.4</f>
        <v>1.2000000000000002</v>
      </c>
      <c r="N7" s="88" t="s">
        <v>224</v>
      </c>
      <c r="O7" s="386">
        <v>85</v>
      </c>
      <c r="P7" s="44"/>
    </row>
    <row r="8" spans="1:17" ht="38.25" thickBot="1">
      <c r="A8" s="12"/>
      <c r="B8" s="68" t="s">
        <v>16</v>
      </c>
      <c r="C8" s="69"/>
      <c r="D8" s="34">
        <v>1.8</v>
      </c>
      <c r="E8" s="23"/>
      <c r="F8" s="23">
        <v>1.3</v>
      </c>
      <c r="G8" s="124">
        <f>AVERAGE(D8:F8)</f>
        <v>1.55</v>
      </c>
      <c r="H8" s="184"/>
      <c r="I8" s="380"/>
      <c r="J8" s="384"/>
      <c r="K8" s="384"/>
      <c r="L8" s="346"/>
      <c r="M8" s="385"/>
      <c r="N8" s="27" t="s">
        <v>225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8.31*0.4</f>
        <v>3.3240000000000003</v>
      </c>
      <c r="K9" s="383" t="s">
        <v>15</v>
      </c>
      <c r="L9" s="383"/>
      <c r="M9" s="383">
        <f>3.6*0.4</f>
        <v>1.4400000000000002</v>
      </c>
      <c r="N9" s="88" t="s">
        <v>224</v>
      </c>
      <c r="O9" s="386">
        <v>80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225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5.47*0.4</f>
        <v>2.1880000000000002</v>
      </c>
      <c r="K11" s="383" t="s">
        <v>15</v>
      </c>
      <c r="L11" s="344"/>
      <c r="M11" s="383">
        <f>2.08*0.4</f>
        <v>0.83200000000000007</v>
      </c>
      <c r="N11" s="88" t="s">
        <v>224</v>
      </c>
      <c r="O11" s="386">
        <v>80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6"/>
      <c r="M12" s="385"/>
      <c r="N12" s="27" t="s">
        <v>225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2.56*0.4</f>
        <v>1.024</v>
      </c>
      <c r="K13" s="383" t="s">
        <v>15</v>
      </c>
      <c r="L13" s="344"/>
      <c r="M13" s="383">
        <f>3.3*0.4</f>
        <v>1.32</v>
      </c>
      <c r="N13" s="88" t="s">
        <v>224</v>
      </c>
      <c r="O13" s="386">
        <v>60</v>
      </c>
      <c r="P13" s="44"/>
    </row>
    <row r="14" spans="1:17" ht="37.5">
      <c r="A14" s="11" t="s">
        <v>91</v>
      </c>
      <c r="B14" s="76" t="s">
        <v>21</v>
      </c>
      <c r="C14" s="120"/>
      <c r="D14" s="28">
        <f>2.62*0.4</f>
        <v>1.048</v>
      </c>
      <c r="E14" s="28"/>
      <c r="F14" s="28">
        <f>2.07*0.4</f>
        <v>0.82799999999999996</v>
      </c>
      <c r="G14" s="33">
        <f t="shared" ref="G14:G27" si="0">AVERAGE(D14:F14)</f>
        <v>0.93799999999999994</v>
      </c>
      <c r="H14" s="184"/>
      <c r="I14" s="380"/>
      <c r="J14" s="384"/>
      <c r="K14" s="384"/>
      <c r="L14" s="346"/>
      <c r="M14" s="385"/>
      <c r="N14" s="27" t="s">
        <v>225</v>
      </c>
      <c r="O14" s="387"/>
      <c r="P14" s="44"/>
    </row>
    <row r="15" spans="1:17" ht="37.5">
      <c r="A15" s="11"/>
      <c r="B15" s="76" t="s">
        <v>97</v>
      </c>
      <c r="C15" s="29"/>
      <c r="D15" s="29">
        <f>2.87*0.4</f>
        <v>1.1480000000000001</v>
      </c>
      <c r="E15" s="28"/>
      <c r="F15" s="29">
        <f>1.89*0.4</f>
        <v>0.75600000000000001</v>
      </c>
      <c r="G15" s="33">
        <f t="shared" si="0"/>
        <v>0.95200000000000007</v>
      </c>
      <c r="H15" s="184" t="s">
        <v>4</v>
      </c>
      <c r="I15" s="390" t="s">
        <v>61</v>
      </c>
      <c r="J15" s="383">
        <f>4.03*0.4</f>
        <v>1.6120000000000001</v>
      </c>
      <c r="K15" s="383" t="s">
        <v>15</v>
      </c>
      <c r="L15" s="344"/>
      <c r="M15" s="383">
        <f>4.8*0.4</f>
        <v>1.92</v>
      </c>
      <c r="N15" s="88" t="s">
        <v>224</v>
      </c>
      <c r="O15" s="386">
        <v>60</v>
      </c>
      <c r="P15" s="44"/>
    </row>
    <row r="16" spans="1:17" ht="37.5">
      <c r="A16" s="11"/>
      <c r="B16" s="76" t="s">
        <v>22</v>
      </c>
      <c r="C16" s="28"/>
      <c r="D16" s="28">
        <f>1.95*0.4</f>
        <v>0.78</v>
      </c>
      <c r="E16" s="29"/>
      <c r="F16" s="29">
        <f>1.66*0.4</f>
        <v>0.66400000000000003</v>
      </c>
      <c r="G16" s="33">
        <f t="shared" si="0"/>
        <v>0.72199999999999998</v>
      </c>
      <c r="H16" s="184"/>
      <c r="I16" s="391"/>
      <c r="J16" s="384"/>
      <c r="K16" s="384"/>
      <c r="L16" s="346"/>
      <c r="M16" s="385"/>
      <c r="N16" s="27" t="s">
        <v>225</v>
      </c>
      <c r="O16" s="387"/>
      <c r="P16" s="44"/>
    </row>
    <row r="17" spans="1:16" ht="37.5">
      <c r="A17" s="11"/>
      <c r="B17" s="76" t="s">
        <v>24</v>
      </c>
      <c r="C17" s="28"/>
      <c r="D17" s="28">
        <f>1.48*0.4</f>
        <v>0.59199999999999997</v>
      </c>
      <c r="E17" s="28"/>
      <c r="F17" s="29">
        <f>1.41*0.4</f>
        <v>0.56399999999999995</v>
      </c>
      <c r="G17" s="33">
        <f t="shared" si="0"/>
        <v>0.57799999999999996</v>
      </c>
      <c r="H17" s="184"/>
      <c r="I17" s="372" t="s">
        <v>62</v>
      </c>
      <c r="J17" s="383">
        <f>3.28*0.4</f>
        <v>1.3120000000000001</v>
      </c>
      <c r="K17" s="383" t="s">
        <v>15</v>
      </c>
      <c r="L17" s="344"/>
      <c r="M17" s="383">
        <f>4.96*0.4</f>
        <v>1.984</v>
      </c>
      <c r="N17" s="88" t="s">
        <v>224</v>
      </c>
      <c r="O17" s="386">
        <v>50</v>
      </c>
      <c r="P17" s="44"/>
    </row>
    <row r="18" spans="1:16" ht="37.5">
      <c r="A18" s="11"/>
      <c r="B18" s="76" t="s">
        <v>25</v>
      </c>
      <c r="C18" s="29"/>
      <c r="D18" s="28" t="s">
        <v>85</v>
      </c>
      <c r="E18" s="28"/>
      <c r="F18" s="29">
        <f>1.41*0.4</f>
        <v>0.56399999999999995</v>
      </c>
      <c r="G18" s="33">
        <f t="shared" si="0"/>
        <v>0.56399999999999995</v>
      </c>
      <c r="H18" s="184"/>
      <c r="I18" s="380"/>
      <c r="J18" s="384"/>
      <c r="K18" s="384"/>
      <c r="L18" s="346"/>
      <c r="M18" s="385"/>
      <c r="N18" s="27" t="s">
        <v>225</v>
      </c>
      <c r="O18" s="387"/>
      <c r="P18" s="44"/>
    </row>
    <row r="19" spans="1:16" ht="37.5">
      <c r="A19" s="11"/>
      <c r="B19" s="76" t="s">
        <v>27</v>
      </c>
      <c r="C19" s="29"/>
      <c r="D19" s="28">
        <f>1.33*0.4</f>
        <v>0.53200000000000003</v>
      </c>
      <c r="E19" s="29"/>
      <c r="F19" s="29">
        <f>1.89*0.4</f>
        <v>0.75600000000000001</v>
      </c>
      <c r="G19" s="33">
        <f t="shared" si="0"/>
        <v>0.64400000000000002</v>
      </c>
      <c r="H19" s="184"/>
      <c r="I19" s="372" t="s">
        <v>63</v>
      </c>
      <c r="J19" s="383">
        <f>2.95*0.4</f>
        <v>1.1800000000000002</v>
      </c>
      <c r="K19" s="383" t="s">
        <v>15</v>
      </c>
      <c r="L19" s="344"/>
      <c r="M19" s="383">
        <f>2.87*0.4</f>
        <v>1.1480000000000001</v>
      </c>
      <c r="N19" s="88" t="s">
        <v>224</v>
      </c>
      <c r="O19" s="386">
        <v>90</v>
      </c>
      <c r="P19" s="44"/>
    </row>
    <row r="20" spans="1:16" ht="37.5">
      <c r="A20" s="11"/>
      <c r="B20" s="76" t="s">
        <v>29</v>
      </c>
      <c r="C20" s="28"/>
      <c r="D20" s="28">
        <f>1.3*0.4</f>
        <v>0.52</v>
      </c>
      <c r="E20" s="29"/>
      <c r="F20" s="29">
        <f>1.33*0.4</f>
        <v>0.53200000000000003</v>
      </c>
      <c r="G20" s="33">
        <f t="shared" si="0"/>
        <v>0.52600000000000002</v>
      </c>
      <c r="H20" s="184"/>
      <c r="I20" s="380"/>
      <c r="J20" s="384"/>
      <c r="K20" s="384"/>
      <c r="L20" s="346"/>
      <c r="M20" s="385"/>
      <c r="N20" s="27" t="s">
        <v>225</v>
      </c>
      <c r="O20" s="387"/>
      <c r="P20" s="44"/>
    </row>
    <row r="21" spans="1:16" ht="37.5">
      <c r="A21" s="11"/>
      <c r="B21" s="76" t="s">
        <v>30</v>
      </c>
      <c r="C21" s="28"/>
      <c r="D21" s="28">
        <f>1.25*0.4</f>
        <v>0.5</v>
      </c>
      <c r="E21" s="28"/>
      <c r="F21" s="29">
        <f>1.32*0.4</f>
        <v>0.52800000000000002</v>
      </c>
      <c r="G21" s="33">
        <f t="shared" si="0"/>
        <v>0.51400000000000001</v>
      </c>
      <c r="H21" s="184"/>
      <c r="I21" s="372" t="s">
        <v>14</v>
      </c>
      <c r="J21" s="383">
        <f>3.54*0.4</f>
        <v>1.4160000000000001</v>
      </c>
      <c r="K21" s="383" t="s">
        <v>15</v>
      </c>
      <c r="L21" s="344"/>
      <c r="M21" s="383">
        <f>10.79*0.4</f>
        <v>4.3159999999999998</v>
      </c>
      <c r="N21" s="88" t="s">
        <v>224</v>
      </c>
      <c r="O21" s="386">
        <v>94</v>
      </c>
      <c r="P21" s="44"/>
    </row>
    <row r="22" spans="1:16" ht="37.5">
      <c r="A22" s="11"/>
      <c r="B22" s="76" t="s">
        <v>32</v>
      </c>
      <c r="C22" s="78"/>
      <c r="D22" s="28">
        <f>1.17*0.4</f>
        <v>0.46799999999999997</v>
      </c>
      <c r="E22" s="28"/>
      <c r="F22" s="29">
        <f>1*0.4</f>
        <v>0.4</v>
      </c>
      <c r="G22" s="33">
        <f t="shared" si="0"/>
        <v>0.434</v>
      </c>
      <c r="H22" s="184"/>
      <c r="I22" s="380"/>
      <c r="J22" s="384"/>
      <c r="K22" s="384"/>
      <c r="L22" s="346"/>
      <c r="M22" s="385"/>
      <c r="N22" s="27" t="s">
        <v>225</v>
      </c>
      <c r="O22" s="387"/>
      <c r="P22" s="44"/>
    </row>
    <row r="23" spans="1:16" ht="37.5">
      <c r="A23" s="11"/>
      <c r="B23" s="76" t="s">
        <v>33</v>
      </c>
      <c r="C23" s="28"/>
      <c r="D23" s="28">
        <f>1.2*0.4</f>
        <v>0.48</v>
      </c>
      <c r="E23" s="28"/>
      <c r="F23" s="28">
        <f>1.01*0.4</f>
        <v>0.40400000000000003</v>
      </c>
      <c r="G23" s="33">
        <f t="shared" si="0"/>
        <v>0.442</v>
      </c>
      <c r="H23" s="184"/>
      <c r="I23" s="372" t="s">
        <v>17</v>
      </c>
      <c r="J23" s="383">
        <f>4.37*0.4</f>
        <v>1.7480000000000002</v>
      </c>
      <c r="K23" s="383" t="s">
        <v>90</v>
      </c>
      <c r="L23" s="344"/>
      <c r="M23" s="383"/>
      <c r="N23" s="88"/>
      <c r="O23" s="386"/>
      <c r="P23" s="44"/>
    </row>
    <row r="24" spans="1:16" ht="37.5">
      <c r="A24" s="11"/>
      <c r="B24" s="76" t="s">
        <v>35</v>
      </c>
      <c r="C24" s="29"/>
      <c r="D24" s="28">
        <f>1.22*0.4</f>
        <v>0.48799999999999999</v>
      </c>
      <c r="E24" s="28"/>
      <c r="F24" s="28">
        <f>0.95*0.4</f>
        <v>0.38</v>
      </c>
      <c r="G24" s="33">
        <f t="shared" si="0"/>
        <v>0.434</v>
      </c>
      <c r="H24" s="184"/>
      <c r="I24" s="380"/>
      <c r="J24" s="384"/>
      <c r="K24" s="384"/>
      <c r="L24" s="346"/>
      <c r="M24" s="385"/>
      <c r="N24" s="27"/>
      <c r="O24" s="387"/>
      <c r="P24" s="44"/>
    </row>
    <row r="25" spans="1:16" ht="37.5">
      <c r="A25" s="11"/>
      <c r="B25" s="76" t="s">
        <v>36</v>
      </c>
      <c r="C25" s="27"/>
      <c r="D25" s="28">
        <f>0.99*0.4</f>
        <v>0.39600000000000002</v>
      </c>
      <c r="E25" s="28"/>
      <c r="F25" s="28">
        <f>0.94*0.4</f>
        <v>0.376</v>
      </c>
      <c r="G25" s="33">
        <f t="shared" si="0"/>
        <v>0.38600000000000001</v>
      </c>
      <c r="H25" s="184"/>
      <c r="I25" s="372" t="s">
        <v>18</v>
      </c>
      <c r="J25" s="383">
        <f>3.18*0.4</f>
        <v>1.2720000000000002</v>
      </c>
      <c r="K25" s="383" t="s">
        <v>15</v>
      </c>
      <c r="L25" s="344"/>
      <c r="M25" s="383">
        <f>3.95*0.4</f>
        <v>1.58</v>
      </c>
      <c r="N25" s="88" t="s">
        <v>224</v>
      </c>
      <c r="O25" s="386">
        <v>118</v>
      </c>
      <c r="P25" s="44"/>
    </row>
    <row r="26" spans="1:16" ht="37.5">
      <c r="A26" s="11"/>
      <c r="B26" s="76" t="s">
        <v>38</v>
      </c>
      <c r="C26" s="27"/>
      <c r="D26" s="28">
        <f>0.95*0.4</f>
        <v>0.38</v>
      </c>
      <c r="E26" s="28"/>
      <c r="F26" s="29">
        <f>0.89*0.4</f>
        <v>0.35600000000000004</v>
      </c>
      <c r="G26" s="33">
        <f t="shared" si="0"/>
        <v>0.36799999999999999</v>
      </c>
      <c r="H26" s="184"/>
      <c r="I26" s="380"/>
      <c r="J26" s="384"/>
      <c r="K26" s="384"/>
      <c r="L26" s="346"/>
      <c r="M26" s="385"/>
      <c r="N26" s="27" t="s">
        <v>226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0.88*0.4</f>
        <v>0.35200000000000004</v>
      </c>
      <c r="E27" s="30"/>
      <c r="F27" s="29">
        <f>0.85*0.4</f>
        <v>0.34</v>
      </c>
      <c r="G27" s="33">
        <f t="shared" si="0"/>
        <v>0.34600000000000003</v>
      </c>
      <c r="H27" s="184"/>
      <c r="I27" s="372" t="s">
        <v>20</v>
      </c>
      <c r="J27" s="383">
        <f>3.77*0.4</f>
        <v>1.508</v>
      </c>
      <c r="K27" s="383" t="s">
        <v>15</v>
      </c>
      <c r="L27" s="344"/>
      <c r="M27" s="383">
        <f>5.14*0.4</f>
        <v>2.056</v>
      </c>
      <c r="N27" s="88" t="s">
        <v>224</v>
      </c>
      <c r="O27" s="386">
        <v>91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46"/>
      <c r="M28" s="385"/>
      <c r="N28" s="27" t="s">
        <v>226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2.26*0.4</f>
        <v>0.90399999999999991</v>
      </c>
      <c r="K29" s="383" t="s">
        <v>15</v>
      </c>
      <c r="L29" s="81"/>
      <c r="M29" s="381">
        <f>3.82*0.4</f>
        <v>1.528</v>
      </c>
      <c r="N29" s="88" t="s">
        <v>224</v>
      </c>
      <c r="O29" s="386">
        <v>75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226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0.33</v>
      </c>
      <c r="E31" s="28"/>
      <c r="F31" s="234">
        <v>0.27</v>
      </c>
      <c r="G31" s="33">
        <f t="shared" ref="G31:G46" si="1">AVERAGE(D31:F31)</f>
        <v>0.30000000000000004</v>
      </c>
      <c r="H31" s="184"/>
      <c r="I31" s="372" t="s">
        <v>8</v>
      </c>
      <c r="J31" s="376">
        <v>1.8</v>
      </c>
      <c r="K31" s="344"/>
      <c r="L31" s="86"/>
      <c r="M31" s="376">
        <v>1.76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0.52</v>
      </c>
      <c r="E32" s="28"/>
      <c r="F32" s="29">
        <v>0.42</v>
      </c>
      <c r="G32" s="33">
        <f t="shared" si="1"/>
        <v>0.47</v>
      </c>
      <c r="H32" s="184"/>
      <c r="I32" s="380"/>
      <c r="J32" s="388"/>
      <c r="K32" s="34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0.3</v>
      </c>
      <c r="E33" s="29"/>
      <c r="F33" s="29">
        <v>0.25</v>
      </c>
      <c r="G33" s="33">
        <f t="shared" si="1"/>
        <v>0.27500000000000002</v>
      </c>
      <c r="H33" s="184"/>
      <c r="I33" s="372" t="s">
        <v>26</v>
      </c>
      <c r="J33" s="381">
        <f>3.39*0.4</f>
        <v>1.3560000000000001</v>
      </c>
      <c r="K33" s="383" t="s">
        <v>15</v>
      </c>
      <c r="L33" s="381"/>
      <c r="M33" s="381">
        <f>3.32*0.4</f>
        <v>1.3280000000000001</v>
      </c>
      <c r="N33" s="88" t="s">
        <v>227</v>
      </c>
      <c r="O33" s="386">
        <v>113</v>
      </c>
      <c r="P33" s="44"/>
    </row>
    <row r="34" spans="1:16" ht="37.5">
      <c r="A34" s="11"/>
      <c r="B34" s="76" t="s">
        <v>24</v>
      </c>
      <c r="C34" s="29"/>
      <c r="D34" s="29">
        <v>0.2</v>
      </c>
      <c r="E34" s="28"/>
      <c r="F34" s="29">
        <v>0.26</v>
      </c>
      <c r="G34" s="33">
        <f t="shared" si="1"/>
        <v>0.23</v>
      </c>
      <c r="H34" s="184"/>
      <c r="I34" s="380"/>
      <c r="J34" s="382"/>
      <c r="K34" s="384"/>
      <c r="L34" s="382"/>
      <c r="M34" s="382"/>
      <c r="N34" s="27" t="s">
        <v>224</v>
      </c>
      <c r="O34" s="387"/>
      <c r="P34" s="44"/>
    </row>
    <row r="35" spans="1:16" ht="37.5">
      <c r="A35" s="11"/>
      <c r="B35" s="76" t="s">
        <v>25</v>
      </c>
      <c r="C35" s="29"/>
      <c r="D35" s="29" t="s">
        <v>85</v>
      </c>
      <c r="E35" s="28"/>
      <c r="F35" s="29">
        <v>0.22</v>
      </c>
      <c r="G35" s="33">
        <f t="shared" si="1"/>
        <v>0.22</v>
      </c>
      <c r="H35" s="184"/>
      <c r="I35" s="372" t="s">
        <v>28</v>
      </c>
      <c r="J35" s="381">
        <f>1.87*0.4</f>
        <v>0.74800000000000011</v>
      </c>
      <c r="K35" s="383" t="s">
        <v>15</v>
      </c>
      <c r="L35" s="381"/>
      <c r="M35" s="383">
        <f>3.1*0.4</f>
        <v>1.2400000000000002</v>
      </c>
      <c r="N35" s="88" t="s">
        <v>227</v>
      </c>
      <c r="O35" s="386">
        <v>100</v>
      </c>
      <c r="P35" s="44"/>
    </row>
    <row r="36" spans="1:16" ht="37.5">
      <c r="A36" s="11"/>
      <c r="B36" s="76" t="s">
        <v>27</v>
      </c>
      <c r="C36" s="29"/>
      <c r="D36" s="29">
        <v>0.14000000000000001</v>
      </c>
      <c r="E36" s="29"/>
      <c r="F36" s="29">
        <v>0.13</v>
      </c>
      <c r="G36" s="33">
        <f t="shared" si="1"/>
        <v>0.13500000000000001</v>
      </c>
      <c r="H36" s="184"/>
      <c r="I36" s="380"/>
      <c r="J36" s="382"/>
      <c r="K36" s="384"/>
      <c r="L36" s="382"/>
      <c r="M36" s="385"/>
      <c r="N36" s="27" t="s">
        <v>224</v>
      </c>
      <c r="O36" s="387"/>
      <c r="P36" s="44"/>
    </row>
    <row r="37" spans="1:16" ht="37.5">
      <c r="A37" s="11"/>
      <c r="B37" s="76" t="s">
        <v>46</v>
      </c>
      <c r="C37" s="29"/>
      <c r="D37" s="29">
        <v>0.11</v>
      </c>
      <c r="E37" s="29"/>
      <c r="F37" s="29">
        <v>7.0000000000000007E-2</v>
      </c>
      <c r="G37" s="33">
        <f t="shared" si="1"/>
        <v>0.09</v>
      </c>
      <c r="H37" s="184"/>
      <c r="I37" s="372" t="s">
        <v>31</v>
      </c>
      <c r="J37" s="381">
        <f>4.27*0.4</f>
        <v>1.708</v>
      </c>
      <c r="K37" s="383" t="s">
        <v>15</v>
      </c>
      <c r="L37" s="381"/>
      <c r="M37" s="383">
        <f>3.123*0.4</f>
        <v>1.2492000000000001</v>
      </c>
      <c r="N37" s="88" t="s">
        <v>227</v>
      </c>
      <c r="O37" s="386">
        <v>92</v>
      </c>
      <c r="P37" s="44"/>
    </row>
    <row r="38" spans="1:16" ht="37.5">
      <c r="A38" s="11"/>
      <c r="B38" s="76" t="s">
        <v>48</v>
      </c>
      <c r="C38" s="29"/>
      <c r="D38" s="29">
        <v>0.1</v>
      </c>
      <c r="E38" s="231"/>
      <c r="F38" s="29">
        <v>0.01</v>
      </c>
      <c r="G38" s="33">
        <f t="shared" si="1"/>
        <v>5.5E-2</v>
      </c>
      <c r="H38" s="184"/>
      <c r="I38" s="380"/>
      <c r="J38" s="382"/>
      <c r="K38" s="384"/>
      <c r="L38" s="382"/>
      <c r="M38" s="385"/>
      <c r="N38" s="27" t="s">
        <v>224</v>
      </c>
      <c r="O38" s="387"/>
      <c r="P38" s="44"/>
    </row>
    <row r="39" spans="1:16" ht="37.5">
      <c r="A39" s="11"/>
      <c r="B39" s="76" t="s">
        <v>49</v>
      </c>
      <c r="C39" s="29"/>
      <c r="D39" s="29">
        <v>0.08</v>
      </c>
      <c r="E39" s="231"/>
      <c r="F39" s="29">
        <v>0</v>
      </c>
      <c r="G39" s="33">
        <f t="shared" si="1"/>
        <v>0.04</v>
      </c>
      <c r="H39" s="184"/>
      <c r="I39" s="372" t="s">
        <v>34</v>
      </c>
      <c r="J39" s="381">
        <f>4.44*0.4</f>
        <v>1.7760000000000002</v>
      </c>
      <c r="K39" s="383" t="s">
        <v>15</v>
      </c>
      <c r="L39" s="381"/>
      <c r="M39" s="383">
        <f>8.84*0.4</f>
        <v>3.536</v>
      </c>
      <c r="N39" s="88" t="s">
        <v>227</v>
      </c>
      <c r="O39" s="386">
        <v>55</v>
      </c>
      <c r="P39" s="44"/>
    </row>
    <row r="40" spans="1:16" ht="37.5">
      <c r="A40" s="11"/>
      <c r="B40" s="76" t="s">
        <v>51</v>
      </c>
      <c r="C40" s="29"/>
      <c r="D40" s="29">
        <v>0.06</v>
      </c>
      <c r="E40" s="231"/>
      <c r="F40" s="28">
        <v>0</v>
      </c>
      <c r="G40" s="33">
        <f t="shared" si="1"/>
        <v>0.03</v>
      </c>
      <c r="H40" s="184"/>
      <c r="I40" s="380"/>
      <c r="J40" s="382"/>
      <c r="K40" s="384"/>
      <c r="L40" s="382"/>
      <c r="M40" s="385"/>
      <c r="N40" s="27" t="s">
        <v>224</v>
      </c>
      <c r="O40" s="387"/>
      <c r="P40" s="44"/>
    </row>
    <row r="41" spans="1:16" ht="37.5">
      <c r="A41" s="11"/>
      <c r="B41" s="76" t="s">
        <v>52</v>
      </c>
      <c r="C41" s="29"/>
      <c r="D41" s="29">
        <v>0.04</v>
      </c>
      <c r="E41" s="231"/>
      <c r="F41" s="28">
        <v>0</v>
      </c>
      <c r="G41" s="33">
        <f t="shared" si="1"/>
        <v>0.02</v>
      </c>
      <c r="H41" s="184"/>
      <c r="I41" s="372" t="s">
        <v>37</v>
      </c>
      <c r="J41" s="381">
        <f>2.62*0.4</f>
        <v>1.048</v>
      </c>
      <c r="K41" s="383" t="s">
        <v>90</v>
      </c>
      <c r="L41" s="381"/>
      <c r="M41" s="383"/>
      <c r="N41" s="88" t="s">
        <v>85</v>
      </c>
      <c r="O41" s="386" t="s">
        <v>85</v>
      </c>
      <c r="P41" s="44"/>
    </row>
    <row r="42" spans="1:16" ht="37.5">
      <c r="A42" s="13"/>
      <c r="B42" s="76" t="s">
        <v>54</v>
      </c>
      <c r="C42" s="29"/>
      <c r="D42" s="29">
        <v>0.02</v>
      </c>
      <c r="E42" s="28"/>
      <c r="F42" s="28">
        <v>0</v>
      </c>
      <c r="G42" s="33">
        <f t="shared" si="1"/>
        <v>0.01</v>
      </c>
      <c r="H42" s="184"/>
      <c r="I42" s="380"/>
      <c r="J42" s="382"/>
      <c r="K42" s="384"/>
      <c r="L42" s="382"/>
      <c r="M42" s="385"/>
      <c r="N42" s="27"/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2.56*0.4</f>
        <v>1.024</v>
      </c>
      <c r="K43" s="383" t="s">
        <v>90</v>
      </c>
      <c r="L43" s="381"/>
      <c r="M43" s="383"/>
      <c r="N43" s="88" t="s">
        <v>85</v>
      </c>
      <c r="O43" s="386" t="s">
        <v>85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/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2.94*0.4</f>
        <v>1.1759999999999999</v>
      </c>
      <c r="K45" s="383" t="s">
        <v>90</v>
      </c>
      <c r="L45" s="381"/>
      <c r="M45" s="383"/>
      <c r="N45" s="88" t="s">
        <v>85</v>
      </c>
      <c r="O45" s="386" t="s">
        <v>85</v>
      </c>
      <c r="P45" s="44"/>
    </row>
    <row r="46" spans="1:16" ht="57.75" customHeight="1" thickBot="1">
      <c r="A46" s="14"/>
      <c r="B46" s="319" t="s">
        <v>58</v>
      </c>
      <c r="C46" s="237"/>
      <c r="D46" s="238">
        <v>0.04</v>
      </c>
      <c r="E46" s="239"/>
      <c r="F46" s="238">
        <v>0.01</v>
      </c>
      <c r="G46" s="240">
        <f t="shared" si="1"/>
        <v>2.5000000000000001E-2</v>
      </c>
      <c r="H46" s="184"/>
      <c r="I46" s="380"/>
      <c r="J46" s="382"/>
      <c r="K46" s="384"/>
      <c r="L46" s="382"/>
      <c r="M46" s="385"/>
      <c r="N46" s="27"/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3.82*0.4</f>
        <v>1.528</v>
      </c>
      <c r="K47" s="383" t="s">
        <v>15</v>
      </c>
      <c r="L47" s="381"/>
      <c r="M47" s="383">
        <f>3.52*0.4</f>
        <v>1.4080000000000001</v>
      </c>
      <c r="N47" s="88" t="s">
        <v>227</v>
      </c>
      <c r="O47" s="386">
        <v>19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224</v>
      </c>
      <c r="O48" s="387"/>
      <c r="P48" s="44"/>
    </row>
    <row r="49" spans="1:16" ht="38.25" thickBot="1">
      <c r="A49" s="14"/>
      <c r="B49" s="95" t="s">
        <v>214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2.13*0.4</f>
        <v>0.85199999999999998</v>
      </c>
      <c r="K49" s="383" t="s">
        <v>15</v>
      </c>
      <c r="L49" s="344"/>
      <c r="M49" s="383">
        <f>1.38*0.4</f>
        <v>0.55199999999999994</v>
      </c>
      <c r="N49" s="88" t="s">
        <v>227</v>
      </c>
      <c r="O49" s="386">
        <v>84</v>
      </c>
      <c r="P49" s="44"/>
    </row>
    <row r="50" spans="1:16" ht="37.5">
      <c r="A50" s="14"/>
      <c r="B50" s="76" t="s">
        <v>22</v>
      </c>
      <c r="C50" s="97"/>
      <c r="D50" s="98">
        <v>1050</v>
      </c>
      <c r="E50" s="98">
        <v>10</v>
      </c>
      <c r="F50" s="98">
        <f>(D50*E50)*0.26</f>
        <v>2730</v>
      </c>
      <c r="G50" s="221"/>
      <c r="H50" s="222"/>
      <c r="I50" s="380"/>
      <c r="J50" s="382"/>
      <c r="K50" s="384"/>
      <c r="L50" s="346"/>
      <c r="M50" s="385"/>
      <c r="N50" s="27" t="s">
        <v>224</v>
      </c>
      <c r="O50" s="387"/>
      <c r="P50" s="44"/>
    </row>
    <row r="51" spans="1:16" ht="37.5">
      <c r="A51" s="14"/>
      <c r="B51" s="76" t="s">
        <v>24</v>
      </c>
      <c r="C51" s="97"/>
      <c r="D51" s="98">
        <v>901</v>
      </c>
      <c r="E51" s="98">
        <v>10</v>
      </c>
      <c r="F51" s="98">
        <f>(D51*E51)*0.26</f>
        <v>2342.6</v>
      </c>
      <c r="G51" s="99"/>
      <c r="H51" s="186"/>
      <c r="I51" s="372" t="s">
        <v>47</v>
      </c>
      <c r="J51" s="381">
        <f>2.07*0.4</f>
        <v>0.82799999999999996</v>
      </c>
      <c r="K51" s="383" t="s">
        <v>15</v>
      </c>
      <c r="L51" s="344"/>
      <c r="M51" s="383">
        <f>2.67*0.4</f>
        <v>1.0680000000000001</v>
      </c>
      <c r="N51" s="88" t="s">
        <v>227</v>
      </c>
      <c r="O51" s="386">
        <v>83</v>
      </c>
      <c r="P51" s="44"/>
    </row>
    <row r="52" spans="1:16" ht="37.5">
      <c r="A52" s="14"/>
      <c r="B52" s="76" t="s">
        <v>25</v>
      </c>
      <c r="C52" s="97"/>
      <c r="D52" s="98">
        <v>461</v>
      </c>
      <c r="E52" s="98">
        <v>5</v>
      </c>
      <c r="F52" s="98">
        <f>(D52*E52)*0.26</f>
        <v>599.30000000000007</v>
      </c>
      <c r="G52" s="99"/>
      <c r="H52" s="186"/>
      <c r="I52" s="380"/>
      <c r="J52" s="382"/>
      <c r="K52" s="384"/>
      <c r="L52" s="346"/>
      <c r="M52" s="385"/>
      <c r="N52" s="27" t="s">
        <v>224</v>
      </c>
      <c r="O52" s="387"/>
      <c r="P52" s="44"/>
    </row>
    <row r="53" spans="1:16" ht="37.5">
      <c r="A53" s="14"/>
      <c r="B53" s="76" t="s">
        <v>27</v>
      </c>
      <c r="C53" s="97"/>
      <c r="D53" s="98">
        <v>280</v>
      </c>
      <c r="E53" s="98">
        <v>6</v>
      </c>
      <c r="F53" s="98">
        <f>(D53*E53)*0.26</f>
        <v>436.8</v>
      </c>
      <c r="G53" s="99"/>
      <c r="H53" s="186"/>
      <c r="I53" s="372" t="s">
        <v>50</v>
      </c>
      <c r="J53" s="381">
        <f>3.32*0.4</f>
        <v>1.3280000000000001</v>
      </c>
      <c r="K53" s="383" t="s">
        <v>15</v>
      </c>
      <c r="L53" s="344"/>
      <c r="M53" s="383">
        <f>4.39*0.4</f>
        <v>1.756</v>
      </c>
      <c r="N53" s="88" t="s">
        <v>228</v>
      </c>
      <c r="O53" s="386">
        <v>80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46"/>
      <c r="M54" s="385"/>
      <c r="N54" s="27" t="s">
        <v>229</v>
      </c>
      <c r="O54" s="387"/>
      <c r="P54" s="44"/>
    </row>
    <row r="55" spans="1:16" ht="37.5">
      <c r="A55" s="15"/>
      <c r="B55" s="76" t="s">
        <v>48</v>
      </c>
      <c r="C55" s="100"/>
      <c r="D55" s="98">
        <v>146</v>
      </c>
      <c r="E55" s="98">
        <v>18</v>
      </c>
      <c r="F55" s="98">
        <f>(D55*E55)*0.13</f>
        <v>341.64</v>
      </c>
      <c r="G55" s="99"/>
      <c r="H55" s="186"/>
      <c r="I55" s="372" t="s">
        <v>53</v>
      </c>
      <c r="J55" s="381">
        <f>5.55*0.4</f>
        <v>2.2200000000000002</v>
      </c>
      <c r="K55" s="383" t="s">
        <v>15</v>
      </c>
      <c r="L55" s="344"/>
      <c r="M55" s="383">
        <f>5.94*0.4</f>
        <v>2.3760000000000003</v>
      </c>
      <c r="N55" s="88" t="s">
        <v>228</v>
      </c>
      <c r="O55" s="386">
        <v>78</v>
      </c>
      <c r="P55" s="44"/>
    </row>
    <row r="56" spans="1:16" ht="37.5">
      <c r="A56" s="15"/>
      <c r="B56" s="76" t="s">
        <v>49</v>
      </c>
      <c r="C56" s="100"/>
      <c r="D56" s="98">
        <v>99</v>
      </c>
      <c r="E56" s="98">
        <v>8</v>
      </c>
      <c r="F56" s="98">
        <f t="shared" ref="F56:F61" si="2">(D56*E56)*0.13</f>
        <v>102.96000000000001</v>
      </c>
      <c r="G56" s="99"/>
      <c r="H56" s="186"/>
      <c r="I56" s="380"/>
      <c r="J56" s="382"/>
      <c r="K56" s="384"/>
      <c r="L56" s="346"/>
      <c r="M56" s="385"/>
      <c r="N56" s="27" t="s">
        <v>229</v>
      </c>
      <c r="O56" s="387"/>
      <c r="P56" s="44"/>
    </row>
    <row r="57" spans="1:16" ht="37.5">
      <c r="A57" s="15"/>
      <c r="B57" s="76" t="s">
        <v>51</v>
      </c>
      <c r="C57" s="100"/>
      <c r="D57" s="98">
        <v>95</v>
      </c>
      <c r="E57" s="98">
        <v>16</v>
      </c>
      <c r="F57" s="98">
        <f t="shared" si="2"/>
        <v>197.6</v>
      </c>
      <c r="G57" s="99"/>
      <c r="H57" s="186"/>
      <c r="I57" s="372" t="s">
        <v>8</v>
      </c>
      <c r="J57" s="374">
        <v>1.3</v>
      </c>
      <c r="K57" s="376"/>
      <c r="L57" s="101"/>
      <c r="M57" s="376">
        <v>1.61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84</v>
      </c>
      <c r="E58" s="98">
        <v>24</v>
      </c>
      <c r="F58" s="98">
        <f t="shared" si="2"/>
        <v>262.08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74</v>
      </c>
      <c r="E59" s="98">
        <v>10</v>
      </c>
      <c r="F59" s="98">
        <f t="shared" si="2"/>
        <v>96.2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69</v>
      </c>
      <c r="E60" s="98">
        <v>14</v>
      </c>
      <c r="F60" s="98">
        <f t="shared" si="2"/>
        <v>125.58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43</v>
      </c>
      <c r="E61" s="98">
        <v>12</v>
      </c>
      <c r="F61" s="98">
        <f t="shared" si="2"/>
        <v>67.08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7301.8400000000011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48" t="s">
        <v>13</v>
      </c>
      <c r="J64" s="29">
        <v>0.53</v>
      </c>
      <c r="K64" s="29">
        <v>0.62</v>
      </c>
      <c r="L64" s="119">
        <f>AVERAGE(J64:K64)</f>
        <v>0.57499999999999996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48" t="s">
        <v>16</v>
      </c>
      <c r="J65" s="29">
        <v>1.51</v>
      </c>
      <c r="K65" s="245">
        <v>0.61</v>
      </c>
      <c r="L65" s="208">
        <f>AVERAGE(J65:K65)</f>
        <v>1.06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214</v>
      </c>
      <c r="C68" s="120" t="s">
        <v>84</v>
      </c>
      <c r="D68" s="120" t="s">
        <v>222</v>
      </c>
      <c r="E68" s="116">
        <v>1243</v>
      </c>
      <c r="F68" s="29"/>
      <c r="G68" s="118"/>
      <c r="H68" s="190"/>
      <c r="I68" s="348" t="s">
        <v>67</v>
      </c>
      <c r="J68" s="348"/>
      <c r="K68" s="348"/>
      <c r="L68" s="126"/>
      <c r="M68" s="347"/>
      <c r="N68" s="127"/>
      <c r="O68" s="128"/>
      <c r="P68" s="44"/>
    </row>
    <row r="69" spans="1:16" ht="37.5">
      <c r="A69" s="15"/>
      <c r="B69" s="95" t="s">
        <v>214</v>
      </c>
      <c r="C69" s="120" t="s">
        <v>84</v>
      </c>
      <c r="D69" s="120" t="s">
        <v>230</v>
      </c>
      <c r="E69" s="116">
        <v>1665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214</v>
      </c>
      <c r="C70" s="120" t="s">
        <v>84</v>
      </c>
      <c r="D70" s="120" t="s">
        <v>231</v>
      </c>
      <c r="E70" s="116">
        <v>1099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214</v>
      </c>
      <c r="C71" s="120" t="s">
        <v>83</v>
      </c>
      <c r="D71" s="120" t="s">
        <v>217</v>
      </c>
      <c r="E71" s="116">
        <v>25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214</v>
      </c>
      <c r="C72" s="120" t="s">
        <v>83</v>
      </c>
      <c r="D72" s="120" t="s">
        <v>222</v>
      </c>
      <c r="E72" s="116">
        <v>53</v>
      </c>
      <c r="F72" s="130"/>
      <c r="G72" s="244"/>
      <c r="H72" s="192"/>
      <c r="I72" s="152" t="s">
        <v>88</v>
      </c>
      <c r="J72" s="29">
        <v>73.599999999999994</v>
      </c>
      <c r="K72" s="29"/>
      <c r="L72" s="119">
        <f>AVERAGE(J72:K72)</f>
        <v>73.599999999999994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89.9</v>
      </c>
      <c r="K73" s="29"/>
      <c r="L73" s="119">
        <f>AVERAGE(J73:K73)</f>
        <v>89.9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63.25</v>
      </c>
      <c r="K74" s="27">
        <v>66</v>
      </c>
      <c r="L74" s="119">
        <f>AVERAGE(J74:K74)</f>
        <v>64.625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68</v>
      </c>
      <c r="K75" s="91">
        <v>61.4</v>
      </c>
      <c r="L75" s="119">
        <f>AVERAGE(J75:K75)</f>
        <v>64.7</v>
      </c>
      <c r="M75" s="115"/>
      <c r="N75" s="91"/>
      <c r="O75" s="35"/>
      <c r="P75" s="44"/>
    </row>
    <row r="76" spans="1:16" ht="39.75" thickBot="1">
      <c r="A76" s="170"/>
      <c r="B76" s="95" t="s">
        <v>214</v>
      </c>
      <c r="C76" s="120" t="s">
        <v>83</v>
      </c>
      <c r="D76" s="120" t="s">
        <v>217</v>
      </c>
      <c r="E76" s="136">
        <v>0.47720000000000001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214</v>
      </c>
      <c r="C77" s="120" t="s">
        <v>83</v>
      </c>
      <c r="D77" s="120" t="s">
        <v>222</v>
      </c>
      <c r="E77" s="136">
        <v>0.43169999999999997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47"/>
      <c r="J78" s="236" t="s">
        <v>66</v>
      </c>
      <c r="K78" s="236" t="s">
        <v>66</v>
      </c>
      <c r="L78" s="236" t="s">
        <v>66</v>
      </c>
      <c r="M78" s="113"/>
      <c r="N78" s="347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3.05*0.4</f>
        <v>1.22</v>
      </c>
      <c r="L79" s="119">
        <f>AVERAGE(J79:K79)</f>
        <v>1.22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0.63*0.4</f>
        <v>0.252</v>
      </c>
      <c r="L80" s="119">
        <f>AVERAGE(J80:K80)</f>
        <v>0.252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214</v>
      </c>
      <c r="C82" s="120" t="s">
        <v>83</v>
      </c>
      <c r="D82" s="120" t="s">
        <v>212</v>
      </c>
      <c r="E82" s="27">
        <v>3.14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214</v>
      </c>
      <c r="C83" s="120" t="s">
        <v>83</v>
      </c>
      <c r="D83" s="120" t="s">
        <v>217</v>
      </c>
      <c r="E83" s="27">
        <v>5.16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/>
      <c r="C84" s="120"/>
      <c r="D84" s="120"/>
      <c r="E84" s="27"/>
      <c r="F84" s="131"/>
      <c r="G84" s="139"/>
      <c r="H84" s="197"/>
      <c r="I84" s="77" t="s">
        <v>93</v>
      </c>
      <c r="J84" s="32">
        <v>5.8999999999999997E-2</v>
      </c>
      <c r="K84" s="32">
        <v>0.08</v>
      </c>
      <c r="L84" s="119">
        <f>AVERAGE(J84:K84)</f>
        <v>6.9500000000000006E-2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0.03</v>
      </c>
      <c r="K85" s="211">
        <v>0.03</v>
      </c>
      <c r="L85" s="119">
        <f>AVERAGE(J85:K85)</f>
        <v>0.03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 t="s">
        <v>214</v>
      </c>
      <c r="C88" s="235" t="s">
        <v>220</v>
      </c>
      <c r="D88" s="292">
        <v>85.14</v>
      </c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 t="s">
        <v>214</v>
      </c>
      <c r="C89" s="225" t="s">
        <v>221</v>
      </c>
      <c r="D89" s="293">
        <v>86.67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 t="s">
        <v>8</v>
      </c>
      <c r="D90" s="351">
        <v>85.91</v>
      </c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T130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219</v>
      </c>
      <c r="D3" s="38"/>
      <c r="E3" s="39" t="s">
        <v>9</v>
      </c>
      <c r="F3" s="39"/>
      <c r="G3" s="39"/>
      <c r="H3" s="40"/>
      <c r="I3" s="41" t="s">
        <v>2</v>
      </c>
      <c r="J3" s="42" t="s">
        <v>232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219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233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2.06</v>
      </c>
      <c r="E7" s="21"/>
      <c r="F7" s="21">
        <v>2.39</v>
      </c>
      <c r="G7" s="102">
        <f>AVERAGE(D7:F7)</f>
        <v>2.2250000000000001</v>
      </c>
      <c r="H7" s="184"/>
      <c r="I7" s="372" t="s">
        <v>98</v>
      </c>
      <c r="J7" s="383">
        <f>0.4*7.33</f>
        <v>2.9320000000000004</v>
      </c>
      <c r="K7" s="383" t="s">
        <v>15</v>
      </c>
      <c r="L7" s="341"/>
      <c r="M7" s="383">
        <f>0.4*3.85</f>
        <v>1.54</v>
      </c>
      <c r="N7" s="88" t="s">
        <v>234</v>
      </c>
      <c r="O7" s="386">
        <v>95</v>
      </c>
      <c r="P7" s="44"/>
    </row>
    <row r="8" spans="1:17" ht="38.25" thickBot="1">
      <c r="A8" s="12"/>
      <c r="B8" s="68" t="s">
        <v>16</v>
      </c>
      <c r="C8" s="69"/>
      <c r="D8" s="34">
        <v>2.13</v>
      </c>
      <c r="E8" s="23"/>
      <c r="F8" s="23">
        <v>2.31</v>
      </c>
      <c r="G8" s="124">
        <f>AVERAGE(D8:F8)</f>
        <v>2.2199999999999998</v>
      </c>
      <c r="H8" s="184"/>
      <c r="I8" s="380"/>
      <c r="J8" s="384"/>
      <c r="K8" s="384"/>
      <c r="L8" s="343"/>
      <c r="M8" s="385"/>
      <c r="N8" s="27" t="s">
        <v>235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0.4*5.59</f>
        <v>2.2360000000000002</v>
      </c>
      <c r="K9" s="383" t="s">
        <v>15</v>
      </c>
      <c r="L9" s="383"/>
      <c r="M9" s="383">
        <f>0.4*5.05</f>
        <v>2.02</v>
      </c>
      <c r="N9" s="88" t="s">
        <v>234</v>
      </c>
      <c r="O9" s="386">
        <v>50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235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0.4*3.34</f>
        <v>1.3360000000000001</v>
      </c>
      <c r="K11" s="383" t="s">
        <v>15</v>
      </c>
      <c r="L11" s="341"/>
      <c r="M11" s="383">
        <f>0.4*5.12</f>
        <v>2.048</v>
      </c>
      <c r="N11" s="88" t="s">
        <v>234</v>
      </c>
      <c r="O11" s="386">
        <v>90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3"/>
      <c r="M12" s="385"/>
      <c r="N12" s="27" t="s">
        <v>235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0.4*4.65</f>
        <v>1.8600000000000003</v>
      </c>
      <c r="K13" s="383" t="s">
        <v>15</v>
      </c>
      <c r="L13" s="341"/>
      <c r="M13" s="383">
        <f>0.4*2.99</f>
        <v>1.1960000000000002</v>
      </c>
      <c r="N13" s="88" t="s">
        <v>234</v>
      </c>
      <c r="O13" s="386">
        <v>70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0.4*3.47</f>
        <v>1.3880000000000001</v>
      </c>
      <c r="E14" s="28"/>
      <c r="F14" s="28">
        <f>4.18*0.4</f>
        <v>1.6719999999999999</v>
      </c>
      <c r="G14" s="33">
        <f t="shared" ref="G14:G27" si="0">AVERAGE(D14:F14)</f>
        <v>1.53</v>
      </c>
      <c r="H14" s="184"/>
      <c r="I14" s="380"/>
      <c r="J14" s="384"/>
      <c r="K14" s="384"/>
      <c r="L14" s="343"/>
      <c r="M14" s="385"/>
      <c r="N14" s="27" t="s">
        <v>235</v>
      </c>
      <c r="O14" s="387"/>
      <c r="P14" s="44"/>
    </row>
    <row r="15" spans="1:17" ht="37.5">
      <c r="A15" s="11"/>
      <c r="B15" s="76" t="s">
        <v>97</v>
      </c>
      <c r="C15" s="29"/>
      <c r="D15" s="29">
        <f>0.4*3.57</f>
        <v>1.4279999999999999</v>
      </c>
      <c r="E15" s="28"/>
      <c r="F15" s="29">
        <f>3.35*0.4</f>
        <v>1.34</v>
      </c>
      <c r="G15" s="33">
        <f t="shared" si="0"/>
        <v>1.3839999999999999</v>
      </c>
      <c r="H15" s="184" t="s">
        <v>4</v>
      </c>
      <c r="I15" s="390" t="s">
        <v>61</v>
      </c>
      <c r="J15" s="383">
        <f>0.4*3.59</f>
        <v>1.4359999999999999</v>
      </c>
      <c r="K15" s="383" t="s">
        <v>15</v>
      </c>
      <c r="L15" s="341"/>
      <c r="M15" s="383">
        <f>0.4*3.28</f>
        <v>1.3120000000000001</v>
      </c>
      <c r="N15" s="88" t="s">
        <v>234</v>
      </c>
      <c r="O15" s="386">
        <v>80</v>
      </c>
      <c r="P15" s="44"/>
    </row>
    <row r="16" spans="1:17" ht="37.5">
      <c r="A16" s="11"/>
      <c r="B16" s="76" t="s">
        <v>22</v>
      </c>
      <c r="C16" s="28"/>
      <c r="D16" s="28">
        <f>0.4*3.07</f>
        <v>1.228</v>
      </c>
      <c r="E16" s="29"/>
      <c r="F16" s="29">
        <f>1.83*0.4</f>
        <v>0.7320000000000001</v>
      </c>
      <c r="G16" s="33">
        <f t="shared" si="0"/>
        <v>0.98</v>
      </c>
      <c r="H16" s="184"/>
      <c r="I16" s="391"/>
      <c r="J16" s="384"/>
      <c r="K16" s="384"/>
      <c r="L16" s="343"/>
      <c r="M16" s="385"/>
      <c r="N16" s="27" t="s">
        <v>235</v>
      </c>
      <c r="O16" s="387"/>
      <c r="P16" s="44"/>
    </row>
    <row r="17" spans="1:16" ht="37.5">
      <c r="A17" s="11"/>
      <c r="B17" s="76" t="s">
        <v>24</v>
      </c>
      <c r="C17" s="28"/>
      <c r="D17" s="28">
        <f>0.4*1.66</f>
        <v>0.66400000000000003</v>
      </c>
      <c r="E17" s="28"/>
      <c r="F17" s="29">
        <f>1.28*0.4</f>
        <v>0.51200000000000001</v>
      </c>
      <c r="G17" s="33">
        <f t="shared" si="0"/>
        <v>0.58800000000000008</v>
      </c>
      <c r="H17" s="184"/>
      <c r="I17" s="372" t="s">
        <v>62</v>
      </c>
      <c r="J17" s="383">
        <f>0.4*1.91</f>
        <v>0.76400000000000001</v>
      </c>
      <c r="K17" s="383" t="s">
        <v>15</v>
      </c>
      <c r="L17" s="341"/>
      <c r="M17" s="383">
        <f>0.4*4.59</f>
        <v>1.8360000000000001</v>
      </c>
      <c r="N17" s="88" t="s">
        <v>234</v>
      </c>
      <c r="O17" s="386">
        <v>90</v>
      </c>
      <c r="P17" s="44"/>
    </row>
    <row r="18" spans="1:16" ht="37.5">
      <c r="A18" s="11"/>
      <c r="B18" s="76" t="s">
        <v>25</v>
      </c>
      <c r="C18" s="29"/>
      <c r="D18" s="28">
        <f>0.4*1.61</f>
        <v>0.64400000000000013</v>
      </c>
      <c r="E18" s="28"/>
      <c r="F18" s="29">
        <f>1.15*0.4</f>
        <v>0.45999999999999996</v>
      </c>
      <c r="G18" s="33">
        <f t="shared" si="0"/>
        <v>0.55200000000000005</v>
      </c>
      <c r="H18" s="184"/>
      <c r="I18" s="380"/>
      <c r="J18" s="384"/>
      <c r="K18" s="384"/>
      <c r="L18" s="343"/>
      <c r="M18" s="385"/>
      <c r="N18" s="27" t="s">
        <v>235</v>
      </c>
      <c r="O18" s="387"/>
      <c r="P18" s="44"/>
    </row>
    <row r="19" spans="1:16" ht="37.5">
      <c r="A19" s="11"/>
      <c r="B19" s="76" t="s">
        <v>27</v>
      </c>
      <c r="C19" s="29"/>
      <c r="D19" s="28">
        <f>0.4*1.51</f>
        <v>0.60400000000000009</v>
      </c>
      <c r="E19" s="29"/>
      <c r="F19" s="29">
        <f>1.02*0.4</f>
        <v>0.40800000000000003</v>
      </c>
      <c r="G19" s="33">
        <f t="shared" si="0"/>
        <v>0.50600000000000001</v>
      </c>
      <c r="H19" s="184"/>
      <c r="I19" s="372" t="s">
        <v>63</v>
      </c>
      <c r="J19" s="383">
        <f>0.4*6.51</f>
        <v>2.6040000000000001</v>
      </c>
      <c r="K19" s="383" t="s">
        <v>15</v>
      </c>
      <c r="L19" s="341"/>
      <c r="M19" s="383">
        <f>0.4*3.99</f>
        <v>1.5960000000000001</v>
      </c>
      <c r="N19" s="88" t="s">
        <v>234</v>
      </c>
      <c r="O19" s="386">
        <v>70</v>
      </c>
      <c r="P19" s="44"/>
    </row>
    <row r="20" spans="1:16" ht="37.5">
      <c r="A20" s="11"/>
      <c r="B20" s="76" t="s">
        <v>29</v>
      </c>
      <c r="C20" s="28"/>
      <c r="D20" s="28">
        <f>0.4*1.48</f>
        <v>0.59199999999999997</v>
      </c>
      <c r="E20" s="29"/>
      <c r="F20" s="29">
        <f>0.93*0.4</f>
        <v>0.37200000000000005</v>
      </c>
      <c r="G20" s="33">
        <f t="shared" si="0"/>
        <v>0.48199999999999998</v>
      </c>
      <c r="H20" s="184"/>
      <c r="I20" s="380"/>
      <c r="J20" s="384"/>
      <c r="K20" s="384"/>
      <c r="L20" s="343"/>
      <c r="M20" s="385"/>
      <c r="N20" s="27" t="s">
        <v>235</v>
      </c>
      <c r="O20" s="387"/>
      <c r="P20" s="44"/>
    </row>
    <row r="21" spans="1:16" ht="37.5">
      <c r="A21" s="11"/>
      <c r="B21" s="76" t="s">
        <v>30</v>
      </c>
      <c r="C21" s="28"/>
      <c r="D21" s="28">
        <f>0.4*1.26</f>
        <v>0.504</v>
      </c>
      <c r="E21" s="28"/>
      <c r="F21" s="29">
        <f>0.97*0.4</f>
        <v>0.38800000000000001</v>
      </c>
      <c r="G21" s="33">
        <f t="shared" si="0"/>
        <v>0.44600000000000001</v>
      </c>
      <c r="H21" s="184"/>
      <c r="I21" s="372" t="s">
        <v>14</v>
      </c>
      <c r="J21" s="383">
        <f>0.4*5.22</f>
        <v>2.0880000000000001</v>
      </c>
      <c r="K21" s="383" t="s">
        <v>15</v>
      </c>
      <c r="L21" s="341"/>
      <c r="M21" s="383">
        <f>0.4*6.13</f>
        <v>2.452</v>
      </c>
      <c r="N21" s="88" t="s">
        <v>229</v>
      </c>
      <c r="O21" s="386">
        <v>77</v>
      </c>
      <c r="P21" s="44"/>
    </row>
    <row r="22" spans="1:16" ht="37.5">
      <c r="A22" s="11"/>
      <c r="B22" s="76" t="s">
        <v>32</v>
      </c>
      <c r="C22" s="78"/>
      <c r="D22" s="28">
        <f>0.4*1.32</f>
        <v>0.52800000000000002</v>
      </c>
      <c r="E22" s="28"/>
      <c r="F22" s="29">
        <f>0.92*0.4</f>
        <v>0.36800000000000005</v>
      </c>
      <c r="G22" s="33">
        <f t="shared" si="0"/>
        <v>0.44800000000000006</v>
      </c>
      <c r="H22" s="184"/>
      <c r="I22" s="380"/>
      <c r="J22" s="384"/>
      <c r="K22" s="384"/>
      <c r="L22" s="343"/>
      <c r="M22" s="385"/>
      <c r="N22" s="27" t="s">
        <v>236</v>
      </c>
      <c r="O22" s="387"/>
      <c r="P22" s="44"/>
    </row>
    <row r="23" spans="1:16" ht="37.5">
      <c r="A23" s="11"/>
      <c r="B23" s="76" t="s">
        <v>33</v>
      </c>
      <c r="C23" s="28"/>
      <c r="D23" s="28">
        <f>0.4*1.28</f>
        <v>0.51200000000000001</v>
      </c>
      <c r="E23" s="28"/>
      <c r="F23" s="28">
        <f>0.89*0.4</f>
        <v>0.35600000000000004</v>
      </c>
      <c r="G23" s="33">
        <f t="shared" si="0"/>
        <v>0.43400000000000005</v>
      </c>
      <c r="H23" s="184"/>
      <c r="I23" s="372" t="s">
        <v>17</v>
      </c>
      <c r="J23" s="383">
        <f>0.4*5.97</f>
        <v>2.3879999999999999</v>
      </c>
      <c r="K23" s="383" t="s">
        <v>15</v>
      </c>
      <c r="L23" s="341"/>
      <c r="M23" s="383">
        <f>0.4*7.61</f>
        <v>3.0440000000000005</v>
      </c>
      <c r="N23" s="88" t="s">
        <v>229</v>
      </c>
      <c r="O23" s="386">
        <v>52</v>
      </c>
      <c r="P23" s="44"/>
    </row>
    <row r="24" spans="1:16" ht="37.5">
      <c r="A24" s="11"/>
      <c r="B24" s="76" t="s">
        <v>35</v>
      </c>
      <c r="C24" s="29"/>
      <c r="D24" s="28">
        <f>0.4*1.28</f>
        <v>0.51200000000000001</v>
      </c>
      <c r="E24" s="28"/>
      <c r="F24" s="28">
        <f>0.86*0.4</f>
        <v>0.34400000000000003</v>
      </c>
      <c r="G24" s="33">
        <f t="shared" si="0"/>
        <v>0.42800000000000005</v>
      </c>
      <c r="H24" s="184"/>
      <c r="I24" s="380"/>
      <c r="J24" s="384"/>
      <c r="K24" s="384"/>
      <c r="L24" s="343"/>
      <c r="M24" s="385"/>
      <c r="N24" s="27" t="s">
        <v>236</v>
      </c>
      <c r="O24" s="387"/>
      <c r="P24" s="44"/>
    </row>
    <row r="25" spans="1:16" ht="37.5">
      <c r="A25" s="11"/>
      <c r="B25" s="76" t="s">
        <v>36</v>
      </c>
      <c r="C25" s="27"/>
      <c r="D25" s="28">
        <f>0.4*1.22</f>
        <v>0.48799999999999999</v>
      </c>
      <c r="E25" s="28"/>
      <c r="F25" s="28">
        <f>0.84*0.4</f>
        <v>0.33600000000000002</v>
      </c>
      <c r="G25" s="33">
        <f t="shared" si="0"/>
        <v>0.41200000000000003</v>
      </c>
      <c r="H25" s="184"/>
      <c r="I25" s="372" t="s">
        <v>18</v>
      </c>
      <c r="J25" s="383">
        <f>0.4*6.19</f>
        <v>2.4760000000000004</v>
      </c>
      <c r="K25" s="383" t="s">
        <v>15</v>
      </c>
      <c r="L25" s="341"/>
      <c r="M25" s="383" t="s">
        <v>85</v>
      </c>
      <c r="N25" s="88"/>
      <c r="O25" s="386" t="s">
        <v>85</v>
      </c>
      <c r="P25" s="44"/>
    </row>
    <row r="26" spans="1:16" ht="37.5">
      <c r="A26" s="11"/>
      <c r="B26" s="76" t="s">
        <v>38</v>
      </c>
      <c r="C26" s="27"/>
      <c r="D26" s="28">
        <f>0.4*1.19</f>
        <v>0.47599999999999998</v>
      </c>
      <c r="E26" s="28"/>
      <c r="F26" s="29">
        <f>0.89*0.4</f>
        <v>0.35600000000000004</v>
      </c>
      <c r="G26" s="33">
        <f t="shared" si="0"/>
        <v>0.41600000000000004</v>
      </c>
      <c r="H26" s="184"/>
      <c r="I26" s="380"/>
      <c r="J26" s="384"/>
      <c r="K26" s="384"/>
      <c r="L26" s="343"/>
      <c r="M26" s="385"/>
      <c r="N26" s="27" t="s">
        <v>85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0.4*1.18</f>
        <v>0.47199999999999998</v>
      </c>
      <c r="E27" s="30"/>
      <c r="F27" s="29">
        <f>0.93*0.4</f>
        <v>0.37200000000000005</v>
      </c>
      <c r="G27" s="33">
        <f t="shared" si="0"/>
        <v>0.42200000000000004</v>
      </c>
      <c r="H27" s="184"/>
      <c r="I27" s="372" t="s">
        <v>20</v>
      </c>
      <c r="J27" s="383">
        <f>0.4*5.4</f>
        <v>2.16</v>
      </c>
      <c r="K27" s="383" t="s">
        <v>15</v>
      </c>
      <c r="L27" s="341"/>
      <c r="M27" s="383">
        <f>0.4*6.84</f>
        <v>2.7360000000000002</v>
      </c>
      <c r="N27" s="88" t="s">
        <v>229</v>
      </c>
      <c r="O27" s="386">
        <v>57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43"/>
      <c r="M28" s="385"/>
      <c r="N28" s="27" t="s">
        <v>236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0.4*8.12</f>
        <v>3.2479999999999998</v>
      </c>
      <c r="K29" s="383" t="s">
        <v>15</v>
      </c>
      <c r="L29" s="81"/>
      <c r="M29" s="381">
        <f>0.4*7.15</f>
        <v>2.8600000000000003</v>
      </c>
      <c r="N29" s="88" t="s">
        <v>229</v>
      </c>
      <c r="O29" s="386">
        <v>90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236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</v>
      </c>
      <c r="E31" s="28"/>
      <c r="F31" s="234">
        <v>0.43</v>
      </c>
      <c r="G31" s="33">
        <f t="shared" ref="G31:G46" si="1">AVERAGE(D31:F31)</f>
        <v>0.36499999999999999</v>
      </c>
      <c r="H31" s="184"/>
      <c r="I31" s="372" t="s">
        <v>8</v>
      </c>
      <c r="J31" s="376">
        <v>2.13</v>
      </c>
      <c r="K31" s="341"/>
      <c r="L31" s="86"/>
      <c r="M31" s="376">
        <v>2.06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0.47</v>
      </c>
      <c r="E32" s="28"/>
      <c r="F32" s="29">
        <v>0.63</v>
      </c>
      <c r="G32" s="33">
        <f t="shared" si="1"/>
        <v>0.55000000000000004</v>
      </c>
      <c r="H32" s="184"/>
      <c r="I32" s="380"/>
      <c r="J32" s="388"/>
      <c r="K32" s="342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0.23</v>
      </c>
      <c r="E33" s="29"/>
      <c r="F33" s="29">
        <v>0.3</v>
      </c>
      <c r="G33" s="33">
        <f t="shared" si="1"/>
        <v>0.26500000000000001</v>
      </c>
      <c r="H33" s="184"/>
      <c r="I33" s="372" t="s">
        <v>26</v>
      </c>
      <c r="J33" s="381">
        <f>5.01*0.4</f>
        <v>2.004</v>
      </c>
      <c r="K33" s="383" t="s">
        <v>15</v>
      </c>
      <c r="L33" s="381"/>
      <c r="M33" s="381">
        <f>4.54*0.4</f>
        <v>1.8160000000000001</v>
      </c>
      <c r="N33" s="88" t="s">
        <v>238</v>
      </c>
      <c r="O33" s="386">
        <v>64</v>
      </c>
      <c r="P33" s="44"/>
    </row>
    <row r="34" spans="1:16" ht="37.5">
      <c r="A34" s="11"/>
      <c r="B34" s="76" t="s">
        <v>24</v>
      </c>
      <c r="C34" s="29"/>
      <c r="D34" s="29">
        <v>0.08</v>
      </c>
      <c r="E34" s="28"/>
      <c r="F34" s="29">
        <v>0.21</v>
      </c>
      <c r="G34" s="33">
        <f t="shared" si="1"/>
        <v>0.14499999999999999</v>
      </c>
      <c r="H34" s="184"/>
      <c r="I34" s="380"/>
      <c r="J34" s="382"/>
      <c r="K34" s="384"/>
      <c r="L34" s="382"/>
      <c r="M34" s="382"/>
      <c r="N34" s="27"/>
      <c r="O34" s="387"/>
      <c r="P34" s="44"/>
    </row>
    <row r="35" spans="1:16" ht="37.5">
      <c r="A35" s="11"/>
      <c r="B35" s="76" t="s">
        <v>25</v>
      </c>
      <c r="C35" s="29"/>
      <c r="D35" s="29">
        <v>0.04</v>
      </c>
      <c r="E35" s="28"/>
      <c r="F35" s="29">
        <v>0.17</v>
      </c>
      <c r="G35" s="33">
        <f t="shared" si="1"/>
        <v>0.10500000000000001</v>
      </c>
      <c r="H35" s="184"/>
      <c r="I35" s="372" t="s">
        <v>28</v>
      </c>
      <c r="J35" s="381">
        <f>8.66*0.4</f>
        <v>3.4640000000000004</v>
      </c>
      <c r="K35" s="383" t="s">
        <v>15</v>
      </c>
      <c r="L35" s="381"/>
      <c r="M35" s="383">
        <f>14.24*0.4</f>
        <v>5.6960000000000006</v>
      </c>
      <c r="N35" s="88" t="s">
        <v>238</v>
      </c>
      <c r="O35" s="386">
        <v>66</v>
      </c>
      <c r="P35" s="44"/>
    </row>
    <row r="36" spans="1:16" ht="37.5">
      <c r="A36" s="11"/>
      <c r="B36" s="76" t="s">
        <v>27</v>
      </c>
      <c r="C36" s="29"/>
      <c r="D36" s="29">
        <v>0</v>
      </c>
      <c r="E36" s="29"/>
      <c r="F36" s="29">
        <v>0.03</v>
      </c>
      <c r="G36" s="33">
        <f t="shared" si="1"/>
        <v>1.4999999999999999E-2</v>
      </c>
      <c r="H36" s="184"/>
      <c r="I36" s="380"/>
      <c r="J36" s="382"/>
      <c r="K36" s="384"/>
      <c r="L36" s="382"/>
      <c r="M36" s="385"/>
      <c r="N36" s="27"/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0.01</v>
      </c>
      <c r="G37" s="33">
        <f t="shared" si="1"/>
        <v>5.0000000000000001E-3</v>
      </c>
      <c r="H37" s="184"/>
      <c r="I37" s="372" t="s">
        <v>31</v>
      </c>
      <c r="J37" s="381">
        <f>6.95*0.4</f>
        <v>2.7800000000000002</v>
      </c>
      <c r="K37" s="383" t="s">
        <v>15</v>
      </c>
      <c r="L37" s="381"/>
      <c r="M37" s="383">
        <f>9*0.4</f>
        <v>3.6</v>
      </c>
      <c r="N37" s="88" t="s">
        <v>238</v>
      </c>
      <c r="O37" s="386">
        <v>60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</v>
      </c>
      <c r="G38" s="33">
        <f t="shared" si="1"/>
        <v>0</v>
      </c>
      <c r="H38" s="184"/>
      <c r="I38" s="380"/>
      <c r="J38" s="382"/>
      <c r="K38" s="384"/>
      <c r="L38" s="382"/>
      <c r="M38" s="385"/>
      <c r="N38" s="27"/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4.69*0.4</f>
        <v>1.8760000000000003</v>
      </c>
      <c r="K39" s="383" t="s">
        <v>15</v>
      </c>
      <c r="L39" s="381"/>
      <c r="M39" s="383">
        <f>3.3*0.4</f>
        <v>1.32</v>
      </c>
      <c r="N39" s="88" t="s">
        <v>238</v>
      </c>
      <c r="O39" s="386">
        <v>75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/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5.69*0.4</f>
        <v>2.2760000000000002</v>
      </c>
      <c r="K41" s="383" t="s">
        <v>15</v>
      </c>
      <c r="L41" s="381"/>
      <c r="M41" s="383">
        <f>5.24*0.4</f>
        <v>2.0960000000000001</v>
      </c>
      <c r="N41" s="88" t="s">
        <v>238</v>
      </c>
      <c r="O41" s="386">
        <v>58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/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7.16*0.4</f>
        <v>2.8640000000000003</v>
      </c>
      <c r="K43" s="383" t="s">
        <v>15</v>
      </c>
      <c r="L43" s="381"/>
      <c r="M43" s="383">
        <f>4.47*0.4</f>
        <v>1.788</v>
      </c>
      <c r="N43" s="88" t="s">
        <v>238</v>
      </c>
      <c r="O43" s="386">
        <v>55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/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5.58*0.4</f>
        <v>2.2320000000000002</v>
      </c>
      <c r="K45" s="383" t="s">
        <v>15</v>
      </c>
      <c r="L45" s="381"/>
      <c r="M45" s="383">
        <f>3.67*0.4</f>
        <v>1.468</v>
      </c>
      <c r="N45" s="88" t="s">
        <v>239</v>
      </c>
      <c r="O45" s="386">
        <v>66</v>
      </c>
      <c r="P45" s="44"/>
    </row>
    <row r="46" spans="1:16" ht="57.75" customHeight="1" thickBot="1">
      <c r="A46" s="14"/>
      <c r="B46" s="319" t="s">
        <v>58</v>
      </c>
      <c r="C46" s="237"/>
      <c r="D46" s="238">
        <v>0.09</v>
      </c>
      <c r="E46" s="239"/>
      <c r="F46" s="238">
        <v>7.0000000000000007E-2</v>
      </c>
      <c r="G46" s="240">
        <f t="shared" si="1"/>
        <v>0.08</v>
      </c>
      <c r="H46" s="184"/>
      <c r="I46" s="380"/>
      <c r="J46" s="382"/>
      <c r="K46" s="384"/>
      <c r="L46" s="382"/>
      <c r="M46" s="385"/>
      <c r="N46" s="27" t="s">
        <v>240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5.89*0.4</f>
        <v>2.3559999999999999</v>
      </c>
      <c r="K47" s="383" t="s">
        <v>15</v>
      </c>
      <c r="L47" s="381"/>
      <c r="M47" s="383">
        <f>5.59*0.4</f>
        <v>2.2360000000000002</v>
      </c>
      <c r="N47" s="88" t="s">
        <v>239</v>
      </c>
      <c r="O47" s="386">
        <v>101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240</v>
      </c>
      <c r="O48" s="387"/>
      <c r="P48" s="44"/>
    </row>
    <row r="49" spans="1:16" ht="38.25" thickBot="1">
      <c r="A49" s="14"/>
      <c r="B49" s="95" t="s">
        <v>219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5.1*0.4</f>
        <v>2.04</v>
      </c>
      <c r="K49" s="383" t="s">
        <v>15</v>
      </c>
      <c r="L49" s="341"/>
      <c r="M49" s="383">
        <f>5.93*0.4</f>
        <v>2.3719999999999999</v>
      </c>
      <c r="N49" s="88" t="s">
        <v>239</v>
      </c>
      <c r="O49" s="386">
        <v>84</v>
      </c>
      <c r="P49" s="44"/>
    </row>
    <row r="50" spans="1:16" ht="37.5">
      <c r="A50" s="14"/>
      <c r="B50" s="76" t="s">
        <v>22</v>
      </c>
      <c r="C50" s="97"/>
      <c r="D50" s="98">
        <v>1061</v>
      </c>
      <c r="E50" s="98">
        <v>13</v>
      </c>
      <c r="F50" s="98">
        <f>(D50*E50)*0.26</f>
        <v>3586.1800000000003</v>
      </c>
      <c r="G50" s="221"/>
      <c r="H50" s="222"/>
      <c r="I50" s="380"/>
      <c r="J50" s="382"/>
      <c r="K50" s="384"/>
      <c r="L50" s="343"/>
      <c r="M50" s="385"/>
      <c r="N50" s="27" t="s">
        <v>240</v>
      </c>
      <c r="O50" s="387"/>
      <c r="P50" s="44"/>
    </row>
    <row r="51" spans="1:16" ht="37.5">
      <c r="A51" s="14"/>
      <c r="B51" s="76" t="s">
        <v>24</v>
      </c>
      <c r="C51" s="97"/>
      <c r="D51" s="98">
        <v>891</v>
      </c>
      <c r="E51" s="98">
        <v>10</v>
      </c>
      <c r="F51" s="98">
        <f>(D51*E51)*0.26</f>
        <v>2316.6</v>
      </c>
      <c r="G51" s="99"/>
      <c r="H51" s="186"/>
      <c r="I51" s="372" t="s">
        <v>47</v>
      </c>
      <c r="J51" s="381">
        <f>5.47*0.4</f>
        <v>2.1880000000000002</v>
      </c>
      <c r="K51" s="383" t="s">
        <v>15</v>
      </c>
      <c r="L51" s="341"/>
      <c r="M51" s="383">
        <f>6.02*0.4</f>
        <v>2.4079999999999999</v>
      </c>
      <c r="N51" s="88" t="s">
        <v>239</v>
      </c>
      <c r="O51" s="386">
        <v>85</v>
      </c>
      <c r="P51" s="44"/>
    </row>
    <row r="52" spans="1:16" ht="37.5">
      <c r="A52" s="14"/>
      <c r="B52" s="76" t="s">
        <v>25</v>
      </c>
      <c r="C52" s="97"/>
      <c r="D52" s="98">
        <v>531</v>
      </c>
      <c r="E52" s="98">
        <v>5</v>
      </c>
      <c r="F52" s="98">
        <f>(D52*E52)*0.26</f>
        <v>690.30000000000007</v>
      </c>
      <c r="G52" s="99"/>
      <c r="H52" s="186"/>
      <c r="I52" s="380"/>
      <c r="J52" s="382"/>
      <c r="K52" s="384"/>
      <c r="L52" s="343"/>
      <c r="M52" s="385"/>
      <c r="N52" s="27" t="s">
        <v>240</v>
      </c>
      <c r="O52" s="387"/>
      <c r="P52" s="44"/>
    </row>
    <row r="53" spans="1:16" ht="37.5">
      <c r="A53" s="14"/>
      <c r="B53" s="76" t="s">
        <v>27</v>
      </c>
      <c r="C53" s="97"/>
      <c r="D53" s="98">
        <v>366</v>
      </c>
      <c r="E53" s="98">
        <v>11</v>
      </c>
      <c r="F53" s="98">
        <f>(D53*E53)*0.26</f>
        <v>1046.76</v>
      </c>
      <c r="G53" s="99"/>
      <c r="H53" s="186"/>
      <c r="I53" s="372" t="s">
        <v>50</v>
      </c>
      <c r="J53" s="381">
        <f>4.18*0.4</f>
        <v>1.6719999999999999</v>
      </c>
      <c r="K53" s="383" t="s">
        <v>15</v>
      </c>
      <c r="L53" s="341"/>
      <c r="M53" s="383">
        <f>5.16*0.4</f>
        <v>2.0640000000000001</v>
      </c>
      <c r="N53" s="88" t="s">
        <v>239</v>
      </c>
      <c r="O53" s="386">
        <v>91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43"/>
      <c r="M54" s="385"/>
      <c r="N54" s="27" t="s">
        <v>240</v>
      </c>
      <c r="O54" s="387"/>
      <c r="P54" s="44"/>
    </row>
    <row r="55" spans="1:16" ht="37.5">
      <c r="A55" s="15"/>
      <c r="B55" s="76" t="s">
        <v>48</v>
      </c>
      <c r="C55" s="100"/>
      <c r="D55" s="98">
        <v>191</v>
      </c>
      <c r="E55" s="98">
        <v>10</v>
      </c>
      <c r="F55" s="98">
        <f>(D55*E55)*0.13</f>
        <v>248.3</v>
      </c>
      <c r="G55" s="99"/>
      <c r="H55" s="186"/>
      <c r="I55" s="372" t="s">
        <v>53</v>
      </c>
      <c r="J55" s="381">
        <f>4.93*0.4</f>
        <v>1.972</v>
      </c>
      <c r="K55" s="383" t="s">
        <v>15</v>
      </c>
      <c r="L55" s="341"/>
      <c r="M55" s="383">
        <f>4.54*0.4</f>
        <v>1.8160000000000001</v>
      </c>
      <c r="N55" s="88" t="s">
        <v>239</v>
      </c>
      <c r="O55" s="386">
        <v>76</v>
      </c>
      <c r="P55" s="44"/>
    </row>
    <row r="56" spans="1:16" ht="37.5">
      <c r="A56" s="15"/>
      <c r="B56" s="76" t="s">
        <v>49</v>
      </c>
      <c r="C56" s="100"/>
      <c r="D56" s="98">
        <v>113</v>
      </c>
      <c r="E56" s="98">
        <v>13</v>
      </c>
      <c r="F56" s="98">
        <f t="shared" ref="F56:F61" si="2">(D56*E56)*0.13</f>
        <v>190.97</v>
      </c>
      <c r="G56" s="99"/>
      <c r="H56" s="186"/>
      <c r="I56" s="380"/>
      <c r="J56" s="382"/>
      <c r="K56" s="384"/>
      <c r="L56" s="343"/>
      <c r="M56" s="385"/>
      <c r="N56" s="27" t="s">
        <v>240</v>
      </c>
      <c r="O56" s="387"/>
      <c r="P56" s="44"/>
    </row>
    <row r="57" spans="1:16" ht="37.5">
      <c r="A57" s="15"/>
      <c r="B57" s="76" t="s">
        <v>51</v>
      </c>
      <c r="C57" s="100"/>
      <c r="D57" s="98">
        <v>98</v>
      </c>
      <c r="E57" s="98">
        <v>12</v>
      </c>
      <c r="F57" s="98">
        <f t="shared" si="2"/>
        <v>152.88</v>
      </c>
      <c r="G57" s="99"/>
      <c r="H57" s="186"/>
      <c r="I57" s="372" t="s">
        <v>8</v>
      </c>
      <c r="J57" s="374">
        <v>2.31</v>
      </c>
      <c r="K57" s="376"/>
      <c r="L57" s="101"/>
      <c r="M57" s="376">
        <v>2.39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76</v>
      </c>
      <c r="E58" s="98">
        <v>11</v>
      </c>
      <c r="F58" s="98">
        <f t="shared" si="2"/>
        <v>108.68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70</v>
      </c>
      <c r="E59" s="98">
        <v>10</v>
      </c>
      <c r="F59" s="98">
        <f t="shared" si="2"/>
        <v>91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66</v>
      </c>
      <c r="E60" s="98">
        <v>16</v>
      </c>
      <c r="F60" s="98">
        <f t="shared" si="2"/>
        <v>137.28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46</v>
      </c>
      <c r="E61" s="98">
        <v>13</v>
      </c>
      <c r="F61" s="98">
        <f t="shared" si="2"/>
        <v>77.740000000000009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8646.6900000000023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39" t="s">
        <v>13</v>
      </c>
      <c r="J64" s="29">
        <v>1.32</v>
      </c>
      <c r="K64" s="29">
        <v>1.08</v>
      </c>
      <c r="L64" s="119">
        <f>AVERAGE(J64:K64)</f>
        <v>1.2000000000000002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39" t="s">
        <v>16</v>
      </c>
      <c r="J65" s="29">
        <v>1.1000000000000001</v>
      </c>
      <c r="K65" s="245">
        <v>1.21</v>
      </c>
      <c r="L65" s="208">
        <f>AVERAGE(J65:K65)</f>
        <v>1.155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219</v>
      </c>
      <c r="C68" s="120" t="s">
        <v>84</v>
      </c>
      <c r="D68" s="120" t="s">
        <v>237</v>
      </c>
      <c r="E68" s="116">
        <v>1111</v>
      </c>
      <c r="F68" s="29"/>
      <c r="G68" s="118"/>
      <c r="H68" s="190"/>
      <c r="I68" s="339" t="s">
        <v>67</v>
      </c>
      <c r="J68" s="339"/>
      <c r="K68" s="339"/>
      <c r="L68" s="126"/>
      <c r="M68" s="338"/>
      <c r="N68" s="127"/>
      <c r="O68" s="128"/>
      <c r="P68" s="44"/>
    </row>
    <row r="69" spans="1:16" ht="37.5">
      <c r="A69" s="15"/>
      <c r="B69" s="95" t="s">
        <v>219</v>
      </c>
      <c r="C69" s="120" t="s">
        <v>84</v>
      </c>
      <c r="D69" s="120" t="s">
        <v>241</v>
      </c>
      <c r="E69" s="116">
        <v>1136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219</v>
      </c>
      <c r="C70" s="120" t="s">
        <v>83</v>
      </c>
      <c r="D70" s="120" t="s">
        <v>230</v>
      </c>
      <c r="E70" s="116">
        <v>23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.75" thickBot="1">
      <c r="A71" s="16"/>
      <c r="B71" s="111" t="s">
        <v>70</v>
      </c>
      <c r="C71" s="120"/>
      <c r="D71" s="120"/>
      <c r="E71" s="156" t="s">
        <v>99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69.650000000000006</v>
      </c>
      <c r="K72" s="29"/>
      <c r="L72" s="119">
        <f>AVERAGE(J72:K72)</f>
        <v>69.650000000000006</v>
      </c>
      <c r="M72" s="133"/>
      <c r="N72" s="32"/>
      <c r="O72" s="33"/>
      <c r="P72" s="44"/>
    </row>
    <row r="73" spans="1:16" ht="39">
      <c r="A73" s="16"/>
      <c r="B73" s="95" t="s">
        <v>219</v>
      </c>
      <c r="C73" s="120" t="s">
        <v>83</v>
      </c>
      <c r="D73" s="120" t="s">
        <v>188</v>
      </c>
      <c r="E73" s="116">
        <v>47.93</v>
      </c>
      <c r="F73" s="131"/>
      <c r="G73" s="132"/>
      <c r="H73" s="193"/>
      <c r="I73" s="152" t="s">
        <v>89</v>
      </c>
      <c r="J73" s="29">
        <v>90.75</v>
      </c>
      <c r="K73" s="29"/>
      <c r="L73" s="119">
        <f>AVERAGE(J73:K73)</f>
        <v>90.75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95" t="s">
        <v>219</v>
      </c>
      <c r="C74" s="120" t="s">
        <v>83</v>
      </c>
      <c r="D74" s="120" t="s">
        <v>189</v>
      </c>
      <c r="E74" s="136">
        <v>0.90349999999999997</v>
      </c>
      <c r="F74" s="134"/>
      <c r="G74" s="132" t="s">
        <v>4</v>
      </c>
      <c r="H74" s="194"/>
      <c r="I74" s="126" t="s">
        <v>71</v>
      </c>
      <c r="J74" s="27">
        <v>63.7</v>
      </c>
      <c r="K74" s="27">
        <v>61.85</v>
      </c>
      <c r="L74" s="119">
        <f>AVERAGE(J74:K74)</f>
        <v>62.775000000000006</v>
      </c>
      <c r="M74" s="115"/>
      <c r="N74" s="88"/>
      <c r="O74" s="33"/>
      <c r="P74" s="44"/>
    </row>
    <row r="75" spans="1:16" ht="39.75" thickBot="1">
      <c r="A75" s="16"/>
      <c r="B75" s="95" t="s">
        <v>219</v>
      </c>
      <c r="C75" s="120" t="s">
        <v>83</v>
      </c>
      <c r="D75" s="120" t="s">
        <v>196</v>
      </c>
      <c r="E75" s="286">
        <v>0.55589999999999995</v>
      </c>
      <c r="F75" s="131"/>
      <c r="G75" s="139"/>
      <c r="H75" s="195"/>
      <c r="I75" s="178" t="s">
        <v>72</v>
      </c>
      <c r="J75" s="91">
        <v>68.400000000000006</v>
      </c>
      <c r="K75" s="91">
        <v>69.849999999999994</v>
      </c>
      <c r="L75" s="119">
        <f>AVERAGE(J75:K75)</f>
        <v>69.125</v>
      </c>
      <c r="M75" s="115"/>
      <c r="N75" s="91"/>
      <c r="O75" s="35"/>
      <c r="P75" s="44"/>
    </row>
    <row r="76" spans="1:16" ht="39.75" thickBot="1">
      <c r="A76" s="170"/>
      <c r="B76" s="95" t="s">
        <v>219</v>
      </c>
      <c r="C76" s="120" t="s">
        <v>83</v>
      </c>
      <c r="D76" s="120" t="s">
        <v>197</v>
      </c>
      <c r="E76" s="136">
        <v>0.79169999999999996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219</v>
      </c>
      <c r="C77" s="120" t="s">
        <v>83</v>
      </c>
      <c r="D77" s="120" t="s">
        <v>202</v>
      </c>
      <c r="E77" s="136">
        <v>0.4763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 t="s">
        <v>219</v>
      </c>
      <c r="C78" s="120" t="s">
        <v>83</v>
      </c>
      <c r="D78" s="120" t="s">
        <v>203</v>
      </c>
      <c r="E78" s="136">
        <v>0.69399999999999995</v>
      </c>
      <c r="F78" s="140"/>
      <c r="G78" s="141"/>
      <c r="H78" s="196"/>
      <c r="I78" s="338"/>
      <c r="J78" s="236" t="s">
        <v>66</v>
      </c>
      <c r="K78" s="236" t="s">
        <v>66</v>
      </c>
      <c r="L78" s="236" t="s">
        <v>66</v>
      </c>
      <c r="M78" s="113"/>
      <c r="N78" s="338"/>
      <c r="O78" s="147"/>
      <c r="P78" s="44"/>
    </row>
    <row r="79" spans="1:16" ht="39">
      <c r="A79" s="170"/>
      <c r="B79" s="95" t="s">
        <v>219</v>
      </c>
      <c r="C79" s="120" t="s">
        <v>83</v>
      </c>
      <c r="D79" s="120" t="s">
        <v>204</v>
      </c>
      <c r="E79" s="136">
        <v>0.58299999999999996</v>
      </c>
      <c r="F79" s="134"/>
      <c r="G79" s="141"/>
      <c r="H79" s="197"/>
      <c r="I79" s="181" t="s">
        <v>78</v>
      </c>
      <c r="J79" s="27">
        <f>0.4*5.04</f>
        <v>2.016</v>
      </c>
      <c r="K79" s="27">
        <f>4.81*0.4</f>
        <v>1.9239999999999999</v>
      </c>
      <c r="L79" s="119">
        <f>AVERAGE(J79:K79)</f>
        <v>1.97</v>
      </c>
      <c r="M79" s="242"/>
      <c r="N79" s="51"/>
      <c r="O79" s="151"/>
      <c r="P79" s="44"/>
    </row>
    <row r="80" spans="1:16" ht="39.75" thickBot="1">
      <c r="A80" s="170"/>
      <c r="B80" s="95" t="s">
        <v>219</v>
      </c>
      <c r="C80" s="120" t="s">
        <v>83</v>
      </c>
      <c r="D80" s="120" t="s">
        <v>212</v>
      </c>
      <c r="E80" s="136">
        <v>0.746</v>
      </c>
      <c r="F80" s="134"/>
      <c r="G80" s="141"/>
      <c r="H80" s="197"/>
      <c r="I80" s="182" t="s">
        <v>79</v>
      </c>
      <c r="J80" s="34">
        <f>0.4*3.65</f>
        <v>1.46</v>
      </c>
      <c r="K80" s="91">
        <f>3.47*0.4</f>
        <v>1.3880000000000001</v>
      </c>
      <c r="L80" s="119">
        <f>AVERAGE(J80:K80)</f>
        <v>1.4239999999999999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219</v>
      </c>
      <c r="C84" s="120" t="s">
        <v>83</v>
      </c>
      <c r="D84" s="120" t="s">
        <v>222</v>
      </c>
      <c r="E84" s="27">
        <v>3.11</v>
      </c>
      <c r="F84" s="131"/>
      <c r="G84" s="139"/>
      <c r="H84" s="197"/>
      <c r="I84" s="77" t="s">
        <v>93</v>
      </c>
      <c r="J84" s="32">
        <v>0.11799999999999999</v>
      </c>
      <c r="K84" s="32">
        <v>0.08</v>
      </c>
      <c r="L84" s="119">
        <f>AVERAGE(J84:K84)</f>
        <v>9.9000000000000005E-2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219</v>
      </c>
      <c r="C85" s="120" t="s">
        <v>83</v>
      </c>
      <c r="D85" s="120" t="s">
        <v>230</v>
      </c>
      <c r="E85" s="169">
        <v>4.38</v>
      </c>
      <c r="F85" s="131"/>
      <c r="G85" s="139"/>
      <c r="H85" s="197"/>
      <c r="I85" s="77" t="s">
        <v>92</v>
      </c>
      <c r="J85" s="211">
        <v>0</v>
      </c>
      <c r="K85" s="211">
        <v>0.01</v>
      </c>
      <c r="L85" s="119">
        <f>AVERAGE(J85:K85)</f>
        <v>5.0000000000000001E-3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0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T130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233</v>
      </c>
      <c r="D3" s="38"/>
      <c r="E3" s="39" t="s">
        <v>9</v>
      </c>
      <c r="F3" s="39"/>
      <c r="G3" s="39"/>
      <c r="H3" s="40"/>
      <c r="I3" s="41" t="s">
        <v>2</v>
      </c>
      <c r="J3" s="42" t="s">
        <v>242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233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243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1.97</v>
      </c>
      <c r="E7" s="21"/>
      <c r="F7" s="21">
        <v>2.02</v>
      </c>
      <c r="G7" s="102">
        <f>AVERAGE(D7:F7)</f>
        <v>1.9950000000000001</v>
      </c>
      <c r="H7" s="184"/>
      <c r="I7" s="372" t="s">
        <v>98</v>
      </c>
      <c r="J7" s="383">
        <v>2.31</v>
      </c>
      <c r="K7" s="383" t="s">
        <v>15</v>
      </c>
      <c r="L7" s="344"/>
      <c r="M7" s="383">
        <f>3.21*0.4</f>
        <v>1.284</v>
      </c>
      <c r="N7" s="88" t="s">
        <v>246</v>
      </c>
      <c r="O7" s="386">
        <v>37</v>
      </c>
      <c r="P7" s="44"/>
    </row>
    <row r="8" spans="1:17" ht="38.25" thickBot="1">
      <c r="A8" s="12"/>
      <c r="B8" s="68" t="s">
        <v>16</v>
      </c>
      <c r="C8" s="69"/>
      <c r="D8" s="34">
        <v>1.84</v>
      </c>
      <c r="E8" s="23"/>
      <c r="F8" s="23">
        <v>1.67</v>
      </c>
      <c r="G8" s="124">
        <f>AVERAGE(D8:F8)</f>
        <v>1.7549999999999999</v>
      </c>
      <c r="H8" s="184"/>
      <c r="I8" s="380"/>
      <c r="J8" s="384"/>
      <c r="K8" s="384"/>
      <c r="L8" s="346"/>
      <c r="M8" s="385"/>
      <c r="N8" s="27" t="s">
        <v>247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3.88*0.4</f>
        <v>1.552</v>
      </c>
      <c r="K9" s="383" t="s">
        <v>15</v>
      </c>
      <c r="L9" s="383"/>
      <c r="M9" s="383">
        <f>3.28*0.4</f>
        <v>1.3120000000000001</v>
      </c>
      <c r="N9" s="88" t="s">
        <v>246</v>
      </c>
      <c r="O9" s="386">
        <v>48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247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v>2.2000000000000002</v>
      </c>
      <c r="K11" s="383" t="s">
        <v>15</v>
      </c>
      <c r="L11" s="344"/>
      <c r="M11" s="383">
        <f>6.41*0.4</f>
        <v>2.5640000000000001</v>
      </c>
      <c r="N11" s="88" t="s">
        <v>246</v>
      </c>
      <c r="O11" s="386">
        <v>54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6"/>
      <c r="M12" s="385"/>
      <c r="N12" s="27" t="s">
        <v>247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v>2.2000000000000002</v>
      </c>
      <c r="K13" s="383" t="s">
        <v>15</v>
      </c>
      <c r="L13" s="344"/>
      <c r="M13" s="383">
        <f>6.37*0.4</f>
        <v>2.548</v>
      </c>
      <c r="N13" s="88" t="s">
        <v>246</v>
      </c>
      <c r="O13" s="386">
        <v>87</v>
      </c>
      <c r="P13" s="44"/>
    </row>
    <row r="14" spans="1:17" ht="37.5">
      <c r="A14" s="11" t="s">
        <v>91</v>
      </c>
      <c r="B14" s="76" t="s">
        <v>21</v>
      </c>
      <c r="C14" s="120"/>
      <c r="D14" s="28">
        <f>4.47*0.4</f>
        <v>1.788</v>
      </c>
      <c r="E14" s="28"/>
      <c r="F14" s="28">
        <f>0.4*4.26</f>
        <v>1.704</v>
      </c>
      <c r="G14" s="33">
        <f t="shared" ref="G14:G27" si="0">AVERAGE(D14:F14)</f>
        <v>1.746</v>
      </c>
      <c r="H14" s="184"/>
      <c r="I14" s="380"/>
      <c r="J14" s="384"/>
      <c r="K14" s="384"/>
      <c r="L14" s="346"/>
      <c r="M14" s="385"/>
      <c r="N14" s="27" t="s">
        <v>247</v>
      </c>
      <c r="O14" s="387"/>
      <c r="P14" s="44"/>
    </row>
    <row r="15" spans="1:17" ht="37.5">
      <c r="A15" s="11"/>
      <c r="B15" s="76" t="s">
        <v>97</v>
      </c>
      <c r="C15" s="29"/>
      <c r="D15" s="29">
        <f>4.21*0.4</f>
        <v>1.6840000000000002</v>
      </c>
      <c r="E15" s="28"/>
      <c r="F15" s="29">
        <f>0.4*4.05</f>
        <v>1.62</v>
      </c>
      <c r="G15" s="33">
        <f t="shared" si="0"/>
        <v>1.6520000000000001</v>
      </c>
      <c r="H15" s="184" t="s">
        <v>4</v>
      </c>
      <c r="I15" s="390" t="s">
        <v>61</v>
      </c>
      <c r="J15" s="383">
        <v>2.09</v>
      </c>
      <c r="K15" s="383" t="s">
        <v>15</v>
      </c>
      <c r="L15" s="344"/>
      <c r="M15" s="383">
        <f>5.77*0.4</f>
        <v>2.3079999999999998</v>
      </c>
      <c r="N15" s="88" t="s">
        <v>246</v>
      </c>
      <c r="O15" s="386">
        <v>86</v>
      </c>
      <c r="P15" s="44"/>
    </row>
    <row r="16" spans="1:17" ht="37.5">
      <c r="A16" s="11"/>
      <c r="B16" s="76" t="s">
        <v>22</v>
      </c>
      <c r="C16" s="28"/>
      <c r="D16" s="28">
        <f>2.78*0.4</f>
        <v>1.1119999999999999</v>
      </c>
      <c r="E16" s="29"/>
      <c r="F16" s="29">
        <f>0.4*3.19</f>
        <v>1.276</v>
      </c>
      <c r="G16" s="33">
        <f t="shared" si="0"/>
        <v>1.194</v>
      </c>
      <c r="H16" s="184"/>
      <c r="I16" s="391"/>
      <c r="J16" s="384"/>
      <c r="K16" s="384"/>
      <c r="L16" s="346"/>
      <c r="M16" s="385"/>
      <c r="N16" s="27" t="s">
        <v>247</v>
      </c>
      <c r="O16" s="387"/>
      <c r="P16" s="44"/>
    </row>
    <row r="17" spans="1:16" ht="37.5">
      <c r="A17" s="11"/>
      <c r="B17" s="76" t="s">
        <v>24</v>
      </c>
      <c r="C17" s="28"/>
      <c r="D17" s="28">
        <f>1.69*0.4</f>
        <v>0.67600000000000005</v>
      </c>
      <c r="E17" s="28"/>
      <c r="F17" s="29">
        <f>0.4*2.1</f>
        <v>0.84000000000000008</v>
      </c>
      <c r="G17" s="33">
        <f t="shared" si="0"/>
        <v>0.75800000000000001</v>
      </c>
      <c r="H17" s="184"/>
      <c r="I17" s="372" t="s">
        <v>62</v>
      </c>
      <c r="J17" s="383">
        <f>4.62*0.4</f>
        <v>1.8480000000000001</v>
      </c>
      <c r="K17" s="383" t="s">
        <v>15</v>
      </c>
      <c r="L17" s="344"/>
      <c r="M17" s="383">
        <f>4.01*0.4</f>
        <v>1.6040000000000001</v>
      </c>
      <c r="N17" s="88" t="s">
        <v>246</v>
      </c>
      <c r="O17" s="386">
        <v>86</v>
      </c>
      <c r="P17" s="44"/>
    </row>
    <row r="18" spans="1:16" ht="37.5">
      <c r="A18" s="11"/>
      <c r="B18" s="76" t="s">
        <v>25</v>
      </c>
      <c r="C18" s="29"/>
      <c r="D18" s="28">
        <f>1.29*0.4</f>
        <v>0.51600000000000001</v>
      </c>
      <c r="E18" s="28"/>
      <c r="F18" s="29">
        <f>0.4*1.57</f>
        <v>0.62800000000000011</v>
      </c>
      <c r="G18" s="33">
        <f t="shared" si="0"/>
        <v>0.57200000000000006</v>
      </c>
      <c r="H18" s="184"/>
      <c r="I18" s="380"/>
      <c r="J18" s="384"/>
      <c r="K18" s="384"/>
      <c r="L18" s="346"/>
      <c r="M18" s="385"/>
      <c r="N18" s="27" t="s">
        <v>247</v>
      </c>
      <c r="O18" s="387"/>
      <c r="P18" s="44"/>
    </row>
    <row r="19" spans="1:16" ht="37.5">
      <c r="A19" s="11"/>
      <c r="B19" s="76" t="s">
        <v>27</v>
      </c>
      <c r="C19" s="29"/>
      <c r="D19" s="28">
        <f>1.21*0.4</f>
        <v>0.48399999999999999</v>
      </c>
      <c r="E19" s="29"/>
      <c r="F19" s="29">
        <f>0.4*1.41</f>
        <v>0.56399999999999995</v>
      </c>
      <c r="G19" s="33">
        <f t="shared" si="0"/>
        <v>0.52400000000000002</v>
      </c>
      <c r="H19" s="184"/>
      <c r="I19" s="372" t="s">
        <v>63</v>
      </c>
      <c r="J19" s="383">
        <f>4.6*0.4</f>
        <v>1.8399999999999999</v>
      </c>
      <c r="K19" s="383" t="s">
        <v>15</v>
      </c>
      <c r="L19" s="344"/>
      <c r="M19" s="383">
        <f>4.79*0.4</f>
        <v>1.9160000000000001</v>
      </c>
      <c r="N19" s="88" t="s">
        <v>246</v>
      </c>
      <c r="O19" s="386">
        <v>75</v>
      </c>
      <c r="P19" s="44"/>
    </row>
    <row r="20" spans="1:16" ht="37.5">
      <c r="A20" s="11"/>
      <c r="B20" s="76" t="s">
        <v>29</v>
      </c>
      <c r="C20" s="28"/>
      <c r="D20" s="28">
        <f>1.28*0.4</f>
        <v>0.51200000000000001</v>
      </c>
      <c r="E20" s="29"/>
      <c r="F20" s="29">
        <f>0.4*1.35</f>
        <v>0.54</v>
      </c>
      <c r="G20" s="33">
        <f t="shared" si="0"/>
        <v>0.52600000000000002</v>
      </c>
      <c r="H20" s="184"/>
      <c r="I20" s="380"/>
      <c r="J20" s="384"/>
      <c r="K20" s="384"/>
      <c r="L20" s="346"/>
      <c r="M20" s="385"/>
      <c r="N20" s="27" t="s">
        <v>247</v>
      </c>
      <c r="O20" s="387"/>
      <c r="P20" s="44"/>
    </row>
    <row r="21" spans="1:16" ht="37.5">
      <c r="A21" s="11"/>
      <c r="B21" s="76" t="s">
        <v>30</v>
      </c>
      <c r="C21" s="28"/>
      <c r="D21" s="28">
        <f>1.09*0.4</f>
        <v>0.43600000000000005</v>
      </c>
      <c r="E21" s="28"/>
      <c r="F21" s="29">
        <f>0.4*1.28</f>
        <v>0.51200000000000001</v>
      </c>
      <c r="G21" s="33">
        <f t="shared" si="0"/>
        <v>0.47400000000000003</v>
      </c>
      <c r="H21" s="184"/>
      <c r="I21" s="372" t="s">
        <v>14</v>
      </c>
      <c r="J21" s="383">
        <f>2.17*0.4</f>
        <v>0.86799999999999999</v>
      </c>
      <c r="K21" s="383" t="s">
        <v>15</v>
      </c>
      <c r="L21" s="344"/>
      <c r="M21" s="383">
        <f>4.38*0.4</f>
        <v>1.752</v>
      </c>
      <c r="N21" s="88" t="s">
        <v>246</v>
      </c>
      <c r="O21" s="386">
        <v>62</v>
      </c>
      <c r="P21" s="44"/>
    </row>
    <row r="22" spans="1:16" ht="37.5">
      <c r="A22" s="11"/>
      <c r="B22" s="76" t="s">
        <v>32</v>
      </c>
      <c r="C22" s="78"/>
      <c r="D22" s="28">
        <f>0.96*0.4</f>
        <v>0.38400000000000001</v>
      </c>
      <c r="E22" s="28"/>
      <c r="F22" s="29">
        <f>0.4*1.25</f>
        <v>0.5</v>
      </c>
      <c r="G22" s="33">
        <f t="shared" si="0"/>
        <v>0.442</v>
      </c>
      <c r="H22" s="184"/>
      <c r="I22" s="380"/>
      <c r="J22" s="384"/>
      <c r="K22" s="384"/>
      <c r="L22" s="346"/>
      <c r="M22" s="385"/>
      <c r="N22" s="27" t="s">
        <v>247</v>
      </c>
      <c r="O22" s="387"/>
      <c r="P22" s="44"/>
    </row>
    <row r="23" spans="1:16" ht="37.5">
      <c r="A23" s="11"/>
      <c r="B23" s="76" t="s">
        <v>33</v>
      </c>
      <c r="C23" s="28"/>
      <c r="D23" s="28">
        <f>1.02*0.4</f>
        <v>0.40800000000000003</v>
      </c>
      <c r="E23" s="28"/>
      <c r="F23" s="28">
        <f>0.4*1.3</f>
        <v>0.52</v>
      </c>
      <c r="G23" s="33">
        <f t="shared" si="0"/>
        <v>0.46400000000000002</v>
      </c>
      <c r="H23" s="184"/>
      <c r="I23" s="372" t="s">
        <v>17</v>
      </c>
      <c r="J23" s="383">
        <f>4.75*0.4</f>
        <v>1.9000000000000001</v>
      </c>
      <c r="K23" s="383" t="s">
        <v>15</v>
      </c>
      <c r="L23" s="344"/>
      <c r="M23" s="383">
        <f>6.25*0.4</f>
        <v>2.5</v>
      </c>
      <c r="N23" s="88" t="s">
        <v>246</v>
      </c>
      <c r="O23" s="386">
        <v>63</v>
      </c>
      <c r="P23" s="44"/>
    </row>
    <row r="24" spans="1:16" ht="37.5">
      <c r="A24" s="11"/>
      <c r="B24" s="76" t="s">
        <v>35</v>
      </c>
      <c r="C24" s="29"/>
      <c r="D24" s="28">
        <f>0.94*0.4</f>
        <v>0.376</v>
      </c>
      <c r="E24" s="28"/>
      <c r="F24" s="28">
        <f>0.4*1.27</f>
        <v>0.50800000000000001</v>
      </c>
      <c r="G24" s="33">
        <f t="shared" si="0"/>
        <v>0.442</v>
      </c>
      <c r="H24" s="184"/>
      <c r="I24" s="380"/>
      <c r="J24" s="384"/>
      <c r="K24" s="384"/>
      <c r="L24" s="346"/>
      <c r="M24" s="385"/>
      <c r="N24" s="27" t="s">
        <v>247</v>
      </c>
      <c r="O24" s="387"/>
      <c r="P24" s="44"/>
    </row>
    <row r="25" spans="1:16" ht="37.5">
      <c r="A25" s="11"/>
      <c r="B25" s="76" t="s">
        <v>36</v>
      </c>
      <c r="C25" s="27"/>
      <c r="D25" s="28">
        <f>0.91*0.4</f>
        <v>0.36400000000000005</v>
      </c>
      <c r="E25" s="28"/>
      <c r="F25" s="28">
        <f>0.4*1.13</f>
        <v>0.45199999999999996</v>
      </c>
      <c r="G25" s="33">
        <f t="shared" si="0"/>
        <v>0.40800000000000003</v>
      </c>
      <c r="H25" s="184"/>
      <c r="I25" s="372" t="s">
        <v>18</v>
      </c>
      <c r="J25" s="383">
        <f>4.7*0.4</f>
        <v>1.8800000000000001</v>
      </c>
      <c r="K25" s="383" t="s">
        <v>15</v>
      </c>
      <c r="L25" s="344"/>
      <c r="M25" s="383"/>
      <c r="N25" s="88"/>
      <c r="O25" s="386"/>
      <c r="P25" s="44"/>
    </row>
    <row r="26" spans="1:16" ht="37.5">
      <c r="A26" s="11"/>
      <c r="B26" s="76" t="s">
        <v>38</v>
      </c>
      <c r="C26" s="27"/>
      <c r="D26" s="28">
        <f>0.89*0.4</f>
        <v>0.35600000000000004</v>
      </c>
      <c r="E26" s="28"/>
      <c r="F26" s="29">
        <f>0.4*0.92</f>
        <v>0.36800000000000005</v>
      </c>
      <c r="G26" s="33">
        <f t="shared" si="0"/>
        <v>0.36200000000000004</v>
      </c>
      <c r="H26" s="184"/>
      <c r="I26" s="380"/>
      <c r="J26" s="384"/>
      <c r="K26" s="384"/>
      <c r="L26" s="346"/>
      <c r="M26" s="385"/>
      <c r="N26" s="27"/>
      <c r="O26" s="387"/>
      <c r="P26" s="44"/>
    </row>
    <row r="27" spans="1:16" ht="38.25" thickBot="1">
      <c r="A27" s="11"/>
      <c r="B27" s="79" t="s">
        <v>39</v>
      </c>
      <c r="C27" s="80"/>
      <c r="D27" s="30">
        <f>0.83*0.4</f>
        <v>0.33200000000000002</v>
      </c>
      <c r="E27" s="30"/>
      <c r="F27" s="29">
        <f>0.4*0.88</f>
        <v>0.35200000000000004</v>
      </c>
      <c r="G27" s="33">
        <f t="shared" si="0"/>
        <v>0.34200000000000003</v>
      </c>
      <c r="H27" s="184"/>
      <c r="I27" s="372" t="s">
        <v>20</v>
      </c>
      <c r="J27" s="383">
        <f>4.37*0.4</f>
        <v>1.7480000000000002</v>
      </c>
      <c r="K27" s="383" t="s">
        <v>15</v>
      </c>
      <c r="L27" s="344"/>
      <c r="M27" s="383">
        <f>3.89*0.4</f>
        <v>1.556</v>
      </c>
      <c r="N27" s="88" t="s">
        <v>246</v>
      </c>
      <c r="O27" s="386">
        <v>24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46"/>
      <c r="M28" s="385"/>
      <c r="N28" s="27" t="s">
        <v>247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3.97*0.4</f>
        <v>1.5880000000000001</v>
      </c>
      <c r="K29" s="383" t="s">
        <v>15</v>
      </c>
      <c r="L29" s="81"/>
      <c r="M29" s="381">
        <f>5.82*0.4</f>
        <v>2.3280000000000003</v>
      </c>
      <c r="N29" s="88" t="s">
        <v>246</v>
      </c>
      <c r="O29" s="386">
        <v>94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247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0.32</v>
      </c>
      <c r="E31" s="28"/>
      <c r="F31" s="234">
        <v>0.37</v>
      </c>
      <c r="G31" s="33">
        <f t="shared" ref="G31:G46" si="1">AVERAGE(D31:F31)</f>
        <v>0.34499999999999997</v>
      </c>
      <c r="H31" s="184"/>
      <c r="I31" s="372" t="s">
        <v>8</v>
      </c>
      <c r="J31" s="376">
        <v>1.84</v>
      </c>
      <c r="K31" s="344"/>
      <c r="L31" s="86"/>
      <c r="M31" s="376">
        <v>1.97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0.49</v>
      </c>
      <c r="E32" s="28"/>
      <c r="F32" s="29">
        <v>0.64</v>
      </c>
      <c r="G32" s="33">
        <f t="shared" si="1"/>
        <v>0.56499999999999995</v>
      </c>
      <c r="H32" s="184"/>
      <c r="I32" s="380"/>
      <c r="J32" s="388"/>
      <c r="K32" s="34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0.22</v>
      </c>
      <c r="E33" s="29"/>
      <c r="F33" s="29">
        <v>0.27</v>
      </c>
      <c r="G33" s="33">
        <f t="shared" si="1"/>
        <v>0.245</v>
      </c>
      <c r="H33" s="184"/>
      <c r="I33" s="372" t="s">
        <v>26</v>
      </c>
      <c r="J33" s="381">
        <f>0.4*3.61</f>
        <v>1.444</v>
      </c>
      <c r="K33" s="383" t="s">
        <v>15</v>
      </c>
      <c r="L33" s="381"/>
      <c r="M33" s="381">
        <f>0.4*7.21</f>
        <v>2.8840000000000003</v>
      </c>
      <c r="N33" s="88" t="s">
        <v>250</v>
      </c>
      <c r="O33" s="386">
        <v>63</v>
      </c>
      <c r="P33" s="44"/>
    </row>
    <row r="34" spans="1:16" ht="37.5">
      <c r="A34" s="11"/>
      <c r="B34" s="76" t="s">
        <v>24</v>
      </c>
      <c r="C34" s="29"/>
      <c r="D34" s="29">
        <v>0.36</v>
      </c>
      <c r="E34" s="28"/>
      <c r="F34" s="29">
        <v>0.16</v>
      </c>
      <c r="G34" s="33">
        <f t="shared" si="1"/>
        <v>0.26</v>
      </c>
      <c r="H34" s="184"/>
      <c r="I34" s="380"/>
      <c r="J34" s="382"/>
      <c r="K34" s="384"/>
      <c r="L34" s="382"/>
      <c r="M34" s="382"/>
      <c r="N34" s="27" t="s">
        <v>239</v>
      </c>
      <c r="O34" s="387"/>
      <c r="P34" s="44"/>
    </row>
    <row r="35" spans="1:16" ht="37.5">
      <c r="A35" s="11"/>
      <c r="B35" s="76" t="s">
        <v>25</v>
      </c>
      <c r="C35" s="29"/>
      <c r="D35" s="29">
        <v>0.12</v>
      </c>
      <c r="E35" s="28"/>
      <c r="F35" s="29">
        <v>0.05</v>
      </c>
      <c r="G35" s="33">
        <f t="shared" si="1"/>
        <v>8.4999999999999992E-2</v>
      </c>
      <c r="H35" s="184"/>
      <c r="I35" s="372" t="s">
        <v>28</v>
      </c>
      <c r="J35" s="381">
        <f>0.4*6.89</f>
        <v>2.7560000000000002</v>
      </c>
      <c r="K35" s="383" t="s">
        <v>15</v>
      </c>
      <c r="L35" s="381"/>
      <c r="M35" s="383">
        <f>0.4*4.98</f>
        <v>1.9920000000000002</v>
      </c>
      <c r="N35" s="88" t="s">
        <v>249</v>
      </c>
      <c r="O35" s="386">
        <v>71</v>
      </c>
      <c r="P35" s="44"/>
    </row>
    <row r="36" spans="1:16" ht="37.5">
      <c r="A36" s="11"/>
      <c r="B36" s="76" t="s">
        <v>27</v>
      </c>
      <c r="C36" s="29"/>
      <c r="D36" s="29">
        <v>0.03</v>
      </c>
      <c r="E36" s="29"/>
      <c r="F36" s="29">
        <v>0.02</v>
      </c>
      <c r="G36" s="33">
        <f t="shared" si="1"/>
        <v>2.5000000000000001E-2</v>
      </c>
      <c r="H36" s="184"/>
      <c r="I36" s="380"/>
      <c r="J36" s="382"/>
      <c r="K36" s="384"/>
      <c r="L36" s="382"/>
      <c r="M36" s="385"/>
      <c r="N36" s="27" t="s">
        <v>248</v>
      </c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0.02</v>
      </c>
      <c r="G37" s="33">
        <f t="shared" si="1"/>
        <v>0.01</v>
      </c>
      <c r="H37" s="184"/>
      <c r="I37" s="372" t="s">
        <v>31</v>
      </c>
      <c r="J37" s="381">
        <f>0.4*5.28</f>
        <v>2.1120000000000001</v>
      </c>
      <c r="K37" s="383" t="s">
        <v>15</v>
      </c>
      <c r="L37" s="381"/>
      <c r="M37" s="383">
        <f>0.4*13.54</f>
        <v>5.4160000000000004</v>
      </c>
      <c r="N37" s="88" t="s">
        <v>249</v>
      </c>
      <c r="O37" s="386">
        <v>71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</v>
      </c>
      <c r="G38" s="33">
        <f t="shared" si="1"/>
        <v>0</v>
      </c>
      <c r="H38" s="184"/>
      <c r="I38" s="380"/>
      <c r="J38" s="382"/>
      <c r="K38" s="384"/>
      <c r="L38" s="382"/>
      <c r="M38" s="385"/>
      <c r="N38" s="27" t="s">
        <v>248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0.4*5.24</f>
        <v>2.0960000000000001</v>
      </c>
      <c r="K39" s="383" t="s">
        <v>15</v>
      </c>
      <c r="L39" s="381"/>
      <c r="M39" s="383">
        <f>0.4*4.33</f>
        <v>1.7320000000000002</v>
      </c>
      <c r="N39" s="88" t="s">
        <v>251</v>
      </c>
      <c r="O39" s="386">
        <v>65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252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0.4*7.12</f>
        <v>2.8480000000000003</v>
      </c>
      <c r="K41" s="383" t="s">
        <v>15</v>
      </c>
      <c r="L41" s="381"/>
      <c r="M41" s="383">
        <f>0.4*2.81</f>
        <v>1.1240000000000001</v>
      </c>
      <c r="N41" s="88" t="s">
        <v>251</v>
      </c>
      <c r="O41" s="386">
        <v>60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252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0.4*2.17</f>
        <v>0.86799999999999999</v>
      </c>
      <c r="K43" s="383" t="s">
        <v>15</v>
      </c>
      <c r="L43" s="381"/>
      <c r="M43" s="383">
        <f>0.4*1.81</f>
        <v>0.72400000000000009</v>
      </c>
      <c r="N43" s="88" t="s">
        <v>251</v>
      </c>
      <c r="O43" s="386">
        <v>97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252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0.4*3.07</f>
        <v>1.228</v>
      </c>
      <c r="K45" s="383" t="s">
        <v>15</v>
      </c>
      <c r="L45" s="381"/>
      <c r="M45" s="383">
        <f>0.4*3.84</f>
        <v>1.536</v>
      </c>
      <c r="N45" s="88" t="s">
        <v>251</v>
      </c>
      <c r="O45" s="386">
        <v>84</v>
      </c>
      <c r="P45" s="44"/>
    </row>
    <row r="46" spans="1:16" ht="57.75" customHeight="1" thickBot="1">
      <c r="A46" s="14"/>
      <c r="B46" s="319" t="s">
        <v>58</v>
      </c>
      <c r="C46" s="237"/>
      <c r="D46" s="238">
        <v>0.03</v>
      </c>
      <c r="E46" s="239"/>
      <c r="F46" s="238">
        <v>0.05</v>
      </c>
      <c r="G46" s="240">
        <f t="shared" si="1"/>
        <v>0.04</v>
      </c>
      <c r="H46" s="184"/>
      <c r="I46" s="380"/>
      <c r="J46" s="382"/>
      <c r="K46" s="384"/>
      <c r="L46" s="382"/>
      <c r="M46" s="385"/>
      <c r="N46" s="27" t="s">
        <v>252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0.4*2.65</f>
        <v>1.06</v>
      </c>
      <c r="K47" s="383" t="s">
        <v>15</v>
      </c>
      <c r="L47" s="381"/>
      <c r="M47" s="383">
        <f>0.4*3.74</f>
        <v>1.4960000000000002</v>
      </c>
      <c r="N47" s="88" t="s">
        <v>252</v>
      </c>
      <c r="O47" s="386">
        <v>85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253</v>
      </c>
      <c r="O48" s="387"/>
      <c r="P48" s="44"/>
    </row>
    <row r="49" spans="1:16" ht="38.25" thickBot="1">
      <c r="A49" s="14"/>
      <c r="B49" s="95" t="s">
        <v>233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0.4*3.68</f>
        <v>1.4720000000000002</v>
      </c>
      <c r="K49" s="383" t="s">
        <v>15</v>
      </c>
      <c r="L49" s="344"/>
      <c r="M49" s="383">
        <f>0.4*5.5</f>
        <v>2.2000000000000002</v>
      </c>
      <c r="N49" s="88" t="s">
        <v>252</v>
      </c>
      <c r="O49" s="386">
        <v>89</v>
      </c>
      <c r="P49" s="44"/>
    </row>
    <row r="50" spans="1:16" ht="37.5">
      <c r="A50" s="14"/>
      <c r="B50" s="76" t="s">
        <v>22</v>
      </c>
      <c r="C50" s="97"/>
      <c r="D50" s="98">
        <v>933</v>
      </c>
      <c r="E50" s="98">
        <v>12</v>
      </c>
      <c r="F50" s="98">
        <f>(D50*E50)*0.26</f>
        <v>2910.96</v>
      </c>
      <c r="G50" s="221"/>
      <c r="H50" s="222"/>
      <c r="I50" s="380"/>
      <c r="J50" s="382"/>
      <c r="K50" s="384"/>
      <c r="L50" s="346"/>
      <c r="M50" s="385"/>
      <c r="N50" s="27" t="s">
        <v>253</v>
      </c>
      <c r="O50" s="387"/>
      <c r="P50" s="44"/>
    </row>
    <row r="51" spans="1:16" ht="37.5">
      <c r="A51" s="14"/>
      <c r="B51" s="76" t="s">
        <v>24</v>
      </c>
      <c r="C51" s="97"/>
      <c r="D51" s="98">
        <v>711</v>
      </c>
      <c r="E51" s="98">
        <v>10</v>
      </c>
      <c r="F51" s="98">
        <f>(D51*E51)*0.26</f>
        <v>1848.6000000000001</v>
      </c>
      <c r="G51" s="99"/>
      <c r="H51" s="186"/>
      <c r="I51" s="372" t="s">
        <v>47</v>
      </c>
      <c r="J51" s="381">
        <f>0.4*3.78</f>
        <v>1.512</v>
      </c>
      <c r="K51" s="383" t="s">
        <v>15</v>
      </c>
      <c r="L51" s="344"/>
      <c r="M51" s="383">
        <f>0.4*4.23</f>
        <v>1.6920000000000002</v>
      </c>
      <c r="N51" s="88" t="s">
        <v>252</v>
      </c>
      <c r="O51" s="386">
        <v>82</v>
      </c>
      <c r="P51" s="44"/>
    </row>
    <row r="52" spans="1:16" ht="37.5">
      <c r="A52" s="14"/>
      <c r="B52" s="76" t="s">
        <v>25</v>
      </c>
      <c r="C52" s="97"/>
      <c r="D52" s="98">
        <v>300</v>
      </c>
      <c r="E52" s="98">
        <v>9</v>
      </c>
      <c r="F52" s="98">
        <f>(D52*E52)*0.26</f>
        <v>702</v>
      </c>
      <c r="G52" s="99"/>
      <c r="H52" s="186"/>
      <c r="I52" s="380"/>
      <c r="J52" s="382"/>
      <c r="K52" s="384"/>
      <c r="L52" s="346"/>
      <c r="M52" s="385"/>
      <c r="N52" s="27" t="s">
        <v>253</v>
      </c>
      <c r="O52" s="387"/>
      <c r="P52" s="44"/>
    </row>
    <row r="53" spans="1:16" ht="37.5">
      <c r="A53" s="14"/>
      <c r="B53" s="76" t="s">
        <v>27</v>
      </c>
      <c r="C53" s="97"/>
      <c r="D53" s="98">
        <v>219</v>
      </c>
      <c r="E53" s="98">
        <v>15</v>
      </c>
      <c r="F53" s="98">
        <f>(D53*E53)*0.26</f>
        <v>854.1</v>
      </c>
      <c r="G53" s="99"/>
      <c r="H53" s="186"/>
      <c r="I53" s="372" t="s">
        <v>50</v>
      </c>
      <c r="J53" s="381">
        <f>0.4*3.15</f>
        <v>1.26</v>
      </c>
      <c r="K53" s="383" t="s">
        <v>15</v>
      </c>
      <c r="L53" s="344"/>
      <c r="M53" s="383">
        <f>0.4*4.42</f>
        <v>1.768</v>
      </c>
      <c r="N53" s="88" t="s">
        <v>252</v>
      </c>
      <c r="O53" s="386">
        <v>85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2"/>
      <c r="K54" s="384"/>
      <c r="L54" s="346"/>
      <c r="M54" s="385"/>
      <c r="N54" s="27" t="s">
        <v>253</v>
      </c>
      <c r="O54" s="387"/>
      <c r="P54" s="44"/>
    </row>
    <row r="55" spans="1:16" ht="37.5">
      <c r="A55" s="15"/>
      <c r="B55" s="76" t="s">
        <v>48</v>
      </c>
      <c r="C55" s="100"/>
      <c r="D55" s="98">
        <v>151</v>
      </c>
      <c r="E55" s="98">
        <v>8</v>
      </c>
      <c r="F55" s="98">
        <f>(D55*E55)*0.13</f>
        <v>157.04</v>
      </c>
      <c r="G55" s="99"/>
      <c r="H55" s="186"/>
      <c r="I55" s="372" t="s">
        <v>53</v>
      </c>
      <c r="J55" s="381">
        <f>0.4*3.46</f>
        <v>1.3840000000000001</v>
      </c>
      <c r="K55" s="383" t="s">
        <v>15</v>
      </c>
      <c r="L55" s="344"/>
      <c r="M55" s="383">
        <f>0.4*4.05</f>
        <v>1.62</v>
      </c>
      <c r="N55" s="88" t="s">
        <v>252</v>
      </c>
      <c r="O55" s="386">
        <v>77</v>
      </c>
      <c r="P55" s="44"/>
    </row>
    <row r="56" spans="1:16" ht="37.5">
      <c r="A56" s="15"/>
      <c r="B56" s="76" t="s">
        <v>49</v>
      </c>
      <c r="C56" s="100"/>
      <c r="D56" s="98">
        <v>96</v>
      </c>
      <c r="E56" s="98">
        <v>10</v>
      </c>
      <c r="F56" s="98">
        <f t="shared" ref="F56:F61" si="2">(D56*E56)*0.13</f>
        <v>124.80000000000001</v>
      </c>
      <c r="G56" s="99"/>
      <c r="H56" s="186"/>
      <c r="I56" s="380"/>
      <c r="J56" s="382"/>
      <c r="K56" s="384"/>
      <c r="L56" s="346"/>
      <c r="M56" s="385"/>
      <c r="N56" s="27" t="s">
        <v>253</v>
      </c>
      <c r="O56" s="387"/>
      <c r="P56" s="44"/>
    </row>
    <row r="57" spans="1:16" ht="37.5">
      <c r="A57" s="15"/>
      <c r="B57" s="76" t="s">
        <v>51</v>
      </c>
      <c r="C57" s="100"/>
      <c r="D57" s="98">
        <v>86</v>
      </c>
      <c r="E57" s="98">
        <v>9</v>
      </c>
      <c r="F57" s="98">
        <f t="shared" si="2"/>
        <v>100.62</v>
      </c>
      <c r="G57" s="99"/>
      <c r="H57" s="186"/>
      <c r="I57" s="372" t="s">
        <v>8</v>
      </c>
      <c r="J57" s="374">
        <v>1.67</v>
      </c>
      <c r="K57" s="376"/>
      <c r="L57" s="101"/>
      <c r="M57" s="376">
        <v>2.02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81</v>
      </c>
      <c r="E58" s="98">
        <v>19</v>
      </c>
      <c r="F58" s="98">
        <f t="shared" si="2"/>
        <v>200.07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66</v>
      </c>
      <c r="E59" s="98">
        <v>15</v>
      </c>
      <c r="F59" s="98">
        <f t="shared" si="2"/>
        <v>128.70000000000002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43</v>
      </c>
      <c r="E60" s="98">
        <v>8</v>
      </c>
      <c r="F60" s="98">
        <f t="shared" si="2"/>
        <v>44.72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33</v>
      </c>
      <c r="E61" s="98">
        <v>7</v>
      </c>
      <c r="F61" s="98">
        <f t="shared" si="2"/>
        <v>30.03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7101.64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48" t="s">
        <v>13</v>
      </c>
      <c r="J64" s="29">
        <v>1.1599999999999999</v>
      </c>
      <c r="K64" s="29">
        <v>0.84</v>
      </c>
      <c r="L64" s="119">
        <f>AVERAGE(J64:K64)</f>
        <v>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48" t="s">
        <v>16</v>
      </c>
      <c r="J65" s="29">
        <v>1.29</v>
      </c>
      <c r="K65" s="245">
        <v>0.8</v>
      </c>
      <c r="L65" s="208">
        <f>AVERAGE(J65:K65)</f>
        <v>1.0449999999999999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233</v>
      </c>
      <c r="C68" s="120" t="s">
        <v>84</v>
      </c>
      <c r="D68" s="120" t="s">
        <v>244</v>
      </c>
      <c r="E68" s="116">
        <v>864</v>
      </c>
      <c r="F68" s="29"/>
      <c r="G68" s="118"/>
      <c r="H68" s="190"/>
      <c r="I68" s="348" t="s">
        <v>67</v>
      </c>
      <c r="J68" s="348"/>
      <c r="K68" s="348"/>
      <c r="L68" s="126"/>
      <c r="M68" s="347"/>
      <c r="N68" s="127"/>
      <c r="O68" s="128"/>
      <c r="P68" s="44"/>
    </row>
    <row r="69" spans="1:16" ht="37.5">
      <c r="A69" s="15"/>
      <c r="B69" s="95" t="s">
        <v>233</v>
      </c>
      <c r="C69" s="120" t="s">
        <v>84</v>
      </c>
      <c r="D69" s="120" t="s">
        <v>245</v>
      </c>
      <c r="E69" s="116">
        <v>1018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233</v>
      </c>
      <c r="C70" s="120" t="s">
        <v>83</v>
      </c>
      <c r="D70" s="120" t="s">
        <v>231</v>
      </c>
      <c r="E70" s="116">
        <v>29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233</v>
      </c>
      <c r="C71" s="120" t="s">
        <v>83</v>
      </c>
      <c r="D71" s="120" t="s">
        <v>237</v>
      </c>
      <c r="E71" s="116">
        <v>18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233</v>
      </c>
      <c r="C72" s="120" t="s">
        <v>83</v>
      </c>
      <c r="D72" s="120" t="s">
        <v>241</v>
      </c>
      <c r="E72" s="116">
        <v>26</v>
      </c>
      <c r="F72" s="130"/>
      <c r="G72" s="244"/>
      <c r="H72" s="192"/>
      <c r="I72" s="152" t="s">
        <v>88</v>
      </c>
      <c r="J72" s="29">
        <v>63.75</v>
      </c>
      <c r="K72" s="29"/>
      <c r="L72" s="119">
        <f>AVERAGE(J72:K72)</f>
        <v>63.75</v>
      </c>
      <c r="M72" s="133"/>
      <c r="N72" s="32"/>
      <c r="O72" s="33"/>
      <c r="P72" s="44"/>
    </row>
    <row r="73" spans="1:16" ht="39">
      <c r="A73" s="16"/>
      <c r="B73" s="95" t="s">
        <v>233</v>
      </c>
      <c r="C73" s="120" t="s">
        <v>83</v>
      </c>
      <c r="D73" s="120" t="s">
        <v>244</v>
      </c>
      <c r="E73" s="116">
        <v>18</v>
      </c>
      <c r="F73" s="131"/>
      <c r="G73" s="132"/>
      <c r="H73" s="193"/>
      <c r="I73" s="152" t="s">
        <v>89</v>
      </c>
      <c r="J73" s="29">
        <v>75.8</v>
      </c>
      <c r="K73" s="29"/>
      <c r="L73" s="119">
        <f>AVERAGE(J73:K73)</f>
        <v>75.8</v>
      </c>
      <c r="M73" s="135" t="s">
        <v>4</v>
      </c>
      <c r="N73" s="115" t="s">
        <v>4</v>
      </c>
      <c r="O73" s="33"/>
      <c r="P73" s="44"/>
    </row>
    <row r="74" spans="1:16" ht="39">
      <c r="A74" s="16"/>
      <c r="B74" s="111"/>
      <c r="C74" s="120"/>
      <c r="D74" s="120"/>
      <c r="E74" s="353"/>
      <c r="F74" s="134"/>
      <c r="G74" s="132" t="s">
        <v>4</v>
      </c>
      <c r="H74" s="194"/>
      <c r="I74" s="126" t="s">
        <v>71</v>
      </c>
      <c r="J74" s="27">
        <v>61</v>
      </c>
      <c r="K74" s="29">
        <v>60.35</v>
      </c>
      <c r="L74" s="119">
        <f>AVERAGE(J74:K74)</f>
        <v>60.674999999999997</v>
      </c>
      <c r="M74" s="115"/>
      <c r="N74" s="88"/>
      <c r="O74" s="33"/>
      <c r="P74" s="44"/>
    </row>
    <row r="75" spans="1:16" ht="39.75" thickBot="1">
      <c r="A75" s="16"/>
      <c r="B75" s="111" t="s">
        <v>70</v>
      </c>
      <c r="C75" s="120"/>
      <c r="D75" s="120"/>
      <c r="E75" s="352" t="s">
        <v>99</v>
      </c>
      <c r="F75" s="131"/>
      <c r="G75" s="139"/>
      <c r="H75" s="195"/>
      <c r="I75" s="178" t="s">
        <v>72</v>
      </c>
      <c r="J75" s="91">
        <v>64.2</v>
      </c>
      <c r="K75" s="27">
        <v>63.75</v>
      </c>
      <c r="L75" s="119">
        <f>AVERAGE(J75:K75)</f>
        <v>63.975000000000001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233</v>
      </c>
      <c r="C77" s="120" t="s">
        <v>83</v>
      </c>
      <c r="D77" s="120" t="s">
        <v>231</v>
      </c>
      <c r="E77" s="136">
        <v>0.92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 t="s">
        <v>233</v>
      </c>
      <c r="C78" s="120" t="s">
        <v>83</v>
      </c>
      <c r="D78" s="120" t="s">
        <v>237</v>
      </c>
      <c r="E78" s="136">
        <v>0.86399999999999999</v>
      </c>
      <c r="F78" s="140"/>
      <c r="G78" s="141"/>
      <c r="H78" s="196"/>
      <c r="I78" s="347"/>
      <c r="J78" s="236" t="s">
        <v>66</v>
      </c>
      <c r="K78" s="236" t="s">
        <v>66</v>
      </c>
      <c r="L78" s="236" t="s">
        <v>66</v>
      </c>
      <c r="M78" s="113"/>
      <c r="N78" s="347"/>
      <c r="O78" s="147"/>
      <c r="P78" s="44"/>
    </row>
    <row r="79" spans="1:16" ht="39">
      <c r="A79" s="170"/>
      <c r="B79" s="95" t="s">
        <v>233</v>
      </c>
      <c r="C79" s="120" t="s">
        <v>83</v>
      </c>
      <c r="D79" s="120" t="s">
        <v>241</v>
      </c>
      <c r="E79" s="136">
        <v>0.88900000000000001</v>
      </c>
      <c r="F79" s="134"/>
      <c r="G79" s="141"/>
      <c r="H79" s="197"/>
      <c r="I79" s="181" t="s">
        <v>78</v>
      </c>
      <c r="J79" s="27">
        <f>2.93*0.4</f>
        <v>1.1720000000000002</v>
      </c>
      <c r="K79" s="27">
        <f>0.4*2.78</f>
        <v>1.1119999999999999</v>
      </c>
      <c r="L79" s="119">
        <f>AVERAGE(J79:K79)</f>
        <v>1.1419999999999999</v>
      </c>
      <c r="M79" s="242"/>
      <c r="N79" s="51"/>
      <c r="O79" s="151"/>
      <c r="P79" s="44"/>
    </row>
    <row r="80" spans="1:16" ht="39.75" thickBot="1">
      <c r="A80" s="170"/>
      <c r="B80" s="95" t="s">
        <v>233</v>
      </c>
      <c r="C80" s="120" t="s">
        <v>83</v>
      </c>
      <c r="D80" s="120" t="s">
        <v>244</v>
      </c>
      <c r="E80" s="136">
        <v>0.63800000000000001</v>
      </c>
      <c r="F80" s="134"/>
      <c r="G80" s="141"/>
      <c r="H80" s="197"/>
      <c r="I80" s="182" t="s">
        <v>79</v>
      </c>
      <c r="J80" s="34">
        <f>5.19*0.4</f>
        <v>2.0760000000000001</v>
      </c>
      <c r="K80" s="91">
        <f>0.4*3.05</f>
        <v>1.22</v>
      </c>
      <c r="L80" s="119">
        <f>AVERAGE(J80:K80)</f>
        <v>1.6480000000000001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233</v>
      </c>
      <c r="C84" s="120" t="s">
        <v>83</v>
      </c>
      <c r="D84" s="120" t="s">
        <v>231</v>
      </c>
      <c r="E84" s="27">
        <v>1.95</v>
      </c>
      <c r="F84" s="131"/>
      <c r="G84" s="139"/>
      <c r="H84" s="197"/>
      <c r="I84" s="77" t="s">
        <v>93</v>
      </c>
      <c r="J84" s="32">
        <v>0.14000000000000001</v>
      </c>
      <c r="K84" s="32">
        <v>0.16</v>
      </c>
      <c r="L84" s="119">
        <f>AVERAGE(J84:K84)</f>
        <v>0.15000000000000002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233</v>
      </c>
      <c r="C85" s="120" t="s">
        <v>83</v>
      </c>
      <c r="D85" s="120" t="s">
        <v>237</v>
      </c>
      <c r="E85" s="169">
        <v>4.9800000000000004</v>
      </c>
      <c r="F85" s="131"/>
      <c r="G85" s="139"/>
      <c r="H85" s="197"/>
      <c r="I85" s="77" t="s">
        <v>92</v>
      </c>
      <c r="J85" s="211">
        <v>0</v>
      </c>
      <c r="K85" s="211">
        <v>0.02</v>
      </c>
      <c r="L85" s="119">
        <f>AVERAGE(J85:K85)</f>
        <v>0.01</v>
      </c>
      <c r="M85" s="51"/>
      <c r="N85" s="51"/>
      <c r="O85" s="151"/>
      <c r="P85" s="44"/>
      <c r="Q85" s="173"/>
      <c r="R85" s="173"/>
      <c r="S85" s="173"/>
      <c r="T85" s="173"/>
    </row>
    <row r="86" spans="1:20" ht="39">
      <c r="A86" s="170"/>
      <c r="B86" s="111" t="s">
        <v>233</v>
      </c>
      <c r="C86" s="120" t="s">
        <v>83</v>
      </c>
      <c r="D86" s="100" t="s">
        <v>241</v>
      </c>
      <c r="E86" s="27">
        <v>2.4500000000000002</v>
      </c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127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.75" thickBot="1">
      <c r="A89" s="170"/>
      <c r="B89" s="111" t="s">
        <v>82</v>
      </c>
      <c r="C89" s="120"/>
      <c r="D89" s="219" t="s">
        <v>99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T130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243</v>
      </c>
      <c r="D3" s="38"/>
      <c r="E3" s="39" t="s">
        <v>9</v>
      </c>
      <c r="F3" s="39"/>
      <c r="G3" s="39"/>
      <c r="H3" s="40"/>
      <c r="I3" s="41" t="s">
        <v>2</v>
      </c>
      <c r="J3" s="42" t="s">
        <v>254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243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255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1.06</v>
      </c>
      <c r="E7" s="21"/>
      <c r="F7" s="21">
        <v>1.54</v>
      </c>
      <c r="G7" s="102">
        <f>AVERAGE(D7:F7)</f>
        <v>1.3</v>
      </c>
      <c r="H7" s="184"/>
      <c r="I7" s="372" t="s">
        <v>98</v>
      </c>
      <c r="J7" s="383">
        <f>0.4*3.31</f>
        <v>1.3240000000000001</v>
      </c>
      <c r="K7" s="383" t="s">
        <v>15</v>
      </c>
      <c r="L7" s="344"/>
      <c r="M7" s="383">
        <f>0.4*2.12</f>
        <v>0.84800000000000009</v>
      </c>
      <c r="N7" s="88" t="s">
        <v>252</v>
      </c>
      <c r="O7" s="386">
        <v>90</v>
      </c>
      <c r="P7" s="44"/>
    </row>
    <row r="8" spans="1:17" ht="38.25" thickBot="1">
      <c r="A8" s="12"/>
      <c r="B8" s="68" t="s">
        <v>16</v>
      </c>
      <c r="C8" s="69"/>
      <c r="D8" s="34">
        <v>1.21</v>
      </c>
      <c r="E8" s="23"/>
      <c r="F8" s="23">
        <v>1.1100000000000001</v>
      </c>
      <c r="G8" s="124">
        <f>AVERAGE(D8:F8)</f>
        <v>1.1600000000000001</v>
      </c>
      <c r="H8" s="184"/>
      <c r="I8" s="380"/>
      <c r="J8" s="384"/>
      <c r="K8" s="384"/>
      <c r="L8" s="346"/>
      <c r="M8" s="385"/>
      <c r="N8" s="27" t="s">
        <v>253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0.4*2.95</f>
        <v>1.1800000000000002</v>
      </c>
      <c r="K9" s="383" t="s">
        <v>15</v>
      </c>
      <c r="L9" s="383"/>
      <c r="M9" s="383">
        <f>0.4*2.56</f>
        <v>1.024</v>
      </c>
      <c r="N9" s="88" t="s">
        <v>252</v>
      </c>
      <c r="O9" s="386">
        <v>34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253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0.4*3.95</f>
        <v>1.58</v>
      </c>
      <c r="K11" s="383" t="s">
        <v>15</v>
      </c>
      <c r="L11" s="344"/>
      <c r="M11" s="383">
        <f>0.4*2.65</f>
        <v>1.06</v>
      </c>
      <c r="N11" s="88" t="s">
        <v>252</v>
      </c>
      <c r="O11" s="386">
        <v>52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6"/>
      <c r="M12" s="385"/>
      <c r="N12" s="27" t="s">
        <v>253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0.4*3.13</f>
        <v>1.252</v>
      </c>
      <c r="K13" s="383" t="s">
        <v>15</v>
      </c>
      <c r="L13" s="344"/>
      <c r="M13" s="383">
        <f>0.4*2.47</f>
        <v>0.9880000000000001</v>
      </c>
      <c r="N13" s="88" t="s">
        <v>252</v>
      </c>
      <c r="O13" s="386">
        <v>60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0.4*2.47</f>
        <v>0.9880000000000001</v>
      </c>
      <c r="E14" s="28"/>
      <c r="F14" s="28">
        <f>0.4*2.4</f>
        <v>0.96</v>
      </c>
      <c r="G14" s="33">
        <f t="shared" ref="G14:G27" si="0">AVERAGE(D14:F14)</f>
        <v>0.97399999999999998</v>
      </c>
      <c r="H14" s="184"/>
      <c r="I14" s="380"/>
      <c r="J14" s="384"/>
      <c r="K14" s="384"/>
      <c r="L14" s="346"/>
      <c r="M14" s="385"/>
      <c r="N14" s="27" t="s">
        <v>253</v>
      </c>
      <c r="O14" s="387"/>
      <c r="P14" s="44"/>
    </row>
    <row r="15" spans="1:17" ht="37.5">
      <c r="A15" s="11"/>
      <c r="B15" s="76" t="s">
        <v>97</v>
      </c>
      <c r="C15" s="29"/>
      <c r="D15" s="29">
        <f>0.4*2.15</f>
        <v>0.86</v>
      </c>
      <c r="E15" s="28"/>
      <c r="F15" s="29">
        <f>0.4*3.05</f>
        <v>1.22</v>
      </c>
      <c r="G15" s="33">
        <f t="shared" si="0"/>
        <v>1.04</v>
      </c>
      <c r="H15" s="184" t="s">
        <v>4</v>
      </c>
      <c r="I15" s="390" t="s">
        <v>61</v>
      </c>
      <c r="J15" s="383">
        <f>0.4*3.4</f>
        <v>1.36</v>
      </c>
      <c r="K15" s="383" t="s">
        <v>15</v>
      </c>
      <c r="L15" s="344"/>
      <c r="M15" s="383">
        <f>0.4*2.61</f>
        <v>1.044</v>
      </c>
      <c r="N15" s="88" t="s">
        <v>252</v>
      </c>
      <c r="O15" s="386">
        <v>70</v>
      </c>
      <c r="P15" s="44"/>
    </row>
    <row r="16" spans="1:17" ht="37.5">
      <c r="A16" s="11"/>
      <c r="B16" s="76" t="s">
        <v>22</v>
      </c>
      <c r="C16" s="28"/>
      <c r="D16" s="28">
        <f>0.4*1.34</f>
        <v>0.53600000000000003</v>
      </c>
      <c r="E16" s="29"/>
      <c r="F16" s="29">
        <f>0.4*1.88</f>
        <v>0.752</v>
      </c>
      <c r="G16" s="33">
        <f t="shared" si="0"/>
        <v>0.64400000000000002</v>
      </c>
      <c r="H16" s="184"/>
      <c r="I16" s="391"/>
      <c r="J16" s="384"/>
      <c r="K16" s="384"/>
      <c r="L16" s="346"/>
      <c r="M16" s="385"/>
      <c r="N16" s="27" t="s">
        <v>253</v>
      </c>
      <c r="O16" s="387"/>
      <c r="P16" s="44"/>
    </row>
    <row r="17" spans="1:16" ht="37.5">
      <c r="A17" s="11"/>
      <c r="B17" s="76" t="s">
        <v>24</v>
      </c>
      <c r="C17" s="28"/>
      <c r="D17" s="28">
        <f>0.4*1</f>
        <v>0.4</v>
      </c>
      <c r="E17" s="28"/>
      <c r="F17" s="29">
        <f>0.4*1.66</f>
        <v>0.66400000000000003</v>
      </c>
      <c r="G17" s="33">
        <f t="shared" si="0"/>
        <v>0.53200000000000003</v>
      </c>
      <c r="H17" s="184"/>
      <c r="I17" s="372" t="s">
        <v>62</v>
      </c>
      <c r="J17" s="383">
        <f>0.4*3.7</f>
        <v>1.4800000000000002</v>
      </c>
      <c r="K17" s="383" t="s">
        <v>15</v>
      </c>
      <c r="L17" s="344"/>
      <c r="M17" s="383">
        <f>0.4*4.83</f>
        <v>1.9320000000000002</v>
      </c>
      <c r="N17" s="88" t="s">
        <v>252</v>
      </c>
      <c r="O17" s="386">
        <v>61</v>
      </c>
      <c r="P17" s="44"/>
    </row>
    <row r="18" spans="1:16" ht="37.5">
      <c r="A18" s="11"/>
      <c r="B18" s="76" t="s">
        <v>25</v>
      </c>
      <c r="C18" s="29"/>
      <c r="D18" s="28">
        <f>0.4*1.02</f>
        <v>0.40800000000000003</v>
      </c>
      <c r="E18" s="28"/>
      <c r="F18" s="29">
        <f>0.4*1.49</f>
        <v>0.59599999999999997</v>
      </c>
      <c r="G18" s="33">
        <f t="shared" si="0"/>
        <v>0.502</v>
      </c>
      <c r="H18" s="184"/>
      <c r="I18" s="380"/>
      <c r="J18" s="384"/>
      <c r="K18" s="384"/>
      <c r="L18" s="346"/>
      <c r="M18" s="385"/>
      <c r="N18" s="27" t="s">
        <v>253</v>
      </c>
      <c r="O18" s="387"/>
      <c r="P18" s="44"/>
    </row>
    <row r="19" spans="1:16" ht="37.5">
      <c r="A19" s="11"/>
      <c r="B19" s="76" t="s">
        <v>27</v>
      </c>
      <c r="C19" s="29"/>
      <c r="D19" s="28">
        <f>0.4*0.97</f>
        <v>0.38800000000000001</v>
      </c>
      <c r="E19" s="29"/>
      <c r="F19" s="29">
        <f>0.4*1.38</f>
        <v>0.55199999999999994</v>
      </c>
      <c r="G19" s="33">
        <f t="shared" si="0"/>
        <v>0.47</v>
      </c>
      <c r="H19" s="184"/>
      <c r="I19" s="372" t="s">
        <v>63</v>
      </c>
      <c r="J19" s="383">
        <f>0.4*3.61</f>
        <v>1.444</v>
      </c>
      <c r="K19" s="383" t="s">
        <v>15</v>
      </c>
      <c r="L19" s="344"/>
      <c r="M19" s="383">
        <f>0.4*2.59</f>
        <v>1.036</v>
      </c>
      <c r="N19" s="88" t="s">
        <v>252</v>
      </c>
      <c r="O19" s="386">
        <v>51</v>
      </c>
      <c r="P19" s="44"/>
    </row>
    <row r="20" spans="1:16" ht="37.5">
      <c r="A20" s="11"/>
      <c r="B20" s="76" t="s">
        <v>29</v>
      </c>
      <c r="C20" s="28"/>
      <c r="D20" s="28">
        <f>0.4*0.91</f>
        <v>0.36400000000000005</v>
      </c>
      <c r="E20" s="29"/>
      <c r="F20" s="29">
        <f>0.4*1.25</f>
        <v>0.5</v>
      </c>
      <c r="G20" s="33">
        <f t="shared" si="0"/>
        <v>0.43200000000000005</v>
      </c>
      <c r="H20" s="184"/>
      <c r="I20" s="380"/>
      <c r="J20" s="384"/>
      <c r="K20" s="384"/>
      <c r="L20" s="346"/>
      <c r="M20" s="385"/>
      <c r="N20" s="27" t="s">
        <v>253</v>
      </c>
      <c r="O20" s="387"/>
      <c r="P20" s="44"/>
    </row>
    <row r="21" spans="1:16" ht="37.5">
      <c r="A21" s="11"/>
      <c r="B21" s="76" t="s">
        <v>30</v>
      </c>
      <c r="C21" s="28"/>
      <c r="D21" s="28">
        <f>0.4*0.86</f>
        <v>0.34400000000000003</v>
      </c>
      <c r="E21" s="28"/>
      <c r="F21" s="29">
        <f>0.4*1.16</f>
        <v>0.46399999999999997</v>
      </c>
      <c r="G21" s="33">
        <f t="shared" si="0"/>
        <v>0.40400000000000003</v>
      </c>
      <c r="H21" s="184"/>
      <c r="I21" s="372" t="s">
        <v>14</v>
      </c>
      <c r="J21" s="383">
        <f>0.4*3.18</f>
        <v>1.2720000000000002</v>
      </c>
      <c r="K21" s="383" t="s">
        <v>15</v>
      </c>
      <c r="L21" s="344"/>
      <c r="M21" s="383">
        <f>0.4*1.58</f>
        <v>0.63200000000000012</v>
      </c>
      <c r="N21" s="88" t="s">
        <v>251</v>
      </c>
      <c r="O21" s="386">
        <v>30</v>
      </c>
      <c r="P21" s="44"/>
    </row>
    <row r="22" spans="1:16" ht="37.5">
      <c r="A22" s="11"/>
      <c r="B22" s="76" t="s">
        <v>32</v>
      </c>
      <c r="C22" s="78"/>
      <c r="D22" s="28">
        <f>0.4*0.89</f>
        <v>0.35600000000000004</v>
      </c>
      <c r="E22" s="28"/>
      <c r="F22" s="29">
        <f>0.4*1.1</f>
        <v>0.44000000000000006</v>
      </c>
      <c r="G22" s="33">
        <f t="shared" si="0"/>
        <v>0.39800000000000002</v>
      </c>
      <c r="H22" s="184"/>
      <c r="I22" s="380"/>
      <c r="J22" s="384"/>
      <c r="K22" s="384"/>
      <c r="L22" s="346"/>
      <c r="M22" s="385"/>
      <c r="N22" s="27" t="s">
        <v>252</v>
      </c>
      <c r="O22" s="387"/>
      <c r="P22" s="44"/>
    </row>
    <row r="23" spans="1:16" ht="37.5">
      <c r="A23" s="11"/>
      <c r="B23" s="76" t="s">
        <v>33</v>
      </c>
      <c r="C23" s="28"/>
      <c r="D23" s="28">
        <f>0.4*0.87</f>
        <v>0.34800000000000003</v>
      </c>
      <c r="E23" s="28"/>
      <c r="F23" s="28">
        <f>0.4*1.03</f>
        <v>0.41200000000000003</v>
      </c>
      <c r="G23" s="33">
        <f t="shared" si="0"/>
        <v>0.38</v>
      </c>
      <c r="H23" s="184"/>
      <c r="I23" s="372" t="s">
        <v>17</v>
      </c>
      <c r="J23" s="383">
        <f>0.4*2.44</f>
        <v>0.97599999999999998</v>
      </c>
      <c r="K23" s="383" t="s">
        <v>15</v>
      </c>
      <c r="L23" s="344"/>
      <c r="M23" s="383" t="s">
        <v>85</v>
      </c>
      <c r="N23" s="88"/>
      <c r="O23" s="386" t="s">
        <v>85</v>
      </c>
      <c r="P23" s="44"/>
    </row>
    <row r="24" spans="1:16" ht="37.5">
      <c r="A24" s="11"/>
      <c r="B24" s="76" t="s">
        <v>35</v>
      </c>
      <c r="C24" s="29"/>
      <c r="D24" s="28">
        <f>0.4*0.83</f>
        <v>0.33200000000000002</v>
      </c>
      <c r="E24" s="28"/>
      <c r="F24" s="28">
        <f>0.4*0.98</f>
        <v>0.39200000000000002</v>
      </c>
      <c r="G24" s="33">
        <f t="shared" si="0"/>
        <v>0.36199999999999999</v>
      </c>
      <c r="H24" s="184"/>
      <c r="I24" s="380"/>
      <c r="J24" s="384"/>
      <c r="K24" s="384"/>
      <c r="L24" s="346"/>
      <c r="M24" s="385"/>
      <c r="N24" s="27" t="s">
        <v>85</v>
      </c>
      <c r="O24" s="387"/>
      <c r="P24" s="44"/>
    </row>
    <row r="25" spans="1:16" ht="37.5">
      <c r="A25" s="11"/>
      <c r="B25" s="76" t="s">
        <v>36</v>
      </c>
      <c r="C25" s="27"/>
      <c r="D25" s="28">
        <f>0.4*0.78</f>
        <v>0.31200000000000006</v>
      </c>
      <c r="E25" s="28"/>
      <c r="F25" s="28">
        <f>0.4*0.93</f>
        <v>0.37200000000000005</v>
      </c>
      <c r="G25" s="33">
        <f t="shared" si="0"/>
        <v>0.34200000000000008</v>
      </c>
      <c r="H25" s="184"/>
      <c r="I25" s="372" t="s">
        <v>18</v>
      </c>
      <c r="J25" s="383">
        <f>0.4*2.28</f>
        <v>0.91199999999999992</v>
      </c>
      <c r="K25" s="383" t="s">
        <v>15</v>
      </c>
      <c r="L25" s="344"/>
      <c r="M25" s="383" t="s">
        <v>85</v>
      </c>
      <c r="N25" s="88" t="s">
        <v>85</v>
      </c>
      <c r="O25" s="386" t="s">
        <v>85</v>
      </c>
      <c r="P25" s="44"/>
    </row>
    <row r="26" spans="1:16" ht="37.5">
      <c r="A26" s="11"/>
      <c r="B26" s="76" t="s">
        <v>38</v>
      </c>
      <c r="C26" s="27"/>
      <c r="D26" s="28">
        <f>0.4*0.75</f>
        <v>0.30000000000000004</v>
      </c>
      <c r="E26" s="28"/>
      <c r="F26" s="29">
        <f>0.4*0.89</f>
        <v>0.35600000000000004</v>
      </c>
      <c r="G26" s="33">
        <f t="shared" si="0"/>
        <v>0.32800000000000007</v>
      </c>
      <c r="H26" s="184"/>
      <c r="I26" s="380"/>
      <c r="J26" s="384"/>
      <c r="K26" s="384"/>
      <c r="L26" s="346"/>
      <c r="M26" s="385"/>
      <c r="N26" s="27"/>
      <c r="O26" s="387"/>
      <c r="P26" s="44"/>
    </row>
    <row r="27" spans="1:16" ht="38.25" thickBot="1">
      <c r="A27" s="11"/>
      <c r="B27" s="79" t="s">
        <v>39</v>
      </c>
      <c r="C27" s="80"/>
      <c r="D27" s="30">
        <f>0.4*0.71</f>
        <v>0.28399999999999997</v>
      </c>
      <c r="E27" s="30"/>
      <c r="F27" s="29">
        <f>0.4*0.86</f>
        <v>0.34400000000000003</v>
      </c>
      <c r="G27" s="33">
        <f t="shared" si="0"/>
        <v>0.314</v>
      </c>
      <c r="H27" s="184"/>
      <c r="I27" s="372" t="s">
        <v>20</v>
      </c>
      <c r="J27" s="383">
        <f>0.4*2.11</f>
        <v>0.84399999999999997</v>
      </c>
      <c r="K27" s="383" t="s">
        <v>15</v>
      </c>
      <c r="L27" s="344"/>
      <c r="M27" s="383">
        <f>0.4*2.09</f>
        <v>0.83599999999999997</v>
      </c>
      <c r="N27" s="88" t="s">
        <v>251</v>
      </c>
      <c r="O27" s="386">
        <v>53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46"/>
      <c r="M28" s="385"/>
      <c r="N28" s="27" t="s">
        <v>252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0.4*2.13</f>
        <v>0.85199999999999998</v>
      </c>
      <c r="K29" s="383" t="s">
        <v>15</v>
      </c>
      <c r="L29" s="81"/>
      <c r="M29" s="381">
        <f>0.4*2.98</f>
        <v>1.1919999999999999</v>
      </c>
      <c r="N29" s="88" t="s">
        <v>251</v>
      </c>
      <c r="O29" s="386">
        <v>82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252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0.21</v>
      </c>
      <c r="E31" s="28"/>
      <c r="F31" s="234">
        <v>0.37</v>
      </c>
      <c r="G31" s="33">
        <f t="shared" ref="G31:G46" si="1">AVERAGE(D31:F31)</f>
        <v>0.28999999999999998</v>
      </c>
      <c r="H31" s="184"/>
      <c r="I31" s="372" t="s">
        <v>8</v>
      </c>
      <c r="J31" s="376">
        <v>1.21</v>
      </c>
      <c r="K31" s="344"/>
      <c r="L31" s="86"/>
      <c r="M31" s="376">
        <v>1.06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0.42</v>
      </c>
      <c r="E32" s="28"/>
      <c r="F32" s="29">
        <v>0.52</v>
      </c>
      <c r="G32" s="33">
        <f t="shared" si="1"/>
        <v>0.47</v>
      </c>
      <c r="H32" s="184"/>
      <c r="I32" s="380"/>
      <c r="J32" s="388"/>
      <c r="K32" s="34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0.17</v>
      </c>
      <c r="E33" s="29"/>
      <c r="F33" s="29">
        <v>0.28999999999999998</v>
      </c>
      <c r="G33" s="33">
        <f t="shared" si="1"/>
        <v>0.22999999999999998</v>
      </c>
      <c r="H33" s="184"/>
      <c r="I33" s="372" t="s">
        <v>26</v>
      </c>
      <c r="J33" s="381">
        <f>2.76*0.4</f>
        <v>1.1039999999999999</v>
      </c>
      <c r="K33" s="383" t="s">
        <v>15</v>
      </c>
      <c r="L33" s="381"/>
      <c r="M33" s="381">
        <f>4.01*0.4</f>
        <v>1.6040000000000001</v>
      </c>
      <c r="N33" s="88" t="s">
        <v>251</v>
      </c>
      <c r="O33" s="386">
        <v>72</v>
      </c>
      <c r="P33" s="44"/>
    </row>
    <row r="34" spans="1:16" ht="37.5">
      <c r="A34" s="11"/>
      <c r="B34" s="76" t="s">
        <v>24</v>
      </c>
      <c r="C34" s="29"/>
      <c r="D34" s="29">
        <v>0.11</v>
      </c>
      <c r="E34" s="28"/>
      <c r="F34" s="29">
        <v>0.24</v>
      </c>
      <c r="G34" s="33">
        <f t="shared" si="1"/>
        <v>0.17499999999999999</v>
      </c>
      <c r="H34" s="184"/>
      <c r="I34" s="380"/>
      <c r="J34" s="382"/>
      <c r="K34" s="384"/>
      <c r="L34" s="382"/>
      <c r="M34" s="382"/>
      <c r="N34" s="27" t="s">
        <v>252</v>
      </c>
      <c r="O34" s="387"/>
      <c r="P34" s="44"/>
    </row>
    <row r="35" spans="1:16" ht="37.5">
      <c r="A35" s="11"/>
      <c r="B35" s="76" t="s">
        <v>25</v>
      </c>
      <c r="C35" s="29"/>
      <c r="D35" s="29">
        <v>0.05</v>
      </c>
      <c r="E35" s="28"/>
      <c r="F35" s="29">
        <v>0.22</v>
      </c>
      <c r="G35" s="33">
        <f t="shared" si="1"/>
        <v>0.13500000000000001</v>
      </c>
      <c r="H35" s="184"/>
      <c r="I35" s="372" t="s">
        <v>28</v>
      </c>
      <c r="J35" s="381" t="s">
        <v>85</v>
      </c>
      <c r="K35" s="383" t="s">
        <v>85</v>
      </c>
      <c r="L35" s="381"/>
      <c r="M35" s="383">
        <f>3.05*0.4</f>
        <v>1.22</v>
      </c>
      <c r="N35" s="88" t="s">
        <v>258</v>
      </c>
      <c r="O35" s="386">
        <v>88</v>
      </c>
      <c r="P35" s="44"/>
    </row>
    <row r="36" spans="1:16" ht="37.5">
      <c r="A36" s="11"/>
      <c r="B36" s="76" t="s">
        <v>27</v>
      </c>
      <c r="C36" s="29"/>
      <c r="D36" s="29">
        <v>0.03</v>
      </c>
      <c r="E36" s="29"/>
      <c r="F36" s="29">
        <v>0.17</v>
      </c>
      <c r="G36" s="33">
        <f t="shared" si="1"/>
        <v>0.1</v>
      </c>
      <c r="H36" s="184"/>
      <c r="I36" s="380"/>
      <c r="J36" s="382"/>
      <c r="K36" s="384"/>
      <c r="L36" s="382"/>
      <c r="M36" s="385"/>
      <c r="N36" s="27" t="s">
        <v>259</v>
      </c>
      <c r="O36" s="387"/>
      <c r="P36" s="44"/>
    </row>
    <row r="37" spans="1:16" ht="37.5">
      <c r="A37" s="11"/>
      <c r="B37" s="76" t="s">
        <v>46</v>
      </c>
      <c r="C37" s="29"/>
      <c r="D37" s="29">
        <v>0.02</v>
      </c>
      <c r="E37" s="29"/>
      <c r="F37" s="29">
        <v>0.09</v>
      </c>
      <c r="G37" s="33">
        <f t="shared" si="1"/>
        <v>5.5E-2</v>
      </c>
      <c r="H37" s="184"/>
      <c r="I37" s="372" t="s">
        <v>31</v>
      </c>
      <c r="J37" s="381" t="s">
        <v>85</v>
      </c>
      <c r="K37" s="383" t="s">
        <v>85</v>
      </c>
      <c r="L37" s="381"/>
      <c r="M37" s="383">
        <f>4.15*0.4</f>
        <v>1.6600000000000001</v>
      </c>
      <c r="N37" s="88" t="s">
        <v>258</v>
      </c>
      <c r="O37" s="386">
        <v>106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7.0000000000000007E-2</v>
      </c>
      <c r="G38" s="33">
        <f t="shared" si="1"/>
        <v>3.5000000000000003E-2</v>
      </c>
      <c r="H38" s="184"/>
      <c r="I38" s="380"/>
      <c r="J38" s="382"/>
      <c r="K38" s="384"/>
      <c r="L38" s="382"/>
      <c r="M38" s="385"/>
      <c r="N38" s="27" t="s">
        <v>259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0.04</v>
      </c>
      <c r="G39" s="33">
        <f t="shared" si="1"/>
        <v>0.02</v>
      </c>
      <c r="H39" s="184"/>
      <c r="I39" s="372" t="s">
        <v>34</v>
      </c>
      <c r="J39" s="381">
        <f>3.38*0.4</f>
        <v>1.3520000000000001</v>
      </c>
      <c r="K39" s="383" t="s">
        <v>15</v>
      </c>
      <c r="L39" s="381"/>
      <c r="M39" s="383">
        <f>1.34*0.4</f>
        <v>0.53600000000000003</v>
      </c>
      <c r="N39" s="88" t="s">
        <v>258</v>
      </c>
      <c r="O39" s="386">
        <v>62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0.01</v>
      </c>
      <c r="G40" s="33">
        <f t="shared" si="1"/>
        <v>5.0000000000000001E-3</v>
      </c>
      <c r="H40" s="184"/>
      <c r="I40" s="380"/>
      <c r="J40" s="382"/>
      <c r="K40" s="384"/>
      <c r="L40" s="382"/>
      <c r="M40" s="385"/>
      <c r="N40" s="27" t="s">
        <v>259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2.72*0.4</f>
        <v>1.0880000000000001</v>
      </c>
      <c r="K41" s="383" t="s">
        <v>15</v>
      </c>
      <c r="L41" s="381"/>
      <c r="M41" s="383">
        <f>3.53*0.4</f>
        <v>1.4119999999999999</v>
      </c>
      <c r="N41" s="88" t="s">
        <v>258</v>
      </c>
      <c r="O41" s="386">
        <v>84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259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1.96*0.4</f>
        <v>0.78400000000000003</v>
      </c>
      <c r="K43" s="383" t="s">
        <v>15</v>
      </c>
      <c r="L43" s="381"/>
      <c r="M43" s="383">
        <f>4.08*0.4</f>
        <v>1.6320000000000001</v>
      </c>
      <c r="N43" s="88" t="s">
        <v>258</v>
      </c>
      <c r="O43" s="386">
        <v>89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259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2.67*0.4</f>
        <v>1.0680000000000001</v>
      </c>
      <c r="K45" s="383" t="s">
        <v>15</v>
      </c>
      <c r="L45" s="381"/>
      <c r="M45" s="383">
        <f>4.73*0.4</f>
        <v>1.8920000000000003</v>
      </c>
      <c r="N45" s="88" t="s">
        <v>258</v>
      </c>
      <c r="O45" s="386">
        <v>73</v>
      </c>
      <c r="P45" s="44"/>
    </row>
    <row r="46" spans="1:16" ht="57.75" customHeight="1" thickBot="1">
      <c r="A46" s="14"/>
      <c r="B46" s="319" t="s">
        <v>58</v>
      </c>
      <c r="C46" s="237"/>
      <c r="D46" s="238">
        <v>0.04</v>
      </c>
      <c r="E46" s="239"/>
      <c r="F46" s="238">
        <v>0.04</v>
      </c>
      <c r="G46" s="240">
        <f t="shared" si="1"/>
        <v>0.04</v>
      </c>
      <c r="H46" s="184"/>
      <c r="I46" s="380"/>
      <c r="J46" s="382"/>
      <c r="K46" s="384"/>
      <c r="L46" s="382"/>
      <c r="M46" s="385"/>
      <c r="N46" s="27" t="s">
        <v>259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2.78*0.4</f>
        <v>1.1119999999999999</v>
      </c>
      <c r="K47" s="383" t="s">
        <v>15</v>
      </c>
      <c r="L47" s="381"/>
      <c r="M47" s="383">
        <f>4.47*0.4</f>
        <v>1.788</v>
      </c>
      <c r="N47" s="88" t="s">
        <v>258</v>
      </c>
      <c r="O47" s="386">
        <v>99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259</v>
      </c>
      <c r="O48" s="387"/>
      <c r="P48" s="44"/>
    </row>
    <row r="49" spans="1:16" ht="38.25" thickBot="1">
      <c r="A49" s="14"/>
      <c r="B49" s="95" t="s">
        <v>243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2.36*0.4</f>
        <v>0.94399999999999995</v>
      </c>
      <c r="K49" s="383" t="s">
        <v>15</v>
      </c>
      <c r="L49" s="344"/>
      <c r="M49" s="383">
        <f>3.35*0.4</f>
        <v>1.34</v>
      </c>
      <c r="N49" s="88" t="s">
        <v>258</v>
      </c>
      <c r="O49" s="386">
        <v>104</v>
      </c>
      <c r="P49" s="44"/>
    </row>
    <row r="50" spans="1:16" ht="37.5">
      <c r="A50" s="14"/>
      <c r="B50" s="76" t="s">
        <v>22</v>
      </c>
      <c r="C50" s="97"/>
      <c r="D50" s="98">
        <v>1335</v>
      </c>
      <c r="E50" s="98">
        <v>9</v>
      </c>
      <c r="F50" s="98">
        <f>(D50*E50)*0.26</f>
        <v>3123.9</v>
      </c>
      <c r="G50" s="221"/>
      <c r="H50" s="222"/>
      <c r="I50" s="380"/>
      <c r="J50" s="382"/>
      <c r="K50" s="384"/>
      <c r="L50" s="346"/>
      <c r="M50" s="385"/>
      <c r="N50" s="27" t="s">
        <v>259</v>
      </c>
      <c r="O50" s="387"/>
      <c r="P50" s="44"/>
    </row>
    <row r="51" spans="1:16" ht="37.5">
      <c r="A51" s="14"/>
      <c r="B51" s="76" t="s">
        <v>24</v>
      </c>
      <c r="C51" s="97"/>
      <c r="D51" s="98">
        <v>744</v>
      </c>
      <c r="E51" s="98">
        <v>10</v>
      </c>
      <c r="F51" s="98">
        <f>(D51*E51)*0.26</f>
        <v>1934.4</v>
      </c>
      <c r="G51" s="99"/>
      <c r="H51" s="186"/>
      <c r="I51" s="372" t="s">
        <v>47</v>
      </c>
      <c r="J51" s="381">
        <f>2.73*0.4</f>
        <v>1.0920000000000001</v>
      </c>
      <c r="K51" s="383" t="s">
        <v>15</v>
      </c>
      <c r="L51" s="344"/>
      <c r="M51" s="383">
        <f>3.56*0.4</f>
        <v>1.4240000000000002</v>
      </c>
      <c r="N51" s="88" t="s">
        <v>258</v>
      </c>
      <c r="O51" s="386">
        <v>68</v>
      </c>
      <c r="P51" s="44"/>
    </row>
    <row r="52" spans="1:16" ht="37.5">
      <c r="A52" s="14"/>
      <c r="B52" s="76" t="s">
        <v>25</v>
      </c>
      <c r="C52" s="97"/>
      <c r="D52" s="98">
        <v>308</v>
      </c>
      <c r="E52" s="98">
        <v>7</v>
      </c>
      <c r="F52" s="98">
        <f>(D52*E52)*0.26</f>
        <v>560.56000000000006</v>
      </c>
      <c r="G52" s="99"/>
      <c r="H52" s="186"/>
      <c r="I52" s="380"/>
      <c r="J52" s="382"/>
      <c r="K52" s="384"/>
      <c r="L52" s="346"/>
      <c r="M52" s="385"/>
      <c r="N52" s="27" t="s">
        <v>259</v>
      </c>
      <c r="O52" s="387"/>
      <c r="P52" s="44"/>
    </row>
    <row r="53" spans="1:16" ht="37.5">
      <c r="A53" s="14"/>
      <c r="B53" s="76" t="s">
        <v>27</v>
      </c>
      <c r="C53" s="97"/>
      <c r="D53" s="98">
        <v>180</v>
      </c>
      <c r="E53" s="98">
        <v>14</v>
      </c>
      <c r="F53" s="98">
        <f>(D53*E53)*0.26</f>
        <v>655.20000000000005</v>
      </c>
      <c r="G53" s="99"/>
      <c r="H53" s="186"/>
      <c r="I53" s="372" t="s">
        <v>50</v>
      </c>
      <c r="J53" s="381">
        <f>2.91*0.4</f>
        <v>1.1640000000000001</v>
      </c>
      <c r="K53" s="383" t="s">
        <v>15</v>
      </c>
      <c r="L53" s="344"/>
      <c r="M53" s="383">
        <f>6.51*0.4</f>
        <v>2.6040000000000001</v>
      </c>
      <c r="N53" s="88" t="s">
        <v>258</v>
      </c>
      <c r="O53" s="386">
        <v>87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2"/>
      <c r="K54" s="384"/>
      <c r="L54" s="346"/>
      <c r="M54" s="385"/>
      <c r="N54" s="27" t="s">
        <v>259</v>
      </c>
      <c r="O54" s="387"/>
      <c r="P54" s="44"/>
    </row>
    <row r="55" spans="1:16" ht="37.5">
      <c r="A55" s="15"/>
      <c r="B55" s="76" t="s">
        <v>48</v>
      </c>
      <c r="C55" s="100"/>
      <c r="D55" s="98">
        <v>116</v>
      </c>
      <c r="E55" s="98">
        <v>17</v>
      </c>
      <c r="F55" s="98">
        <f>(D55*E55)*0.13</f>
        <v>256.36</v>
      </c>
      <c r="G55" s="99"/>
      <c r="H55" s="186"/>
      <c r="I55" s="372" t="s">
        <v>53</v>
      </c>
      <c r="J55" s="381">
        <f>3.45*0.4</f>
        <v>1.3800000000000001</v>
      </c>
      <c r="K55" s="383" t="s">
        <v>15</v>
      </c>
      <c r="L55" s="344"/>
      <c r="M55" s="383">
        <f>3.28*0.4</f>
        <v>1.3120000000000001</v>
      </c>
      <c r="N55" s="88" t="s">
        <v>258</v>
      </c>
      <c r="O55" s="386">
        <v>69</v>
      </c>
      <c r="P55" s="44"/>
    </row>
    <row r="56" spans="1:16" ht="37.5">
      <c r="A56" s="15"/>
      <c r="B56" s="76" t="s">
        <v>49</v>
      </c>
      <c r="C56" s="100"/>
      <c r="D56" s="98">
        <v>80</v>
      </c>
      <c r="E56" s="98">
        <v>14</v>
      </c>
      <c r="F56" s="98">
        <f t="shared" ref="F56:F61" si="2">(D56*E56)*0.13</f>
        <v>145.6</v>
      </c>
      <c r="G56" s="99"/>
      <c r="H56" s="186"/>
      <c r="I56" s="380"/>
      <c r="J56" s="382"/>
      <c r="K56" s="384"/>
      <c r="L56" s="346"/>
      <c r="M56" s="385"/>
      <c r="N56" s="27" t="s">
        <v>259</v>
      </c>
      <c r="O56" s="387"/>
      <c r="P56" s="44"/>
    </row>
    <row r="57" spans="1:16" ht="37.5">
      <c r="A57" s="15"/>
      <c r="B57" s="76" t="s">
        <v>51</v>
      </c>
      <c r="C57" s="100"/>
      <c r="D57" s="98">
        <v>62</v>
      </c>
      <c r="E57" s="98">
        <v>9</v>
      </c>
      <c r="F57" s="98">
        <f t="shared" si="2"/>
        <v>72.540000000000006</v>
      </c>
      <c r="G57" s="99"/>
      <c r="H57" s="186"/>
      <c r="I57" s="372" t="s">
        <v>8</v>
      </c>
      <c r="J57" s="374">
        <v>1.1100000000000001</v>
      </c>
      <c r="K57" s="376"/>
      <c r="L57" s="101"/>
      <c r="M57" s="376">
        <v>1.54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57</v>
      </c>
      <c r="E58" s="98">
        <v>18</v>
      </c>
      <c r="F58" s="98">
        <f t="shared" si="2"/>
        <v>133.38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36</v>
      </c>
      <c r="E59" s="98">
        <v>10</v>
      </c>
      <c r="F59" s="98">
        <f t="shared" si="2"/>
        <v>46.800000000000004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21</v>
      </c>
      <c r="E60" s="98">
        <v>7</v>
      </c>
      <c r="F60" s="98">
        <f t="shared" si="2"/>
        <v>19.11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31</v>
      </c>
      <c r="E61" s="98">
        <v>15</v>
      </c>
      <c r="F61" s="98">
        <f t="shared" si="2"/>
        <v>60.45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7008.3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48" t="s">
        <v>13</v>
      </c>
      <c r="J64" s="29">
        <v>0.89</v>
      </c>
      <c r="K64" s="29">
        <v>0.8</v>
      </c>
      <c r="L64" s="119">
        <f>AVERAGE(J64:K64)</f>
        <v>0.84499999999999997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48" t="s">
        <v>16</v>
      </c>
      <c r="J65" s="29">
        <v>0.85</v>
      </c>
      <c r="K65" s="245">
        <v>0.82</v>
      </c>
      <c r="L65" s="208">
        <f>AVERAGE(J65:K65)</f>
        <v>0.83499999999999996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243</v>
      </c>
      <c r="C68" s="120" t="s">
        <v>84</v>
      </c>
      <c r="D68" s="120" t="s">
        <v>256</v>
      </c>
      <c r="E68" s="116">
        <v>1210</v>
      </c>
      <c r="F68" s="29"/>
      <c r="G68" s="118"/>
      <c r="H68" s="190"/>
      <c r="I68" s="348" t="s">
        <v>67</v>
      </c>
      <c r="J68" s="348"/>
      <c r="K68" s="348"/>
      <c r="L68" s="126"/>
      <c r="M68" s="347"/>
      <c r="N68" s="127"/>
      <c r="O68" s="128"/>
      <c r="P68" s="44"/>
    </row>
    <row r="69" spans="1:16" ht="37.5">
      <c r="A69" s="15"/>
      <c r="B69" s="95" t="s">
        <v>255</v>
      </c>
      <c r="C69" s="120" t="s">
        <v>84</v>
      </c>
      <c r="D69" s="120" t="s">
        <v>257</v>
      </c>
      <c r="E69" s="116">
        <v>1196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255</v>
      </c>
      <c r="C70" s="120" t="s">
        <v>83</v>
      </c>
      <c r="D70" s="120" t="s">
        <v>245</v>
      </c>
      <c r="E70" s="116">
        <v>27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73.430000000000007</v>
      </c>
      <c r="K72" s="29"/>
      <c r="L72" s="119">
        <f>AVERAGE(J72:K72)</f>
        <v>73.430000000000007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89.7</v>
      </c>
      <c r="K73" s="29"/>
      <c r="L73" s="119">
        <f>AVERAGE(J73:K73)</f>
        <v>89.7</v>
      </c>
      <c r="M73" s="135" t="s">
        <v>4</v>
      </c>
      <c r="N73" s="115" t="s">
        <v>4</v>
      </c>
      <c r="O73" s="33"/>
      <c r="P73" s="44"/>
    </row>
    <row r="74" spans="1:16" ht="39">
      <c r="A74" s="16"/>
      <c r="B74" s="111"/>
      <c r="C74" s="120"/>
      <c r="D74" s="120"/>
      <c r="E74" s="353"/>
      <c r="F74" s="134"/>
      <c r="G74" s="132" t="s">
        <v>4</v>
      </c>
      <c r="H74" s="194"/>
      <c r="I74" s="126" t="s">
        <v>71</v>
      </c>
      <c r="J74" s="27">
        <v>68.2</v>
      </c>
      <c r="K74" s="29">
        <v>65.3</v>
      </c>
      <c r="L74" s="119">
        <f>AVERAGE(J74:K74)</f>
        <v>66.75</v>
      </c>
      <c r="M74" s="115"/>
      <c r="N74" s="88"/>
      <c r="O74" s="33"/>
      <c r="P74" s="44"/>
    </row>
    <row r="75" spans="1:16" ht="39.75" thickBot="1">
      <c r="A75" s="16"/>
      <c r="B75" s="111" t="s">
        <v>70</v>
      </c>
      <c r="C75" s="120"/>
      <c r="D75" s="120"/>
      <c r="E75" s="352" t="s">
        <v>99</v>
      </c>
      <c r="F75" s="131"/>
      <c r="G75" s="139"/>
      <c r="H75" s="195"/>
      <c r="I75" s="178" t="s">
        <v>72</v>
      </c>
      <c r="J75" s="91">
        <v>62.8</v>
      </c>
      <c r="K75" s="27">
        <v>62.85</v>
      </c>
      <c r="L75" s="119">
        <f>AVERAGE(J75:K75)</f>
        <v>62.825000000000003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36"/>
      <c r="F78" s="140"/>
      <c r="G78" s="141"/>
      <c r="H78" s="196"/>
      <c r="I78" s="347"/>
      <c r="J78" s="236" t="s">
        <v>66</v>
      </c>
      <c r="K78" s="236" t="s">
        <v>66</v>
      </c>
      <c r="L78" s="236" t="s">
        <v>66</v>
      </c>
      <c r="M78" s="113"/>
      <c r="N78" s="347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0.4*1.27</f>
        <v>0.50800000000000001</v>
      </c>
      <c r="K79" s="27" t="s">
        <v>85</v>
      </c>
      <c r="L79" s="119">
        <f>AVERAGE(J79:K79)</f>
        <v>0.50800000000000001</v>
      </c>
      <c r="M79" s="242"/>
      <c r="N79" s="51"/>
      <c r="O79" s="151"/>
      <c r="P79" s="44"/>
    </row>
    <row r="80" spans="1:16" ht="39.75" thickBot="1">
      <c r="A80" s="170"/>
      <c r="B80" s="95"/>
      <c r="C80" s="120"/>
      <c r="D80" s="120"/>
      <c r="E80" s="136"/>
      <c r="F80" s="134"/>
      <c r="G80" s="141"/>
      <c r="H80" s="197"/>
      <c r="I80" s="182" t="s">
        <v>79</v>
      </c>
      <c r="J80" s="34">
        <f>0.4*0.91</f>
        <v>0.36400000000000005</v>
      </c>
      <c r="K80" s="91" t="s">
        <v>85</v>
      </c>
      <c r="L80" s="119">
        <f>AVERAGE(J80:K80)</f>
        <v>0.36400000000000005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243</v>
      </c>
      <c r="C84" s="120" t="s">
        <v>83</v>
      </c>
      <c r="D84" s="120" t="s">
        <v>244</v>
      </c>
      <c r="E84" s="27">
        <v>5.83</v>
      </c>
      <c r="F84" s="131"/>
      <c r="G84" s="139"/>
      <c r="H84" s="197"/>
      <c r="I84" s="77" t="s">
        <v>93</v>
      </c>
      <c r="J84" s="32">
        <v>0.12</v>
      </c>
      <c r="K84" s="32">
        <v>0.157</v>
      </c>
      <c r="L84" s="119">
        <f>AVERAGE(J84:K84)</f>
        <v>0.13850000000000001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243</v>
      </c>
      <c r="C85" s="120" t="s">
        <v>83</v>
      </c>
      <c r="D85" s="120" t="s">
        <v>245</v>
      </c>
      <c r="E85" s="169">
        <v>3.09</v>
      </c>
      <c r="F85" s="131"/>
      <c r="G85" s="139"/>
      <c r="H85" s="197"/>
      <c r="I85" s="77" t="s">
        <v>92</v>
      </c>
      <c r="J85" s="211">
        <v>0.01</v>
      </c>
      <c r="K85" s="211">
        <v>0</v>
      </c>
      <c r="L85" s="119">
        <f>AVERAGE(J85:K85)</f>
        <v>5.0000000000000001E-3</v>
      </c>
      <c r="M85" s="51"/>
      <c r="N85" s="51"/>
      <c r="O85" s="151"/>
      <c r="P85" s="44"/>
      <c r="Q85" s="173"/>
      <c r="R85" s="173"/>
      <c r="S85" s="173"/>
      <c r="T85" s="173"/>
    </row>
    <row r="86" spans="1:20" ht="39">
      <c r="A86" s="170"/>
      <c r="B86" s="95"/>
      <c r="C86" s="120"/>
      <c r="D86" s="120"/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127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.75" thickBot="1">
      <c r="A89" s="170"/>
      <c r="B89" s="111" t="s">
        <v>82</v>
      </c>
      <c r="C89" s="120"/>
      <c r="D89" s="219" t="s">
        <v>99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94"/>
  <sheetViews>
    <sheetView view="pageBreakPreview" topLeftCell="A52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37" t="s">
        <v>81</v>
      </c>
      <c r="C3" s="95" t="s">
        <v>108</v>
      </c>
      <c r="D3" s="38"/>
      <c r="E3" s="39" t="s">
        <v>9</v>
      </c>
      <c r="F3" s="39"/>
      <c r="G3" s="39"/>
      <c r="H3" s="40"/>
      <c r="I3" s="41" t="s">
        <v>2</v>
      </c>
      <c r="J3" s="42" t="s">
        <v>116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108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117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1.07</v>
      </c>
      <c r="E7" s="21"/>
      <c r="F7" s="21">
        <v>0.92</v>
      </c>
      <c r="G7" s="102">
        <f>AVERAGE(D7:F7)</f>
        <v>0.99500000000000011</v>
      </c>
      <c r="H7" s="184"/>
      <c r="I7" s="372" t="s">
        <v>98</v>
      </c>
      <c r="J7" s="383">
        <f>0.4*7.03</f>
        <v>2.8120000000000003</v>
      </c>
      <c r="K7" s="383" t="s">
        <v>15</v>
      </c>
      <c r="L7" s="253"/>
      <c r="M7" s="383">
        <f>0.4*2.6</f>
        <v>1.04</v>
      </c>
      <c r="N7" s="27" t="s">
        <v>118</v>
      </c>
      <c r="O7" s="386">
        <v>52</v>
      </c>
      <c r="P7" s="44"/>
    </row>
    <row r="8" spans="1:17" ht="38.25" thickBot="1">
      <c r="A8" s="12"/>
      <c r="B8" s="68" t="s">
        <v>16</v>
      </c>
      <c r="C8" s="69"/>
      <c r="D8" s="34">
        <v>1.61</v>
      </c>
      <c r="E8" s="23"/>
      <c r="F8" s="23">
        <v>1.05</v>
      </c>
      <c r="G8" s="124">
        <f>AVERAGE(D8:F8)</f>
        <v>1.33</v>
      </c>
      <c r="H8" s="184"/>
      <c r="I8" s="380"/>
      <c r="J8" s="384"/>
      <c r="K8" s="384"/>
      <c r="L8" s="254"/>
      <c r="M8" s="385"/>
      <c r="N8" s="27" t="s">
        <v>109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0.4*3.98</f>
        <v>1.5920000000000001</v>
      </c>
      <c r="K9" s="383" t="s">
        <v>15</v>
      </c>
      <c r="L9" s="383"/>
      <c r="M9" s="383">
        <f>0.4*3.09</f>
        <v>1.236</v>
      </c>
      <c r="N9" s="27" t="s">
        <v>119</v>
      </c>
      <c r="O9" s="386">
        <v>48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120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0.4*3.55</f>
        <v>1.42</v>
      </c>
      <c r="K11" s="383" t="s">
        <v>15</v>
      </c>
      <c r="L11" s="253"/>
      <c r="M11" s="383">
        <f>0.4*2.52</f>
        <v>1.008</v>
      </c>
      <c r="N11" s="27" t="s">
        <v>119</v>
      </c>
      <c r="O11" s="386">
        <v>44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54"/>
      <c r="M12" s="385"/>
      <c r="N12" s="27" t="s">
        <v>120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0.4*2.18</f>
        <v>0.87200000000000011</v>
      </c>
      <c r="K13" s="383" t="s">
        <v>15</v>
      </c>
      <c r="L13" s="253"/>
      <c r="M13" s="383">
        <f>0.4*1.7</f>
        <v>0.68</v>
      </c>
      <c r="N13" s="27" t="s">
        <v>119</v>
      </c>
      <c r="O13" s="386">
        <v>69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0.4*2.54</f>
        <v>1.016</v>
      </c>
      <c r="E14" s="28"/>
      <c r="F14" s="28">
        <f>0.4*2.03</f>
        <v>0.81199999999999994</v>
      </c>
      <c r="G14" s="33">
        <f t="shared" ref="G14:G27" si="0">AVERAGE(D14:F14)</f>
        <v>0.91399999999999992</v>
      </c>
      <c r="H14" s="184"/>
      <c r="I14" s="380"/>
      <c r="J14" s="384"/>
      <c r="K14" s="384"/>
      <c r="L14" s="254"/>
      <c r="M14" s="385"/>
      <c r="N14" s="27" t="s">
        <v>120</v>
      </c>
      <c r="O14" s="387"/>
      <c r="P14" s="44"/>
    </row>
    <row r="15" spans="1:17" ht="37.5">
      <c r="A15" s="11"/>
      <c r="B15" s="76" t="s">
        <v>97</v>
      </c>
      <c r="C15" s="29"/>
      <c r="D15" s="29">
        <f>0.4*2.17</f>
        <v>0.86799999999999999</v>
      </c>
      <c r="E15" s="28"/>
      <c r="F15" s="29">
        <f>0.4*1.8</f>
        <v>0.72000000000000008</v>
      </c>
      <c r="G15" s="33">
        <f t="shared" si="0"/>
        <v>0.79400000000000004</v>
      </c>
      <c r="H15" s="184" t="s">
        <v>4</v>
      </c>
      <c r="I15" s="390" t="s">
        <v>61</v>
      </c>
      <c r="J15" s="383">
        <f>0.4*3.02</f>
        <v>1.2080000000000002</v>
      </c>
      <c r="K15" s="383" t="s">
        <v>15</v>
      </c>
      <c r="L15" s="253"/>
      <c r="M15" s="383">
        <f>0.4*2.77</f>
        <v>1.1080000000000001</v>
      </c>
      <c r="N15" s="27" t="s">
        <v>119</v>
      </c>
      <c r="O15" s="386">
        <v>67</v>
      </c>
      <c r="P15" s="44"/>
    </row>
    <row r="16" spans="1:17" ht="37.5">
      <c r="A16" s="11"/>
      <c r="B16" s="76" t="s">
        <v>22</v>
      </c>
      <c r="C16" s="28"/>
      <c r="D16" s="28">
        <f>0.4*1.62</f>
        <v>0.64800000000000013</v>
      </c>
      <c r="E16" s="29"/>
      <c r="F16" s="29">
        <f>0.4*1.64</f>
        <v>0.65600000000000003</v>
      </c>
      <c r="G16" s="33">
        <f t="shared" si="0"/>
        <v>0.65200000000000014</v>
      </c>
      <c r="H16" s="184"/>
      <c r="I16" s="391"/>
      <c r="J16" s="384"/>
      <c r="K16" s="384"/>
      <c r="L16" s="254"/>
      <c r="M16" s="385"/>
      <c r="N16" s="27" t="s">
        <v>120</v>
      </c>
      <c r="O16" s="387"/>
      <c r="P16" s="44"/>
    </row>
    <row r="17" spans="1:16" ht="37.5">
      <c r="A17" s="11"/>
      <c r="B17" s="76" t="s">
        <v>24</v>
      </c>
      <c r="C17" s="28"/>
      <c r="D17" s="28">
        <f>0.4*1.49</f>
        <v>0.59599999999999997</v>
      </c>
      <c r="E17" s="28"/>
      <c r="F17" s="29">
        <f>0.4*1.34</f>
        <v>0.53600000000000003</v>
      </c>
      <c r="G17" s="33">
        <f t="shared" si="0"/>
        <v>0.56600000000000006</v>
      </c>
      <c r="H17" s="184"/>
      <c r="I17" s="372" t="s">
        <v>62</v>
      </c>
      <c r="J17" s="383">
        <f>0.4*2.32</f>
        <v>0.92799999999999994</v>
      </c>
      <c r="K17" s="383" t="s">
        <v>15</v>
      </c>
      <c r="L17" s="253"/>
      <c r="M17" s="383">
        <f>0.4*1.92</f>
        <v>0.76800000000000002</v>
      </c>
      <c r="N17" s="27" t="s">
        <v>119</v>
      </c>
      <c r="O17" s="386">
        <v>76</v>
      </c>
      <c r="P17" s="44"/>
    </row>
    <row r="18" spans="1:16" ht="37.5">
      <c r="A18" s="11"/>
      <c r="B18" s="76" t="s">
        <v>25</v>
      </c>
      <c r="C18" s="29"/>
      <c r="D18" s="28">
        <f>0.4*1.42</f>
        <v>0.56799999999999995</v>
      </c>
      <c r="E18" s="28"/>
      <c r="F18" s="29">
        <f>0.4*1.3</f>
        <v>0.52</v>
      </c>
      <c r="G18" s="33">
        <f t="shared" si="0"/>
        <v>0.54400000000000004</v>
      </c>
      <c r="H18" s="184"/>
      <c r="I18" s="380"/>
      <c r="J18" s="384"/>
      <c r="K18" s="384"/>
      <c r="L18" s="254"/>
      <c r="M18" s="385"/>
      <c r="N18" s="27" t="s">
        <v>120</v>
      </c>
      <c r="O18" s="387"/>
      <c r="P18" s="44"/>
    </row>
    <row r="19" spans="1:16" ht="37.5">
      <c r="A19" s="11"/>
      <c r="B19" s="76" t="s">
        <v>27</v>
      </c>
      <c r="C19" s="29"/>
      <c r="D19" s="28">
        <f>0.4*1.3</f>
        <v>0.52</v>
      </c>
      <c r="E19" s="29"/>
      <c r="F19" s="29">
        <f>0.4*1.24</f>
        <v>0.496</v>
      </c>
      <c r="G19" s="33">
        <f t="shared" si="0"/>
        <v>0.50800000000000001</v>
      </c>
      <c r="H19" s="184"/>
      <c r="I19" s="372" t="s">
        <v>63</v>
      </c>
      <c r="J19" s="383">
        <f>0.4*10.06</f>
        <v>4.024</v>
      </c>
      <c r="K19" s="383" t="s">
        <v>15</v>
      </c>
      <c r="L19" s="253"/>
      <c r="M19" s="383">
        <f>0.4*1.47</f>
        <v>0.58799999999999997</v>
      </c>
      <c r="N19" s="27" t="s">
        <v>119</v>
      </c>
      <c r="O19" s="386">
        <v>64</v>
      </c>
      <c r="P19" s="44"/>
    </row>
    <row r="20" spans="1:16" ht="37.5">
      <c r="A20" s="11"/>
      <c r="B20" s="76" t="s">
        <v>29</v>
      </c>
      <c r="C20" s="28"/>
      <c r="D20" s="28">
        <f>0.4*1.22</f>
        <v>0.48799999999999999</v>
      </c>
      <c r="E20" s="29"/>
      <c r="F20" s="29">
        <f>0.4*1.05</f>
        <v>0.42000000000000004</v>
      </c>
      <c r="G20" s="33">
        <f t="shared" si="0"/>
        <v>0.45400000000000001</v>
      </c>
      <c r="H20" s="184"/>
      <c r="I20" s="380"/>
      <c r="J20" s="384"/>
      <c r="K20" s="384"/>
      <c r="L20" s="254"/>
      <c r="M20" s="385"/>
      <c r="N20" s="27" t="s">
        <v>121</v>
      </c>
      <c r="O20" s="387"/>
      <c r="P20" s="44"/>
    </row>
    <row r="21" spans="1:16" ht="37.5">
      <c r="A21" s="11"/>
      <c r="B21" s="76" t="s">
        <v>30</v>
      </c>
      <c r="C21" s="28"/>
      <c r="D21" s="28">
        <f>0.4*1.1</f>
        <v>0.44000000000000006</v>
      </c>
      <c r="E21" s="28"/>
      <c r="F21" s="29">
        <f>0.4*0.92</f>
        <v>0.36800000000000005</v>
      </c>
      <c r="G21" s="33">
        <f t="shared" si="0"/>
        <v>0.40400000000000003</v>
      </c>
      <c r="H21" s="184"/>
      <c r="I21" s="372" t="s">
        <v>14</v>
      </c>
      <c r="J21" s="383">
        <f>0.4*3.05</f>
        <v>1.22</v>
      </c>
      <c r="K21" s="383" t="s">
        <v>15</v>
      </c>
      <c r="L21" s="253"/>
      <c r="M21" s="383">
        <f>0.4*1.98</f>
        <v>0.79200000000000004</v>
      </c>
      <c r="N21" s="27" t="s">
        <v>119</v>
      </c>
      <c r="O21" s="386">
        <v>59</v>
      </c>
      <c r="P21" s="44"/>
    </row>
    <row r="22" spans="1:16" ht="37.5">
      <c r="A22" s="11"/>
      <c r="B22" s="76" t="s">
        <v>32</v>
      </c>
      <c r="C22" s="78"/>
      <c r="D22" s="28">
        <f>0.4*1.05</f>
        <v>0.42000000000000004</v>
      </c>
      <c r="E22" s="28"/>
      <c r="F22" s="29">
        <f>0.4*0.9</f>
        <v>0.36000000000000004</v>
      </c>
      <c r="G22" s="33">
        <f t="shared" si="0"/>
        <v>0.39</v>
      </c>
      <c r="H22" s="184"/>
      <c r="I22" s="380"/>
      <c r="J22" s="384"/>
      <c r="K22" s="384"/>
      <c r="L22" s="254"/>
      <c r="M22" s="385"/>
      <c r="N22" s="27" t="s">
        <v>120</v>
      </c>
      <c r="O22" s="387"/>
      <c r="P22" s="44"/>
    </row>
    <row r="23" spans="1:16" ht="37.5">
      <c r="A23" s="11"/>
      <c r="B23" s="76" t="s">
        <v>33</v>
      </c>
      <c r="C23" s="28"/>
      <c r="D23" s="28">
        <f>0.4*0.99</f>
        <v>0.39600000000000002</v>
      </c>
      <c r="E23" s="28"/>
      <c r="F23" s="28">
        <f>0.4*0.94</f>
        <v>0.376</v>
      </c>
      <c r="G23" s="33">
        <f t="shared" si="0"/>
        <v>0.38600000000000001</v>
      </c>
      <c r="H23" s="184"/>
      <c r="I23" s="372" t="s">
        <v>17</v>
      </c>
      <c r="J23" s="383">
        <f>0.4*1.48</f>
        <v>0.59199999999999997</v>
      </c>
      <c r="K23" s="383" t="s">
        <v>15</v>
      </c>
      <c r="L23" s="253"/>
      <c r="M23" s="383">
        <f>0.4*1.44</f>
        <v>0.57599999999999996</v>
      </c>
      <c r="N23" s="27" t="s">
        <v>119</v>
      </c>
      <c r="O23" s="386">
        <v>38</v>
      </c>
      <c r="P23" s="44"/>
    </row>
    <row r="24" spans="1:16" ht="37.5">
      <c r="A24" s="11"/>
      <c r="B24" s="76" t="s">
        <v>35</v>
      </c>
      <c r="C24" s="29"/>
      <c r="D24" s="28">
        <f>0.4*0.95</f>
        <v>0.38</v>
      </c>
      <c r="E24" s="28"/>
      <c r="F24" s="28">
        <f>0.4*0.9</f>
        <v>0.36000000000000004</v>
      </c>
      <c r="G24" s="33">
        <f t="shared" si="0"/>
        <v>0.37</v>
      </c>
      <c r="H24" s="184"/>
      <c r="I24" s="380"/>
      <c r="J24" s="384"/>
      <c r="K24" s="384"/>
      <c r="L24" s="254"/>
      <c r="M24" s="385"/>
      <c r="N24" s="27" t="s">
        <v>120</v>
      </c>
      <c r="O24" s="387"/>
      <c r="P24" s="44"/>
    </row>
    <row r="25" spans="1:16" ht="37.5">
      <c r="A25" s="11"/>
      <c r="B25" s="76" t="s">
        <v>36</v>
      </c>
      <c r="C25" s="27"/>
      <c r="D25" s="28">
        <f>0.4*0.98</f>
        <v>0.39200000000000002</v>
      </c>
      <c r="E25" s="28"/>
      <c r="F25" s="28">
        <f>0.4*0.85</f>
        <v>0.34</v>
      </c>
      <c r="G25" s="33">
        <f t="shared" si="0"/>
        <v>0.36599999999999999</v>
      </c>
      <c r="H25" s="184"/>
      <c r="I25" s="372" t="s">
        <v>18</v>
      </c>
      <c r="J25" s="383">
        <f>0.4*8.54</f>
        <v>3.4159999999999999</v>
      </c>
      <c r="K25" s="383" t="s">
        <v>15</v>
      </c>
      <c r="L25" s="253"/>
      <c r="M25" s="383">
        <f>0.4*9.26</f>
        <v>3.7040000000000002</v>
      </c>
      <c r="N25" s="27" t="s">
        <v>119</v>
      </c>
      <c r="O25" s="386">
        <v>36</v>
      </c>
      <c r="P25" s="44"/>
    </row>
    <row r="26" spans="1:16" ht="37.5">
      <c r="A26" s="11"/>
      <c r="B26" s="76" t="s">
        <v>38</v>
      </c>
      <c r="C26" s="27"/>
      <c r="D26" s="28">
        <f>0.4*0.9</f>
        <v>0.36000000000000004</v>
      </c>
      <c r="E26" s="28"/>
      <c r="F26" s="29">
        <f>0.4*0.83</f>
        <v>0.33200000000000002</v>
      </c>
      <c r="G26" s="33">
        <f t="shared" si="0"/>
        <v>0.34600000000000003</v>
      </c>
      <c r="H26" s="184"/>
      <c r="I26" s="380"/>
      <c r="J26" s="384"/>
      <c r="K26" s="384"/>
      <c r="L26" s="254"/>
      <c r="M26" s="385"/>
      <c r="N26" s="27" t="s">
        <v>120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0.4*0.85</f>
        <v>0.34</v>
      </c>
      <c r="E27" s="30"/>
      <c r="F27" s="29">
        <f>0.4*0.77</f>
        <v>0.30800000000000005</v>
      </c>
      <c r="G27" s="33">
        <f t="shared" si="0"/>
        <v>0.32400000000000007</v>
      </c>
      <c r="H27" s="184"/>
      <c r="I27" s="372" t="s">
        <v>20</v>
      </c>
      <c r="J27" s="383">
        <f>0.4*1.55</f>
        <v>0.62000000000000011</v>
      </c>
      <c r="K27" s="383" t="s">
        <v>15</v>
      </c>
      <c r="L27" s="253"/>
      <c r="M27" s="383">
        <f>0.4*1.74</f>
        <v>0.69600000000000006</v>
      </c>
      <c r="N27" s="27" t="s">
        <v>119</v>
      </c>
      <c r="O27" s="386">
        <v>59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254"/>
      <c r="M28" s="385"/>
      <c r="N28" s="27" t="s">
        <v>120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0.4*1.41</f>
        <v>0.56399999999999995</v>
      </c>
      <c r="K29" s="383" t="s">
        <v>15</v>
      </c>
      <c r="L29" s="81"/>
      <c r="M29" s="383">
        <f>0.4*1.57</f>
        <v>0.62800000000000011</v>
      </c>
      <c r="N29" s="27" t="s">
        <v>119</v>
      </c>
      <c r="O29" s="386">
        <v>76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120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0.13</v>
      </c>
      <c r="E31" s="28"/>
      <c r="F31" s="234">
        <v>0.08</v>
      </c>
      <c r="G31" s="33">
        <f t="shared" ref="G31:G46" si="1">AVERAGE(D31:F31)</f>
        <v>0.10500000000000001</v>
      </c>
      <c r="H31" s="184"/>
      <c r="I31" s="372" t="s">
        <v>8</v>
      </c>
      <c r="J31" s="376">
        <v>1.61</v>
      </c>
      <c r="K31" s="85"/>
      <c r="L31" s="86"/>
      <c r="M31" s="376">
        <v>1.07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0.16</v>
      </c>
      <c r="E32" s="28"/>
      <c r="F32" s="29">
        <v>0.14000000000000001</v>
      </c>
      <c r="G32" s="33">
        <f t="shared" si="1"/>
        <v>0.15000000000000002</v>
      </c>
      <c r="H32" s="184"/>
      <c r="I32" s="380"/>
      <c r="J32" s="388"/>
      <c r="K32" s="254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0.14000000000000001</v>
      </c>
      <c r="E33" s="29"/>
      <c r="F33" s="29">
        <v>0.08</v>
      </c>
      <c r="G33" s="33">
        <f t="shared" si="1"/>
        <v>0.11000000000000001</v>
      </c>
      <c r="H33" s="184"/>
      <c r="I33" s="372" t="s">
        <v>26</v>
      </c>
      <c r="J33" s="381">
        <f>0.4*1.27</f>
        <v>0.50800000000000001</v>
      </c>
      <c r="K33" s="383" t="s">
        <v>15</v>
      </c>
      <c r="L33" s="381"/>
      <c r="M33" s="381">
        <f>0.4*2.53</f>
        <v>1.012</v>
      </c>
      <c r="N33" s="88" t="s">
        <v>123</v>
      </c>
      <c r="O33" s="386">
        <v>75</v>
      </c>
      <c r="P33" s="44"/>
    </row>
    <row r="34" spans="1:16" ht="37.5">
      <c r="A34" s="11"/>
      <c r="B34" s="76" t="s">
        <v>24</v>
      </c>
      <c r="C34" s="29"/>
      <c r="D34" s="29">
        <v>7.0000000000000007E-2</v>
      </c>
      <c r="E34" s="28"/>
      <c r="F34" s="29">
        <v>0.03</v>
      </c>
      <c r="G34" s="33">
        <f t="shared" si="1"/>
        <v>0.05</v>
      </c>
      <c r="H34" s="184"/>
      <c r="I34" s="380"/>
      <c r="J34" s="382"/>
      <c r="K34" s="384"/>
      <c r="L34" s="382"/>
      <c r="M34" s="382"/>
      <c r="N34" s="27" t="s">
        <v>124</v>
      </c>
      <c r="O34" s="387"/>
      <c r="P34" s="44"/>
    </row>
    <row r="35" spans="1:16" ht="37.5">
      <c r="A35" s="11"/>
      <c r="B35" s="76" t="s">
        <v>25</v>
      </c>
      <c r="C35" s="29"/>
      <c r="D35" s="29">
        <v>0.05</v>
      </c>
      <c r="E35" s="28"/>
      <c r="F35" s="29">
        <v>0.1</v>
      </c>
      <c r="G35" s="33">
        <f t="shared" si="1"/>
        <v>7.5000000000000011E-2</v>
      </c>
      <c r="H35" s="184"/>
      <c r="I35" s="372" t="s">
        <v>28</v>
      </c>
      <c r="J35" s="381">
        <f>0.4*0.99</f>
        <v>0.39600000000000002</v>
      </c>
      <c r="K35" s="383" t="s">
        <v>15</v>
      </c>
      <c r="L35" s="381"/>
      <c r="M35" s="383">
        <f>0.4*2.27</f>
        <v>0.90800000000000003</v>
      </c>
      <c r="N35" s="88" t="s">
        <v>123</v>
      </c>
      <c r="O35" s="386">
        <v>67</v>
      </c>
      <c r="P35" s="44"/>
    </row>
    <row r="36" spans="1:16" ht="37.5">
      <c r="A36" s="11"/>
      <c r="B36" s="76" t="s">
        <v>27</v>
      </c>
      <c r="C36" s="29"/>
      <c r="D36" s="29">
        <v>0.04</v>
      </c>
      <c r="E36" s="29"/>
      <c r="F36" s="29">
        <v>0</v>
      </c>
      <c r="G36" s="33">
        <f t="shared" si="1"/>
        <v>0.02</v>
      </c>
      <c r="H36" s="184"/>
      <c r="I36" s="380"/>
      <c r="J36" s="382"/>
      <c r="K36" s="384"/>
      <c r="L36" s="382"/>
      <c r="M36" s="385"/>
      <c r="N36" s="27" t="s">
        <v>124</v>
      </c>
      <c r="O36" s="387"/>
      <c r="P36" s="44"/>
    </row>
    <row r="37" spans="1:16" ht="37.5">
      <c r="A37" s="11"/>
      <c r="B37" s="76" t="s">
        <v>46</v>
      </c>
      <c r="C37" s="29"/>
      <c r="D37" s="29">
        <v>0.02</v>
      </c>
      <c r="E37" s="29"/>
      <c r="F37" s="29">
        <v>0</v>
      </c>
      <c r="G37" s="33">
        <f t="shared" si="1"/>
        <v>0.01</v>
      </c>
      <c r="H37" s="184"/>
      <c r="I37" s="372" t="s">
        <v>31</v>
      </c>
      <c r="J37" s="381">
        <f>0.4*1.7</f>
        <v>0.68</v>
      </c>
      <c r="K37" s="383" t="s">
        <v>15</v>
      </c>
      <c r="L37" s="381"/>
      <c r="M37" s="383">
        <f>0.4*3.6</f>
        <v>1.4400000000000002</v>
      </c>
      <c r="N37" s="88" t="s">
        <v>123</v>
      </c>
      <c r="O37" s="386">
        <v>35</v>
      </c>
      <c r="P37" s="44"/>
    </row>
    <row r="38" spans="1:16" ht="37.5">
      <c r="A38" s="11"/>
      <c r="B38" s="76" t="s">
        <v>48</v>
      </c>
      <c r="C38" s="29"/>
      <c r="D38" s="29">
        <v>0.02</v>
      </c>
      <c r="E38" s="231"/>
      <c r="F38" s="29">
        <v>0</v>
      </c>
      <c r="G38" s="33">
        <f t="shared" si="1"/>
        <v>0.01</v>
      </c>
      <c r="H38" s="184"/>
      <c r="I38" s="380"/>
      <c r="J38" s="382"/>
      <c r="K38" s="384"/>
      <c r="L38" s="382"/>
      <c r="M38" s="385"/>
      <c r="N38" s="27" t="s">
        <v>124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0.4*1.59</f>
        <v>0.63600000000000012</v>
      </c>
      <c r="K39" s="383" t="s">
        <v>15</v>
      </c>
      <c r="L39" s="381"/>
      <c r="M39" s="383">
        <f>0.4*2.27</f>
        <v>0.90800000000000003</v>
      </c>
      <c r="N39" s="88" t="s">
        <v>126</v>
      </c>
      <c r="O39" s="386">
        <v>48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119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0.4*2.12</f>
        <v>0.84800000000000009</v>
      </c>
      <c r="K41" s="383" t="s">
        <v>15</v>
      </c>
      <c r="L41" s="381"/>
      <c r="M41" s="383" t="s">
        <v>85</v>
      </c>
      <c r="N41" s="88"/>
      <c r="O41" s="386" t="s">
        <v>85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85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0.4*4.34</f>
        <v>1.736</v>
      </c>
      <c r="K43" s="383" t="s">
        <v>15</v>
      </c>
      <c r="L43" s="381"/>
      <c r="M43" s="383">
        <f>0.4*1.36</f>
        <v>0.54400000000000004</v>
      </c>
      <c r="N43" s="88" t="s">
        <v>126</v>
      </c>
      <c r="O43" s="386">
        <v>57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119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0.4*2.41</f>
        <v>0.96400000000000008</v>
      </c>
      <c r="K45" s="383" t="s">
        <v>15</v>
      </c>
      <c r="L45" s="381"/>
      <c r="M45" s="383">
        <f>0.4*2.56</f>
        <v>1.024</v>
      </c>
      <c r="N45" s="88" t="s">
        <v>126</v>
      </c>
      <c r="O45" s="386">
        <v>70</v>
      </c>
      <c r="P45" s="44"/>
    </row>
    <row r="46" spans="1:16" ht="57.75" customHeight="1" thickBot="1">
      <c r="A46" s="14"/>
      <c r="B46" s="241" t="s">
        <v>58</v>
      </c>
      <c r="C46" s="237"/>
      <c r="D46" s="238">
        <v>0.11</v>
      </c>
      <c r="E46" s="239"/>
      <c r="F46" s="238">
        <v>7.0000000000000007E-2</v>
      </c>
      <c r="G46" s="240">
        <f t="shared" si="1"/>
        <v>0.09</v>
      </c>
      <c r="H46" s="184"/>
      <c r="I46" s="380"/>
      <c r="J46" s="382"/>
      <c r="K46" s="384"/>
      <c r="L46" s="382"/>
      <c r="M46" s="385"/>
      <c r="N46" s="27" t="s">
        <v>119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0.4*2.46</f>
        <v>0.98399999999999999</v>
      </c>
      <c r="K47" s="383" t="s">
        <v>15</v>
      </c>
      <c r="L47" s="381"/>
      <c r="M47" s="383">
        <f>0.4*2</f>
        <v>0.8</v>
      </c>
      <c r="N47" s="88" t="s">
        <v>127</v>
      </c>
      <c r="O47" s="386">
        <v>18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126</v>
      </c>
      <c r="O48" s="387"/>
      <c r="P48" s="44"/>
    </row>
    <row r="49" spans="1:16" ht="38.25" thickBot="1">
      <c r="A49" s="14"/>
      <c r="B49" s="95" t="s">
        <v>108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0.4*3.81</f>
        <v>1.524</v>
      </c>
      <c r="K49" s="383" t="s">
        <v>15</v>
      </c>
      <c r="L49" s="253"/>
      <c r="M49" s="383">
        <f>0.4*1.74</f>
        <v>0.69600000000000006</v>
      </c>
      <c r="N49" s="88" t="s">
        <v>127</v>
      </c>
      <c r="O49" s="386">
        <v>45</v>
      </c>
      <c r="P49" s="44"/>
    </row>
    <row r="50" spans="1:16" ht="37.5">
      <c r="A50" s="14"/>
      <c r="B50" s="76" t="s">
        <v>22</v>
      </c>
      <c r="C50" s="97"/>
      <c r="D50" s="98">
        <v>1074</v>
      </c>
      <c r="E50" s="98">
        <v>12</v>
      </c>
      <c r="F50" s="98">
        <f>(D50*E50)*0.26</f>
        <v>3350.88</v>
      </c>
      <c r="G50" s="221"/>
      <c r="H50" s="222"/>
      <c r="I50" s="380"/>
      <c r="J50" s="382"/>
      <c r="K50" s="384"/>
      <c r="L50" s="254"/>
      <c r="M50" s="385"/>
      <c r="N50" s="27" t="s">
        <v>126</v>
      </c>
      <c r="O50" s="387"/>
      <c r="P50" s="44"/>
    </row>
    <row r="51" spans="1:16" ht="37.5">
      <c r="A51" s="14"/>
      <c r="B51" s="76" t="s">
        <v>24</v>
      </c>
      <c r="C51" s="97"/>
      <c r="D51" s="98">
        <v>694</v>
      </c>
      <c r="E51" s="98">
        <v>8</v>
      </c>
      <c r="F51" s="98">
        <f>(D51*E51)*0.26</f>
        <v>1443.52</v>
      </c>
      <c r="G51" s="99"/>
      <c r="H51" s="186"/>
      <c r="I51" s="372" t="s">
        <v>47</v>
      </c>
      <c r="J51" s="381">
        <f>0.4*2.35</f>
        <v>0.94000000000000006</v>
      </c>
      <c r="K51" s="383" t="s">
        <v>15</v>
      </c>
      <c r="L51" s="253"/>
      <c r="M51" s="383">
        <f>0.4*2.46</f>
        <v>0.98399999999999999</v>
      </c>
      <c r="N51" s="88" t="s">
        <v>127</v>
      </c>
      <c r="O51" s="386">
        <v>39</v>
      </c>
      <c r="P51" s="44"/>
    </row>
    <row r="52" spans="1:16" ht="37.5">
      <c r="A52" s="14"/>
      <c r="B52" s="76" t="s">
        <v>25</v>
      </c>
      <c r="C52" s="97"/>
      <c r="D52" s="98">
        <v>365</v>
      </c>
      <c r="E52" s="98">
        <v>4</v>
      </c>
      <c r="F52" s="98">
        <f>(D52*E52)*0.26</f>
        <v>379.6</v>
      </c>
      <c r="G52" s="99"/>
      <c r="H52" s="186"/>
      <c r="I52" s="380"/>
      <c r="J52" s="382"/>
      <c r="K52" s="384"/>
      <c r="L52" s="254"/>
      <c r="M52" s="385"/>
      <c r="N52" s="27" t="s">
        <v>126</v>
      </c>
      <c r="O52" s="387"/>
      <c r="P52" s="44"/>
    </row>
    <row r="53" spans="1:16" ht="37.5">
      <c r="A53" s="14"/>
      <c r="B53" s="76" t="s">
        <v>27</v>
      </c>
      <c r="C53" s="97"/>
      <c r="D53" s="98">
        <v>193</v>
      </c>
      <c r="E53" s="98">
        <v>7</v>
      </c>
      <c r="F53" s="98">
        <f>(D53*E53)*0.26</f>
        <v>351.26</v>
      </c>
      <c r="G53" s="99"/>
      <c r="H53" s="186"/>
      <c r="I53" s="372" t="s">
        <v>50</v>
      </c>
      <c r="J53" s="381">
        <f>0.4*2.83</f>
        <v>1.1320000000000001</v>
      </c>
      <c r="K53" s="383" t="s">
        <v>15</v>
      </c>
      <c r="L53" s="253"/>
      <c r="M53" s="383">
        <f>0.4*1.79</f>
        <v>0.71600000000000008</v>
      </c>
      <c r="N53" s="88" t="s">
        <v>127</v>
      </c>
      <c r="O53" s="386">
        <v>56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254"/>
      <c r="M54" s="385"/>
      <c r="N54" s="27" t="s">
        <v>126</v>
      </c>
      <c r="O54" s="387"/>
      <c r="P54" s="44"/>
    </row>
    <row r="55" spans="1:16" ht="37.5">
      <c r="A55" s="15"/>
      <c r="B55" s="76" t="s">
        <v>48</v>
      </c>
      <c r="C55" s="100"/>
      <c r="D55" s="98">
        <v>129</v>
      </c>
      <c r="E55" s="98">
        <v>7</v>
      </c>
      <c r="F55" s="98">
        <f>(D55*E55)*0.13</f>
        <v>117.39</v>
      </c>
      <c r="G55" s="99"/>
      <c r="H55" s="186"/>
      <c r="I55" s="372" t="s">
        <v>53</v>
      </c>
      <c r="J55" s="381">
        <f>0.4*5.69</f>
        <v>2.2760000000000002</v>
      </c>
      <c r="K55" s="383" t="s">
        <v>15</v>
      </c>
      <c r="L55" s="253"/>
      <c r="M55" s="383">
        <f>0.4*2.8</f>
        <v>1.1199999999999999</v>
      </c>
      <c r="N55" s="88" t="s">
        <v>127</v>
      </c>
      <c r="O55" s="386">
        <v>33</v>
      </c>
      <c r="P55" s="44"/>
    </row>
    <row r="56" spans="1:16" ht="37.5">
      <c r="A56" s="15"/>
      <c r="B56" s="76" t="s">
        <v>49</v>
      </c>
      <c r="C56" s="100"/>
      <c r="D56" s="98">
        <v>174</v>
      </c>
      <c r="E56" s="98">
        <v>6</v>
      </c>
      <c r="F56" s="98">
        <f t="shared" ref="F56:F61" si="2">(D56*E56)*0.13</f>
        <v>135.72</v>
      </c>
      <c r="G56" s="99"/>
      <c r="H56" s="186"/>
      <c r="I56" s="380"/>
      <c r="J56" s="382"/>
      <c r="K56" s="384"/>
      <c r="L56" s="254"/>
      <c r="M56" s="385"/>
      <c r="N56" s="27" t="s">
        <v>126</v>
      </c>
      <c r="O56" s="387"/>
      <c r="P56" s="44"/>
    </row>
    <row r="57" spans="1:16" ht="37.5">
      <c r="A57" s="15"/>
      <c r="B57" s="76" t="s">
        <v>51</v>
      </c>
      <c r="C57" s="100"/>
      <c r="D57" s="98">
        <v>118</v>
      </c>
      <c r="E57" s="98">
        <v>11</v>
      </c>
      <c r="F57" s="98">
        <f t="shared" si="2"/>
        <v>168.74</v>
      </c>
      <c r="G57" s="99"/>
      <c r="H57" s="186"/>
      <c r="I57" s="372" t="s">
        <v>8</v>
      </c>
      <c r="J57" s="374">
        <v>1.05</v>
      </c>
      <c r="K57" s="376"/>
      <c r="L57" s="101"/>
      <c r="M57" s="376">
        <v>0.92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102</v>
      </c>
      <c r="E58" s="98">
        <v>15</v>
      </c>
      <c r="F58" s="98">
        <f t="shared" si="2"/>
        <v>198.9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89</v>
      </c>
      <c r="E59" s="98">
        <v>13</v>
      </c>
      <c r="F59" s="98">
        <f t="shared" si="2"/>
        <v>150.41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62</v>
      </c>
      <c r="E60" s="98">
        <v>9</v>
      </c>
      <c r="F60" s="98">
        <f t="shared" si="2"/>
        <v>72.540000000000006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218"/>
      <c r="D61" s="98">
        <v>61</v>
      </c>
      <c r="E61" s="98">
        <v>15</v>
      </c>
      <c r="F61" s="98">
        <f t="shared" si="2"/>
        <v>118.95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214"/>
      <c r="C62" s="215"/>
      <c r="D62" s="216" t="s">
        <v>4</v>
      </c>
      <c r="E62" s="217"/>
      <c r="F62" s="230">
        <f>SUM(F50:F61)</f>
        <v>6487.91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56" t="s">
        <v>13</v>
      </c>
      <c r="J64" s="29">
        <v>0.81</v>
      </c>
      <c r="K64" s="29">
        <v>0.46</v>
      </c>
      <c r="L64" s="119">
        <f>AVERAGE(J64:K64)</f>
        <v>0.63500000000000001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56" t="s">
        <v>16</v>
      </c>
      <c r="J65" s="29">
        <v>1.65</v>
      </c>
      <c r="K65" s="245">
        <v>0.43</v>
      </c>
      <c r="L65" s="208">
        <f>AVERAGE(J65:K65)</f>
        <v>1.04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 t="s">
        <v>4</v>
      </c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108</v>
      </c>
      <c r="C68" s="120" t="s">
        <v>84</v>
      </c>
      <c r="D68" s="120" t="s">
        <v>122</v>
      </c>
      <c r="E68" s="116">
        <v>1586</v>
      </c>
      <c r="F68" s="29"/>
      <c r="G68" s="118"/>
      <c r="H68" s="190"/>
      <c r="I68" s="256" t="s">
        <v>67</v>
      </c>
      <c r="J68" s="256"/>
      <c r="K68" s="256"/>
      <c r="L68" s="126"/>
      <c r="M68" s="255"/>
      <c r="N68" s="127"/>
      <c r="O68" s="128"/>
      <c r="P68" s="44"/>
    </row>
    <row r="69" spans="1:16" ht="37.5">
      <c r="A69" s="15"/>
      <c r="B69" s="95" t="s">
        <v>108</v>
      </c>
      <c r="C69" s="120" t="s">
        <v>83</v>
      </c>
      <c r="D69" s="120" t="s">
        <v>113</v>
      </c>
      <c r="E69" s="116">
        <v>88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/>
      <c r="C70" s="120"/>
      <c r="D70" s="120"/>
      <c r="E70" s="116"/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74.7</v>
      </c>
      <c r="K72" s="29"/>
      <c r="L72" s="119">
        <f>AVERAGE(J72:K72)</f>
        <v>74.7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83.9</v>
      </c>
      <c r="K73" s="29"/>
      <c r="L73" s="119">
        <f>AVERAGE(J73:K73)</f>
        <v>83.9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63.05</v>
      </c>
      <c r="K74" s="27">
        <v>62.45</v>
      </c>
      <c r="L74" s="119">
        <f>AVERAGE(J74:K74)</f>
        <v>62.75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64.099999999999994</v>
      </c>
      <c r="K75" s="91">
        <v>63.35</v>
      </c>
      <c r="L75" s="119">
        <f>AVERAGE(J75:K75)</f>
        <v>63.724999999999994</v>
      </c>
      <c r="M75" s="115"/>
      <c r="N75" s="91"/>
      <c r="O75" s="35"/>
      <c r="P75" s="44"/>
    </row>
    <row r="76" spans="1:16" ht="39.75" thickBot="1">
      <c r="A76" s="170"/>
      <c r="B76" s="95" t="s">
        <v>108</v>
      </c>
      <c r="C76" s="120" t="s">
        <v>83</v>
      </c>
      <c r="D76" s="120" t="s">
        <v>113</v>
      </c>
      <c r="E76" s="136">
        <v>0.79269999999999996</v>
      </c>
      <c r="F76" s="137"/>
      <c r="G76" s="141"/>
      <c r="H76" s="188"/>
      <c r="I76" s="180"/>
      <c r="J76" s="2" t="s">
        <v>4</v>
      </c>
      <c r="K76" s="2"/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55"/>
      <c r="J78" s="236" t="s">
        <v>66</v>
      </c>
      <c r="K78" s="236" t="s">
        <v>66</v>
      </c>
      <c r="L78" s="236" t="s">
        <v>66</v>
      </c>
      <c r="M78" s="113"/>
      <c r="N78" s="255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0.4*1.83</f>
        <v>0.7320000000000001</v>
      </c>
      <c r="K79" s="27">
        <f>0.4*2.48</f>
        <v>0.99199999999999999</v>
      </c>
      <c r="L79" s="119">
        <f>AVERAGE(J79:K79)</f>
        <v>0.8620000000000001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0.4*1.98</f>
        <v>0.79200000000000004</v>
      </c>
      <c r="K80" s="91">
        <f>0.4*3.01</f>
        <v>1.204</v>
      </c>
      <c r="L80" s="119">
        <f>AVERAGE(J80:K80)</f>
        <v>0.998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108</v>
      </c>
      <c r="C82" s="120" t="s">
        <v>83</v>
      </c>
      <c r="D82" s="120" t="s">
        <v>113</v>
      </c>
      <c r="E82" s="27">
        <v>4.47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 t="s">
        <v>85</v>
      </c>
      <c r="L84" s="119" t="e">
        <f>AVERAGE(J84:K84)</f>
        <v>#DIV/0!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 t="s">
        <v>85</v>
      </c>
      <c r="L85" s="119" t="e">
        <f>AVERAGE(J85:K85)</f>
        <v>#DIV/0!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57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T130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255</v>
      </c>
      <c r="D3" s="38"/>
      <c r="E3" s="39" t="s">
        <v>9</v>
      </c>
      <c r="F3" s="39"/>
      <c r="G3" s="39"/>
      <c r="H3" s="40"/>
      <c r="I3" s="41" t="s">
        <v>2</v>
      </c>
      <c r="J3" s="42" t="s">
        <v>261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255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262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1.28</v>
      </c>
      <c r="E7" s="21"/>
      <c r="F7" s="21">
        <v>1.48</v>
      </c>
      <c r="G7" s="102">
        <f>AVERAGE(D7:F7)</f>
        <v>1.38</v>
      </c>
      <c r="H7" s="184"/>
      <c r="I7" s="372" t="s">
        <v>98</v>
      </c>
      <c r="J7" s="383">
        <f>3.61*0.4</f>
        <v>1.444</v>
      </c>
      <c r="K7" s="383" t="s">
        <v>15</v>
      </c>
      <c r="L7" s="344"/>
      <c r="M7" s="383">
        <f>2.84*0.4</f>
        <v>1.1359999999999999</v>
      </c>
      <c r="N7" s="88" t="s">
        <v>263</v>
      </c>
      <c r="O7" s="386">
        <v>72</v>
      </c>
      <c r="P7" s="44"/>
    </row>
    <row r="8" spans="1:17" ht="38.25" thickBot="1">
      <c r="A8" s="12"/>
      <c r="B8" s="68" t="s">
        <v>16</v>
      </c>
      <c r="C8" s="69"/>
      <c r="D8" s="34">
        <v>1.06</v>
      </c>
      <c r="E8" s="23"/>
      <c r="F8" s="23">
        <v>1.24</v>
      </c>
      <c r="G8" s="124">
        <f>AVERAGE(D8:F8)</f>
        <v>1.1499999999999999</v>
      </c>
      <c r="H8" s="184"/>
      <c r="I8" s="380"/>
      <c r="J8" s="384"/>
      <c r="K8" s="384"/>
      <c r="L8" s="346"/>
      <c r="M8" s="385"/>
      <c r="N8" s="27" t="s">
        <v>264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3.18*0.4</f>
        <v>1.2720000000000002</v>
      </c>
      <c r="K9" s="383" t="s">
        <v>15</v>
      </c>
      <c r="L9" s="383"/>
      <c r="M9" s="383">
        <f>3.89*0.4</f>
        <v>1.556</v>
      </c>
      <c r="N9" s="88" t="s">
        <v>263</v>
      </c>
      <c r="O9" s="386">
        <v>63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264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2.37*0.4</f>
        <v>0.94800000000000006</v>
      </c>
      <c r="K11" s="383" t="s">
        <v>15</v>
      </c>
      <c r="L11" s="344"/>
      <c r="M11" s="383">
        <f>2.98*0.4</f>
        <v>1.1919999999999999</v>
      </c>
      <c r="N11" s="88" t="s">
        <v>263</v>
      </c>
      <c r="O11" s="386">
        <v>78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46"/>
      <c r="M12" s="385"/>
      <c r="N12" s="27" t="s">
        <v>264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2.3*0.4</f>
        <v>0.91999999999999993</v>
      </c>
      <c r="K13" s="383" t="s">
        <v>15</v>
      </c>
      <c r="L13" s="344"/>
      <c r="M13" s="383">
        <f>1.52*0.4</f>
        <v>0.6080000000000001</v>
      </c>
      <c r="N13" s="88" t="s">
        <v>263</v>
      </c>
      <c r="O13" s="386">
        <v>58</v>
      </c>
      <c r="P13" s="44"/>
    </row>
    <row r="14" spans="1:17" ht="37.5">
      <c r="A14" s="11" t="s">
        <v>91</v>
      </c>
      <c r="B14" s="76" t="s">
        <v>21</v>
      </c>
      <c r="C14" s="120"/>
      <c r="D14" s="28">
        <f>2.26*0.4</f>
        <v>0.90399999999999991</v>
      </c>
      <c r="E14" s="28"/>
      <c r="F14" s="28">
        <f>0.4*2.79</f>
        <v>1.1160000000000001</v>
      </c>
      <c r="G14" s="33">
        <f t="shared" ref="G14:G27" si="0">AVERAGE(D14:F14)</f>
        <v>1.01</v>
      </c>
      <c r="H14" s="184"/>
      <c r="I14" s="380"/>
      <c r="J14" s="384"/>
      <c r="K14" s="384"/>
      <c r="L14" s="346"/>
      <c r="M14" s="385"/>
      <c r="N14" s="27" t="s">
        <v>264</v>
      </c>
      <c r="O14" s="387"/>
      <c r="P14" s="44"/>
    </row>
    <row r="15" spans="1:17" ht="37.5">
      <c r="A15" s="11"/>
      <c r="B15" s="76" t="s">
        <v>97</v>
      </c>
      <c r="C15" s="29"/>
      <c r="D15" s="29">
        <f>3.25*0.4</f>
        <v>1.3</v>
      </c>
      <c r="E15" s="28"/>
      <c r="F15" s="29">
        <f>0.4*2.5</f>
        <v>1</v>
      </c>
      <c r="G15" s="33">
        <f t="shared" si="0"/>
        <v>1.1499999999999999</v>
      </c>
      <c r="H15" s="184" t="s">
        <v>4</v>
      </c>
      <c r="I15" s="390" t="s">
        <v>61</v>
      </c>
      <c r="J15" s="383">
        <f>3.29*0.4</f>
        <v>1.3160000000000001</v>
      </c>
      <c r="K15" s="383" t="s">
        <v>15</v>
      </c>
      <c r="L15" s="344"/>
      <c r="M15" s="383">
        <f>2.75*0.4</f>
        <v>1.1000000000000001</v>
      </c>
      <c r="N15" s="88" t="s">
        <v>265</v>
      </c>
      <c r="O15" s="386">
        <v>70</v>
      </c>
      <c r="P15" s="44"/>
    </row>
    <row r="16" spans="1:17" ht="37.5">
      <c r="A16" s="11"/>
      <c r="B16" s="76" t="s">
        <v>22</v>
      </c>
      <c r="C16" s="28"/>
      <c r="D16" s="28">
        <f>2.11*0.4</f>
        <v>0.84399999999999997</v>
      </c>
      <c r="E16" s="29"/>
      <c r="F16" s="29">
        <f>0.4*1.76</f>
        <v>0.70400000000000007</v>
      </c>
      <c r="G16" s="33">
        <f t="shared" si="0"/>
        <v>0.77400000000000002</v>
      </c>
      <c r="H16" s="184"/>
      <c r="I16" s="391"/>
      <c r="J16" s="384"/>
      <c r="K16" s="384"/>
      <c r="L16" s="346"/>
      <c r="M16" s="385"/>
      <c r="N16" s="27" t="s">
        <v>266</v>
      </c>
      <c r="O16" s="387"/>
      <c r="P16" s="44"/>
    </row>
    <row r="17" spans="1:16" ht="37.5">
      <c r="A17" s="11"/>
      <c r="B17" s="76" t="s">
        <v>24</v>
      </c>
      <c r="C17" s="28"/>
      <c r="D17" s="28">
        <f>1.48*0.4</f>
        <v>0.59199999999999997</v>
      </c>
      <c r="E17" s="28"/>
      <c r="F17" s="29">
        <f>0.4*1.5</f>
        <v>0.60000000000000009</v>
      </c>
      <c r="G17" s="33">
        <f t="shared" si="0"/>
        <v>0.59600000000000009</v>
      </c>
      <c r="H17" s="184"/>
      <c r="I17" s="372" t="s">
        <v>62</v>
      </c>
      <c r="J17" s="383">
        <f>1.16*0.4</f>
        <v>0.46399999999999997</v>
      </c>
      <c r="K17" s="383" t="s">
        <v>15</v>
      </c>
      <c r="L17" s="344"/>
      <c r="M17" s="383">
        <f>3.18*0.4</f>
        <v>1.2720000000000002</v>
      </c>
      <c r="N17" s="88" t="s">
        <v>265</v>
      </c>
      <c r="O17" s="386">
        <v>65</v>
      </c>
      <c r="P17" s="44"/>
    </row>
    <row r="18" spans="1:16" ht="37.5">
      <c r="A18" s="11"/>
      <c r="B18" s="76" t="s">
        <v>25</v>
      </c>
      <c r="C18" s="29"/>
      <c r="D18" s="28">
        <f>1.29*0.4</f>
        <v>0.51600000000000001</v>
      </c>
      <c r="E18" s="28"/>
      <c r="F18" s="29">
        <f>0.4*1.25</f>
        <v>0.5</v>
      </c>
      <c r="G18" s="33">
        <f t="shared" si="0"/>
        <v>0.50800000000000001</v>
      </c>
      <c r="H18" s="184"/>
      <c r="I18" s="380"/>
      <c r="J18" s="384"/>
      <c r="K18" s="384"/>
      <c r="L18" s="346"/>
      <c r="M18" s="385"/>
      <c r="N18" s="27" t="s">
        <v>266</v>
      </c>
      <c r="O18" s="387"/>
      <c r="P18" s="44"/>
    </row>
    <row r="19" spans="1:16" ht="37.5">
      <c r="A19" s="11"/>
      <c r="B19" s="76" t="s">
        <v>27</v>
      </c>
      <c r="C19" s="29"/>
      <c r="D19" s="28">
        <f>1.2*0.4</f>
        <v>0.48</v>
      </c>
      <c r="E19" s="29"/>
      <c r="F19" s="29">
        <f>0.4*1.18</f>
        <v>0.47199999999999998</v>
      </c>
      <c r="G19" s="33">
        <f t="shared" si="0"/>
        <v>0.47599999999999998</v>
      </c>
      <c r="H19" s="184"/>
      <c r="I19" s="372" t="s">
        <v>63</v>
      </c>
      <c r="J19" s="383">
        <f>1.93*0.4</f>
        <v>0.77200000000000002</v>
      </c>
      <c r="K19" s="383" t="s">
        <v>15</v>
      </c>
      <c r="L19" s="344"/>
      <c r="M19" s="383">
        <f>3.35*0.4</f>
        <v>1.34</v>
      </c>
      <c r="N19" s="88" t="s">
        <v>265</v>
      </c>
      <c r="O19" s="386">
        <v>76</v>
      </c>
      <c r="P19" s="44"/>
    </row>
    <row r="20" spans="1:16" ht="37.5">
      <c r="A20" s="11"/>
      <c r="B20" s="76" t="s">
        <v>29</v>
      </c>
      <c r="C20" s="28"/>
      <c r="D20" s="28">
        <f>1.11*0.4</f>
        <v>0.44400000000000006</v>
      </c>
      <c r="E20" s="29"/>
      <c r="F20" s="29">
        <f>0.4*1.1</f>
        <v>0.44000000000000006</v>
      </c>
      <c r="G20" s="33">
        <f t="shared" si="0"/>
        <v>0.44200000000000006</v>
      </c>
      <c r="H20" s="184"/>
      <c r="I20" s="380"/>
      <c r="J20" s="384"/>
      <c r="K20" s="384"/>
      <c r="L20" s="346"/>
      <c r="M20" s="385"/>
      <c r="N20" s="27" t="s">
        <v>266</v>
      </c>
      <c r="O20" s="387"/>
      <c r="P20" s="44"/>
    </row>
    <row r="21" spans="1:16" ht="37.5">
      <c r="A21" s="11"/>
      <c r="B21" s="76" t="s">
        <v>30</v>
      </c>
      <c r="C21" s="28"/>
      <c r="D21" s="28">
        <f>1.04*0.4</f>
        <v>0.41600000000000004</v>
      </c>
      <c r="E21" s="28"/>
      <c r="F21" s="29">
        <f>0.4*1</f>
        <v>0.4</v>
      </c>
      <c r="G21" s="33">
        <f t="shared" si="0"/>
        <v>0.40800000000000003</v>
      </c>
      <c r="H21" s="184"/>
      <c r="I21" s="372" t="s">
        <v>14</v>
      </c>
      <c r="J21" s="383">
        <f>2.73*0.4</f>
        <v>1.0920000000000001</v>
      </c>
      <c r="K21" s="383" t="s">
        <v>15</v>
      </c>
      <c r="L21" s="344"/>
      <c r="M21" s="383">
        <f>4.27*0.4</f>
        <v>1.708</v>
      </c>
      <c r="N21" s="88" t="s">
        <v>268</v>
      </c>
      <c r="O21" s="386">
        <v>50</v>
      </c>
      <c r="P21" s="44"/>
    </row>
    <row r="22" spans="1:16" ht="37.5">
      <c r="A22" s="11"/>
      <c r="B22" s="76" t="s">
        <v>32</v>
      </c>
      <c r="C22" s="78"/>
      <c r="D22" s="28">
        <v>0.4</v>
      </c>
      <c r="E22" s="28"/>
      <c r="F22" s="29">
        <f>0.4*1.03</f>
        <v>0.41200000000000003</v>
      </c>
      <c r="G22" s="33">
        <f t="shared" si="0"/>
        <v>0.40600000000000003</v>
      </c>
      <c r="H22" s="184"/>
      <c r="I22" s="380"/>
      <c r="J22" s="384"/>
      <c r="K22" s="384"/>
      <c r="L22" s="346"/>
      <c r="M22" s="385"/>
      <c r="N22" s="27" t="s">
        <v>267</v>
      </c>
      <c r="O22" s="387"/>
      <c r="P22" s="44"/>
    </row>
    <row r="23" spans="1:16" ht="37.5">
      <c r="A23" s="11"/>
      <c r="B23" s="76" t="s">
        <v>33</v>
      </c>
      <c r="C23" s="28"/>
      <c r="D23" s="28">
        <v>0.44</v>
      </c>
      <c r="E23" s="28"/>
      <c r="F23" s="28">
        <f>0.4*0.98</f>
        <v>0.39200000000000002</v>
      </c>
      <c r="G23" s="33">
        <f t="shared" si="0"/>
        <v>0.41600000000000004</v>
      </c>
      <c r="H23" s="184"/>
      <c r="I23" s="372" t="s">
        <v>17</v>
      </c>
      <c r="J23" s="383">
        <f>2.27*0.4</f>
        <v>0.90800000000000003</v>
      </c>
      <c r="K23" s="383" t="s">
        <v>15</v>
      </c>
      <c r="L23" s="344"/>
      <c r="M23" s="383">
        <f>3.18*0.4</f>
        <v>1.2720000000000002</v>
      </c>
      <c r="N23" s="88" t="s">
        <v>268</v>
      </c>
      <c r="O23" s="386">
        <v>24</v>
      </c>
      <c r="P23" s="44"/>
    </row>
    <row r="24" spans="1:16" ht="37.5">
      <c r="A24" s="11"/>
      <c r="B24" s="76" t="s">
        <v>35</v>
      </c>
      <c r="C24" s="29"/>
      <c r="D24" s="28">
        <f>0.9*0.4</f>
        <v>0.36000000000000004</v>
      </c>
      <c r="E24" s="28"/>
      <c r="F24" s="28">
        <f>0.4*0.92</f>
        <v>0.36800000000000005</v>
      </c>
      <c r="G24" s="33">
        <f t="shared" si="0"/>
        <v>0.36400000000000005</v>
      </c>
      <c r="H24" s="184"/>
      <c r="I24" s="380"/>
      <c r="J24" s="384"/>
      <c r="K24" s="384"/>
      <c r="L24" s="346"/>
      <c r="M24" s="385"/>
      <c r="N24" s="27" t="s">
        <v>267</v>
      </c>
      <c r="O24" s="387"/>
      <c r="P24" s="44"/>
    </row>
    <row r="25" spans="1:16" ht="37.5">
      <c r="A25" s="11"/>
      <c r="B25" s="76" t="s">
        <v>36</v>
      </c>
      <c r="C25" s="27"/>
      <c r="D25" s="28">
        <v>0.36</v>
      </c>
      <c r="E25" s="28"/>
      <c r="F25" s="28">
        <f>0.4*0.82</f>
        <v>0.32800000000000001</v>
      </c>
      <c r="G25" s="33">
        <f t="shared" si="0"/>
        <v>0.34399999999999997</v>
      </c>
      <c r="H25" s="184"/>
      <c r="I25" s="372" t="s">
        <v>18</v>
      </c>
      <c r="J25" s="383">
        <f>2.74*0.4</f>
        <v>1.0960000000000001</v>
      </c>
      <c r="K25" s="383" t="s">
        <v>15</v>
      </c>
      <c r="L25" s="344"/>
      <c r="M25" s="383">
        <f>3.94*0.4</f>
        <v>1.5760000000000001</v>
      </c>
      <c r="N25" s="88" t="s">
        <v>268</v>
      </c>
      <c r="O25" s="386">
        <v>81</v>
      </c>
      <c r="P25" s="44"/>
    </row>
    <row r="26" spans="1:16" ht="37.5">
      <c r="A26" s="11"/>
      <c r="B26" s="76" t="s">
        <v>38</v>
      </c>
      <c r="C26" s="27"/>
      <c r="D26" s="28">
        <f>0.78*0.4</f>
        <v>0.31200000000000006</v>
      </c>
      <c r="E26" s="28"/>
      <c r="F26" s="29">
        <f>0.4*0.79</f>
        <v>0.31600000000000006</v>
      </c>
      <c r="G26" s="33">
        <f t="shared" si="0"/>
        <v>0.31400000000000006</v>
      </c>
      <c r="H26" s="184"/>
      <c r="I26" s="380"/>
      <c r="J26" s="384"/>
      <c r="K26" s="384"/>
      <c r="L26" s="346"/>
      <c r="M26" s="385"/>
      <c r="N26" s="27" t="s">
        <v>267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0.73*0.4</f>
        <v>0.29199999999999998</v>
      </c>
      <c r="E27" s="30"/>
      <c r="F27" s="29">
        <f>0.4*0.76</f>
        <v>0.30400000000000005</v>
      </c>
      <c r="G27" s="33">
        <f t="shared" si="0"/>
        <v>0.29800000000000004</v>
      </c>
      <c r="H27" s="184"/>
      <c r="I27" s="372" t="s">
        <v>20</v>
      </c>
      <c r="J27" s="383">
        <f>3.18*0.4</f>
        <v>1.2720000000000002</v>
      </c>
      <c r="K27" s="383" t="s">
        <v>15</v>
      </c>
      <c r="L27" s="344"/>
      <c r="M27" s="383">
        <f>3.13*0.4</f>
        <v>1.252</v>
      </c>
      <c r="N27" s="88" t="s">
        <v>268</v>
      </c>
      <c r="O27" s="386">
        <v>71</v>
      </c>
      <c r="P27" s="44"/>
    </row>
    <row r="28" spans="1:16" ht="38.25" thickBot="1">
      <c r="A28" s="11"/>
      <c r="B28" s="17"/>
      <c r="C28" s="18"/>
      <c r="D28" s="19" t="s">
        <v>269</v>
      </c>
      <c r="E28" s="18"/>
      <c r="F28" s="19"/>
      <c r="G28" s="20"/>
      <c r="H28" s="184"/>
      <c r="I28" s="380"/>
      <c r="J28" s="384"/>
      <c r="K28" s="384"/>
      <c r="L28" s="346"/>
      <c r="M28" s="385"/>
      <c r="N28" s="27" t="s">
        <v>267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2.97*0.4</f>
        <v>1.1880000000000002</v>
      </c>
      <c r="K29" s="383" t="s">
        <v>15</v>
      </c>
      <c r="L29" s="81"/>
      <c r="M29" s="381">
        <f>3.37*0.4</f>
        <v>1.3480000000000001</v>
      </c>
      <c r="N29" s="88" t="s">
        <v>268</v>
      </c>
      <c r="O29" s="386">
        <v>60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267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0.31</v>
      </c>
      <c r="E31" s="28"/>
      <c r="F31" s="234">
        <v>0.3</v>
      </c>
      <c r="G31" s="33">
        <f t="shared" ref="G31:G46" si="1">AVERAGE(D31:F31)</f>
        <v>0.30499999999999999</v>
      </c>
      <c r="H31" s="184"/>
      <c r="I31" s="372" t="s">
        <v>8</v>
      </c>
      <c r="J31" s="376">
        <v>1.06</v>
      </c>
      <c r="K31" s="344"/>
      <c r="L31" s="86"/>
      <c r="M31" s="376">
        <v>1.28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0.46</v>
      </c>
      <c r="E32" s="28"/>
      <c r="F32" s="29">
        <v>0.4</v>
      </c>
      <c r="G32" s="33">
        <f t="shared" si="1"/>
        <v>0.43000000000000005</v>
      </c>
      <c r="H32" s="184"/>
      <c r="I32" s="380"/>
      <c r="J32" s="388"/>
      <c r="K32" s="34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0.21</v>
      </c>
      <c r="E33" s="29"/>
      <c r="F33" s="29">
        <v>0.19</v>
      </c>
      <c r="G33" s="33">
        <f t="shared" si="1"/>
        <v>0.2</v>
      </c>
      <c r="H33" s="184"/>
      <c r="I33" s="372" t="s">
        <v>26</v>
      </c>
      <c r="J33" s="381">
        <f>0.4*2.75</f>
        <v>1.1000000000000001</v>
      </c>
      <c r="K33" s="383" t="s">
        <v>15</v>
      </c>
      <c r="L33" s="381"/>
      <c r="M33" s="381">
        <f>0.4*2.42</f>
        <v>0.96799999999999997</v>
      </c>
      <c r="N33" s="88" t="s">
        <v>268</v>
      </c>
      <c r="O33" s="386">
        <v>52</v>
      </c>
      <c r="P33" s="44"/>
    </row>
    <row r="34" spans="1:16" ht="37.5">
      <c r="A34" s="11"/>
      <c r="B34" s="76" t="s">
        <v>24</v>
      </c>
      <c r="C34" s="29"/>
      <c r="D34" s="29">
        <v>0.15</v>
      </c>
      <c r="E34" s="28"/>
      <c r="F34" s="29">
        <v>0.16</v>
      </c>
      <c r="G34" s="33">
        <f t="shared" si="1"/>
        <v>0.155</v>
      </c>
      <c r="H34" s="184"/>
      <c r="I34" s="380"/>
      <c r="J34" s="382"/>
      <c r="K34" s="384"/>
      <c r="L34" s="382"/>
      <c r="M34" s="382"/>
      <c r="N34" s="27" t="s">
        <v>267</v>
      </c>
      <c r="O34" s="387"/>
      <c r="P34" s="44"/>
    </row>
    <row r="35" spans="1:16" ht="37.5">
      <c r="A35" s="11"/>
      <c r="B35" s="76" t="s">
        <v>25</v>
      </c>
      <c r="C35" s="29"/>
      <c r="D35" s="29">
        <v>0.08</v>
      </c>
      <c r="E35" s="28"/>
      <c r="F35" s="29">
        <v>0.11</v>
      </c>
      <c r="G35" s="33">
        <f t="shared" si="1"/>
        <v>9.5000000000000001E-2</v>
      </c>
      <c r="H35" s="184"/>
      <c r="I35" s="372" t="s">
        <v>28</v>
      </c>
      <c r="J35" s="381">
        <f>0.4*2.49</f>
        <v>0.99600000000000011</v>
      </c>
      <c r="K35" s="383" t="s">
        <v>15</v>
      </c>
      <c r="L35" s="381"/>
      <c r="M35" s="383">
        <f>0.4*3.72</f>
        <v>1.4880000000000002</v>
      </c>
      <c r="N35" s="88" t="s">
        <v>270</v>
      </c>
      <c r="O35" s="386">
        <v>34</v>
      </c>
      <c r="P35" s="44"/>
    </row>
    <row r="36" spans="1:16" ht="37.5">
      <c r="A36" s="11"/>
      <c r="B36" s="76" t="s">
        <v>27</v>
      </c>
      <c r="C36" s="29"/>
      <c r="D36" s="29">
        <v>7.0000000000000007E-2</v>
      </c>
      <c r="E36" s="29"/>
      <c r="F36" s="29">
        <v>0.06</v>
      </c>
      <c r="G36" s="33">
        <f t="shared" si="1"/>
        <v>6.5000000000000002E-2</v>
      </c>
      <c r="H36" s="184"/>
      <c r="I36" s="380"/>
      <c r="J36" s="382"/>
      <c r="K36" s="384"/>
      <c r="L36" s="382"/>
      <c r="M36" s="385"/>
      <c r="N36" s="27" t="s">
        <v>271</v>
      </c>
      <c r="O36" s="387"/>
      <c r="P36" s="44"/>
    </row>
    <row r="37" spans="1:16" ht="37.5">
      <c r="A37" s="11"/>
      <c r="B37" s="76" t="s">
        <v>46</v>
      </c>
      <c r="C37" s="29"/>
      <c r="D37" s="29">
        <v>0.04</v>
      </c>
      <c r="E37" s="29"/>
      <c r="F37" s="29">
        <v>0.02</v>
      </c>
      <c r="G37" s="33">
        <f t="shared" si="1"/>
        <v>0.03</v>
      </c>
      <c r="H37" s="184"/>
      <c r="I37" s="372" t="s">
        <v>31</v>
      </c>
      <c r="J37" s="381">
        <f>0.4*3.33</f>
        <v>1.3320000000000001</v>
      </c>
      <c r="K37" s="383" t="s">
        <v>15</v>
      </c>
      <c r="L37" s="381"/>
      <c r="M37" s="383">
        <f>0.4*2.57</f>
        <v>1.028</v>
      </c>
      <c r="N37" s="88" t="s">
        <v>270</v>
      </c>
      <c r="O37" s="386">
        <v>70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</v>
      </c>
      <c r="G38" s="33">
        <f t="shared" si="1"/>
        <v>0</v>
      </c>
      <c r="H38" s="184"/>
      <c r="I38" s="380"/>
      <c r="J38" s="382"/>
      <c r="K38" s="384"/>
      <c r="L38" s="382"/>
      <c r="M38" s="385"/>
      <c r="N38" s="27" t="s">
        <v>271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0.4*2.65</f>
        <v>1.06</v>
      </c>
      <c r="K39" s="383" t="s">
        <v>15</v>
      </c>
      <c r="L39" s="381"/>
      <c r="M39" s="383">
        <f>0.4*4.666</f>
        <v>1.8664000000000003</v>
      </c>
      <c r="N39" s="88" t="s">
        <v>270</v>
      </c>
      <c r="O39" s="386">
        <v>82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271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0.4*4.59</f>
        <v>1.8360000000000001</v>
      </c>
      <c r="K41" s="383" t="s">
        <v>15</v>
      </c>
      <c r="L41" s="381"/>
      <c r="M41" s="383">
        <f>0.4*3.31</f>
        <v>1.3240000000000001</v>
      </c>
      <c r="N41" s="88" t="s">
        <v>270</v>
      </c>
      <c r="O41" s="386">
        <v>42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271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0.4*2.82</f>
        <v>1.1279999999999999</v>
      </c>
      <c r="K43" s="383" t="s">
        <v>15</v>
      </c>
      <c r="L43" s="381"/>
      <c r="M43" s="383" t="s">
        <v>85</v>
      </c>
      <c r="N43" s="88"/>
      <c r="O43" s="386" t="s">
        <v>85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85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0.4*2.7</f>
        <v>1.08</v>
      </c>
      <c r="K45" s="383" t="s">
        <v>15</v>
      </c>
      <c r="L45" s="381"/>
      <c r="M45" s="383" t="s">
        <v>85</v>
      </c>
      <c r="N45" s="88" t="s">
        <v>85</v>
      </c>
      <c r="O45" s="386" t="s">
        <v>85</v>
      </c>
      <c r="P45" s="44"/>
    </row>
    <row r="46" spans="1:16" ht="57.75" customHeight="1" thickBot="1">
      <c r="A46" s="14"/>
      <c r="B46" s="319" t="s">
        <v>58</v>
      </c>
      <c r="C46" s="237"/>
      <c r="D46" s="238">
        <v>0.05</v>
      </c>
      <c r="E46" s="239"/>
      <c r="F46" s="238">
        <v>0.05</v>
      </c>
      <c r="G46" s="240">
        <f t="shared" si="1"/>
        <v>0.05</v>
      </c>
      <c r="H46" s="184"/>
      <c r="I46" s="380"/>
      <c r="J46" s="382"/>
      <c r="K46" s="384"/>
      <c r="L46" s="382"/>
      <c r="M46" s="385"/>
      <c r="N46" s="27"/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0.4*4.79</f>
        <v>1.9160000000000001</v>
      </c>
      <c r="K47" s="383" t="s">
        <v>15</v>
      </c>
      <c r="L47" s="381"/>
      <c r="M47" s="383">
        <f>0.4*8.77</f>
        <v>3.508</v>
      </c>
      <c r="N47" s="88" t="s">
        <v>270</v>
      </c>
      <c r="O47" s="386">
        <v>97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271</v>
      </c>
      <c r="O48" s="387"/>
      <c r="P48" s="44"/>
    </row>
    <row r="49" spans="1:16" ht="38.25" thickBot="1">
      <c r="A49" s="14"/>
      <c r="B49" s="95" t="s">
        <v>255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0.4*3.35</f>
        <v>1.34</v>
      </c>
      <c r="K49" s="383" t="s">
        <v>15</v>
      </c>
      <c r="L49" s="344"/>
      <c r="M49" s="383">
        <f>0.4*2.16</f>
        <v>0.8640000000000001</v>
      </c>
      <c r="N49" s="88" t="s">
        <v>270</v>
      </c>
      <c r="O49" s="386">
        <v>85</v>
      </c>
      <c r="P49" s="44"/>
    </row>
    <row r="50" spans="1:16" ht="37.5">
      <c r="A50" s="14"/>
      <c r="B50" s="76" t="s">
        <v>22</v>
      </c>
      <c r="C50" s="97"/>
      <c r="D50" s="98">
        <v>1456</v>
      </c>
      <c r="E50" s="98">
        <v>6</v>
      </c>
      <c r="F50" s="98">
        <f>(D50*E50)*0.26</f>
        <v>2271.36</v>
      </c>
      <c r="G50" s="221"/>
      <c r="H50" s="222"/>
      <c r="I50" s="380"/>
      <c r="J50" s="382"/>
      <c r="K50" s="384"/>
      <c r="L50" s="346"/>
      <c r="M50" s="385"/>
      <c r="N50" s="27" t="s">
        <v>271</v>
      </c>
      <c r="O50" s="387"/>
      <c r="P50" s="44"/>
    </row>
    <row r="51" spans="1:16" ht="37.5">
      <c r="A51" s="14"/>
      <c r="B51" s="76" t="s">
        <v>24</v>
      </c>
      <c r="C51" s="97"/>
      <c r="D51" s="98">
        <v>935</v>
      </c>
      <c r="E51" s="98">
        <v>7</v>
      </c>
      <c r="F51" s="98">
        <f>(D51*E51)*0.26</f>
        <v>1701.7</v>
      </c>
      <c r="G51" s="99"/>
      <c r="H51" s="186"/>
      <c r="I51" s="372" t="s">
        <v>47</v>
      </c>
      <c r="J51" s="381">
        <f>0.4*2.29</f>
        <v>0.91600000000000004</v>
      </c>
      <c r="K51" s="383" t="s">
        <v>15</v>
      </c>
      <c r="L51" s="344"/>
      <c r="M51" s="383">
        <f>0.4*3.27</f>
        <v>1.3080000000000001</v>
      </c>
      <c r="N51" s="88" t="s">
        <v>270</v>
      </c>
      <c r="O51" s="386">
        <v>94</v>
      </c>
      <c r="P51" s="44"/>
    </row>
    <row r="52" spans="1:16" ht="37.5">
      <c r="A52" s="14"/>
      <c r="B52" s="76" t="s">
        <v>25</v>
      </c>
      <c r="C52" s="97"/>
      <c r="D52" s="98">
        <v>444</v>
      </c>
      <c r="E52" s="98">
        <v>8</v>
      </c>
      <c r="F52" s="98">
        <f>(D52*E52)*0.26</f>
        <v>923.52</v>
      </c>
      <c r="G52" s="99"/>
      <c r="H52" s="186"/>
      <c r="I52" s="380"/>
      <c r="J52" s="382"/>
      <c r="K52" s="384"/>
      <c r="L52" s="346"/>
      <c r="M52" s="385"/>
      <c r="N52" s="27" t="s">
        <v>271</v>
      </c>
      <c r="O52" s="387"/>
      <c r="P52" s="44"/>
    </row>
    <row r="53" spans="1:16" ht="37.5">
      <c r="A53" s="14"/>
      <c r="B53" s="76" t="s">
        <v>27</v>
      </c>
      <c r="C53" s="97"/>
      <c r="D53" s="98">
        <v>203</v>
      </c>
      <c r="E53" s="98">
        <v>19</v>
      </c>
      <c r="F53" s="98">
        <f>(D53*E53)*0.26</f>
        <v>1002.82</v>
      </c>
      <c r="G53" s="99"/>
      <c r="H53" s="186"/>
      <c r="I53" s="372" t="s">
        <v>50</v>
      </c>
      <c r="J53" s="381">
        <f>0.4*2.35</f>
        <v>0.94000000000000006</v>
      </c>
      <c r="K53" s="383" t="s">
        <v>15</v>
      </c>
      <c r="L53" s="344"/>
      <c r="M53" s="383">
        <f>0.4*4.01</f>
        <v>1.6040000000000001</v>
      </c>
      <c r="N53" s="88" t="s">
        <v>270</v>
      </c>
      <c r="O53" s="386">
        <v>40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2"/>
      <c r="K54" s="384"/>
      <c r="L54" s="346"/>
      <c r="M54" s="385"/>
      <c r="N54" s="27" t="s">
        <v>271</v>
      </c>
      <c r="O54" s="387"/>
      <c r="P54" s="44"/>
    </row>
    <row r="55" spans="1:16" ht="37.5">
      <c r="A55" s="15"/>
      <c r="B55" s="76" t="s">
        <v>48</v>
      </c>
      <c r="C55" s="100"/>
      <c r="D55" s="98">
        <v>133</v>
      </c>
      <c r="E55" s="98">
        <v>13</v>
      </c>
      <c r="F55" s="98">
        <f>(D55*E55)*0.13</f>
        <v>224.77</v>
      </c>
      <c r="G55" s="99"/>
      <c r="H55" s="186"/>
      <c r="I55" s="372" t="s">
        <v>53</v>
      </c>
      <c r="J55" s="381">
        <f>0.4*3.01</f>
        <v>1.204</v>
      </c>
      <c r="K55" s="383" t="s">
        <v>15</v>
      </c>
      <c r="L55" s="344"/>
      <c r="M55" s="383">
        <f>0.4*2.02</f>
        <v>0.80800000000000005</v>
      </c>
      <c r="N55" s="88" t="s">
        <v>270</v>
      </c>
      <c r="O55" s="386">
        <v>43</v>
      </c>
      <c r="P55" s="44"/>
    </row>
    <row r="56" spans="1:16" ht="37.5">
      <c r="A56" s="15"/>
      <c r="B56" s="76" t="s">
        <v>49</v>
      </c>
      <c r="C56" s="100"/>
      <c r="D56" s="98">
        <v>100</v>
      </c>
      <c r="E56" s="98">
        <v>7</v>
      </c>
      <c r="F56" s="98">
        <f t="shared" ref="F56:F61" si="2">(D56*E56)*0.13</f>
        <v>91</v>
      </c>
      <c r="G56" s="99"/>
      <c r="H56" s="186"/>
      <c r="I56" s="380"/>
      <c r="J56" s="382"/>
      <c r="K56" s="384"/>
      <c r="L56" s="346"/>
      <c r="M56" s="385"/>
      <c r="N56" s="27" t="s">
        <v>271</v>
      </c>
      <c r="O56" s="387"/>
      <c r="P56" s="44"/>
    </row>
    <row r="57" spans="1:16" ht="37.5">
      <c r="A57" s="15"/>
      <c r="B57" s="76" t="s">
        <v>51</v>
      </c>
      <c r="C57" s="100"/>
      <c r="D57" s="98">
        <v>85</v>
      </c>
      <c r="E57" s="98">
        <v>17</v>
      </c>
      <c r="F57" s="98">
        <f t="shared" si="2"/>
        <v>187.85</v>
      </c>
      <c r="G57" s="99"/>
      <c r="H57" s="186"/>
      <c r="I57" s="372" t="s">
        <v>8</v>
      </c>
      <c r="J57" s="374">
        <v>1.24</v>
      </c>
      <c r="K57" s="376"/>
      <c r="L57" s="101"/>
      <c r="M57" s="376">
        <v>1.48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75</v>
      </c>
      <c r="E58" s="98">
        <v>12</v>
      </c>
      <c r="F58" s="98">
        <f t="shared" si="2"/>
        <v>117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66</v>
      </c>
      <c r="E59" s="98">
        <v>15</v>
      </c>
      <c r="F59" s="98">
        <f t="shared" si="2"/>
        <v>128.70000000000002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61</v>
      </c>
      <c r="E60" s="98">
        <v>19</v>
      </c>
      <c r="F60" s="98">
        <f t="shared" si="2"/>
        <v>150.67000000000002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62</v>
      </c>
      <c r="E61" s="98">
        <v>15</v>
      </c>
      <c r="F61" s="98">
        <f t="shared" si="2"/>
        <v>120.9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6920.29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48" t="s">
        <v>13</v>
      </c>
      <c r="J64" s="29">
        <v>1.02</v>
      </c>
      <c r="K64" s="29">
        <v>0.81</v>
      </c>
      <c r="L64" s="119">
        <f>AVERAGE(J64:K64)</f>
        <v>0.91500000000000004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48" t="s">
        <v>16</v>
      </c>
      <c r="J65" s="29">
        <v>0.93</v>
      </c>
      <c r="K65" s="245">
        <v>1.23</v>
      </c>
      <c r="L65" s="208">
        <f>AVERAGE(J65:K65)</f>
        <v>1.08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255</v>
      </c>
      <c r="C68" s="120" t="s">
        <v>84</v>
      </c>
      <c r="D68" s="120" t="s">
        <v>260</v>
      </c>
      <c r="E68" s="116">
        <v>1378</v>
      </c>
      <c r="F68" s="29"/>
      <c r="G68" s="118"/>
      <c r="H68" s="190"/>
      <c r="I68" s="348" t="s">
        <v>67</v>
      </c>
      <c r="J68" s="348"/>
      <c r="K68" s="348"/>
      <c r="L68" s="126"/>
      <c r="M68" s="347"/>
      <c r="N68" s="127"/>
      <c r="O68" s="128"/>
      <c r="P68" s="44"/>
    </row>
    <row r="69" spans="1:16" ht="37.5">
      <c r="A69" s="15"/>
      <c r="B69" s="95" t="s">
        <v>255</v>
      </c>
      <c r="C69" s="120" t="s">
        <v>83</v>
      </c>
      <c r="D69" s="120" t="s">
        <v>256</v>
      </c>
      <c r="E69" s="116">
        <v>15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255</v>
      </c>
      <c r="C70" s="120" t="s">
        <v>83</v>
      </c>
      <c r="D70" s="120" t="s">
        <v>257</v>
      </c>
      <c r="E70" s="116">
        <v>34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76.349999999999994</v>
      </c>
      <c r="K72" s="29"/>
      <c r="L72" s="119">
        <f>AVERAGE(J72:K72)</f>
        <v>76.349999999999994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70.58</v>
      </c>
      <c r="K73" s="29"/>
      <c r="L73" s="119">
        <f>AVERAGE(J73:K73)</f>
        <v>70.58</v>
      </c>
      <c r="M73" s="135" t="s">
        <v>4</v>
      </c>
      <c r="N73" s="115" t="s">
        <v>4</v>
      </c>
      <c r="O73" s="33"/>
      <c r="P73" s="44"/>
    </row>
    <row r="74" spans="1:16" ht="39">
      <c r="A74" s="16"/>
      <c r="B74" s="111"/>
      <c r="C74" s="120"/>
      <c r="D74" s="120"/>
      <c r="E74" s="353"/>
      <c r="F74" s="134"/>
      <c r="G74" s="132" t="s">
        <v>4</v>
      </c>
      <c r="H74" s="194"/>
      <c r="I74" s="126" t="s">
        <v>71</v>
      </c>
      <c r="J74" s="27">
        <v>65.7</v>
      </c>
      <c r="K74" s="29">
        <v>65.2</v>
      </c>
      <c r="L74" s="119">
        <f>AVERAGE(J74:K74)</f>
        <v>65.45</v>
      </c>
      <c r="M74" s="115"/>
      <c r="N74" s="88"/>
      <c r="O74" s="33"/>
      <c r="P74" s="44"/>
    </row>
    <row r="75" spans="1:16" ht="39.75" thickBot="1">
      <c r="A75" s="16"/>
      <c r="B75" s="111" t="s">
        <v>70</v>
      </c>
      <c r="C75" s="120"/>
      <c r="D75" s="120"/>
      <c r="E75" s="352" t="s">
        <v>99</v>
      </c>
      <c r="F75" s="131"/>
      <c r="G75" s="139"/>
      <c r="H75" s="195"/>
      <c r="I75" s="178" t="s">
        <v>72</v>
      </c>
      <c r="J75" s="91">
        <v>64.7</v>
      </c>
      <c r="K75" s="27">
        <v>64.2</v>
      </c>
      <c r="L75" s="119">
        <f>AVERAGE(J75:K75)</f>
        <v>64.45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255</v>
      </c>
      <c r="C77" s="120" t="s">
        <v>83</v>
      </c>
      <c r="D77" s="120" t="s">
        <v>245</v>
      </c>
      <c r="E77" s="136">
        <v>0.98099999999999998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 t="s">
        <v>255</v>
      </c>
      <c r="C78" s="120" t="s">
        <v>83</v>
      </c>
      <c r="D78" s="120" t="s">
        <v>256</v>
      </c>
      <c r="E78" s="136">
        <v>0.77700000000000002</v>
      </c>
      <c r="F78" s="140"/>
      <c r="G78" s="141"/>
      <c r="H78" s="196"/>
      <c r="I78" s="347"/>
      <c r="J78" s="236" t="s">
        <v>66</v>
      </c>
      <c r="K78" s="236" t="s">
        <v>66</v>
      </c>
      <c r="L78" s="236" t="s">
        <v>66</v>
      </c>
      <c r="M78" s="113"/>
      <c r="N78" s="347"/>
      <c r="O78" s="147"/>
      <c r="P78" s="44"/>
    </row>
    <row r="79" spans="1:16" ht="39">
      <c r="A79" s="170"/>
      <c r="B79" s="95" t="s">
        <v>255</v>
      </c>
      <c r="C79" s="120" t="s">
        <v>83</v>
      </c>
      <c r="D79" s="120" t="s">
        <v>257</v>
      </c>
      <c r="E79" s="136">
        <v>0.52100000000000002</v>
      </c>
      <c r="F79" s="134"/>
      <c r="G79" s="141"/>
      <c r="H79" s="197"/>
      <c r="I79" s="181" t="s">
        <v>78</v>
      </c>
      <c r="J79" s="27">
        <f>0.77*0.4</f>
        <v>0.30800000000000005</v>
      </c>
      <c r="K79" s="27">
        <f>0.4*6.39</f>
        <v>2.556</v>
      </c>
      <c r="L79" s="119">
        <f>AVERAGE(J79:K79)</f>
        <v>1.4319999999999999</v>
      </c>
      <c r="M79" s="242"/>
      <c r="N79" s="51"/>
      <c r="O79" s="151"/>
      <c r="P79" s="44"/>
    </row>
    <row r="80" spans="1:16" ht="39.75" thickBot="1">
      <c r="A80" s="170"/>
      <c r="B80" s="95"/>
      <c r="C80" s="120"/>
      <c r="D80" s="120"/>
      <c r="E80" s="136"/>
      <c r="F80" s="134"/>
      <c r="G80" s="141"/>
      <c r="H80" s="197"/>
      <c r="I80" s="182" t="s">
        <v>79</v>
      </c>
      <c r="J80" s="34">
        <f>1.04*0.4</f>
        <v>0.41600000000000004</v>
      </c>
      <c r="K80" s="91">
        <f>0.4*1.64</f>
        <v>0.65600000000000003</v>
      </c>
      <c r="L80" s="119">
        <f>AVERAGE(J80:K80)</f>
        <v>0.53600000000000003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255</v>
      </c>
      <c r="C84" s="120" t="s">
        <v>83</v>
      </c>
      <c r="D84" s="120" t="s">
        <v>256</v>
      </c>
      <c r="E84" s="27">
        <v>3.46</v>
      </c>
      <c r="F84" s="131"/>
      <c r="G84" s="139"/>
      <c r="H84" s="197"/>
      <c r="I84" s="77" t="s">
        <v>93</v>
      </c>
      <c r="J84" s="32">
        <v>0.14000000000000001</v>
      </c>
      <c r="K84" s="32">
        <v>0.157</v>
      </c>
      <c r="L84" s="119">
        <f>AVERAGE(J84:K84)</f>
        <v>0.14850000000000002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255</v>
      </c>
      <c r="C85" s="120" t="s">
        <v>83</v>
      </c>
      <c r="D85" s="120" t="s">
        <v>257</v>
      </c>
      <c r="E85" s="169">
        <v>4.3899999999999997</v>
      </c>
      <c r="F85" s="131"/>
      <c r="G85" s="139"/>
      <c r="H85" s="197"/>
      <c r="I85" s="77" t="s">
        <v>92</v>
      </c>
      <c r="J85" s="211">
        <v>0.02</v>
      </c>
      <c r="K85" s="211">
        <v>0</v>
      </c>
      <c r="L85" s="119">
        <f>AVERAGE(J85:K85)</f>
        <v>0.01</v>
      </c>
      <c r="M85" s="51"/>
      <c r="N85" s="51"/>
      <c r="O85" s="151"/>
      <c r="P85" s="44"/>
      <c r="Q85" s="173"/>
      <c r="R85" s="173"/>
      <c r="S85" s="173"/>
      <c r="T85" s="173"/>
    </row>
    <row r="86" spans="1:20" ht="39">
      <c r="A86" s="170"/>
      <c r="B86" s="95"/>
      <c r="C86" s="120"/>
      <c r="D86" s="120"/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127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.75" thickBot="1">
      <c r="A89" s="170"/>
      <c r="B89" s="111" t="s">
        <v>82</v>
      </c>
      <c r="C89" s="120"/>
      <c r="D89" s="219" t="s">
        <v>99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4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130"/>
  <sheetViews>
    <sheetView view="pageBreakPreview" zoomScale="30" zoomScaleSheetLayoutView="30" workbookViewId="0">
      <selection activeCell="C3" sqref="C3:C5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398" t="s">
        <v>262</v>
      </c>
      <c r="D3" s="38"/>
      <c r="E3" s="39" t="s">
        <v>9</v>
      </c>
      <c r="F3" s="39"/>
      <c r="G3" s="39"/>
      <c r="H3" s="40"/>
      <c r="I3" s="41" t="s">
        <v>2</v>
      </c>
      <c r="J3" s="42" t="s">
        <v>272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398" t="s">
        <v>262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398" t="s">
        <v>273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1.28</v>
      </c>
      <c r="E7" s="21"/>
      <c r="F7" s="21">
        <v>1.1100000000000001</v>
      </c>
      <c r="G7" s="102">
        <f>AVERAGE(D7:F7)</f>
        <v>1.1950000000000001</v>
      </c>
      <c r="H7" s="184"/>
      <c r="I7" s="372" t="s">
        <v>98</v>
      </c>
      <c r="J7" s="383">
        <f>3.4*0.4</f>
        <v>1.36</v>
      </c>
      <c r="K7" s="383" t="s">
        <v>15</v>
      </c>
      <c r="L7" s="360"/>
      <c r="M7" s="383">
        <f>6.88*0.4</f>
        <v>2.7520000000000002</v>
      </c>
      <c r="N7" s="88" t="s">
        <v>274</v>
      </c>
      <c r="O7" s="386">
        <v>55</v>
      </c>
      <c r="P7" s="44"/>
    </row>
    <row r="8" spans="1:17" ht="38.25" thickBot="1">
      <c r="A8" s="12"/>
      <c r="B8" s="68" t="s">
        <v>16</v>
      </c>
      <c r="C8" s="69"/>
      <c r="D8" s="34">
        <v>1.33</v>
      </c>
      <c r="E8" s="23"/>
      <c r="F8" s="23">
        <v>0.54</v>
      </c>
      <c r="G8" s="124">
        <f>AVERAGE(D8:F8)</f>
        <v>0.93500000000000005</v>
      </c>
      <c r="H8" s="184"/>
      <c r="I8" s="380"/>
      <c r="J8" s="384"/>
      <c r="K8" s="384"/>
      <c r="L8" s="362"/>
      <c r="M8" s="385"/>
      <c r="N8" s="27" t="s">
        <v>275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2.56*0.4</f>
        <v>1.024</v>
      </c>
      <c r="K9" s="383" t="s">
        <v>15</v>
      </c>
      <c r="L9" s="383"/>
      <c r="M9" s="383">
        <f>2.18*0.4</f>
        <v>0.87200000000000011</v>
      </c>
      <c r="N9" s="88" t="s">
        <v>274</v>
      </c>
      <c r="O9" s="386">
        <v>70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275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2.65*0.4</f>
        <v>1.06</v>
      </c>
      <c r="K11" s="383" t="s">
        <v>15</v>
      </c>
      <c r="L11" s="360"/>
      <c r="M11" s="383">
        <f>2.83*0.4</f>
        <v>1.1320000000000001</v>
      </c>
      <c r="N11" s="88" t="s">
        <v>274</v>
      </c>
      <c r="O11" s="386">
        <v>97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62"/>
      <c r="M12" s="385"/>
      <c r="N12" s="27" t="s">
        <v>275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1.68*0.4</f>
        <v>0.67200000000000004</v>
      </c>
      <c r="K13" s="383" t="s">
        <v>15</v>
      </c>
      <c r="L13" s="360"/>
      <c r="M13" s="383">
        <f>2.75*0.4</f>
        <v>1.1000000000000001</v>
      </c>
      <c r="N13" s="88" t="s">
        <v>274</v>
      </c>
      <c r="O13" s="386">
        <v>91</v>
      </c>
      <c r="P13" s="44"/>
    </row>
    <row r="14" spans="1:17" ht="37.5">
      <c r="A14" s="11" t="s">
        <v>91</v>
      </c>
      <c r="B14" s="76" t="s">
        <v>21</v>
      </c>
      <c r="C14" s="120"/>
      <c r="D14" s="28">
        <f>3.19*0.4</f>
        <v>1.276</v>
      </c>
      <c r="E14" s="28"/>
      <c r="F14" s="28">
        <f>0.4*2.62</f>
        <v>1.048</v>
      </c>
      <c r="G14" s="33">
        <f t="shared" ref="G14:G27" si="0">AVERAGE(D14:F14)</f>
        <v>1.1619999999999999</v>
      </c>
      <c r="H14" s="184"/>
      <c r="I14" s="380"/>
      <c r="J14" s="384"/>
      <c r="K14" s="384"/>
      <c r="L14" s="362"/>
      <c r="M14" s="385"/>
      <c r="N14" s="27" t="s">
        <v>275</v>
      </c>
      <c r="O14" s="387"/>
      <c r="P14" s="44"/>
    </row>
    <row r="15" spans="1:17" ht="37.5">
      <c r="A15" s="11"/>
      <c r="B15" s="76" t="s">
        <v>97</v>
      </c>
      <c r="C15" s="29"/>
      <c r="D15" s="29">
        <f>2.91*0.4</f>
        <v>1.1640000000000001</v>
      </c>
      <c r="E15" s="28"/>
      <c r="F15" s="29">
        <f>0.4*1.76</f>
        <v>0.70400000000000007</v>
      </c>
      <c r="G15" s="33">
        <f t="shared" si="0"/>
        <v>0.93400000000000016</v>
      </c>
      <c r="H15" s="184" t="s">
        <v>4</v>
      </c>
      <c r="I15" s="390" t="s">
        <v>61</v>
      </c>
      <c r="J15" s="383">
        <f>3.05*0.4</f>
        <v>1.22</v>
      </c>
      <c r="K15" s="383" t="s">
        <v>15</v>
      </c>
      <c r="L15" s="360"/>
      <c r="M15" s="383">
        <f>3.58*0.4</f>
        <v>1.4320000000000002</v>
      </c>
      <c r="N15" s="88" t="s">
        <v>274</v>
      </c>
      <c r="O15" s="386">
        <v>93</v>
      </c>
      <c r="P15" s="44"/>
    </row>
    <row r="16" spans="1:17" ht="37.5">
      <c r="A16" s="11"/>
      <c r="B16" s="76" t="s">
        <v>22</v>
      </c>
      <c r="C16" s="28"/>
      <c r="D16" s="28">
        <f>1.78*0.4</f>
        <v>0.71200000000000008</v>
      </c>
      <c r="E16" s="29"/>
      <c r="F16" s="29">
        <f>0.4*1.59</f>
        <v>0.63600000000000012</v>
      </c>
      <c r="G16" s="33">
        <f t="shared" si="0"/>
        <v>0.67400000000000015</v>
      </c>
      <c r="H16" s="184"/>
      <c r="I16" s="391"/>
      <c r="J16" s="384"/>
      <c r="K16" s="384"/>
      <c r="L16" s="362"/>
      <c r="M16" s="385"/>
      <c r="N16" s="27" t="s">
        <v>275</v>
      </c>
      <c r="O16" s="387"/>
      <c r="P16" s="44"/>
    </row>
    <row r="17" spans="1:16" ht="37.5">
      <c r="A17" s="11"/>
      <c r="B17" s="76" t="s">
        <v>24</v>
      </c>
      <c r="C17" s="28"/>
      <c r="D17" s="28">
        <f>1.47*0.4</f>
        <v>0.58799999999999997</v>
      </c>
      <c r="E17" s="28"/>
      <c r="F17" s="29">
        <f>0.4*1.43</f>
        <v>0.57199999999999995</v>
      </c>
      <c r="G17" s="33">
        <f t="shared" si="0"/>
        <v>0.57999999999999996</v>
      </c>
      <c r="H17" s="184"/>
      <c r="I17" s="372" t="s">
        <v>62</v>
      </c>
      <c r="J17" s="383">
        <f>5.34*0.4</f>
        <v>2.1360000000000001</v>
      </c>
      <c r="K17" s="383" t="s">
        <v>15</v>
      </c>
      <c r="L17" s="360"/>
      <c r="M17" s="383">
        <f>4.73*0.4</f>
        <v>1.8920000000000003</v>
      </c>
      <c r="N17" s="88" t="s">
        <v>274</v>
      </c>
      <c r="O17" s="386">
        <v>77</v>
      </c>
      <c r="P17" s="44"/>
    </row>
    <row r="18" spans="1:16" ht="37.5">
      <c r="A18" s="11"/>
      <c r="B18" s="76" t="s">
        <v>25</v>
      </c>
      <c r="C18" s="29"/>
      <c r="D18" s="28">
        <f>1.17*0.4</f>
        <v>0.46799999999999997</v>
      </c>
      <c r="E18" s="28"/>
      <c r="F18" s="29">
        <f>0.4*1.27</f>
        <v>0.50800000000000001</v>
      </c>
      <c r="G18" s="33">
        <f t="shared" si="0"/>
        <v>0.48799999999999999</v>
      </c>
      <c r="H18" s="184"/>
      <c r="I18" s="380"/>
      <c r="J18" s="384"/>
      <c r="K18" s="384"/>
      <c r="L18" s="362"/>
      <c r="M18" s="385"/>
      <c r="N18" s="27" t="s">
        <v>275</v>
      </c>
      <c r="O18" s="387"/>
      <c r="P18" s="44"/>
    </row>
    <row r="19" spans="1:16" ht="37.5">
      <c r="A19" s="11"/>
      <c r="B19" s="76" t="s">
        <v>27</v>
      </c>
      <c r="C19" s="29"/>
      <c r="D19" s="28">
        <f>1.11*0.4</f>
        <v>0.44400000000000006</v>
      </c>
      <c r="E19" s="29"/>
      <c r="F19" s="29">
        <f>0.4*1.2</f>
        <v>0.48</v>
      </c>
      <c r="G19" s="33">
        <f t="shared" si="0"/>
        <v>0.46200000000000002</v>
      </c>
      <c r="H19" s="184"/>
      <c r="I19" s="372" t="s">
        <v>63</v>
      </c>
      <c r="J19" s="383">
        <f>3.11*0.4</f>
        <v>1.244</v>
      </c>
      <c r="K19" s="383" t="s">
        <v>15</v>
      </c>
      <c r="L19" s="360"/>
      <c r="M19" s="383">
        <f>2.67*0.4</f>
        <v>1.0680000000000001</v>
      </c>
      <c r="N19" s="88" t="s">
        <v>274</v>
      </c>
      <c r="O19" s="386">
        <v>71</v>
      </c>
      <c r="P19" s="44"/>
    </row>
    <row r="20" spans="1:16" ht="37.5">
      <c r="A20" s="11"/>
      <c r="B20" s="76" t="s">
        <v>29</v>
      </c>
      <c r="C20" s="28"/>
      <c r="D20" s="28">
        <f>1.19*0.4</f>
        <v>0.47599999999999998</v>
      </c>
      <c r="E20" s="29"/>
      <c r="F20" s="29">
        <f>0.4*1.17</f>
        <v>0.46799999999999997</v>
      </c>
      <c r="G20" s="33">
        <f t="shared" si="0"/>
        <v>0.47199999999999998</v>
      </c>
      <c r="H20" s="184"/>
      <c r="I20" s="380"/>
      <c r="J20" s="384"/>
      <c r="K20" s="384"/>
      <c r="L20" s="362"/>
      <c r="M20" s="385"/>
      <c r="N20" s="27" t="s">
        <v>275</v>
      </c>
      <c r="O20" s="387"/>
      <c r="P20" s="44"/>
    </row>
    <row r="21" spans="1:16" ht="37.5">
      <c r="A21" s="11"/>
      <c r="B21" s="76" t="s">
        <v>30</v>
      </c>
      <c r="C21" s="28"/>
      <c r="D21" s="28">
        <f>1.13*0.4</f>
        <v>0.45199999999999996</v>
      </c>
      <c r="E21" s="28"/>
      <c r="F21" s="29">
        <f>0.4*0.99</f>
        <v>0.39600000000000002</v>
      </c>
      <c r="G21" s="33">
        <f t="shared" si="0"/>
        <v>0.42399999999999999</v>
      </c>
      <c r="H21" s="184"/>
      <c r="I21" s="372" t="s">
        <v>14</v>
      </c>
      <c r="J21" s="383">
        <f>3.74*0.4</f>
        <v>1.4960000000000002</v>
      </c>
      <c r="K21" s="383" t="s">
        <v>15</v>
      </c>
      <c r="L21" s="360"/>
      <c r="M21" s="383">
        <f>1.51*0.4</f>
        <v>0.60400000000000009</v>
      </c>
      <c r="N21" s="88" t="s">
        <v>274</v>
      </c>
      <c r="O21" s="386">
        <v>70</v>
      </c>
      <c r="P21" s="44"/>
    </row>
    <row r="22" spans="1:16" ht="37.5">
      <c r="A22" s="11"/>
      <c r="B22" s="76" t="s">
        <v>32</v>
      </c>
      <c r="C22" s="78"/>
      <c r="D22" s="28">
        <f>1.15*0.4</f>
        <v>0.45999999999999996</v>
      </c>
      <c r="E22" s="28"/>
      <c r="F22" s="29">
        <f>0.4*0.96</f>
        <v>0.38400000000000001</v>
      </c>
      <c r="G22" s="33">
        <f t="shared" si="0"/>
        <v>0.42199999999999999</v>
      </c>
      <c r="H22" s="184"/>
      <c r="I22" s="380"/>
      <c r="J22" s="384"/>
      <c r="K22" s="384"/>
      <c r="L22" s="362"/>
      <c r="M22" s="385"/>
      <c r="N22" s="27" t="s">
        <v>275</v>
      </c>
      <c r="O22" s="387"/>
      <c r="P22" s="44"/>
    </row>
    <row r="23" spans="1:16" ht="37.5">
      <c r="A23" s="11"/>
      <c r="B23" s="76" t="s">
        <v>33</v>
      </c>
      <c r="C23" s="28"/>
      <c r="D23" s="28">
        <f>1.11*0.4</f>
        <v>0.44400000000000006</v>
      </c>
      <c r="E23" s="28"/>
      <c r="F23" s="28">
        <f>0.4*1.01</f>
        <v>0.40400000000000003</v>
      </c>
      <c r="G23" s="33">
        <f t="shared" si="0"/>
        <v>0.42400000000000004</v>
      </c>
      <c r="H23" s="184"/>
      <c r="I23" s="372" t="s">
        <v>17</v>
      </c>
      <c r="J23" s="383">
        <f>4.33*0.4</f>
        <v>1.7320000000000002</v>
      </c>
      <c r="K23" s="383" t="s">
        <v>15</v>
      </c>
      <c r="L23" s="360"/>
      <c r="M23" s="383">
        <f>1.55*0.4</f>
        <v>0.62000000000000011</v>
      </c>
      <c r="N23" s="88" t="s">
        <v>274</v>
      </c>
      <c r="O23" s="386">
        <v>24</v>
      </c>
      <c r="P23" s="44"/>
    </row>
    <row r="24" spans="1:16" ht="37.5">
      <c r="A24" s="11"/>
      <c r="B24" s="76" t="s">
        <v>35</v>
      </c>
      <c r="C24" s="29"/>
      <c r="D24" s="28">
        <f>1.07*0.4</f>
        <v>0.42800000000000005</v>
      </c>
      <c r="E24" s="28"/>
      <c r="F24" s="28">
        <f>0.4*0.95</f>
        <v>0.38</v>
      </c>
      <c r="G24" s="33">
        <f t="shared" si="0"/>
        <v>0.40400000000000003</v>
      </c>
      <c r="H24" s="184"/>
      <c r="I24" s="380"/>
      <c r="J24" s="384"/>
      <c r="K24" s="384"/>
      <c r="L24" s="362"/>
      <c r="M24" s="385"/>
      <c r="N24" s="27" t="s">
        <v>275</v>
      </c>
      <c r="O24" s="387"/>
      <c r="P24" s="44"/>
    </row>
    <row r="25" spans="1:16" ht="37.5">
      <c r="A25" s="11"/>
      <c r="B25" s="76" t="s">
        <v>36</v>
      </c>
      <c r="C25" s="27"/>
      <c r="D25" s="28">
        <f>1.01*0.4</f>
        <v>0.40400000000000003</v>
      </c>
      <c r="E25" s="28"/>
      <c r="F25" s="28">
        <f>0.4*0.93</f>
        <v>0.37200000000000005</v>
      </c>
      <c r="G25" s="33">
        <f t="shared" si="0"/>
        <v>0.38800000000000001</v>
      </c>
      <c r="H25" s="184"/>
      <c r="I25" s="372" t="s">
        <v>18</v>
      </c>
      <c r="J25" s="383">
        <f>3.38*0.4</f>
        <v>1.3520000000000001</v>
      </c>
      <c r="K25" s="383" t="s">
        <v>15</v>
      </c>
      <c r="L25" s="360"/>
      <c r="M25" s="383">
        <f>4.12*0.4</f>
        <v>1.6480000000000001</v>
      </c>
      <c r="N25" s="88" t="s">
        <v>274</v>
      </c>
      <c r="O25" s="386">
        <v>79</v>
      </c>
      <c r="P25" s="44"/>
    </row>
    <row r="26" spans="1:16" ht="37.5">
      <c r="A26" s="11"/>
      <c r="B26" s="76" t="s">
        <v>38</v>
      </c>
      <c r="C26" s="27"/>
      <c r="D26" s="28">
        <f>0.98*0.4</f>
        <v>0.39200000000000002</v>
      </c>
      <c r="E26" s="28"/>
      <c r="F26" s="29">
        <f>0.4*0.89</f>
        <v>0.35600000000000004</v>
      </c>
      <c r="G26" s="33">
        <f t="shared" si="0"/>
        <v>0.374</v>
      </c>
      <c r="H26" s="184"/>
      <c r="I26" s="380"/>
      <c r="J26" s="384"/>
      <c r="K26" s="384"/>
      <c r="L26" s="362"/>
      <c r="M26" s="385"/>
      <c r="N26" s="27" t="s">
        <v>275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0.95*0.4</f>
        <v>0.38</v>
      </c>
      <c r="E27" s="30"/>
      <c r="F27" s="29">
        <f>0.4*0.85</f>
        <v>0.34</v>
      </c>
      <c r="G27" s="33">
        <f t="shared" si="0"/>
        <v>0.36</v>
      </c>
      <c r="H27" s="184"/>
      <c r="I27" s="372" t="s">
        <v>20</v>
      </c>
      <c r="J27" s="383"/>
      <c r="K27" s="383" t="s">
        <v>15</v>
      </c>
      <c r="L27" s="360"/>
      <c r="M27" s="383">
        <f>3.05*0.4</f>
        <v>1.22</v>
      </c>
      <c r="N27" s="88" t="s">
        <v>274</v>
      </c>
      <c r="O27" s="386">
        <v>47</v>
      </c>
      <c r="P27" s="44"/>
    </row>
    <row r="28" spans="1:16" ht="38.25" thickBot="1">
      <c r="A28" s="11"/>
      <c r="B28" s="17"/>
      <c r="C28" s="18"/>
      <c r="D28" s="19" t="s">
        <v>269</v>
      </c>
      <c r="E28" s="18"/>
      <c r="F28" s="19"/>
      <c r="G28" s="20"/>
      <c r="H28" s="184"/>
      <c r="I28" s="380"/>
      <c r="J28" s="384"/>
      <c r="K28" s="384"/>
      <c r="L28" s="362"/>
      <c r="M28" s="385"/>
      <c r="N28" s="27" t="s">
        <v>275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/>
      <c r="K29" s="383" t="s">
        <v>15</v>
      </c>
      <c r="L29" s="81"/>
      <c r="M29" s="381">
        <f>2.69*0.4</f>
        <v>1.0760000000000001</v>
      </c>
      <c r="N29" s="88" t="s">
        <v>274</v>
      </c>
      <c r="O29" s="386">
        <v>60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275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0.39</v>
      </c>
      <c r="E31" s="28"/>
      <c r="F31" s="234">
        <v>0.41</v>
      </c>
      <c r="G31" s="33">
        <f t="shared" ref="G31:G46" si="1">AVERAGE(D31:F31)</f>
        <v>0.4</v>
      </c>
      <c r="H31" s="184"/>
      <c r="I31" s="372" t="s">
        <v>8</v>
      </c>
      <c r="J31" s="376">
        <v>1.33</v>
      </c>
      <c r="K31" s="360"/>
      <c r="L31" s="86"/>
      <c r="M31" s="376">
        <v>1.28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0.55000000000000004</v>
      </c>
      <c r="E32" s="28"/>
      <c r="F32" s="29">
        <v>0.52</v>
      </c>
      <c r="G32" s="33">
        <f t="shared" si="1"/>
        <v>0.53500000000000003</v>
      </c>
      <c r="H32" s="184"/>
      <c r="I32" s="380"/>
      <c r="J32" s="388"/>
      <c r="K32" s="361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0.21</v>
      </c>
      <c r="E33" s="29"/>
      <c r="F33" s="29">
        <v>0.26</v>
      </c>
      <c r="G33" s="33">
        <f t="shared" si="1"/>
        <v>0.23499999999999999</v>
      </c>
      <c r="H33" s="184"/>
      <c r="I33" s="372" t="s">
        <v>26</v>
      </c>
      <c r="J33" s="381" t="s">
        <v>85</v>
      </c>
      <c r="K33" s="383" t="s">
        <v>85</v>
      </c>
      <c r="L33" s="381"/>
      <c r="M33" s="383">
        <f>0.4*0.69</f>
        <v>0.27599999999999997</v>
      </c>
      <c r="N33" s="88" t="s">
        <v>270</v>
      </c>
      <c r="O33" s="386">
        <v>56</v>
      </c>
      <c r="P33" s="44"/>
    </row>
    <row r="34" spans="1:16" ht="37.5">
      <c r="A34" s="11"/>
      <c r="B34" s="76" t="s">
        <v>24</v>
      </c>
      <c r="C34" s="29"/>
      <c r="D34" s="29">
        <v>0.31</v>
      </c>
      <c r="E34" s="28"/>
      <c r="F34" s="29">
        <v>0.2</v>
      </c>
      <c r="G34" s="33">
        <f t="shared" si="1"/>
        <v>0.255</v>
      </c>
      <c r="H34" s="184"/>
      <c r="I34" s="380"/>
      <c r="J34" s="382"/>
      <c r="K34" s="384"/>
      <c r="L34" s="382"/>
      <c r="M34" s="385"/>
      <c r="N34" s="27" t="s">
        <v>271</v>
      </c>
      <c r="O34" s="387"/>
      <c r="P34" s="44"/>
    </row>
    <row r="35" spans="1:16" ht="37.5">
      <c r="A35" s="11"/>
      <c r="B35" s="76" t="s">
        <v>25</v>
      </c>
      <c r="C35" s="29"/>
      <c r="D35" s="29">
        <v>0.23</v>
      </c>
      <c r="E35" s="28"/>
      <c r="F35" s="29">
        <v>0.16</v>
      </c>
      <c r="G35" s="33">
        <f t="shared" si="1"/>
        <v>0.19500000000000001</v>
      </c>
      <c r="H35" s="184"/>
      <c r="I35" s="372" t="s">
        <v>28</v>
      </c>
      <c r="J35" s="381">
        <f>0.4*2.95</f>
        <v>1.1800000000000002</v>
      </c>
      <c r="K35" s="383" t="s">
        <v>15</v>
      </c>
      <c r="L35" s="381"/>
      <c r="M35" s="383">
        <f>0.4*0.79</f>
        <v>0.31600000000000006</v>
      </c>
      <c r="N35" s="88" t="s">
        <v>270</v>
      </c>
      <c r="O35" s="386">
        <v>69</v>
      </c>
      <c r="P35" s="44"/>
    </row>
    <row r="36" spans="1:16" ht="37.5">
      <c r="A36" s="11"/>
      <c r="B36" s="76" t="s">
        <v>27</v>
      </c>
      <c r="C36" s="29"/>
      <c r="D36" s="29">
        <v>0.12</v>
      </c>
      <c r="E36" s="29"/>
      <c r="F36" s="29">
        <v>0.08</v>
      </c>
      <c r="G36" s="33">
        <f t="shared" si="1"/>
        <v>0.1</v>
      </c>
      <c r="H36" s="184"/>
      <c r="I36" s="380"/>
      <c r="J36" s="382"/>
      <c r="K36" s="384"/>
      <c r="L36" s="382"/>
      <c r="M36" s="385"/>
      <c r="N36" s="27" t="s">
        <v>271</v>
      </c>
      <c r="O36" s="387"/>
      <c r="P36" s="44"/>
    </row>
    <row r="37" spans="1:16" ht="37.5">
      <c r="A37" s="11"/>
      <c r="B37" s="76" t="s">
        <v>46</v>
      </c>
      <c r="C37" s="29"/>
      <c r="D37" s="29">
        <v>7.0000000000000007E-2</v>
      </c>
      <c r="E37" s="29"/>
      <c r="F37" s="29">
        <v>0.03</v>
      </c>
      <c r="G37" s="33">
        <f t="shared" si="1"/>
        <v>0.05</v>
      </c>
      <c r="H37" s="184"/>
      <c r="I37" s="372" t="s">
        <v>31</v>
      </c>
      <c r="J37" s="383">
        <f>0.4*0.78</f>
        <v>0.31200000000000006</v>
      </c>
      <c r="K37" s="383" t="s">
        <v>15</v>
      </c>
      <c r="L37" s="381"/>
      <c r="M37" s="383">
        <f>0.4*0.94</f>
        <v>0.376</v>
      </c>
      <c r="N37" s="88" t="s">
        <v>270</v>
      </c>
      <c r="O37" s="386">
        <v>55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0.02</v>
      </c>
      <c r="G38" s="33">
        <f t="shared" si="1"/>
        <v>0.01</v>
      </c>
      <c r="H38" s="184"/>
      <c r="I38" s="380"/>
      <c r="J38" s="385"/>
      <c r="K38" s="384"/>
      <c r="L38" s="382"/>
      <c r="M38" s="385"/>
      <c r="N38" s="27" t="s">
        <v>271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3">
        <f>0.4*2.8</f>
        <v>1.1199999999999999</v>
      </c>
      <c r="K39" s="383" t="s">
        <v>15</v>
      </c>
      <c r="L39" s="381"/>
      <c r="M39" s="383">
        <f>0.4*0.97</f>
        <v>0.38800000000000001</v>
      </c>
      <c r="N39" s="88" t="s">
        <v>270</v>
      </c>
      <c r="O39" s="386">
        <v>80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5"/>
      <c r="K40" s="384"/>
      <c r="L40" s="382"/>
      <c r="M40" s="385"/>
      <c r="N40" s="27" t="s">
        <v>271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3">
        <f>0.4*1.39</f>
        <v>0.55599999999999994</v>
      </c>
      <c r="K41" s="383" t="s">
        <v>15</v>
      </c>
      <c r="L41" s="381"/>
      <c r="M41" s="383">
        <f>0.4*0.95</f>
        <v>0.38</v>
      </c>
      <c r="N41" s="88" t="s">
        <v>270</v>
      </c>
      <c r="O41" s="386">
        <v>90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5"/>
      <c r="K42" s="384"/>
      <c r="L42" s="382"/>
      <c r="M42" s="385"/>
      <c r="N42" s="27" t="s">
        <v>271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3">
        <f>0.4*1.44</f>
        <v>0.57599999999999996</v>
      </c>
      <c r="K43" s="383" t="s">
        <v>15</v>
      </c>
      <c r="L43" s="381"/>
      <c r="M43" s="383">
        <f>0.4*0.95</f>
        <v>0.38</v>
      </c>
      <c r="N43" s="88" t="s">
        <v>270</v>
      </c>
      <c r="O43" s="386">
        <v>40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5"/>
      <c r="K44" s="384"/>
      <c r="L44" s="382"/>
      <c r="M44" s="385"/>
      <c r="N44" s="27" t="s">
        <v>271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3">
        <f>0.4*1.06</f>
        <v>0.42400000000000004</v>
      </c>
      <c r="K45" s="383" t="s">
        <v>15</v>
      </c>
      <c r="L45" s="381"/>
      <c r="M45" s="383">
        <f>0.4*3.34</f>
        <v>1.3360000000000001</v>
      </c>
      <c r="N45" s="88" t="s">
        <v>270</v>
      </c>
      <c r="O45" s="386">
        <v>60</v>
      </c>
      <c r="P45" s="44"/>
    </row>
    <row r="46" spans="1:16" ht="57.75" customHeight="1" thickBot="1">
      <c r="A46" s="14"/>
      <c r="B46" s="319" t="s">
        <v>58</v>
      </c>
      <c r="C46" s="237"/>
      <c r="D46" s="238">
        <v>0.06</v>
      </c>
      <c r="E46" s="239"/>
      <c r="F46" s="238">
        <v>0.08</v>
      </c>
      <c r="G46" s="240">
        <f t="shared" si="1"/>
        <v>7.0000000000000007E-2</v>
      </c>
      <c r="H46" s="184"/>
      <c r="I46" s="380"/>
      <c r="J46" s="385"/>
      <c r="K46" s="384"/>
      <c r="L46" s="382"/>
      <c r="M46" s="385"/>
      <c r="N46" s="27" t="s">
        <v>271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3">
        <f>0.4*1.01</f>
        <v>0.40400000000000003</v>
      </c>
      <c r="K47" s="383" t="s">
        <v>15</v>
      </c>
      <c r="L47" s="381"/>
      <c r="M47" s="383">
        <f>0.4*2.78</f>
        <v>1.1119999999999999</v>
      </c>
      <c r="N47" s="88" t="s">
        <v>277</v>
      </c>
      <c r="O47" s="386">
        <v>43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5"/>
      <c r="K48" s="384"/>
      <c r="L48" s="382"/>
      <c r="M48" s="385"/>
      <c r="N48" s="27" t="s">
        <v>278</v>
      </c>
      <c r="O48" s="387"/>
      <c r="P48" s="44"/>
    </row>
    <row r="49" spans="1:16" ht="38.25" thickBot="1">
      <c r="A49" s="14"/>
      <c r="B49" s="95" t="s">
        <v>262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3">
        <f>0.4*0.96</f>
        <v>0.38400000000000001</v>
      </c>
      <c r="K49" s="383" t="s">
        <v>15</v>
      </c>
      <c r="L49" s="360"/>
      <c r="M49" s="383">
        <f>0.4*6.92</f>
        <v>2.7680000000000002</v>
      </c>
      <c r="N49" s="88" t="s">
        <v>277</v>
      </c>
      <c r="O49" s="386">
        <v>57</v>
      </c>
      <c r="P49" s="44"/>
    </row>
    <row r="50" spans="1:16" ht="37.5">
      <c r="A50" s="14"/>
      <c r="B50" s="76" t="s">
        <v>22</v>
      </c>
      <c r="C50" s="97"/>
      <c r="D50" s="98">
        <v>1280</v>
      </c>
      <c r="E50" s="98">
        <v>7</v>
      </c>
      <c r="F50" s="98">
        <f>(D50*E50)*0.26</f>
        <v>2329.6</v>
      </c>
      <c r="G50" s="221"/>
      <c r="H50" s="222"/>
      <c r="I50" s="380"/>
      <c r="J50" s="385"/>
      <c r="K50" s="384"/>
      <c r="L50" s="362"/>
      <c r="M50" s="385"/>
      <c r="N50" s="27" t="s">
        <v>278</v>
      </c>
      <c r="O50" s="387"/>
      <c r="P50" s="44"/>
    </row>
    <row r="51" spans="1:16" ht="37.5">
      <c r="A51" s="14"/>
      <c r="B51" s="76" t="s">
        <v>24</v>
      </c>
      <c r="C51" s="97"/>
      <c r="D51" s="98">
        <v>498</v>
      </c>
      <c r="E51" s="98">
        <v>20</v>
      </c>
      <c r="F51" s="98">
        <f>(D51*E51)*0.26</f>
        <v>2589.6</v>
      </c>
      <c r="G51" s="99"/>
      <c r="H51" s="186"/>
      <c r="I51" s="372" t="s">
        <v>47</v>
      </c>
      <c r="J51" s="383">
        <f>0.4*0.67</f>
        <v>0.26800000000000002</v>
      </c>
      <c r="K51" s="383" t="s">
        <v>15</v>
      </c>
      <c r="L51" s="360"/>
      <c r="M51" s="383">
        <f>0.4*5.13</f>
        <v>2.052</v>
      </c>
      <c r="N51" s="88" t="s">
        <v>277</v>
      </c>
      <c r="O51" s="386">
        <v>70</v>
      </c>
      <c r="P51" s="44"/>
    </row>
    <row r="52" spans="1:16" ht="37.5">
      <c r="A52" s="14"/>
      <c r="B52" s="76" t="s">
        <v>25</v>
      </c>
      <c r="C52" s="97"/>
      <c r="D52" s="98">
        <v>238</v>
      </c>
      <c r="E52" s="98">
        <v>8</v>
      </c>
      <c r="F52" s="98">
        <f>(D52*E52)*0.26</f>
        <v>495.04</v>
      </c>
      <c r="G52" s="99"/>
      <c r="H52" s="186"/>
      <c r="I52" s="380"/>
      <c r="J52" s="385"/>
      <c r="K52" s="384"/>
      <c r="L52" s="362"/>
      <c r="M52" s="385"/>
      <c r="N52" s="27" t="s">
        <v>278</v>
      </c>
      <c r="O52" s="387"/>
      <c r="P52" s="44"/>
    </row>
    <row r="53" spans="1:16" ht="37.5">
      <c r="A53" s="14"/>
      <c r="B53" s="76" t="s">
        <v>27</v>
      </c>
      <c r="C53" s="97"/>
      <c r="D53" s="98">
        <v>220</v>
      </c>
      <c r="E53" s="98">
        <v>8</v>
      </c>
      <c r="F53" s="98">
        <f>(D53*E53)*0.26</f>
        <v>457.6</v>
      </c>
      <c r="G53" s="99"/>
      <c r="H53" s="186"/>
      <c r="I53" s="372" t="s">
        <v>50</v>
      </c>
      <c r="J53" s="383">
        <f>0.4*0.85</f>
        <v>0.34</v>
      </c>
      <c r="K53" s="383" t="s">
        <v>15</v>
      </c>
      <c r="L53" s="360"/>
      <c r="M53" s="383">
        <f>0.4*5.12</f>
        <v>2.048</v>
      </c>
      <c r="N53" s="88" t="s">
        <v>277</v>
      </c>
      <c r="O53" s="386">
        <v>90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5"/>
      <c r="K54" s="384"/>
      <c r="L54" s="362"/>
      <c r="M54" s="385"/>
      <c r="N54" s="27" t="s">
        <v>278</v>
      </c>
      <c r="O54" s="387"/>
      <c r="P54" s="44"/>
    </row>
    <row r="55" spans="1:16" ht="37.5">
      <c r="A55" s="15"/>
      <c r="B55" s="76" t="s">
        <v>48</v>
      </c>
      <c r="C55" s="100"/>
      <c r="D55" s="98">
        <v>149</v>
      </c>
      <c r="E55" s="98">
        <v>11</v>
      </c>
      <c r="F55" s="98">
        <f>(D55*E55)*0.13</f>
        <v>213.07</v>
      </c>
      <c r="G55" s="99"/>
      <c r="H55" s="186"/>
      <c r="I55" s="372" t="s">
        <v>53</v>
      </c>
      <c r="J55" s="383">
        <f>0.4*0.95</f>
        <v>0.38</v>
      </c>
      <c r="K55" s="383" t="s">
        <v>15</v>
      </c>
      <c r="L55" s="360"/>
      <c r="M55" s="383">
        <f>0.4*4.77</f>
        <v>1.9079999999999999</v>
      </c>
      <c r="N55" s="88" t="s">
        <v>277</v>
      </c>
      <c r="O55" s="386">
        <v>70</v>
      </c>
      <c r="P55" s="44"/>
    </row>
    <row r="56" spans="1:16" ht="37.5">
      <c r="A56" s="15"/>
      <c r="B56" s="76" t="s">
        <v>49</v>
      </c>
      <c r="C56" s="100"/>
      <c r="D56" s="98">
        <v>76</v>
      </c>
      <c r="E56" s="98">
        <v>12</v>
      </c>
      <c r="F56" s="98">
        <f t="shared" ref="F56:F61" si="2">(D56*E56)*0.13</f>
        <v>118.56</v>
      </c>
      <c r="G56" s="99"/>
      <c r="H56" s="186"/>
      <c r="I56" s="380"/>
      <c r="J56" s="385"/>
      <c r="K56" s="384"/>
      <c r="L56" s="362"/>
      <c r="M56" s="385"/>
      <c r="N56" s="27" t="s">
        <v>278</v>
      </c>
      <c r="O56" s="387"/>
      <c r="P56" s="44"/>
    </row>
    <row r="57" spans="1:16" ht="37.5">
      <c r="A57" s="15"/>
      <c r="B57" s="76" t="s">
        <v>51</v>
      </c>
      <c r="C57" s="100"/>
      <c r="D57" s="98">
        <v>58</v>
      </c>
      <c r="E57" s="98">
        <v>10</v>
      </c>
      <c r="F57" s="98">
        <f t="shared" si="2"/>
        <v>75.400000000000006</v>
      </c>
      <c r="G57" s="99"/>
      <c r="H57" s="186"/>
      <c r="I57" s="372" t="s">
        <v>8</v>
      </c>
      <c r="J57" s="374">
        <v>0.54</v>
      </c>
      <c r="K57" s="376"/>
      <c r="L57" s="101"/>
      <c r="M57" s="376">
        <v>1.1100000000000001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52</v>
      </c>
      <c r="E58" s="98">
        <v>9</v>
      </c>
      <c r="F58" s="98">
        <f t="shared" si="2"/>
        <v>60.84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45</v>
      </c>
      <c r="E59" s="98">
        <v>15</v>
      </c>
      <c r="F59" s="98">
        <f t="shared" si="2"/>
        <v>87.75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34</v>
      </c>
      <c r="E60" s="98">
        <v>20</v>
      </c>
      <c r="F60" s="98">
        <f t="shared" si="2"/>
        <v>88.4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39</v>
      </c>
      <c r="E61" s="98">
        <v>12</v>
      </c>
      <c r="F61" s="98">
        <f t="shared" si="2"/>
        <v>60.84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6576.7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67" t="s">
        <v>13</v>
      </c>
      <c r="J64" s="29">
        <v>0.81</v>
      </c>
      <c r="K64" s="29">
        <v>1.21</v>
      </c>
      <c r="L64" s="119">
        <f>AVERAGE(J64:K64)</f>
        <v>1.01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67" t="s">
        <v>16</v>
      </c>
      <c r="J65" s="29">
        <v>0.9</v>
      </c>
      <c r="K65" s="245">
        <v>0.9</v>
      </c>
      <c r="L65" s="208">
        <f>AVERAGE(J65:K65)</f>
        <v>0.9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262</v>
      </c>
      <c r="C68" s="120" t="s">
        <v>84</v>
      </c>
      <c r="D68" s="120" t="s">
        <v>276</v>
      </c>
      <c r="E68" s="116">
        <v>1576</v>
      </c>
      <c r="F68" s="29"/>
      <c r="G68" s="118"/>
      <c r="H68" s="190"/>
      <c r="I68" s="367" t="s">
        <v>67</v>
      </c>
      <c r="J68" s="367"/>
      <c r="K68" s="367"/>
      <c r="L68" s="126"/>
      <c r="M68" s="366"/>
      <c r="N68" s="127"/>
      <c r="O68" s="128"/>
      <c r="P68" s="44"/>
    </row>
    <row r="69" spans="1:16" ht="37.5">
      <c r="A69" s="15"/>
      <c r="B69" s="95" t="s">
        <v>262</v>
      </c>
      <c r="C69" s="120" t="s">
        <v>84</v>
      </c>
      <c r="D69" s="120" t="s">
        <v>279</v>
      </c>
      <c r="E69" s="116">
        <v>1060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262</v>
      </c>
      <c r="C70" s="120" t="s">
        <v>83</v>
      </c>
      <c r="D70" s="120" t="s">
        <v>260</v>
      </c>
      <c r="E70" s="116">
        <v>15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89.87</v>
      </c>
      <c r="K72" s="29"/>
      <c r="L72" s="119">
        <f>AVERAGE(J72:K72)</f>
        <v>89.87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94.63</v>
      </c>
      <c r="K73" s="29"/>
      <c r="L73" s="119">
        <f>AVERAGE(J73:K73)</f>
        <v>94.63</v>
      </c>
      <c r="M73" s="135" t="s">
        <v>4</v>
      </c>
      <c r="N73" s="115" t="s">
        <v>4</v>
      </c>
      <c r="O73" s="33"/>
      <c r="P73" s="44"/>
    </row>
    <row r="74" spans="1:16" ht="39">
      <c r="A74" s="16"/>
      <c r="B74" s="111"/>
      <c r="C74" s="120"/>
      <c r="D74" s="120"/>
      <c r="E74" s="353"/>
      <c r="F74" s="134"/>
      <c r="G74" s="132" t="s">
        <v>4</v>
      </c>
      <c r="H74" s="194"/>
      <c r="I74" s="126" t="s">
        <v>71</v>
      </c>
      <c r="J74" s="27">
        <v>71.900000000000006</v>
      </c>
      <c r="K74" s="29">
        <v>61.85</v>
      </c>
      <c r="L74" s="119">
        <f>AVERAGE(J74:K74)</f>
        <v>66.875</v>
      </c>
      <c r="M74" s="115"/>
      <c r="N74" s="88"/>
      <c r="O74" s="33"/>
      <c r="P74" s="44"/>
    </row>
    <row r="75" spans="1:16" ht="39.75" thickBot="1">
      <c r="A75" s="16"/>
      <c r="B75" s="111" t="s">
        <v>70</v>
      </c>
      <c r="C75" s="120"/>
      <c r="D75" s="120"/>
      <c r="E75" s="352" t="s">
        <v>99</v>
      </c>
      <c r="F75" s="131"/>
      <c r="G75" s="139"/>
      <c r="H75" s="195"/>
      <c r="I75" s="178" t="s">
        <v>72</v>
      </c>
      <c r="J75" s="91">
        <v>67.8</v>
      </c>
      <c r="K75" s="27">
        <v>63.25</v>
      </c>
      <c r="L75" s="119">
        <f>AVERAGE(J75:K75)</f>
        <v>65.525000000000006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262</v>
      </c>
      <c r="C77" s="120" t="s">
        <v>83</v>
      </c>
      <c r="D77" s="120" t="s">
        <v>260</v>
      </c>
      <c r="E77" s="136">
        <v>0.83020000000000005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36"/>
      <c r="F78" s="140"/>
      <c r="G78" s="141"/>
      <c r="H78" s="196"/>
      <c r="I78" s="366"/>
      <c r="J78" s="236" t="s">
        <v>66</v>
      </c>
      <c r="K78" s="236" t="s">
        <v>66</v>
      </c>
      <c r="L78" s="236" t="s">
        <v>66</v>
      </c>
      <c r="M78" s="113"/>
      <c r="N78" s="366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366" t="s">
        <v>78</v>
      </c>
      <c r="J79" s="27">
        <f>2.14*0.4</f>
        <v>0.85600000000000009</v>
      </c>
      <c r="K79" s="27" t="s">
        <v>85</v>
      </c>
      <c r="L79" s="119">
        <f>AVERAGE(J79:K79)</f>
        <v>0.85600000000000009</v>
      </c>
      <c r="M79" s="242"/>
      <c r="N79" s="51"/>
      <c r="O79" s="151"/>
      <c r="P79" s="44"/>
    </row>
    <row r="80" spans="1:16" ht="39.75" thickBot="1">
      <c r="A80" s="170"/>
      <c r="B80" s="95"/>
      <c r="C80" s="120"/>
      <c r="D80" s="120"/>
      <c r="E80" s="136"/>
      <c r="F80" s="134"/>
      <c r="G80" s="141"/>
      <c r="H80" s="197"/>
      <c r="I80" s="148" t="s">
        <v>79</v>
      </c>
      <c r="J80" s="34">
        <f>2.23*0.4</f>
        <v>0.89200000000000002</v>
      </c>
      <c r="K80" s="91" t="s">
        <v>85</v>
      </c>
      <c r="L80" s="119">
        <f>AVERAGE(J80:K80)</f>
        <v>0.89200000000000002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255</v>
      </c>
      <c r="C84" s="120" t="s">
        <v>83</v>
      </c>
      <c r="D84" s="120" t="s">
        <v>260</v>
      </c>
      <c r="E84" s="27">
        <v>4.3499999999999996</v>
      </c>
      <c r="F84" s="131"/>
      <c r="G84" s="139"/>
      <c r="H84" s="197"/>
      <c r="I84" s="77" t="s">
        <v>93</v>
      </c>
      <c r="J84" s="29">
        <v>0.14000000000000001</v>
      </c>
      <c r="K84" s="29">
        <v>0.13700000000000001</v>
      </c>
      <c r="L84" s="119">
        <f>AVERAGE(J84:K84)</f>
        <v>0.13850000000000001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255</v>
      </c>
      <c r="C85" s="120" t="s">
        <v>83</v>
      </c>
      <c r="D85" s="120" t="s">
        <v>276</v>
      </c>
      <c r="E85" s="169">
        <v>3.82</v>
      </c>
      <c r="F85" s="131"/>
      <c r="G85" s="139"/>
      <c r="H85" s="197"/>
      <c r="I85" s="77" t="s">
        <v>92</v>
      </c>
      <c r="J85" s="365">
        <v>0</v>
      </c>
      <c r="K85" s="365">
        <v>0</v>
      </c>
      <c r="L85" s="119">
        <f>AVERAGE(J85:K85)</f>
        <v>0</v>
      </c>
      <c r="M85" s="51"/>
      <c r="N85" s="51"/>
      <c r="O85" s="151"/>
      <c r="P85" s="44"/>
      <c r="Q85" s="173"/>
      <c r="R85" s="173"/>
      <c r="S85" s="173"/>
      <c r="T85" s="173"/>
    </row>
    <row r="86" spans="1:20" ht="39">
      <c r="A86" s="170"/>
      <c r="B86" s="95"/>
      <c r="C86" s="120"/>
      <c r="D86" s="120"/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127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.75" thickBot="1">
      <c r="A89" s="170"/>
      <c r="B89" s="111" t="s">
        <v>82</v>
      </c>
      <c r="C89" s="120"/>
      <c r="D89" s="219" t="s">
        <v>99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68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4">
    <mergeCell ref="J55:J56"/>
    <mergeCell ref="M33:M34"/>
    <mergeCell ref="M35:M36"/>
    <mergeCell ref="H91:I91"/>
    <mergeCell ref="G93:H93"/>
    <mergeCell ref="J37:J38"/>
    <mergeCell ref="J39:J40"/>
    <mergeCell ref="J41:J42"/>
    <mergeCell ref="J43:J44"/>
    <mergeCell ref="J45:J46"/>
    <mergeCell ref="J47:J48"/>
    <mergeCell ref="J49:J50"/>
    <mergeCell ref="J51:J52"/>
    <mergeCell ref="I55:I56"/>
    <mergeCell ref="K55:K56"/>
    <mergeCell ref="M55:M56"/>
    <mergeCell ref="O55:O56"/>
    <mergeCell ref="I57:I58"/>
    <mergeCell ref="J57:J58"/>
    <mergeCell ref="K57:K58"/>
    <mergeCell ref="M57:M58"/>
    <mergeCell ref="N57:N58"/>
    <mergeCell ref="O57:O58"/>
    <mergeCell ref="I51:I52"/>
    <mergeCell ref="K51:K52"/>
    <mergeCell ref="M51:M52"/>
    <mergeCell ref="O51:O52"/>
    <mergeCell ref="I53:I54"/>
    <mergeCell ref="K53:K54"/>
    <mergeCell ref="M53:M54"/>
    <mergeCell ref="O53:O54"/>
    <mergeCell ref="J53:J54"/>
    <mergeCell ref="I47:I48"/>
    <mergeCell ref="K47:K48"/>
    <mergeCell ref="L47:L48"/>
    <mergeCell ref="M47:M48"/>
    <mergeCell ref="O47:O48"/>
    <mergeCell ref="I49:I50"/>
    <mergeCell ref="K49:K50"/>
    <mergeCell ref="M49:M50"/>
    <mergeCell ref="O49:O50"/>
    <mergeCell ref="I43:I44"/>
    <mergeCell ref="K43:K44"/>
    <mergeCell ref="L43:L44"/>
    <mergeCell ref="M43:M44"/>
    <mergeCell ref="O43:O44"/>
    <mergeCell ref="I45:I46"/>
    <mergeCell ref="K45:K46"/>
    <mergeCell ref="L45:L46"/>
    <mergeCell ref="M45:M46"/>
    <mergeCell ref="O45:O46"/>
    <mergeCell ref="I39:I40"/>
    <mergeCell ref="K39:K40"/>
    <mergeCell ref="L39:L40"/>
    <mergeCell ref="M39:M40"/>
    <mergeCell ref="O39:O40"/>
    <mergeCell ref="I41:I42"/>
    <mergeCell ref="K41:K42"/>
    <mergeCell ref="L41:L42"/>
    <mergeCell ref="M41:M42"/>
    <mergeCell ref="O41:O42"/>
    <mergeCell ref="I35:I36"/>
    <mergeCell ref="J35:J36"/>
    <mergeCell ref="K35:K36"/>
    <mergeCell ref="L35:L36"/>
    <mergeCell ref="O35:O36"/>
    <mergeCell ref="I37:I38"/>
    <mergeCell ref="K37:K38"/>
    <mergeCell ref="L37:L38"/>
    <mergeCell ref="M37:M38"/>
    <mergeCell ref="O37:O38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O33:O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30"/>
  <sheetViews>
    <sheetView tabSelected="1" view="pageBreakPreview" zoomScale="30" zoomScaleSheetLayoutView="30" workbookViewId="0">
      <selection activeCell="P1" sqref="P1"/>
    </sheetView>
  </sheetViews>
  <sheetFormatPr defaultRowHeight="15"/>
  <cols>
    <col min="1" max="1" width="2.85546875" customWidth="1"/>
    <col min="2" max="2" width="62.7109375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23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398" t="s">
        <v>262</v>
      </c>
      <c r="D3" s="38"/>
      <c r="E3" s="39" t="s">
        <v>9</v>
      </c>
      <c r="F3" s="39"/>
      <c r="G3" s="39"/>
      <c r="H3" s="40"/>
      <c r="I3" s="41" t="s">
        <v>2</v>
      </c>
      <c r="J3" s="42" t="s">
        <v>272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398" t="s">
        <v>262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398" t="s">
        <v>273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1.28</v>
      </c>
      <c r="E7" s="21"/>
      <c r="F7" s="21">
        <v>1.1100000000000001</v>
      </c>
      <c r="G7" s="102">
        <f>AVERAGE(D7:F7)</f>
        <v>1.1950000000000001</v>
      </c>
      <c r="H7" s="184"/>
      <c r="I7" s="372" t="s">
        <v>98</v>
      </c>
      <c r="J7" s="383">
        <f>3.4*0.4</f>
        <v>1.36</v>
      </c>
      <c r="K7" s="383" t="s">
        <v>15</v>
      </c>
      <c r="L7" s="354"/>
      <c r="M7" s="383">
        <f>6.88*0.4</f>
        <v>2.7520000000000002</v>
      </c>
      <c r="N7" s="88" t="s">
        <v>274</v>
      </c>
      <c r="O7" s="386">
        <v>55</v>
      </c>
      <c r="P7" s="44"/>
    </row>
    <row r="8" spans="1:17" ht="38.25" thickBot="1">
      <c r="A8" s="12"/>
      <c r="B8" s="68" t="s">
        <v>16</v>
      </c>
      <c r="C8" s="69"/>
      <c r="D8" s="34">
        <v>1.33</v>
      </c>
      <c r="E8" s="23"/>
      <c r="F8" s="23">
        <v>0.54</v>
      </c>
      <c r="G8" s="124">
        <f>AVERAGE(D8:F8)</f>
        <v>0.93500000000000005</v>
      </c>
      <c r="H8" s="184"/>
      <c r="I8" s="380"/>
      <c r="J8" s="384"/>
      <c r="K8" s="384"/>
      <c r="L8" s="356"/>
      <c r="M8" s="385"/>
      <c r="N8" s="27" t="s">
        <v>275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2.56*0.4</f>
        <v>1.024</v>
      </c>
      <c r="K9" s="383" t="s">
        <v>15</v>
      </c>
      <c r="L9" s="383"/>
      <c r="M9" s="383">
        <f>2.18*0.4</f>
        <v>0.87200000000000011</v>
      </c>
      <c r="N9" s="88" t="s">
        <v>274</v>
      </c>
      <c r="O9" s="386">
        <v>70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275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2.65*0.4</f>
        <v>1.06</v>
      </c>
      <c r="K11" s="383" t="s">
        <v>15</v>
      </c>
      <c r="L11" s="354"/>
      <c r="M11" s="383">
        <f>2.83*0.4</f>
        <v>1.1320000000000001</v>
      </c>
      <c r="N11" s="88" t="s">
        <v>274</v>
      </c>
      <c r="O11" s="386">
        <v>97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56"/>
      <c r="M12" s="385"/>
      <c r="N12" s="27" t="s">
        <v>275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1.68*0.4</f>
        <v>0.67200000000000004</v>
      </c>
      <c r="K13" s="383" t="s">
        <v>15</v>
      </c>
      <c r="L13" s="354"/>
      <c r="M13" s="383">
        <f>2.75*0.4</f>
        <v>1.1000000000000001</v>
      </c>
      <c r="N13" s="88" t="s">
        <v>274</v>
      </c>
      <c r="O13" s="386">
        <v>91</v>
      </c>
      <c r="P13" s="44"/>
    </row>
    <row r="14" spans="1:17" ht="37.5">
      <c r="A14" s="11" t="s">
        <v>91</v>
      </c>
      <c r="B14" s="76" t="s">
        <v>21</v>
      </c>
      <c r="C14" s="120"/>
      <c r="D14" s="28">
        <f>3.19*0.4</f>
        <v>1.276</v>
      </c>
      <c r="E14" s="28"/>
      <c r="F14" s="28">
        <f>0.4*2.62</f>
        <v>1.048</v>
      </c>
      <c r="G14" s="33">
        <f t="shared" ref="G14:G27" si="0">AVERAGE(D14:F14)</f>
        <v>1.1619999999999999</v>
      </c>
      <c r="H14" s="184"/>
      <c r="I14" s="380"/>
      <c r="J14" s="384"/>
      <c r="K14" s="384"/>
      <c r="L14" s="356"/>
      <c r="M14" s="385"/>
      <c r="N14" s="27" t="s">
        <v>275</v>
      </c>
      <c r="O14" s="387"/>
      <c r="P14" s="44"/>
    </row>
    <row r="15" spans="1:17" ht="37.5">
      <c r="A15" s="11"/>
      <c r="B15" s="76" t="s">
        <v>97</v>
      </c>
      <c r="C15" s="29"/>
      <c r="D15" s="29">
        <f>2.91*0.4</f>
        <v>1.1640000000000001</v>
      </c>
      <c r="E15" s="28"/>
      <c r="F15" s="29">
        <f>0.4*1.76</f>
        <v>0.70400000000000007</v>
      </c>
      <c r="G15" s="33">
        <f t="shared" si="0"/>
        <v>0.93400000000000016</v>
      </c>
      <c r="H15" s="184" t="s">
        <v>4</v>
      </c>
      <c r="I15" s="390" t="s">
        <v>61</v>
      </c>
      <c r="J15" s="383">
        <f>3.05*0.4</f>
        <v>1.22</v>
      </c>
      <c r="K15" s="383" t="s">
        <v>15</v>
      </c>
      <c r="L15" s="354"/>
      <c r="M15" s="383">
        <f>3.58*0.4</f>
        <v>1.4320000000000002</v>
      </c>
      <c r="N15" s="88" t="s">
        <v>274</v>
      </c>
      <c r="O15" s="386">
        <v>93</v>
      </c>
      <c r="P15" s="44"/>
    </row>
    <row r="16" spans="1:17" ht="37.5">
      <c r="A16" s="11"/>
      <c r="B16" s="76" t="s">
        <v>22</v>
      </c>
      <c r="C16" s="28"/>
      <c r="D16" s="28">
        <f>1.78*0.4</f>
        <v>0.71200000000000008</v>
      </c>
      <c r="E16" s="29"/>
      <c r="F16" s="29">
        <f>0.4*1.59</f>
        <v>0.63600000000000012</v>
      </c>
      <c r="G16" s="33">
        <f t="shared" si="0"/>
        <v>0.67400000000000015</v>
      </c>
      <c r="H16" s="184"/>
      <c r="I16" s="391"/>
      <c r="J16" s="384"/>
      <c r="K16" s="384"/>
      <c r="L16" s="356"/>
      <c r="M16" s="385"/>
      <c r="N16" s="27" t="s">
        <v>275</v>
      </c>
      <c r="O16" s="387"/>
      <c r="P16" s="44"/>
    </row>
    <row r="17" spans="1:16" ht="37.5">
      <c r="A17" s="11"/>
      <c r="B17" s="76" t="s">
        <v>24</v>
      </c>
      <c r="C17" s="28"/>
      <c r="D17" s="28">
        <f>1.47*0.4</f>
        <v>0.58799999999999997</v>
      </c>
      <c r="E17" s="28"/>
      <c r="F17" s="29">
        <f>0.4*1.43</f>
        <v>0.57199999999999995</v>
      </c>
      <c r="G17" s="33">
        <f t="shared" si="0"/>
        <v>0.57999999999999996</v>
      </c>
      <c r="H17" s="184"/>
      <c r="I17" s="372" t="s">
        <v>62</v>
      </c>
      <c r="J17" s="383">
        <f>5.34*0.4</f>
        <v>2.1360000000000001</v>
      </c>
      <c r="K17" s="383" t="s">
        <v>15</v>
      </c>
      <c r="L17" s="354"/>
      <c r="M17" s="383">
        <f>4.73*0.4</f>
        <v>1.8920000000000003</v>
      </c>
      <c r="N17" s="88" t="s">
        <v>274</v>
      </c>
      <c r="O17" s="386">
        <v>77</v>
      </c>
      <c r="P17" s="44"/>
    </row>
    <row r="18" spans="1:16" ht="37.5">
      <c r="A18" s="11"/>
      <c r="B18" s="76" t="s">
        <v>25</v>
      </c>
      <c r="C18" s="29"/>
      <c r="D18" s="28">
        <f>1.17*0.4</f>
        <v>0.46799999999999997</v>
      </c>
      <c r="E18" s="28"/>
      <c r="F18" s="29">
        <f>0.4*1.27</f>
        <v>0.50800000000000001</v>
      </c>
      <c r="G18" s="33">
        <f t="shared" si="0"/>
        <v>0.48799999999999999</v>
      </c>
      <c r="H18" s="184"/>
      <c r="I18" s="380"/>
      <c r="J18" s="384"/>
      <c r="K18" s="384"/>
      <c r="L18" s="356"/>
      <c r="M18" s="385"/>
      <c r="N18" s="27" t="s">
        <v>275</v>
      </c>
      <c r="O18" s="387"/>
      <c r="P18" s="44"/>
    </row>
    <row r="19" spans="1:16" ht="37.5">
      <c r="A19" s="11"/>
      <c r="B19" s="76" t="s">
        <v>27</v>
      </c>
      <c r="C19" s="29"/>
      <c r="D19" s="28">
        <f>1.11*0.4</f>
        <v>0.44400000000000006</v>
      </c>
      <c r="E19" s="29"/>
      <c r="F19" s="29">
        <f>0.4*1.2</f>
        <v>0.48</v>
      </c>
      <c r="G19" s="33">
        <f t="shared" si="0"/>
        <v>0.46200000000000002</v>
      </c>
      <c r="H19" s="184"/>
      <c r="I19" s="372" t="s">
        <v>63</v>
      </c>
      <c r="J19" s="383">
        <f>3.11*0.4</f>
        <v>1.244</v>
      </c>
      <c r="K19" s="383" t="s">
        <v>15</v>
      </c>
      <c r="L19" s="354"/>
      <c r="M19" s="383">
        <f>2.67*0.4</f>
        <v>1.0680000000000001</v>
      </c>
      <c r="N19" s="88" t="s">
        <v>274</v>
      </c>
      <c r="O19" s="386">
        <v>71</v>
      </c>
      <c r="P19" s="44"/>
    </row>
    <row r="20" spans="1:16" ht="37.5">
      <c r="A20" s="11"/>
      <c r="B20" s="76" t="s">
        <v>29</v>
      </c>
      <c r="C20" s="28"/>
      <c r="D20" s="28">
        <f>1.19*0.4</f>
        <v>0.47599999999999998</v>
      </c>
      <c r="E20" s="29"/>
      <c r="F20" s="29">
        <f>0.4*1.17</f>
        <v>0.46799999999999997</v>
      </c>
      <c r="G20" s="33">
        <f t="shared" si="0"/>
        <v>0.47199999999999998</v>
      </c>
      <c r="H20" s="184"/>
      <c r="I20" s="380"/>
      <c r="J20" s="384"/>
      <c r="K20" s="384"/>
      <c r="L20" s="356"/>
      <c r="M20" s="385"/>
      <c r="N20" s="27" t="s">
        <v>275</v>
      </c>
      <c r="O20" s="387"/>
      <c r="P20" s="44"/>
    </row>
    <row r="21" spans="1:16" ht="37.5">
      <c r="A21" s="11"/>
      <c r="B21" s="76" t="s">
        <v>30</v>
      </c>
      <c r="C21" s="28"/>
      <c r="D21" s="28">
        <f>1.13*0.4</f>
        <v>0.45199999999999996</v>
      </c>
      <c r="E21" s="28"/>
      <c r="F21" s="29">
        <f>0.4*0.99</f>
        <v>0.39600000000000002</v>
      </c>
      <c r="G21" s="33">
        <f t="shared" si="0"/>
        <v>0.42399999999999999</v>
      </c>
      <c r="H21" s="184"/>
      <c r="I21" s="372" t="s">
        <v>14</v>
      </c>
      <c r="J21" s="383">
        <f>3.74*0.4</f>
        <v>1.4960000000000002</v>
      </c>
      <c r="K21" s="383" t="s">
        <v>15</v>
      </c>
      <c r="L21" s="354"/>
      <c r="M21" s="383">
        <f>1.51*0.4</f>
        <v>0.60400000000000009</v>
      </c>
      <c r="N21" s="88" t="s">
        <v>274</v>
      </c>
      <c r="O21" s="386">
        <v>70</v>
      </c>
      <c r="P21" s="44"/>
    </row>
    <row r="22" spans="1:16" ht="37.5">
      <c r="A22" s="11"/>
      <c r="B22" s="76" t="s">
        <v>32</v>
      </c>
      <c r="C22" s="78"/>
      <c r="D22" s="28">
        <f>1.15*0.4</f>
        <v>0.45999999999999996</v>
      </c>
      <c r="E22" s="28"/>
      <c r="F22" s="29">
        <f>0.4*0.96</f>
        <v>0.38400000000000001</v>
      </c>
      <c r="G22" s="33">
        <f t="shared" si="0"/>
        <v>0.42199999999999999</v>
      </c>
      <c r="H22" s="184"/>
      <c r="I22" s="380"/>
      <c r="J22" s="384"/>
      <c r="K22" s="384"/>
      <c r="L22" s="356"/>
      <c r="M22" s="385"/>
      <c r="N22" s="27" t="s">
        <v>275</v>
      </c>
      <c r="O22" s="387"/>
      <c r="P22" s="44"/>
    </row>
    <row r="23" spans="1:16" ht="37.5">
      <c r="A23" s="11"/>
      <c r="B23" s="76" t="s">
        <v>33</v>
      </c>
      <c r="C23" s="28"/>
      <c r="D23" s="28">
        <f>1.11*0.4</f>
        <v>0.44400000000000006</v>
      </c>
      <c r="E23" s="28"/>
      <c r="F23" s="28">
        <f>0.4*1.01</f>
        <v>0.40400000000000003</v>
      </c>
      <c r="G23" s="33">
        <f t="shared" si="0"/>
        <v>0.42400000000000004</v>
      </c>
      <c r="H23" s="184"/>
      <c r="I23" s="372" t="s">
        <v>17</v>
      </c>
      <c r="J23" s="383">
        <f>4.33*0.4</f>
        <v>1.7320000000000002</v>
      </c>
      <c r="K23" s="383" t="s">
        <v>15</v>
      </c>
      <c r="L23" s="354"/>
      <c r="M23" s="383">
        <f>1.55*0.4</f>
        <v>0.62000000000000011</v>
      </c>
      <c r="N23" s="88" t="s">
        <v>274</v>
      </c>
      <c r="O23" s="386">
        <v>24</v>
      </c>
      <c r="P23" s="44"/>
    </row>
    <row r="24" spans="1:16" ht="37.5">
      <c r="A24" s="11"/>
      <c r="B24" s="76" t="s">
        <v>35</v>
      </c>
      <c r="C24" s="29"/>
      <c r="D24" s="28">
        <f>1.07*0.4</f>
        <v>0.42800000000000005</v>
      </c>
      <c r="E24" s="28"/>
      <c r="F24" s="28">
        <f>0.4*0.95</f>
        <v>0.38</v>
      </c>
      <c r="G24" s="33">
        <f t="shared" si="0"/>
        <v>0.40400000000000003</v>
      </c>
      <c r="H24" s="184"/>
      <c r="I24" s="380"/>
      <c r="J24" s="384"/>
      <c r="K24" s="384"/>
      <c r="L24" s="356"/>
      <c r="M24" s="385"/>
      <c r="N24" s="27" t="s">
        <v>275</v>
      </c>
      <c r="O24" s="387"/>
      <c r="P24" s="44"/>
    </row>
    <row r="25" spans="1:16" ht="37.5">
      <c r="A25" s="11"/>
      <c r="B25" s="76" t="s">
        <v>36</v>
      </c>
      <c r="C25" s="27"/>
      <c r="D25" s="28">
        <f>1.01*0.4</f>
        <v>0.40400000000000003</v>
      </c>
      <c r="E25" s="28"/>
      <c r="F25" s="28">
        <f>0.4*0.93</f>
        <v>0.37200000000000005</v>
      </c>
      <c r="G25" s="33">
        <f t="shared" si="0"/>
        <v>0.38800000000000001</v>
      </c>
      <c r="H25" s="184"/>
      <c r="I25" s="372" t="s">
        <v>18</v>
      </c>
      <c r="J25" s="383">
        <f>3.38*0.4</f>
        <v>1.3520000000000001</v>
      </c>
      <c r="K25" s="383" t="s">
        <v>15</v>
      </c>
      <c r="L25" s="354"/>
      <c r="M25" s="383">
        <f>4.12*0.4</f>
        <v>1.6480000000000001</v>
      </c>
      <c r="N25" s="88" t="s">
        <v>274</v>
      </c>
      <c r="O25" s="386">
        <v>79</v>
      </c>
      <c r="P25" s="44"/>
    </row>
    <row r="26" spans="1:16" ht="37.5">
      <c r="A26" s="11"/>
      <c r="B26" s="76" t="s">
        <v>38</v>
      </c>
      <c r="C26" s="27"/>
      <c r="D26" s="28">
        <f>0.98*0.4</f>
        <v>0.39200000000000002</v>
      </c>
      <c r="E26" s="28"/>
      <c r="F26" s="29">
        <f>0.4*0.89</f>
        <v>0.35600000000000004</v>
      </c>
      <c r="G26" s="33">
        <f t="shared" si="0"/>
        <v>0.374</v>
      </c>
      <c r="H26" s="184"/>
      <c r="I26" s="380"/>
      <c r="J26" s="384"/>
      <c r="K26" s="384"/>
      <c r="L26" s="356"/>
      <c r="M26" s="385"/>
      <c r="N26" s="27" t="s">
        <v>275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0.95*0.4</f>
        <v>0.38</v>
      </c>
      <c r="E27" s="30"/>
      <c r="F27" s="29">
        <f>0.4*0.85</f>
        <v>0.34</v>
      </c>
      <c r="G27" s="33">
        <f t="shared" si="0"/>
        <v>0.36</v>
      </c>
      <c r="H27" s="184"/>
      <c r="I27" s="372" t="s">
        <v>20</v>
      </c>
      <c r="J27" s="383"/>
      <c r="K27" s="383" t="s">
        <v>15</v>
      </c>
      <c r="L27" s="354"/>
      <c r="M27" s="383">
        <f>3.05*0.4</f>
        <v>1.22</v>
      </c>
      <c r="N27" s="88" t="s">
        <v>274</v>
      </c>
      <c r="O27" s="386">
        <v>47</v>
      </c>
      <c r="P27" s="44"/>
    </row>
    <row r="28" spans="1:16" ht="38.25" thickBot="1">
      <c r="A28" s="11"/>
      <c r="B28" s="17"/>
      <c r="C28" s="18"/>
      <c r="D28" s="19" t="s">
        <v>269</v>
      </c>
      <c r="E28" s="18"/>
      <c r="F28" s="19"/>
      <c r="G28" s="20"/>
      <c r="H28" s="184"/>
      <c r="I28" s="380"/>
      <c r="J28" s="384"/>
      <c r="K28" s="384"/>
      <c r="L28" s="356"/>
      <c r="M28" s="385"/>
      <c r="N28" s="27" t="s">
        <v>275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/>
      <c r="K29" s="383" t="s">
        <v>15</v>
      </c>
      <c r="L29" s="81"/>
      <c r="M29" s="381">
        <f>2.69*0.4</f>
        <v>1.0760000000000001</v>
      </c>
      <c r="N29" s="88" t="s">
        <v>274</v>
      </c>
      <c r="O29" s="386">
        <v>60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2"/>
      <c r="N30" s="27" t="s">
        <v>275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0.39</v>
      </c>
      <c r="E31" s="28"/>
      <c r="F31" s="234">
        <v>0.41</v>
      </c>
      <c r="G31" s="33">
        <f t="shared" ref="G31:G46" si="1">AVERAGE(D31:F31)</f>
        <v>0.4</v>
      </c>
      <c r="H31" s="184"/>
      <c r="I31" s="372" t="s">
        <v>8</v>
      </c>
      <c r="J31" s="376">
        <v>1.33</v>
      </c>
      <c r="K31" s="354"/>
      <c r="L31" s="86"/>
      <c r="M31" s="376">
        <v>1.28</v>
      </c>
      <c r="N31" s="385"/>
      <c r="O31" s="386"/>
      <c r="P31" s="44"/>
    </row>
    <row r="32" spans="1:16" ht="37.5">
      <c r="A32" s="11"/>
      <c r="B32" s="76" t="s">
        <v>97</v>
      </c>
      <c r="C32" s="29"/>
      <c r="D32" s="29">
        <v>0.55000000000000004</v>
      </c>
      <c r="E32" s="28"/>
      <c r="F32" s="29">
        <v>0.52</v>
      </c>
      <c r="G32" s="33">
        <f t="shared" si="1"/>
        <v>0.53500000000000003</v>
      </c>
      <c r="H32" s="184"/>
      <c r="I32" s="380"/>
      <c r="J32" s="388"/>
      <c r="K32" s="35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0.21</v>
      </c>
      <c r="E33" s="29"/>
      <c r="F33" s="29">
        <v>0.26</v>
      </c>
      <c r="G33" s="33">
        <f t="shared" si="1"/>
        <v>0.23499999999999999</v>
      </c>
      <c r="H33" s="184"/>
      <c r="I33" s="372" t="s">
        <v>26</v>
      </c>
      <c r="J33" s="381" t="s">
        <v>85</v>
      </c>
      <c r="K33" s="383" t="s">
        <v>85</v>
      </c>
      <c r="L33" s="381"/>
      <c r="M33" s="383">
        <f>0.4*0.69</f>
        <v>0.27599999999999997</v>
      </c>
      <c r="N33" s="88" t="s">
        <v>270</v>
      </c>
      <c r="O33" s="386">
        <v>56</v>
      </c>
      <c r="P33" s="44"/>
    </row>
    <row r="34" spans="1:16" ht="37.5">
      <c r="A34" s="11"/>
      <c r="B34" s="76" t="s">
        <v>24</v>
      </c>
      <c r="C34" s="29"/>
      <c r="D34" s="29">
        <v>0.31</v>
      </c>
      <c r="E34" s="28"/>
      <c r="F34" s="29">
        <v>0.2</v>
      </c>
      <c r="G34" s="33">
        <f t="shared" si="1"/>
        <v>0.255</v>
      </c>
      <c r="H34" s="184"/>
      <c r="I34" s="380"/>
      <c r="J34" s="382"/>
      <c r="K34" s="384"/>
      <c r="L34" s="382"/>
      <c r="M34" s="385"/>
      <c r="N34" s="27" t="s">
        <v>271</v>
      </c>
      <c r="O34" s="387"/>
      <c r="P34" s="44"/>
    </row>
    <row r="35" spans="1:16" ht="37.5">
      <c r="A35" s="11"/>
      <c r="B35" s="76" t="s">
        <v>25</v>
      </c>
      <c r="C35" s="29"/>
      <c r="D35" s="29">
        <v>0.23</v>
      </c>
      <c r="E35" s="28"/>
      <c r="F35" s="29">
        <v>0.16</v>
      </c>
      <c r="G35" s="33">
        <f t="shared" si="1"/>
        <v>0.19500000000000001</v>
      </c>
      <c r="H35" s="184"/>
      <c r="I35" s="372" t="s">
        <v>28</v>
      </c>
      <c r="J35" s="381">
        <f>0.4*2.95</f>
        <v>1.1800000000000002</v>
      </c>
      <c r="K35" s="383" t="s">
        <v>15</v>
      </c>
      <c r="L35" s="381"/>
      <c r="M35" s="383">
        <f>0.4*0.79</f>
        <v>0.31600000000000006</v>
      </c>
      <c r="N35" s="88" t="s">
        <v>270</v>
      </c>
      <c r="O35" s="386">
        <v>69</v>
      </c>
      <c r="P35" s="44"/>
    </row>
    <row r="36" spans="1:16" ht="37.5">
      <c r="A36" s="11"/>
      <c r="B36" s="76" t="s">
        <v>27</v>
      </c>
      <c r="C36" s="29"/>
      <c r="D36" s="29">
        <v>0.12</v>
      </c>
      <c r="E36" s="29"/>
      <c r="F36" s="29">
        <v>0.08</v>
      </c>
      <c r="G36" s="33">
        <f t="shared" si="1"/>
        <v>0.1</v>
      </c>
      <c r="H36" s="184"/>
      <c r="I36" s="380"/>
      <c r="J36" s="382"/>
      <c r="K36" s="384"/>
      <c r="L36" s="382"/>
      <c r="M36" s="385"/>
      <c r="N36" s="27" t="s">
        <v>271</v>
      </c>
      <c r="O36" s="387"/>
      <c r="P36" s="44"/>
    </row>
    <row r="37" spans="1:16" ht="37.5">
      <c r="A37" s="11"/>
      <c r="B37" s="76" t="s">
        <v>46</v>
      </c>
      <c r="C37" s="29"/>
      <c r="D37" s="29">
        <v>7.0000000000000007E-2</v>
      </c>
      <c r="E37" s="29"/>
      <c r="F37" s="29">
        <v>0.03</v>
      </c>
      <c r="G37" s="33">
        <f t="shared" si="1"/>
        <v>0.05</v>
      </c>
      <c r="H37" s="184"/>
      <c r="I37" s="372" t="s">
        <v>31</v>
      </c>
      <c r="J37" s="383">
        <f>0.4*0.78</f>
        <v>0.31200000000000006</v>
      </c>
      <c r="K37" s="383" t="s">
        <v>15</v>
      </c>
      <c r="L37" s="381"/>
      <c r="M37" s="383">
        <f>0.4*0.94</f>
        <v>0.376</v>
      </c>
      <c r="N37" s="88" t="s">
        <v>270</v>
      </c>
      <c r="O37" s="386">
        <v>55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0.02</v>
      </c>
      <c r="G38" s="33">
        <f t="shared" si="1"/>
        <v>0.01</v>
      </c>
      <c r="H38" s="184"/>
      <c r="I38" s="380"/>
      <c r="J38" s="385"/>
      <c r="K38" s="384"/>
      <c r="L38" s="382"/>
      <c r="M38" s="385"/>
      <c r="N38" s="27" t="s">
        <v>271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3">
        <f>0.4*2.8</f>
        <v>1.1199999999999999</v>
      </c>
      <c r="K39" s="383" t="s">
        <v>15</v>
      </c>
      <c r="L39" s="381"/>
      <c r="M39" s="383">
        <f>0.4*0.97</f>
        <v>0.38800000000000001</v>
      </c>
      <c r="N39" s="88" t="s">
        <v>270</v>
      </c>
      <c r="O39" s="386">
        <v>80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5"/>
      <c r="K40" s="384"/>
      <c r="L40" s="382"/>
      <c r="M40" s="385"/>
      <c r="N40" s="27" t="s">
        <v>271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3">
        <f>0.4*1.39</f>
        <v>0.55599999999999994</v>
      </c>
      <c r="K41" s="383" t="s">
        <v>15</v>
      </c>
      <c r="L41" s="381"/>
      <c r="M41" s="383">
        <f>0.4*0.95</f>
        <v>0.38</v>
      </c>
      <c r="N41" s="88" t="s">
        <v>270</v>
      </c>
      <c r="O41" s="386">
        <v>90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5"/>
      <c r="K42" s="384"/>
      <c r="L42" s="382"/>
      <c r="M42" s="385"/>
      <c r="N42" s="27" t="s">
        <v>271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3">
        <f>0.4*1.44</f>
        <v>0.57599999999999996</v>
      </c>
      <c r="K43" s="383" t="s">
        <v>15</v>
      </c>
      <c r="L43" s="381"/>
      <c r="M43" s="383">
        <f>0.4*0.95</f>
        <v>0.38</v>
      </c>
      <c r="N43" s="88" t="s">
        <v>270</v>
      </c>
      <c r="O43" s="386">
        <v>40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5"/>
      <c r="K44" s="384"/>
      <c r="L44" s="382"/>
      <c r="M44" s="385"/>
      <c r="N44" s="27" t="s">
        <v>271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3">
        <f>0.4*1.06</f>
        <v>0.42400000000000004</v>
      </c>
      <c r="K45" s="383" t="s">
        <v>15</v>
      </c>
      <c r="L45" s="381"/>
      <c r="M45" s="383">
        <f>0.4*3.34</f>
        <v>1.3360000000000001</v>
      </c>
      <c r="N45" s="88" t="s">
        <v>270</v>
      </c>
      <c r="O45" s="386">
        <v>60</v>
      </c>
      <c r="P45" s="44"/>
    </row>
    <row r="46" spans="1:16" ht="57.75" customHeight="1" thickBot="1">
      <c r="A46" s="14"/>
      <c r="B46" s="319" t="s">
        <v>58</v>
      </c>
      <c r="C46" s="237"/>
      <c r="D46" s="238">
        <v>0.06</v>
      </c>
      <c r="E46" s="239"/>
      <c r="F46" s="238">
        <v>0.08</v>
      </c>
      <c r="G46" s="240">
        <f t="shared" si="1"/>
        <v>7.0000000000000007E-2</v>
      </c>
      <c r="H46" s="184"/>
      <c r="I46" s="380"/>
      <c r="J46" s="385"/>
      <c r="K46" s="384"/>
      <c r="L46" s="382"/>
      <c r="M46" s="385"/>
      <c r="N46" s="27" t="s">
        <v>271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63">
        <f>0.4*1.01</f>
        <v>0.40400000000000003</v>
      </c>
      <c r="K47" s="383" t="s">
        <v>15</v>
      </c>
      <c r="L47" s="381"/>
      <c r="M47" s="383">
        <f>0.4*2.78</f>
        <v>1.1119999999999999</v>
      </c>
      <c r="N47" s="88" t="s">
        <v>277</v>
      </c>
      <c r="O47" s="386">
        <v>43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64"/>
      <c r="K48" s="384"/>
      <c r="L48" s="382"/>
      <c r="M48" s="385"/>
      <c r="N48" s="27" t="s">
        <v>278</v>
      </c>
      <c r="O48" s="387"/>
      <c r="P48" s="44"/>
    </row>
    <row r="49" spans="1:16" ht="38.25" thickBot="1">
      <c r="A49" s="14"/>
      <c r="B49" s="95" t="s">
        <v>262</v>
      </c>
      <c r="C49" s="77"/>
      <c r="D49" s="220" t="s">
        <v>66</v>
      </c>
      <c r="E49" s="219" t="s">
        <v>125</v>
      </c>
      <c r="F49" s="219" t="s">
        <v>128</v>
      </c>
      <c r="G49" s="223" t="s">
        <v>129</v>
      </c>
      <c r="H49" s="224" t="s">
        <v>8</v>
      </c>
      <c r="I49" s="372" t="s">
        <v>45</v>
      </c>
      <c r="J49" s="383">
        <f>0.4*0.96</f>
        <v>0.38400000000000001</v>
      </c>
      <c r="K49" s="383" t="s">
        <v>15</v>
      </c>
      <c r="L49" s="354"/>
      <c r="M49" s="383">
        <f>0.4*6.92</f>
        <v>2.7680000000000002</v>
      </c>
      <c r="N49" s="88" t="s">
        <v>277</v>
      </c>
      <c r="O49" s="386">
        <v>57</v>
      </c>
      <c r="P49" s="44"/>
    </row>
    <row r="50" spans="1:16" ht="37.5">
      <c r="A50" s="14"/>
      <c r="B50" s="76" t="s">
        <v>22</v>
      </c>
      <c r="C50" s="97"/>
      <c r="D50" s="98">
        <v>1280</v>
      </c>
      <c r="E50" s="258">
        <v>1298</v>
      </c>
      <c r="F50" s="258">
        <v>1190</v>
      </c>
      <c r="G50" s="277">
        <v>1163</v>
      </c>
      <c r="H50" s="260">
        <f>AVERAGE(E50:G50)</f>
        <v>1217</v>
      </c>
      <c r="I50" s="380"/>
      <c r="J50" s="385"/>
      <c r="K50" s="384"/>
      <c r="L50" s="356"/>
      <c r="M50" s="385"/>
      <c r="N50" s="27" t="s">
        <v>278</v>
      </c>
      <c r="O50" s="387"/>
      <c r="P50" s="44"/>
    </row>
    <row r="51" spans="1:16" ht="37.5">
      <c r="A51" s="14"/>
      <c r="B51" s="76" t="s">
        <v>24</v>
      </c>
      <c r="C51" s="97"/>
      <c r="D51" s="98">
        <v>498</v>
      </c>
      <c r="E51" s="98">
        <v>635</v>
      </c>
      <c r="F51" s="98">
        <v>545</v>
      </c>
      <c r="G51" s="99">
        <v>494</v>
      </c>
      <c r="H51" s="260">
        <f t="shared" ref="H51:H61" si="2">AVERAGE(E51:G51)</f>
        <v>558</v>
      </c>
      <c r="I51" s="372" t="s">
        <v>47</v>
      </c>
      <c r="J51" s="383">
        <f>0.4*0.67</f>
        <v>0.26800000000000002</v>
      </c>
      <c r="K51" s="383" t="s">
        <v>15</v>
      </c>
      <c r="L51" s="354"/>
      <c r="M51" s="383">
        <f>0.4*5.13</f>
        <v>2.052</v>
      </c>
      <c r="N51" s="88" t="s">
        <v>277</v>
      </c>
      <c r="O51" s="386">
        <v>70</v>
      </c>
      <c r="P51" s="44"/>
    </row>
    <row r="52" spans="1:16" ht="37.5">
      <c r="A52" s="14"/>
      <c r="B52" s="76" t="s">
        <v>25</v>
      </c>
      <c r="C52" s="97"/>
      <c r="D52" s="98">
        <v>238</v>
      </c>
      <c r="E52" s="98">
        <v>324</v>
      </c>
      <c r="F52" s="98">
        <v>226</v>
      </c>
      <c r="G52" s="99">
        <v>265</v>
      </c>
      <c r="H52" s="260"/>
      <c r="I52" s="380"/>
      <c r="J52" s="385"/>
      <c r="K52" s="384"/>
      <c r="L52" s="356"/>
      <c r="M52" s="385"/>
      <c r="N52" s="27" t="s">
        <v>278</v>
      </c>
      <c r="O52" s="387"/>
      <c r="P52" s="44"/>
    </row>
    <row r="53" spans="1:16" ht="37.5">
      <c r="A53" s="14"/>
      <c r="B53" s="76" t="s">
        <v>27</v>
      </c>
      <c r="C53" s="97"/>
      <c r="D53" s="98">
        <v>220</v>
      </c>
      <c r="E53" s="98">
        <v>145</v>
      </c>
      <c r="F53" s="98">
        <v>123</v>
      </c>
      <c r="G53" s="99">
        <v>133</v>
      </c>
      <c r="H53" s="260">
        <f t="shared" si="2"/>
        <v>133.66666666666666</v>
      </c>
      <c r="I53" s="372" t="s">
        <v>50</v>
      </c>
      <c r="J53" s="383">
        <f>0.4*0.85</f>
        <v>0.34</v>
      </c>
      <c r="K53" s="383" t="s">
        <v>15</v>
      </c>
      <c r="L53" s="354"/>
      <c r="M53" s="383">
        <f>0.4*5.12</f>
        <v>2.048</v>
      </c>
      <c r="N53" s="88" t="s">
        <v>277</v>
      </c>
      <c r="O53" s="386">
        <v>90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260"/>
      <c r="I54" s="380"/>
      <c r="J54" s="385"/>
      <c r="K54" s="384"/>
      <c r="L54" s="356"/>
      <c r="M54" s="385"/>
      <c r="N54" s="27" t="s">
        <v>278</v>
      </c>
      <c r="O54" s="387"/>
      <c r="P54" s="44"/>
    </row>
    <row r="55" spans="1:16" ht="37.5">
      <c r="A55" s="15"/>
      <c r="B55" s="76" t="s">
        <v>48</v>
      </c>
      <c r="C55" s="100"/>
      <c r="D55" s="98">
        <v>149</v>
      </c>
      <c r="E55" s="98">
        <v>121</v>
      </c>
      <c r="F55" s="98">
        <v>85</v>
      </c>
      <c r="G55" s="99">
        <v>93</v>
      </c>
      <c r="H55" s="260">
        <f t="shared" si="2"/>
        <v>99.666666666666671</v>
      </c>
      <c r="I55" s="372" t="s">
        <v>53</v>
      </c>
      <c r="J55" s="383">
        <f>0.4*0.95</f>
        <v>0.38</v>
      </c>
      <c r="K55" s="383" t="s">
        <v>15</v>
      </c>
      <c r="L55" s="354"/>
      <c r="M55" s="383">
        <f>0.4*4.77</f>
        <v>1.9079999999999999</v>
      </c>
      <c r="N55" s="88" t="s">
        <v>277</v>
      </c>
      <c r="O55" s="386">
        <v>70</v>
      </c>
      <c r="P55" s="44"/>
    </row>
    <row r="56" spans="1:16" ht="37.5">
      <c r="A56" s="15"/>
      <c r="B56" s="76" t="s">
        <v>49</v>
      </c>
      <c r="C56" s="100"/>
      <c r="D56" s="98">
        <v>76</v>
      </c>
      <c r="E56" s="98">
        <v>73</v>
      </c>
      <c r="F56" s="98">
        <v>75</v>
      </c>
      <c r="G56" s="99">
        <v>81</v>
      </c>
      <c r="H56" s="260">
        <f t="shared" si="2"/>
        <v>76.333333333333329</v>
      </c>
      <c r="I56" s="380"/>
      <c r="J56" s="385"/>
      <c r="K56" s="384"/>
      <c r="L56" s="356"/>
      <c r="M56" s="385"/>
      <c r="N56" s="27" t="s">
        <v>278</v>
      </c>
      <c r="O56" s="387"/>
      <c r="P56" s="44"/>
    </row>
    <row r="57" spans="1:16" ht="37.5">
      <c r="A57" s="15"/>
      <c r="B57" s="76" t="s">
        <v>51</v>
      </c>
      <c r="C57" s="100"/>
      <c r="D57" s="98">
        <v>58</v>
      </c>
      <c r="E57" s="98">
        <v>67</v>
      </c>
      <c r="F57" s="98">
        <v>64</v>
      </c>
      <c r="G57" s="99">
        <v>64</v>
      </c>
      <c r="H57" s="260">
        <f t="shared" si="2"/>
        <v>65</v>
      </c>
      <c r="I57" s="372" t="s">
        <v>8</v>
      </c>
      <c r="J57" s="374">
        <v>0.54</v>
      </c>
      <c r="K57" s="376"/>
      <c r="L57" s="101"/>
      <c r="M57" s="376">
        <v>1.1100000000000001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52</v>
      </c>
      <c r="E58" s="98">
        <v>56</v>
      </c>
      <c r="F58" s="98">
        <v>45</v>
      </c>
      <c r="G58" s="99">
        <v>51</v>
      </c>
      <c r="H58" s="260">
        <f t="shared" si="2"/>
        <v>50.666666666666664</v>
      </c>
      <c r="I58" s="373"/>
      <c r="J58" s="375"/>
      <c r="K58" s="377"/>
      <c r="L58" s="36"/>
      <c r="M58" s="377"/>
      <c r="N58" s="377"/>
      <c r="O58" s="379"/>
      <c r="P58" s="44"/>
    </row>
    <row r="59" spans="1:16" ht="38.25" thickBot="1">
      <c r="A59" s="15"/>
      <c r="B59" s="76" t="s">
        <v>54</v>
      </c>
      <c r="C59" s="100"/>
      <c r="D59" s="98">
        <v>45</v>
      </c>
      <c r="E59" s="98">
        <v>43</v>
      </c>
      <c r="F59" s="259">
        <v>41</v>
      </c>
      <c r="G59" s="99">
        <v>42</v>
      </c>
      <c r="H59" s="260">
        <f t="shared" si="2"/>
        <v>42</v>
      </c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8.25" thickTop="1">
      <c r="A60" s="15"/>
      <c r="B60" s="89" t="s">
        <v>55</v>
      </c>
      <c r="C60" s="100"/>
      <c r="D60" s="98">
        <v>34</v>
      </c>
      <c r="E60" s="98">
        <v>21</v>
      </c>
      <c r="F60" s="98">
        <v>34</v>
      </c>
      <c r="G60" s="99">
        <v>26</v>
      </c>
      <c r="H60" s="260">
        <f t="shared" si="2"/>
        <v>27</v>
      </c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39</v>
      </c>
      <c r="E61" s="98">
        <v>52</v>
      </c>
      <c r="F61" s="98">
        <v>39</v>
      </c>
      <c r="G61" s="99">
        <v>36</v>
      </c>
      <c r="H61" s="260">
        <f t="shared" si="2"/>
        <v>42.333333333333336</v>
      </c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/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58" t="s">
        <v>13</v>
      </c>
      <c r="J64" s="29">
        <v>0.81</v>
      </c>
      <c r="K64" s="29">
        <v>1.21</v>
      </c>
      <c r="L64" s="119">
        <f>AVERAGE(J64:K64)</f>
        <v>1.01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58" t="s">
        <v>16</v>
      </c>
      <c r="J65" s="29">
        <v>0.9</v>
      </c>
      <c r="K65" s="245">
        <v>0.9</v>
      </c>
      <c r="L65" s="208">
        <f>AVERAGE(J65:K65)</f>
        <v>0.9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262</v>
      </c>
      <c r="C68" s="120" t="s">
        <v>84</v>
      </c>
      <c r="D68" s="120" t="s">
        <v>276</v>
      </c>
      <c r="E68" s="116">
        <v>1576</v>
      </c>
      <c r="F68" s="29"/>
      <c r="G68" s="118"/>
      <c r="H68" s="190"/>
      <c r="I68" s="358" t="s">
        <v>67</v>
      </c>
      <c r="J68" s="358"/>
      <c r="K68" s="358"/>
      <c r="L68" s="126"/>
      <c r="M68" s="357"/>
      <c r="N68" s="127"/>
      <c r="O68" s="128"/>
      <c r="P68" s="44"/>
    </row>
    <row r="69" spans="1:16" ht="37.5">
      <c r="A69" s="15"/>
      <c r="B69" s="95" t="s">
        <v>262</v>
      </c>
      <c r="C69" s="120" t="s">
        <v>84</v>
      </c>
      <c r="D69" s="120" t="s">
        <v>279</v>
      </c>
      <c r="E69" s="116">
        <v>1060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262</v>
      </c>
      <c r="C70" s="120" t="s">
        <v>83</v>
      </c>
      <c r="D70" s="120" t="s">
        <v>260</v>
      </c>
      <c r="E70" s="116">
        <v>15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89.87</v>
      </c>
      <c r="K72" s="29"/>
      <c r="L72" s="119">
        <f>AVERAGE(J72:K72)</f>
        <v>89.87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94.63</v>
      </c>
      <c r="K73" s="29"/>
      <c r="L73" s="119">
        <f>AVERAGE(J73:K73)</f>
        <v>94.63</v>
      </c>
      <c r="M73" s="135" t="s">
        <v>4</v>
      </c>
      <c r="N73" s="115" t="s">
        <v>4</v>
      </c>
      <c r="O73" s="33"/>
      <c r="P73" s="44"/>
    </row>
    <row r="74" spans="1:16" ht="39">
      <c r="A74" s="16"/>
      <c r="B74" s="111"/>
      <c r="C74" s="120"/>
      <c r="D74" s="120"/>
      <c r="E74" s="353"/>
      <c r="F74" s="134"/>
      <c r="G74" s="132" t="s">
        <v>4</v>
      </c>
      <c r="H74" s="194"/>
      <c r="I74" s="126" t="s">
        <v>71</v>
      </c>
      <c r="J74" s="27">
        <v>71.900000000000006</v>
      </c>
      <c r="K74" s="29">
        <v>61.85</v>
      </c>
      <c r="L74" s="119">
        <f>AVERAGE(J74:K74)</f>
        <v>66.875</v>
      </c>
      <c r="M74" s="115"/>
      <c r="N74" s="88"/>
      <c r="O74" s="33"/>
      <c r="P74" s="44"/>
    </row>
    <row r="75" spans="1:16" ht="39.75" thickBot="1">
      <c r="A75" s="16"/>
      <c r="B75" s="111" t="s">
        <v>70</v>
      </c>
      <c r="C75" s="120"/>
      <c r="D75" s="120"/>
      <c r="E75" s="352" t="s">
        <v>99</v>
      </c>
      <c r="F75" s="131"/>
      <c r="G75" s="139"/>
      <c r="H75" s="195"/>
      <c r="I75" s="178" t="s">
        <v>72</v>
      </c>
      <c r="J75" s="91">
        <v>67.8</v>
      </c>
      <c r="K75" s="27">
        <v>63.25</v>
      </c>
      <c r="L75" s="119">
        <f>AVERAGE(J75:K75)</f>
        <v>65.525000000000006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262</v>
      </c>
      <c r="C77" s="120" t="s">
        <v>83</v>
      </c>
      <c r="D77" s="120" t="s">
        <v>260</v>
      </c>
      <c r="E77" s="136">
        <v>0.83020000000000005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36"/>
      <c r="F78" s="140"/>
      <c r="G78" s="141"/>
      <c r="H78" s="196"/>
      <c r="I78" s="357"/>
      <c r="J78" s="236" t="s">
        <v>66</v>
      </c>
      <c r="K78" s="236" t="s">
        <v>66</v>
      </c>
      <c r="L78" s="236" t="s">
        <v>66</v>
      </c>
      <c r="M78" s="113"/>
      <c r="N78" s="357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2.14*0.4</f>
        <v>0.85600000000000009</v>
      </c>
      <c r="K79" s="27" t="s">
        <v>85</v>
      </c>
      <c r="L79" s="119">
        <f>AVERAGE(J79:K79)</f>
        <v>0.85600000000000009</v>
      </c>
      <c r="M79" s="242"/>
      <c r="N79" s="51"/>
      <c r="O79" s="151"/>
      <c r="P79" s="44"/>
    </row>
    <row r="80" spans="1:16" ht="39.75" thickBot="1">
      <c r="A80" s="170"/>
      <c r="B80" s="95"/>
      <c r="C80" s="120"/>
      <c r="D80" s="120"/>
      <c r="E80" s="136"/>
      <c r="F80" s="134"/>
      <c r="G80" s="141"/>
      <c r="H80" s="197"/>
      <c r="I80" s="182" t="s">
        <v>79</v>
      </c>
      <c r="J80" s="34">
        <f>2.23*0.4</f>
        <v>0.89200000000000002</v>
      </c>
      <c r="K80" s="91" t="s">
        <v>85</v>
      </c>
      <c r="L80" s="119">
        <f>AVERAGE(J80:K80)</f>
        <v>0.89200000000000002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 t="s">
        <v>4</v>
      </c>
      <c r="K81" s="200"/>
      <c r="L81" s="200"/>
      <c r="M81" s="200"/>
      <c r="N81" s="200"/>
      <c r="O81" s="201"/>
      <c r="P81" s="44"/>
    </row>
    <row r="82" spans="1:20" ht="39.75" thickBot="1">
      <c r="A82" s="170" t="s">
        <v>4</v>
      </c>
      <c r="B82" s="106" t="s">
        <v>76</v>
      </c>
      <c r="C82" s="120"/>
      <c r="D82" s="120"/>
      <c r="E82" s="220" t="s">
        <v>66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255</v>
      </c>
      <c r="C84" s="120" t="s">
        <v>83</v>
      </c>
      <c r="D84" s="120" t="s">
        <v>260</v>
      </c>
      <c r="E84" s="27">
        <v>4.3499999999999996</v>
      </c>
      <c r="F84" s="131"/>
      <c r="G84" s="139"/>
      <c r="H84" s="197"/>
      <c r="I84" s="77" t="s">
        <v>93</v>
      </c>
      <c r="J84" s="32">
        <v>0.14000000000000001</v>
      </c>
      <c r="K84" s="32">
        <v>0.13700000000000001</v>
      </c>
      <c r="L84" s="119">
        <f>AVERAGE(J84:K84)</f>
        <v>0.13850000000000001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 t="s">
        <v>255</v>
      </c>
      <c r="C85" s="120" t="s">
        <v>83</v>
      </c>
      <c r="D85" s="120" t="s">
        <v>276</v>
      </c>
      <c r="E85" s="169">
        <v>3.82</v>
      </c>
      <c r="F85" s="131"/>
      <c r="G85" s="139"/>
      <c r="H85" s="197"/>
      <c r="I85" s="77" t="s">
        <v>92</v>
      </c>
      <c r="J85" s="211">
        <v>0</v>
      </c>
      <c r="K85" s="211">
        <v>0</v>
      </c>
      <c r="L85" s="119">
        <f>AVERAGE(J85:K85)</f>
        <v>0</v>
      </c>
      <c r="M85" s="51"/>
      <c r="N85" s="51"/>
      <c r="O85" s="151"/>
      <c r="P85" s="44"/>
      <c r="Q85" s="173"/>
      <c r="R85" s="173"/>
      <c r="S85" s="173"/>
      <c r="T85" s="173"/>
    </row>
    <row r="86" spans="1:20" ht="39">
      <c r="A86" s="170"/>
      <c r="B86" s="95"/>
      <c r="C86" s="120"/>
      <c r="D86" s="120"/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127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.75" thickBot="1">
      <c r="A89" s="170"/>
      <c r="B89" s="111" t="s">
        <v>82</v>
      </c>
      <c r="C89" s="120"/>
      <c r="D89" s="219" t="s">
        <v>99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350"/>
      <c r="D90" s="351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5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  <row r="119" spans="15:15">
      <c r="O119" t="s">
        <v>4</v>
      </c>
    </row>
    <row r="130" spans="1:1">
      <c r="A130" t="s">
        <v>4</v>
      </c>
    </row>
  </sheetData>
  <mergeCells count="143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T94"/>
  <sheetViews>
    <sheetView view="pageBreakPreview" zoomScale="30" zoomScaleSheetLayoutView="30" workbookViewId="0">
      <selection activeCell="E49" sqref="E49:H6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37" t="s">
        <v>81</v>
      </c>
      <c r="C3" s="95" t="s">
        <v>108</v>
      </c>
      <c r="D3" s="38"/>
      <c r="E3" s="39" t="s">
        <v>9</v>
      </c>
      <c r="F3" s="39"/>
      <c r="G3" s="39"/>
      <c r="H3" s="40"/>
      <c r="I3" s="41" t="s">
        <v>2</v>
      </c>
      <c r="J3" s="42" t="s">
        <v>116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108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117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1.07</v>
      </c>
      <c r="E7" s="21"/>
      <c r="F7" s="21">
        <v>0.92</v>
      </c>
      <c r="G7" s="102">
        <f>AVERAGE(D7:F7)</f>
        <v>0.99500000000000011</v>
      </c>
      <c r="H7" s="184"/>
      <c r="I7" s="372" t="s">
        <v>98</v>
      </c>
      <c r="J7" s="383">
        <f>0.4*7.03</f>
        <v>2.8120000000000003</v>
      </c>
      <c r="K7" s="383" t="s">
        <v>15</v>
      </c>
      <c r="L7" s="264"/>
      <c r="M7" s="383">
        <f>0.4*2.6</f>
        <v>1.04</v>
      </c>
      <c r="N7" s="27" t="s">
        <v>118</v>
      </c>
      <c r="O7" s="386">
        <v>52</v>
      </c>
      <c r="P7" s="44"/>
    </row>
    <row r="8" spans="1:17" ht="38.25" thickBot="1">
      <c r="A8" s="12"/>
      <c r="B8" s="68" t="s">
        <v>16</v>
      </c>
      <c r="C8" s="69"/>
      <c r="D8" s="34">
        <v>1.61</v>
      </c>
      <c r="E8" s="23"/>
      <c r="F8" s="23">
        <v>1.05</v>
      </c>
      <c r="G8" s="124">
        <f>AVERAGE(D8:F8)</f>
        <v>1.33</v>
      </c>
      <c r="H8" s="184"/>
      <c r="I8" s="380"/>
      <c r="J8" s="384"/>
      <c r="K8" s="384"/>
      <c r="L8" s="266"/>
      <c r="M8" s="385"/>
      <c r="N8" s="27" t="s">
        <v>109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0.4*3.98</f>
        <v>1.5920000000000001</v>
      </c>
      <c r="K9" s="383" t="s">
        <v>15</v>
      </c>
      <c r="L9" s="383"/>
      <c r="M9" s="383">
        <f>0.4*3.09</f>
        <v>1.236</v>
      </c>
      <c r="N9" s="27" t="s">
        <v>119</v>
      </c>
      <c r="O9" s="386">
        <v>48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120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0.4*3.55</f>
        <v>1.42</v>
      </c>
      <c r="K11" s="383" t="s">
        <v>15</v>
      </c>
      <c r="L11" s="264"/>
      <c r="M11" s="383">
        <f>0.4*2.52</f>
        <v>1.008</v>
      </c>
      <c r="N11" s="27" t="s">
        <v>119</v>
      </c>
      <c r="O11" s="386">
        <v>44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66"/>
      <c r="M12" s="385"/>
      <c r="N12" s="27" t="s">
        <v>120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0.4*2.18</f>
        <v>0.87200000000000011</v>
      </c>
      <c r="K13" s="383" t="s">
        <v>15</v>
      </c>
      <c r="L13" s="264"/>
      <c r="M13" s="383">
        <f>0.4*1.7</f>
        <v>0.68</v>
      </c>
      <c r="N13" s="27" t="s">
        <v>119</v>
      </c>
      <c r="O13" s="386">
        <v>69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0.4*2.54</f>
        <v>1.016</v>
      </c>
      <c r="E14" s="28"/>
      <c r="F14" s="28">
        <f>0.4*2.03</f>
        <v>0.81199999999999994</v>
      </c>
      <c r="G14" s="33">
        <f t="shared" ref="G14:G27" si="0">AVERAGE(D14:F14)</f>
        <v>0.91399999999999992</v>
      </c>
      <c r="H14" s="184"/>
      <c r="I14" s="380"/>
      <c r="J14" s="384"/>
      <c r="K14" s="384"/>
      <c r="L14" s="266"/>
      <c r="M14" s="385"/>
      <c r="N14" s="27" t="s">
        <v>120</v>
      </c>
      <c r="O14" s="387"/>
      <c r="P14" s="44"/>
    </row>
    <row r="15" spans="1:17" ht="37.5">
      <c r="A15" s="11"/>
      <c r="B15" s="76" t="s">
        <v>97</v>
      </c>
      <c r="C15" s="29"/>
      <c r="D15" s="29">
        <f>0.4*2.17</f>
        <v>0.86799999999999999</v>
      </c>
      <c r="E15" s="28"/>
      <c r="F15" s="29">
        <f>0.4*1.8</f>
        <v>0.72000000000000008</v>
      </c>
      <c r="G15" s="33">
        <f t="shared" si="0"/>
        <v>0.79400000000000004</v>
      </c>
      <c r="H15" s="184" t="s">
        <v>4</v>
      </c>
      <c r="I15" s="390" t="s">
        <v>61</v>
      </c>
      <c r="J15" s="383">
        <f>0.4*3.02</f>
        <v>1.2080000000000002</v>
      </c>
      <c r="K15" s="383" t="s">
        <v>15</v>
      </c>
      <c r="L15" s="264"/>
      <c r="M15" s="383">
        <f>0.4*2.77</f>
        <v>1.1080000000000001</v>
      </c>
      <c r="N15" s="27" t="s">
        <v>119</v>
      </c>
      <c r="O15" s="386">
        <v>67</v>
      </c>
      <c r="P15" s="44"/>
    </row>
    <row r="16" spans="1:17" ht="37.5">
      <c r="A16" s="11"/>
      <c r="B16" s="76" t="s">
        <v>22</v>
      </c>
      <c r="C16" s="28"/>
      <c r="D16" s="28">
        <f>0.4*1.62</f>
        <v>0.64800000000000013</v>
      </c>
      <c r="E16" s="29"/>
      <c r="F16" s="29">
        <f>0.4*1.64</f>
        <v>0.65600000000000003</v>
      </c>
      <c r="G16" s="33">
        <f t="shared" si="0"/>
        <v>0.65200000000000014</v>
      </c>
      <c r="H16" s="184"/>
      <c r="I16" s="391"/>
      <c r="J16" s="384"/>
      <c r="K16" s="384"/>
      <c r="L16" s="266"/>
      <c r="M16" s="385"/>
      <c r="N16" s="27" t="s">
        <v>120</v>
      </c>
      <c r="O16" s="387"/>
      <c r="P16" s="44"/>
    </row>
    <row r="17" spans="1:16" ht="37.5">
      <c r="A17" s="11"/>
      <c r="B17" s="76" t="s">
        <v>24</v>
      </c>
      <c r="C17" s="28"/>
      <c r="D17" s="28">
        <f>0.4*1.49</f>
        <v>0.59599999999999997</v>
      </c>
      <c r="E17" s="28"/>
      <c r="F17" s="29">
        <f>0.4*1.34</f>
        <v>0.53600000000000003</v>
      </c>
      <c r="G17" s="33">
        <f t="shared" si="0"/>
        <v>0.56600000000000006</v>
      </c>
      <c r="H17" s="184"/>
      <c r="I17" s="372" t="s">
        <v>62</v>
      </c>
      <c r="J17" s="383">
        <f>0.4*2.32</f>
        <v>0.92799999999999994</v>
      </c>
      <c r="K17" s="383" t="s">
        <v>15</v>
      </c>
      <c r="L17" s="264"/>
      <c r="M17" s="383">
        <f>0.4*1.92</f>
        <v>0.76800000000000002</v>
      </c>
      <c r="N17" s="27" t="s">
        <v>119</v>
      </c>
      <c r="O17" s="386">
        <v>76</v>
      </c>
      <c r="P17" s="44"/>
    </row>
    <row r="18" spans="1:16" ht="37.5">
      <c r="A18" s="11"/>
      <c r="B18" s="76" t="s">
        <v>25</v>
      </c>
      <c r="C18" s="29"/>
      <c r="D18" s="28">
        <f>0.4*1.42</f>
        <v>0.56799999999999995</v>
      </c>
      <c r="E18" s="28"/>
      <c r="F18" s="29">
        <f>0.4*1.3</f>
        <v>0.52</v>
      </c>
      <c r="G18" s="33">
        <f t="shared" si="0"/>
        <v>0.54400000000000004</v>
      </c>
      <c r="H18" s="184"/>
      <c r="I18" s="380"/>
      <c r="J18" s="384"/>
      <c r="K18" s="384"/>
      <c r="L18" s="266"/>
      <c r="M18" s="385"/>
      <c r="N18" s="27" t="s">
        <v>120</v>
      </c>
      <c r="O18" s="387"/>
      <c r="P18" s="44"/>
    </row>
    <row r="19" spans="1:16" ht="37.5">
      <c r="A19" s="11"/>
      <c r="B19" s="76" t="s">
        <v>27</v>
      </c>
      <c r="C19" s="29"/>
      <c r="D19" s="28">
        <f>0.4*1.3</f>
        <v>0.52</v>
      </c>
      <c r="E19" s="29"/>
      <c r="F19" s="29">
        <f>0.4*1.24</f>
        <v>0.496</v>
      </c>
      <c r="G19" s="33">
        <f t="shared" si="0"/>
        <v>0.50800000000000001</v>
      </c>
      <c r="H19" s="184"/>
      <c r="I19" s="372" t="s">
        <v>63</v>
      </c>
      <c r="J19" s="383">
        <f>0.4*10.06</f>
        <v>4.024</v>
      </c>
      <c r="K19" s="383" t="s">
        <v>15</v>
      </c>
      <c r="L19" s="264"/>
      <c r="M19" s="383">
        <f>0.4*1.47</f>
        <v>0.58799999999999997</v>
      </c>
      <c r="N19" s="27" t="s">
        <v>119</v>
      </c>
      <c r="O19" s="386">
        <v>64</v>
      </c>
      <c r="P19" s="44"/>
    </row>
    <row r="20" spans="1:16" ht="37.5">
      <c r="A20" s="11"/>
      <c r="B20" s="76" t="s">
        <v>29</v>
      </c>
      <c r="C20" s="28"/>
      <c r="D20" s="28">
        <f>0.4*1.22</f>
        <v>0.48799999999999999</v>
      </c>
      <c r="E20" s="29"/>
      <c r="F20" s="29">
        <f>0.4*1.05</f>
        <v>0.42000000000000004</v>
      </c>
      <c r="G20" s="33">
        <f t="shared" si="0"/>
        <v>0.45400000000000001</v>
      </c>
      <c r="H20" s="184"/>
      <c r="I20" s="380"/>
      <c r="J20" s="384"/>
      <c r="K20" s="384"/>
      <c r="L20" s="266"/>
      <c r="M20" s="385"/>
      <c r="N20" s="27" t="s">
        <v>121</v>
      </c>
      <c r="O20" s="387"/>
      <c r="P20" s="44"/>
    </row>
    <row r="21" spans="1:16" ht="37.5">
      <c r="A21" s="11"/>
      <c r="B21" s="76" t="s">
        <v>30</v>
      </c>
      <c r="C21" s="28"/>
      <c r="D21" s="28">
        <f>0.4*1.1</f>
        <v>0.44000000000000006</v>
      </c>
      <c r="E21" s="28"/>
      <c r="F21" s="29">
        <f>0.4*0.92</f>
        <v>0.36800000000000005</v>
      </c>
      <c r="G21" s="33">
        <f t="shared" si="0"/>
        <v>0.40400000000000003</v>
      </c>
      <c r="H21" s="184"/>
      <c r="I21" s="372" t="s">
        <v>14</v>
      </c>
      <c r="J21" s="383">
        <f>0.4*3.05</f>
        <v>1.22</v>
      </c>
      <c r="K21" s="383" t="s">
        <v>15</v>
      </c>
      <c r="L21" s="264"/>
      <c r="M21" s="383">
        <f>0.4*1.98</f>
        <v>0.79200000000000004</v>
      </c>
      <c r="N21" s="27" t="s">
        <v>119</v>
      </c>
      <c r="O21" s="386">
        <v>59</v>
      </c>
      <c r="P21" s="44"/>
    </row>
    <row r="22" spans="1:16" ht="37.5">
      <c r="A22" s="11"/>
      <c r="B22" s="76" t="s">
        <v>32</v>
      </c>
      <c r="C22" s="78"/>
      <c r="D22" s="28">
        <f>0.4*1.05</f>
        <v>0.42000000000000004</v>
      </c>
      <c r="E22" s="28"/>
      <c r="F22" s="29">
        <f>0.4*0.9</f>
        <v>0.36000000000000004</v>
      </c>
      <c r="G22" s="33">
        <f t="shared" si="0"/>
        <v>0.39</v>
      </c>
      <c r="H22" s="184"/>
      <c r="I22" s="380"/>
      <c r="J22" s="384"/>
      <c r="K22" s="384"/>
      <c r="L22" s="266"/>
      <c r="M22" s="385"/>
      <c r="N22" s="27" t="s">
        <v>120</v>
      </c>
      <c r="O22" s="387"/>
      <c r="P22" s="44"/>
    </row>
    <row r="23" spans="1:16" ht="37.5">
      <c r="A23" s="11"/>
      <c r="B23" s="76" t="s">
        <v>33</v>
      </c>
      <c r="C23" s="28"/>
      <c r="D23" s="28">
        <f>0.4*0.99</f>
        <v>0.39600000000000002</v>
      </c>
      <c r="E23" s="28"/>
      <c r="F23" s="28">
        <f>0.4*0.94</f>
        <v>0.376</v>
      </c>
      <c r="G23" s="33">
        <f t="shared" si="0"/>
        <v>0.38600000000000001</v>
      </c>
      <c r="H23" s="184"/>
      <c r="I23" s="372" t="s">
        <v>17</v>
      </c>
      <c r="J23" s="383">
        <f>0.4*1.48</f>
        <v>0.59199999999999997</v>
      </c>
      <c r="K23" s="383" t="s">
        <v>15</v>
      </c>
      <c r="L23" s="264"/>
      <c r="M23" s="383">
        <f>0.4*1.44</f>
        <v>0.57599999999999996</v>
      </c>
      <c r="N23" s="27" t="s">
        <v>119</v>
      </c>
      <c r="O23" s="386">
        <v>38</v>
      </c>
      <c r="P23" s="44"/>
    </row>
    <row r="24" spans="1:16" ht="37.5">
      <c r="A24" s="11"/>
      <c r="B24" s="76" t="s">
        <v>35</v>
      </c>
      <c r="C24" s="29"/>
      <c r="D24" s="28">
        <f>0.4*0.95</f>
        <v>0.38</v>
      </c>
      <c r="E24" s="28"/>
      <c r="F24" s="28">
        <f>0.4*0.9</f>
        <v>0.36000000000000004</v>
      </c>
      <c r="G24" s="33">
        <f t="shared" si="0"/>
        <v>0.37</v>
      </c>
      <c r="H24" s="184"/>
      <c r="I24" s="380"/>
      <c r="J24" s="384"/>
      <c r="K24" s="384"/>
      <c r="L24" s="266"/>
      <c r="M24" s="385"/>
      <c r="N24" s="27" t="s">
        <v>120</v>
      </c>
      <c r="O24" s="387"/>
      <c r="P24" s="44"/>
    </row>
    <row r="25" spans="1:16" ht="37.5">
      <c r="A25" s="11"/>
      <c r="B25" s="76" t="s">
        <v>36</v>
      </c>
      <c r="C25" s="27"/>
      <c r="D25" s="28">
        <f>0.4*0.98</f>
        <v>0.39200000000000002</v>
      </c>
      <c r="E25" s="28"/>
      <c r="F25" s="28">
        <f>0.4*0.85</f>
        <v>0.34</v>
      </c>
      <c r="G25" s="33">
        <f t="shared" si="0"/>
        <v>0.36599999999999999</v>
      </c>
      <c r="H25" s="184"/>
      <c r="I25" s="372" t="s">
        <v>18</v>
      </c>
      <c r="J25" s="383">
        <f>0.4*8.54</f>
        <v>3.4159999999999999</v>
      </c>
      <c r="K25" s="383" t="s">
        <v>15</v>
      </c>
      <c r="L25" s="264"/>
      <c r="M25" s="383">
        <f>0.4*9.26</f>
        <v>3.7040000000000002</v>
      </c>
      <c r="N25" s="27" t="s">
        <v>119</v>
      </c>
      <c r="O25" s="386">
        <v>36</v>
      </c>
      <c r="P25" s="44"/>
    </row>
    <row r="26" spans="1:16" ht="37.5">
      <c r="A26" s="11"/>
      <c r="B26" s="76" t="s">
        <v>38</v>
      </c>
      <c r="C26" s="27"/>
      <c r="D26" s="28">
        <f>0.4*0.9</f>
        <v>0.36000000000000004</v>
      </c>
      <c r="E26" s="28"/>
      <c r="F26" s="29">
        <f>0.4*0.83</f>
        <v>0.33200000000000002</v>
      </c>
      <c r="G26" s="33">
        <f t="shared" si="0"/>
        <v>0.34600000000000003</v>
      </c>
      <c r="H26" s="184"/>
      <c r="I26" s="380"/>
      <c r="J26" s="384"/>
      <c r="K26" s="384"/>
      <c r="L26" s="266"/>
      <c r="M26" s="385"/>
      <c r="N26" s="27" t="s">
        <v>120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0.4*0.85</f>
        <v>0.34</v>
      </c>
      <c r="E27" s="30"/>
      <c r="F27" s="29">
        <f>0.4*0.77</f>
        <v>0.30800000000000005</v>
      </c>
      <c r="G27" s="33">
        <f t="shared" si="0"/>
        <v>0.32400000000000007</v>
      </c>
      <c r="H27" s="184"/>
      <c r="I27" s="372" t="s">
        <v>20</v>
      </c>
      <c r="J27" s="383">
        <f>0.4*1.55</f>
        <v>0.62000000000000011</v>
      </c>
      <c r="K27" s="383" t="s">
        <v>15</v>
      </c>
      <c r="L27" s="264"/>
      <c r="M27" s="383">
        <f>0.4*1.74</f>
        <v>0.69600000000000006</v>
      </c>
      <c r="N27" s="27" t="s">
        <v>119</v>
      </c>
      <c r="O27" s="386">
        <v>59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266"/>
      <c r="M28" s="385"/>
      <c r="N28" s="27" t="s">
        <v>120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0.4*1.41</f>
        <v>0.56399999999999995</v>
      </c>
      <c r="K29" s="383" t="s">
        <v>15</v>
      </c>
      <c r="L29" s="81"/>
      <c r="M29" s="383">
        <f>0.4*1.57</f>
        <v>0.62800000000000011</v>
      </c>
      <c r="N29" s="27" t="s">
        <v>119</v>
      </c>
      <c r="O29" s="386">
        <v>76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120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0.13</v>
      </c>
      <c r="E31" s="28"/>
      <c r="F31" s="234">
        <v>0.08</v>
      </c>
      <c r="G31" s="33">
        <f t="shared" ref="G31:G46" si="1">AVERAGE(D31:F31)</f>
        <v>0.10500000000000001</v>
      </c>
      <c r="H31" s="184"/>
      <c r="I31" s="372" t="s">
        <v>8</v>
      </c>
      <c r="J31" s="376">
        <v>1.61</v>
      </c>
      <c r="K31" s="85"/>
      <c r="L31" s="86"/>
      <c r="M31" s="376">
        <v>1.07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0.16</v>
      </c>
      <c r="E32" s="28"/>
      <c r="F32" s="29">
        <v>0.14000000000000001</v>
      </c>
      <c r="G32" s="33">
        <f t="shared" si="1"/>
        <v>0.15000000000000002</v>
      </c>
      <c r="H32" s="184"/>
      <c r="I32" s="380"/>
      <c r="J32" s="388"/>
      <c r="K32" s="266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0.14000000000000001</v>
      </c>
      <c r="E33" s="29"/>
      <c r="F33" s="29">
        <v>0.08</v>
      </c>
      <c r="G33" s="33">
        <f t="shared" si="1"/>
        <v>0.11000000000000001</v>
      </c>
      <c r="H33" s="184"/>
      <c r="I33" s="372" t="s">
        <v>26</v>
      </c>
      <c r="J33" s="381">
        <f>0.4*1.27</f>
        <v>0.50800000000000001</v>
      </c>
      <c r="K33" s="383" t="s">
        <v>15</v>
      </c>
      <c r="L33" s="381"/>
      <c r="M33" s="381">
        <f>0.4*2.53</f>
        <v>1.012</v>
      </c>
      <c r="N33" s="88" t="s">
        <v>123</v>
      </c>
      <c r="O33" s="386">
        <v>75</v>
      </c>
      <c r="P33" s="44"/>
    </row>
    <row r="34" spans="1:16" ht="37.5">
      <c r="A34" s="11"/>
      <c r="B34" s="76" t="s">
        <v>24</v>
      </c>
      <c r="C34" s="29"/>
      <c r="D34" s="29">
        <v>7.0000000000000007E-2</v>
      </c>
      <c r="E34" s="28"/>
      <c r="F34" s="29">
        <v>0.03</v>
      </c>
      <c r="G34" s="33">
        <f t="shared" si="1"/>
        <v>0.05</v>
      </c>
      <c r="H34" s="184"/>
      <c r="I34" s="380"/>
      <c r="J34" s="382"/>
      <c r="K34" s="384"/>
      <c r="L34" s="382"/>
      <c r="M34" s="382"/>
      <c r="N34" s="27" t="s">
        <v>124</v>
      </c>
      <c r="O34" s="387"/>
      <c r="P34" s="44"/>
    </row>
    <row r="35" spans="1:16" ht="37.5">
      <c r="A35" s="11"/>
      <c r="B35" s="76" t="s">
        <v>25</v>
      </c>
      <c r="C35" s="29"/>
      <c r="D35" s="29">
        <v>0.05</v>
      </c>
      <c r="E35" s="28"/>
      <c r="F35" s="29">
        <v>0.1</v>
      </c>
      <c r="G35" s="33">
        <f t="shared" si="1"/>
        <v>7.5000000000000011E-2</v>
      </c>
      <c r="H35" s="184"/>
      <c r="I35" s="372" t="s">
        <v>28</v>
      </c>
      <c r="J35" s="381">
        <f>0.4*0.99</f>
        <v>0.39600000000000002</v>
      </c>
      <c r="K35" s="383" t="s">
        <v>15</v>
      </c>
      <c r="L35" s="381"/>
      <c r="M35" s="383">
        <f>0.4*2.27</f>
        <v>0.90800000000000003</v>
      </c>
      <c r="N35" s="88" t="s">
        <v>123</v>
      </c>
      <c r="O35" s="386">
        <v>67</v>
      </c>
      <c r="P35" s="44"/>
    </row>
    <row r="36" spans="1:16" ht="37.5">
      <c r="A36" s="11"/>
      <c r="B36" s="76" t="s">
        <v>27</v>
      </c>
      <c r="C36" s="29"/>
      <c r="D36" s="29">
        <v>0.04</v>
      </c>
      <c r="E36" s="29"/>
      <c r="F36" s="29">
        <v>0</v>
      </c>
      <c r="G36" s="33">
        <f t="shared" si="1"/>
        <v>0.02</v>
      </c>
      <c r="H36" s="184"/>
      <c r="I36" s="380"/>
      <c r="J36" s="382"/>
      <c r="K36" s="384"/>
      <c r="L36" s="382"/>
      <c r="M36" s="385"/>
      <c r="N36" s="27" t="s">
        <v>124</v>
      </c>
      <c r="O36" s="387"/>
      <c r="P36" s="44"/>
    </row>
    <row r="37" spans="1:16" ht="37.5">
      <c r="A37" s="11"/>
      <c r="B37" s="76" t="s">
        <v>46</v>
      </c>
      <c r="C37" s="29"/>
      <c r="D37" s="29">
        <v>0.02</v>
      </c>
      <c r="E37" s="29"/>
      <c r="F37" s="29">
        <v>0</v>
      </c>
      <c r="G37" s="33">
        <f t="shared" si="1"/>
        <v>0.01</v>
      </c>
      <c r="H37" s="184"/>
      <c r="I37" s="372" t="s">
        <v>31</v>
      </c>
      <c r="J37" s="381">
        <f>0.4*1.7</f>
        <v>0.68</v>
      </c>
      <c r="K37" s="383" t="s">
        <v>15</v>
      </c>
      <c r="L37" s="381"/>
      <c r="M37" s="383">
        <f>0.4*3.6</f>
        <v>1.4400000000000002</v>
      </c>
      <c r="N37" s="88" t="s">
        <v>123</v>
      </c>
      <c r="O37" s="386">
        <v>35</v>
      </c>
      <c r="P37" s="44"/>
    </row>
    <row r="38" spans="1:16" ht="37.5">
      <c r="A38" s="11"/>
      <c r="B38" s="76" t="s">
        <v>48</v>
      </c>
      <c r="C38" s="29"/>
      <c r="D38" s="29">
        <v>0.02</v>
      </c>
      <c r="E38" s="231"/>
      <c r="F38" s="29">
        <v>0</v>
      </c>
      <c r="G38" s="33">
        <f t="shared" si="1"/>
        <v>0.01</v>
      </c>
      <c r="H38" s="184"/>
      <c r="I38" s="380"/>
      <c r="J38" s="382"/>
      <c r="K38" s="384"/>
      <c r="L38" s="382"/>
      <c r="M38" s="385"/>
      <c r="N38" s="27" t="s">
        <v>124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0.4*1.59</f>
        <v>0.63600000000000012</v>
      </c>
      <c r="K39" s="383" t="s">
        <v>15</v>
      </c>
      <c r="L39" s="381"/>
      <c r="M39" s="383">
        <f>0.4*2.27</f>
        <v>0.90800000000000003</v>
      </c>
      <c r="N39" s="88" t="s">
        <v>126</v>
      </c>
      <c r="O39" s="386">
        <v>48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119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0.4*2.12</f>
        <v>0.84800000000000009</v>
      </c>
      <c r="K41" s="383" t="s">
        <v>15</v>
      </c>
      <c r="L41" s="381"/>
      <c r="M41" s="383" t="s">
        <v>85</v>
      </c>
      <c r="N41" s="88"/>
      <c r="O41" s="386" t="s">
        <v>85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85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0.4*4.34</f>
        <v>1.736</v>
      </c>
      <c r="K43" s="383" t="s">
        <v>15</v>
      </c>
      <c r="L43" s="381"/>
      <c r="M43" s="383">
        <f>0.4*1.36</f>
        <v>0.54400000000000004</v>
      </c>
      <c r="N43" s="88" t="s">
        <v>126</v>
      </c>
      <c r="O43" s="386">
        <v>57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119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0.4*2.41</f>
        <v>0.96400000000000008</v>
      </c>
      <c r="K45" s="383" t="s">
        <v>15</v>
      </c>
      <c r="L45" s="381"/>
      <c r="M45" s="383">
        <f>0.4*2.56</f>
        <v>1.024</v>
      </c>
      <c r="N45" s="88" t="s">
        <v>126</v>
      </c>
      <c r="O45" s="386">
        <v>70</v>
      </c>
      <c r="P45" s="44"/>
    </row>
    <row r="46" spans="1:16" ht="57.75" customHeight="1" thickBot="1">
      <c r="A46" s="14"/>
      <c r="B46" s="241" t="s">
        <v>58</v>
      </c>
      <c r="C46" s="237"/>
      <c r="D46" s="238">
        <v>0.11</v>
      </c>
      <c r="E46" s="239"/>
      <c r="F46" s="238">
        <v>7.0000000000000007E-2</v>
      </c>
      <c r="G46" s="240">
        <f t="shared" si="1"/>
        <v>0.09</v>
      </c>
      <c r="H46" s="184"/>
      <c r="I46" s="380"/>
      <c r="J46" s="382"/>
      <c r="K46" s="384"/>
      <c r="L46" s="382"/>
      <c r="M46" s="385"/>
      <c r="N46" s="27" t="s">
        <v>119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0.4*2.46</f>
        <v>0.98399999999999999</v>
      </c>
      <c r="K47" s="383" t="s">
        <v>15</v>
      </c>
      <c r="L47" s="381"/>
      <c r="M47" s="383">
        <f>0.4*2</f>
        <v>0.8</v>
      </c>
      <c r="N47" s="88" t="s">
        <v>127</v>
      </c>
      <c r="O47" s="386">
        <v>18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126</v>
      </c>
      <c r="O48" s="387"/>
      <c r="P48" s="44"/>
    </row>
    <row r="49" spans="1:16" ht="38.25" thickBot="1">
      <c r="A49" s="14"/>
      <c r="B49" s="95" t="s">
        <v>108</v>
      </c>
      <c r="C49" s="77"/>
      <c r="D49" s="220" t="s">
        <v>66</v>
      </c>
      <c r="E49" s="219" t="s">
        <v>125</v>
      </c>
      <c r="F49" s="219" t="s">
        <v>128</v>
      </c>
      <c r="G49" s="223" t="s">
        <v>129</v>
      </c>
      <c r="H49" s="224" t="s">
        <v>8</v>
      </c>
      <c r="I49" s="372" t="s">
        <v>45</v>
      </c>
      <c r="J49" s="381">
        <f>0.4*3.81</f>
        <v>1.524</v>
      </c>
      <c r="K49" s="383" t="s">
        <v>15</v>
      </c>
      <c r="L49" s="264"/>
      <c r="M49" s="383">
        <f>0.4*1.74</f>
        <v>0.69600000000000006</v>
      </c>
      <c r="N49" s="88" t="s">
        <v>127</v>
      </c>
      <c r="O49" s="386">
        <v>45</v>
      </c>
      <c r="P49" s="44"/>
    </row>
    <row r="50" spans="1:16" ht="37.5">
      <c r="A50" s="14"/>
      <c r="B50" s="76" t="s">
        <v>22</v>
      </c>
      <c r="C50" s="97"/>
      <c r="D50" s="98">
        <v>1074</v>
      </c>
      <c r="E50" s="258">
        <v>1128</v>
      </c>
      <c r="F50" s="258">
        <v>1175</v>
      </c>
      <c r="G50" s="221">
        <v>1115</v>
      </c>
      <c r="H50" s="260">
        <f>AVERAGE(E50:G50)</f>
        <v>1139.3333333333333</v>
      </c>
      <c r="I50" s="380"/>
      <c r="J50" s="382"/>
      <c r="K50" s="384"/>
      <c r="L50" s="266"/>
      <c r="M50" s="385"/>
      <c r="N50" s="27" t="s">
        <v>126</v>
      </c>
      <c r="O50" s="387"/>
      <c r="P50" s="44"/>
    </row>
    <row r="51" spans="1:16" ht="37.5">
      <c r="A51" s="14"/>
      <c r="B51" s="76" t="s">
        <v>24</v>
      </c>
      <c r="C51" s="97"/>
      <c r="D51" s="98">
        <v>694</v>
      </c>
      <c r="E51" s="98">
        <v>871</v>
      </c>
      <c r="F51" s="98">
        <v>589</v>
      </c>
      <c r="G51" s="99">
        <v>715</v>
      </c>
      <c r="H51" s="260">
        <f t="shared" ref="H51:H61" si="2">AVERAGE(E51:G51)</f>
        <v>725</v>
      </c>
      <c r="I51" s="372" t="s">
        <v>47</v>
      </c>
      <c r="J51" s="381">
        <f>0.4*2.35</f>
        <v>0.94000000000000006</v>
      </c>
      <c r="K51" s="383" t="s">
        <v>15</v>
      </c>
      <c r="L51" s="264"/>
      <c r="M51" s="383">
        <f>0.4*2.46</f>
        <v>0.98399999999999999</v>
      </c>
      <c r="N51" s="88" t="s">
        <v>127</v>
      </c>
      <c r="O51" s="386">
        <v>39</v>
      </c>
      <c r="P51" s="44"/>
    </row>
    <row r="52" spans="1:16" ht="37.5">
      <c r="A52" s="14"/>
      <c r="B52" s="76" t="s">
        <v>25</v>
      </c>
      <c r="C52" s="97"/>
      <c r="D52" s="98">
        <v>365</v>
      </c>
      <c r="E52" s="98">
        <v>338</v>
      </c>
      <c r="F52" s="98">
        <v>349</v>
      </c>
      <c r="G52" s="99">
        <v>342</v>
      </c>
      <c r="H52" s="260">
        <f t="shared" si="2"/>
        <v>343</v>
      </c>
      <c r="I52" s="380"/>
      <c r="J52" s="382"/>
      <c r="K52" s="384"/>
      <c r="L52" s="266"/>
      <c r="M52" s="385"/>
      <c r="N52" s="27" t="s">
        <v>126</v>
      </c>
      <c r="O52" s="387"/>
      <c r="P52" s="44"/>
    </row>
    <row r="53" spans="1:16" ht="37.5">
      <c r="A53" s="14"/>
      <c r="B53" s="76" t="s">
        <v>27</v>
      </c>
      <c r="C53" s="97"/>
      <c r="D53" s="98">
        <v>193</v>
      </c>
      <c r="E53" s="98">
        <v>205</v>
      </c>
      <c r="F53" s="98">
        <v>244</v>
      </c>
      <c r="G53" s="99">
        <v>228</v>
      </c>
      <c r="H53" s="260">
        <f t="shared" si="2"/>
        <v>225.66666666666666</v>
      </c>
      <c r="I53" s="372" t="s">
        <v>50</v>
      </c>
      <c r="J53" s="381">
        <f>0.4*2.83</f>
        <v>1.1320000000000001</v>
      </c>
      <c r="K53" s="383" t="s">
        <v>15</v>
      </c>
      <c r="L53" s="264"/>
      <c r="M53" s="383">
        <f>0.4*1.79</f>
        <v>0.71600000000000008</v>
      </c>
      <c r="N53" s="88" t="s">
        <v>127</v>
      </c>
      <c r="O53" s="386">
        <v>56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260"/>
      <c r="I54" s="380"/>
      <c r="J54" s="382"/>
      <c r="K54" s="384"/>
      <c r="L54" s="266"/>
      <c r="M54" s="385"/>
      <c r="N54" s="27" t="s">
        <v>126</v>
      </c>
      <c r="O54" s="387"/>
      <c r="P54" s="44"/>
    </row>
    <row r="55" spans="1:16" ht="37.5">
      <c r="A55" s="15"/>
      <c r="B55" s="76" t="s">
        <v>48</v>
      </c>
      <c r="C55" s="100"/>
      <c r="D55" s="98">
        <v>129</v>
      </c>
      <c r="E55" s="98">
        <v>145</v>
      </c>
      <c r="F55" s="98">
        <v>176</v>
      </c>
      <c r="G55" s="99">
        <v>117</v>
      </c>
      <c r="H55" s="260">
        <f t="shared" si="2"/>
        <v>146</v>
      </c>
      <c r="I55" s="372" t="s">
        <v>53</v>
      </c>
      <c r="J55" s="381">
        <f>0.4*5.69</f>
        <v>2.2760000000000002</v>
      </c>
      <c r="K55" s="383" t="s">
        <v>15</v>
      </c>
      <c r="L55" s="264"/>
      <c r="M55" s="383">
        <f>0.4*2.8</f>
        <v>1.1199999999999999</v>
      </c>
      <c r="N55" s="88" t="s">
        <v>127</v>
      </c>
      <c r="O55" s="386">
        <v>33</v>
      </c>
      <c r="P55" s="44"/>
    </row>
    <row r="56" spans="1:16" ht="37.5">
      <c r="A56" s="15"/>
      <c r="B56" s="76" t="s">
        <v>49</v>
      </c>
      <c r="C56" s="100"/>
      <c r="D56" s="98">
        <v>174</v>
      </c>
      <c r="E56" s="98">
        <v>180</v>
      </c>
      <c r="F56" s="98">
        <v>148</v>
      </c>
      <c r="G56" s="99">
        <v>162</v>
      </c>
      <c r="H56" s="260">
        <f t="shared" si="2"/>
        <v>163.33333333333334</v>
      </c>
      <c r="I56" s="380"/>
      <c r="J56" s="382"/>
      <c r="K56" s="384"/>
      <c r="L56" s="266"/>
      <c r="M56" s="385"/>
      <c r="N56" s="27" t="s">
        <v>126</v>
      </c>
      <c r="O56" s="387"/>
      <c r="P56" s="44"/>
    </row>
    <row r="57" spans="1:16" ht="37.5">
      <c r="A57" s="15"/>
      <c r="B57" s="76" t="s">
        <v>51</v>
      </c>
      <c r="C57" s="100"/>
      <c r="D57" s="98">
        <v>118</v>
      </c>
      <c r="E57" s="98">
        <v>146</v>
      </c>
      <c r="F57" s="98">
        <v>129</v>
      </c>
      <c r="G57" s="99">
        <v>138</v>
      </c>
      <c r="H57" s="260">
        <f t="shared" si="2"/>
        <v>137.66666666666666</v>
      </c>
      <c r="I57" s="372" t="s">
        <v>8</v>
      </c>
      <c r="J57" s="374">
        <v>1.05</v>
      </c>
      <c r="K57" s="376"/>
      <c r="L57" s="101"/>
      <c r="M57" s="376">
        <v>0.92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102</v>
      </c>
      <c r="E58" s="98">
        <v>136</v>
      </c>
      <c r="F58" s="98">
        <v>116</v>
      </c>
      <c r="G58" s="99">
        <v>118</v>
      </c>
      <c r="H58" s="260">
        <f t="shared" si="2"/>
        <v>123.33333333333333</v>
      </c>
      <c r="I58" s="373"/>
      <c r="J58" s="375"/>
      <c r="K58" s="377"/>
      <c r="L58" s="36"/>
      <c r="M58" s="377"/>
      <c r="N58" s="377"/>
      <c r="O58" s="379"/>
      <c r="P58" s="44"/>
    </row>
    <row r="59" spans="1:16" ht="38.25" thickBot="1">
      <c r="A59" s="15"/>
      <c r="B59" s="76" t="s">
        <v>54</v>
      </c>
      <c r="C59" s="100"/>
      <c r="D59" s="98">
        <v>89</v>
      </c>
      <c r="E59" s="98">
        <v>88</v>
      </c>
      <c r="F59" s="259">
        <v>94</v>
      </c>
      <c r="G59" s="99">
        <v>99</v>
      </c>
      <c r="H59" s="260">
        <f t="shared" si="2"/>
        <v>93.666666666666671</v>
      </c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8.25" thickTop="1">
      <c r="A60" s="15"/>
      <c r="B60" s="89" t="s">
        <v>55</v>
      </c>
      <c r="C60" s="100"/>
      <c r="D60" s="98">
        <v>62</v>
      </c>
      <c r="E60" s="98">
        <v>78</v>
      </c>
      <c r="F60" s="98">
        <v>74</v>
      </c>
      <c r="G60" s="99">
        <v>76</v>
      </c>
      <c r="H60" s="260">
        <f t="shared" si="2"/>
        <v>76</v>
      </c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218"/>
      <c r="D61" s="98">
        <v>61</v>
      </c>
      <c r="E61" s="98">
        <v>58</v>
      </c>
      <c r="F61" s="98">
        <v>64</v>
      </c>
      <c r="G61" s="99">
        <v>65</v>
      </c>
      <c r="H61" s="260">
        <f t="shared" si="2"/>
        <v>62.333333333333336</v>
      </c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214"/>
      <c r="C62" s="215"/>
      <c r="D62" s="216" t="s">
        <v>4</v>
      </c>
      <c r="E62" s="259"/>
      <c r="F62" s="98"/>
      <c r="G62" s="99"/>
      <c r="H62" s="260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62" t="s">
        <v>13</v>
      </c>
      <c r="J64" s="29">
        <v>0.81</v>
      </c>
      <c r="K64" s="29">
        <v>0.46</v>
      </c>
      <c r="L64" s="119">
        <f>AVERAGE(J64:K64)</f>
        <v>0.63500000000000001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62" t="s">
        <v>16</v>
      </c>
      <c r="J65" s="29">
        <v>1.65</v>
      </c>
      <c r="K65" s="245">
        <v>0.43</v>
      </c>
      <c r="L65" s="208">
        <f>AVERAGE(J65:K65)</f>
        <v>1.04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 t="s">
        <v>4</v>
      </c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108</v>
      </c>
      <c r="C68" s="120" t="s">
        <v>84</v>
      </c>
      <c r="D68" s="120" t="s">
        <v>122</v>
      </c>
      <c r="E68" s="116">
        <v>1586</v>
      </c>
      <c r="F68" s="29"/>
      <c r="G68" s="118"/>
      <c r="H68" s="190"/>
      <c r="I68" s="262" t="s">
        <v>67</v>
      </c>
      <c r="J68" s="262"/>
      <c r="K68" s="262"/>
      <c r="L68" s="126"/>
      <c r="M68" s="261"/>
      <c r="N68" s="127"/>
      <c r="O68" s="128"/>
      <c r="P68" s="44"/>
    </row>
    <row r="69" spans="1:16" ht="37.5">
      <c r="A69" s="15"/>
      <c r="B69" s="95" t="s">
        <v>108</v>
      </c>
      <c r="C69" s="120" t="s">
        <v>83</v>
      </c>
      <c r="D69" s="120" t="s">
        <v>113</v>
      </c>
      <c r="E69" s="116">
        <v>88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/>
      <c r="C70" s="120"/>
      <c r="D70" s="120"/>
      <c r="E70" s="116"/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74.7</v>
      </c>
      <c r="K72" s="29"/>
      <c r="L72" s="119">
        <f>AVERAGE(J72:K72)</f>
        <v>74.7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83.9</v>
      </c>
      <c r="K73" s="29"/>
      <c r="L73" s="119">
        <f>AVERAGE(J73:K73)</f>
        <v>83.9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63.05</v>
      </c>
      <c r="K74" s="27">
        <v>62.45</v>
      </c>
      <c r="L74" s="119">
        <f>AVERAGE(J74:K74)</f>
        <v>62.75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64.099999999999994</v>
      </c>
      <c r="K75" s="91">
        <v>63.35</v>
      </c>
      <c r="L75" s="119">
        <f>AVERAGE(J75:K75)</f>
        <v>63.724999999999994</v>
      </c>
      <c r="M75" s="115"/>
      <c r="N75" s="91"/>
      <c r="O75" s="35"/>
      <c r="P75" s="44"/>
    </row>
    <row r="76" spans="1:16" ht="39.75" thickBot="1">
      <c r="A76" s="170"/>
      <c r="B76" s="95" t="s">
        <v>108</v>
      </c>
      <c r="C76" s="120" t="s">
        <v>83</v>
      </c>
      <c r="D76" s="120" t="s">
        <v>113</v>
      </c>
      <c r="E76" s="136">
        <v>0.79269999999999996</v>
      </c>
      <c r="F76" s="137"/>
      <c r="G76" s="141"/>
      <c r="H76" s="188"/>
      <c r="I76" s="180"/>
      <c r="J76" s="2" t="s">
        <v>4</v>
      </c>
      <c r="K76" s="2"/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61"/>
      <c r="J78" s="236" t="s">
        <v>66</v>
      </c>
      <c r="K78" s="236" t="s">
        <v>66</v>
      </c>
      <c r="L78" s="236" t="s">
        <v>66</v>
      </c>
      <c r="M78" s="113"/>
      <c r="N78" s="261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0.4*1.83</f>
        <v>0.7320000000000001</v>
      </c>
      <c r="K79" s="27">
        <f>0.4*2.48</f>
        <v>0.99199999999999999</v>
      </c>
      <c r="L79" s="119">
        <f>AVERAGE(J79:K79)</f>
        <v>0.8620000000000001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0.4*1.98</f>
        <v>0.79200000000000004</v>
      </c>
      <c r="K80" s="91">
        <f>0.4*3.01</f>
        <v>1.204</v>
      </c>
      <c r="L80" s="119">
        <f>AVERAGE(J80:K80)</f>
        <v>0.998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108</v>
      </c>
      <c r="C82" s="120" t="s">
        <v>83</v>
      </c>
      <c r="D82" s="120" t="s">
        <v>113</v>
      </c>
      <c r="E82" s="27">
        <v>4.47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 t="s">
        <v>85</v>
      </c>
      <c r="L84" s="119" t="e">
        <f>AVERAGE(J84:K84)</f>
        <v>#DIV/0!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 t="s">
        <v>85</v>
      </c>
      <c r="L85" s="119" t="e">
        <f>AVERAGE(J85:K85)</f>
        <v>#DIV/0!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63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37" t="s">
        <v>81</v>
      </c>
      <c r="C3" s="95" t="s">
        <v>117</v>
      </c>
      <c r="D3" s="38"/>
      <c r="E3" s="39" t="s">
        <v>9</v>
      </c>
      <c r="F3" s="39"/>
      <c r="G3" s="39"/>
      <c r="H3" s="40"/>
      <c r="I3" s="41" t="s">
        <v>2</v>
      </c>
      <c r="J3" s="42" t="s">
        <v>130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117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131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1.46</v>
      </c>
      <c r="E7" s="21"/>
      <c r="F7" s="21">
        <v>1.53</v>
      </c>
      <c r="G7" s="102">
        <f>AVERAGE(D7:F7)</f>
        <v>1.4950000000000001</v>
      </c>
      <c r="H7" s="184"/>
      <c r="I7" s="372" t="s">
        <v>98</v>
      </c>
      <c r="J7" s="383">
        <f>0.4*2.72</f>
        <v>1.0880000000000001</v>
      </c>
      <c r="K7" s="383" t="s">
        <v>15</v>
      </c>
      <c r="L7" s="264"/>
      <c r="M7" s="383">
        <f>0.4*3.09</f>
        <v>1.236</v>
      </c>
      <c r="N7" s="27" t="s">
        <v>132</v>
      </c>
      <c r="O7" s="386">
        <v>34</v>
      </c>
      <c r="P7" s="44"/>
    </row>
    <row r="8" spans="1:17" ht="38.25" thickBot="1">
      <c r="A8" s="12"/>
      <c r="B8" s="68" t="s">
        <v>16</v>
      </c>
      <c r="C8" s="69"/>
      <c r="D8" s="34">
        <v>1.7</v>
      </c>
      <c r="E8" s="23"/>
      <c r="F8" s="23">
        <v>1.1100000000000001</v>
      </c>
      <c r="G8" s="124">
        <f>AVERAGE(D8:F8)</f>
        <v>1.405</v>
      </c>
      <c r="H8" s="184"/>
      <c r="I8" s="380"/>
      <c r="J8" s="384"/>
      <c r="K8" s="384"/>
      <c r="L8" s="266"/>
      <c r="M8" s="385"/>
      <c r="N8" s="268" t="s">
        <v>133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0.4*2.96</f>
        <v>1.1839999999999999</v>
      </c>
      <c r="K9" s="383" t="s">
        <v>15</v>
      </c>
      <c r="L9" s="383"/>
      <c r="M9" s="383">
        <f>0.4*4.08</f>
        <v>1.6320000000000001</v>
      </c>
      <c r="N9" s="27" t="s">
        <v>132</v>
      </c>
      <c r="O9" s="386">
        <v>64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68" t="s">
        <v>133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0.4*2.67</f>
        <v>1.0680000000000001</v>
      </c>
      <c r="K11" s="383" t="s">
        <v>15</v>
      </c>
      <c r="L11" s="264"/>
      <c r="M11" s="383">
        <f>0.4*5.76</f>
        <v>2.3039999999999998</v>
      </c>
      <c r="N11" s="27" t="s">
        <v>132</v>
      </c>
      <c r="O11" s="386" t="s">
        <v>4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66"/>
      <c r="M12" s="385"/>
      <c r="N12" s="268" t="s">
        <v>133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0.4*2.77</f>
        <v>1.1080000000000001</v>
      </c>
      <c r="K13" s="383" t="s">
        <v>15</v>
      </c>
      <c r="L13" s="264"/>
      <c r="M13" s="383">
        <f>0.4*2.02</f>
        <v>0.80800000000000005</v>
      </c>
      <c r="N13" s="27" t="s">
        <v>132</v>
      </c>
      <c r="O13" s="386">
        <v>63</v>
      </c>
      <c r="P13" s="44"/>
    </row>
    <row r="14" spans="1:17" ht="37.5">
      <c r="A14" s="11" t="s">
        <v>91</v>
      </c>
      <c r="B14" s="76" t="s">
        <v>21</v>
      </c>
      <c r="C14" s="120"/>
      <c r="D14" s="28">
        <f>0.4*3.08</f>
        <v>1.2320000000000002</v>
      </c>
      <c r="E14" s="28"/>
      <c r="F14" s="28">
        <f>0.4*2.86</f>
        <v>1.1439999999999999</v>
      </c>
      <c r="G14" s="33">
        <f t="shared" ref="G14:G27" si="0">AVERAGE(D14:F14)</f>
        <v>1.1880000000000002</v>
      </c>
      <c r="H14" s="184"/>
      <c r="I14" s="380"/>
      <c r="J14" s="384"/>
      <c r="K14" s="384"/>
      <c r="L14" s="266"/>
      <c r="M14" s="385"/>
      <c r="N14" s="268" t="s">
        <v>133</v>
      </c>
      <c r="O14" s="387"/>
      <c r="P14" s="44"/>
    </row>
    <row r="15" spans="1:17" ht="37.5">
      <c r="A15" s="11"/>
      <c r="B15" s="76" t="s">
        <v>97</v>
      </c>
      <c r="C15" s="29"/>
      <c r="D15" s="29">
        <f>0.4*2.32</f>
        <v>0.92799999999999994</v>
      </c>
      <c r="E15" s="28"/>
      <c r="F15" s="29">
        <f>0.4*2.45</f>
        <v>0.98000000000000009</v>
      </c>
      <c r="G15" s="33">
        <f t="shared" si="0"/>
        <v>0.95399999999999996</v>
      </c>
      <c r="H15" s="184" t="s">
        <v>4</v>
      </c>
      <c r="I15" s="390" t="s">
        <v>61</v>
      </c>
      <c r="J15" s="383">
        <f>0.4*2.15</f>
        <v>0.86</v>
      </c>
      <c r="K15" s="383" t="s">
        <v>15</v>
      </c>
      <c r="L15" s="264"/>
      <c r="M15" s="383">
        <f>0.4*3.35</f>
        <v>1.34</v>
      </c>
      <c r="N15" s="27" t="s">
        <v>132</v>
      </c>
      <c r="O15" s="386">
        <v>37</v>
      </c>
      <c r="P15" s="44"/>
    </row>
    <row r="16" spans="1:17" ht="37.5">
      <c r="A16" s="11"/>
      <c r="B16" s="76" t="s">
        <v>22</v>
      </c>
      <c r="C16" s="28"/>
      <c r="D16" s="28">
        <f>0.4*2.2</f>
        <v>0.88000000000000012</v>
      </c>
      <c r="E16" s="29"/>
      <c r="F16" s="29">
        <f>0.4*1.81</f>
        <v>0.72400000000000009</v>
      </c>
      <c r="G16" s="33">
        <f t="shared" si="0"/>
        <v>0.80200000000000005</v>
      </c>
      <c r="H16" s="184"/>
      <c r="I16" s="391"/>
      <c r="J16" s="384"/>
      <c r="K16" s="384"/>
      <c r="L16" s="266"/>
      <c r="M16" s="385"/>
      <c r="N16" s="268" t="s">
        <v>133</v>
      </c>
      <c r="O16" s="387"/>
      <c r="P16" s="44"/>
    </row>
    <row r="17" spans="1:16" ht="37.5">
      <c r="A17" s="11"/>
      <c r="B17" s="76" t="s">
        <v>24</v>
      </c>
      <c r="C17" s="28"/>
      <c r="D17" s="28">
        <f>0.4*1.61</f>
        <v>0.64400000000000013</v>
      </c>
      <c r="E17" s="28"/>
      <c r="F17" s="29">
        <f>0.4*1.45</f>
        <v>0.57999999999999996</v>
      </c>
      <c r="G17" s="33">
        <f t="shared" si="0"/>
        <v>0.6120000000000001</v>
      </c>
      <c r="H17" s="184"/>
      <c r="I17" s="372" t="s">
        <v>62</v>
      </c>
      <c r="J17" s="383">
        <f>0.4*3.11</f>
        <v>1.244</v>
      </c>
      <c r="K17" s="383" t="s">
        <v>90</v>
      </c>
      <c r="L17" s="264"/>
      <c r="M17" s="383" t="s">
        <v>85</v>
      </c>
      <c r="N17" s="27"/>
      <c r="O17" s="386" t="s">
        <v>85</v>
      </c>
      <c r="P17" s="44"/>
    </row>
    <row r="18" spans="1:16" ht="37.5">
      <c r="A18" s="11"/>
      <c r="B18" s="76" t="s">
        <v>25</v>
      </c>
      <c r="C18" s="29"/>
      <c r="D18" s="28">
        <f>0.4*1.87</f>
        <v>0.74800000000000011</v>
      </c>
      <c r="E18" s="28"/>
      <c r="F18" s="29">
        <f>0.4*1.42</f>
        <v>0.56799999999999995</v>
      </c>
      <c r="G18" s="33">
        <f t="shared" si="0"/>
        <v>0.65800000000000003</v>
      </c>
      <c r="H18" s="184"/>
      <c r="I18" s="380"/>
      <c r="J18" s="384"/>
      <c r="K18" s="384"/>
      <c r="L18" s="266"/>
      <c r="M18" s="385"/>
      <c r="N18" s="27" t="s">
        <v>85</v>
      </c>
      <c r="O18" s="387"/>
      <c r="P18" s="44"/>
    </row>
    <row r="19" spans="1:16" ht="37.5">
      <c r="A19" s="11"/>
      <c r="B19" s="76" t="s">
        <v>27</v>
      </c>
      <c r="C19" s="29"/>
      <c r="D19" s="28">
        <f>0.4*1.52</f>
        <v>0.6080000000000001</v>
      </c>
      <c r="E19" s="29"/>
      <c r="F19" s="29">
        <f>0.4*1.22</f>
        <v>0.48799999999999999</v>
      </c>
      <c r="G19" s="33">
        <f t="shared" si="0"/>
        <v>0.54800000000000004</v>
      </c>
      <c r="H19" s="184"/>
      <c r="I19" s="372" t="s">
        <v>63</v>
      </c>
      <c r="J19" s="383">
        <f>0.4*7.76</f>
        <v>3.1040000000000001</v>
      </c>
      <c r="K19" s="383" t="s">
        <v>15</v>
      </c>
      <c r="L19" s="264"/>
      <c r="M19" s="383">
        <f>0.4*2.16</f>
        <v>0.8640000000000001</v>
      </c>
      <c r="N19" s="27" t="s">
        <v>132</v>
      </c>
      <c r="O19" s="386">
        <v>32</v>
      </c>
      <c r="P19" s="44"/>
    </row>
    <row r="20" spans="1:16" ht="37.5">
      <c r="A20" s="11"/>
      <c r="B20" s="76" t="s">
        <v>29</v>
      </c>
      <c r="C20" s="28"/>
      <c r="D20" s="28">
        <f>0.4*1.44</f>
        <v>0.57599999999999996</v>
      </c>
      <c r="E20" s="29"/>
      <c r="F20" s="29">
        <f>0.4*0.99</f>
        <v>0.39600000000000002</v>
      </c>
      <c r="G20" s="33">
        <f t="shared" si="0"/>
        <v>0.48599999999999999</v>
      </c>
      <c r="H20" s="184"/>
      <c r="I20" s="380"/>
      <c r="J20" s="384"/>
      <c r="K20" s="384"/>
      <c r="L20" s="266"/>
      <c r="M20" s="385"/>
      <c r="N20" s="268" t="s">
        <v>133</v>
      </c>
      <c r="O20" s="387"/>
      <c r="P20" s="44"/>
    </row>
    <row r="21" spans="1:16" ht="37.5">
      <c r="A21" s="11"/>
      <c r="B21" s="76" t="s">
        <v>30</v>
      </c>
      <c r="C21" s="28"/>
      <c r="D21" s="28">
        <f>0.4*1.27</f>
        <v>0.50800000000000001</v>
      </c>
      <c r="E21" s="28"/>
      <c r="F21" s="29">
        <f>0.4*0.93</f>
        <v>0.37200000000000005</v>
      </c>
      <c r="G21" s="33">
        <f t="shared" si="0"/>
        <v>0.44000000000000006</v>
      </c>
      <c r="H21" s="184"/>
      <c r="I21" s="372" t="s">
        <v>14</v>
      </c>
      <c r="J21" s="383">
        <f>0.4*7.7</f>
        <v>3.08</v>
      </c>
      <c r="K21" s="383" t="s">
        <v>15</v>
      </c>
      <c r="L21" s="264"/>
      <c r="M21" s="264">
        <f>0.4*3.93</f>
        <v>1.5720000000000001</v>
      </c>
      <c r="N21" s="27" t="s">
        <v>135</v>
      </c>
      <c r="O21" s="386">
        <v>40</v>
      </c>
      <c r="P21" s="44"/>
    </row>
    <row r="22" spans="1:16" ht="37.5">
      <c r="A22" s="11"/>
      <c r="B22" s="76" t="s">
        <v>32</v>
      </c>
      <c r="C22" s="78"/>
      <c r="D22" s="28">
        <f>0.4*1.27</f>
        <v>0.50800000000000001</v>
      </c>
      <c r="E22" s="28"/>
      <c r="F22" s="29">
        <f>0.4*0.9</f>
        <v>0.36000000000000004</v>
      </c>
      <c r="G22" s="33">
        <f t="shared" si="0"/>
        <v>0.43400000000000005</v>
      </c>
      <c r="H22" s="184"/>
      <c r="I22" s="380"/>
      <c r="J22" s="384"/>
      <c r="K22" s="384"/>
      <c r="L22" s="266"/>
      <c r="M22" s="266"/>
      <c r="N22" s="267" t="s">
        <v>134</v>
      </c>
      <c r="O22" s="387"/>
      <c r="P22" s="44"/>
    </row>
    <row r="23" spans="1:16" ht="37.5">
      <c r="A23" s="11"/>
      <c r="B23" s="76" t="s">
        <v>33</v>
      </c>
      <c r="C23" s="28"/>
      <c r="D23" s="28">
        <f>0.4*1.3</f>
        <v>0.52</v>
      </c>
      <c r="E23" s="28"/>
      <c r="F23" s="28">
        <f>0.4*0.85</f>
        <v>0.34</v>
      </c>
      <c r="G23" s="33">
        <f t="shared" si="0"/>
        <v>0.43000000000000005</v>
      </c>
      <c r="H23" s="184"/>
      <c r="I23" s="372" t="s">
        <v>17</v>
      </c>
      <c r="J23" s="383">
        <f>0.4*5.3</f>
        <v>2.12</v>
      </c>
      <c r="K23" s="383" t="s">
        <v>15</v>
      </c>
      <c r="L23" s="264"/>
      <c r="M23" s="264">
        <f>0.4*6.04</f>
        <v>2.4160000000000004</v>
      </c>
      <c r="N23" s="27" t="s">
        <v>135</v>
      </c>
      <c r="O23" s="386">
        <v>61</v>
      </c>
      <c r="P23" s="44"/>
    </row>
    <row r="24" spans="1:16" ht="37.5">
      <c r="A24" s="11"/>
      <c r="B24" s="76" t="s">
        <v>35</v>
      </c>
      <c r="C24" s="29"/>
      <c r="D24" s="28">
        <f>0.4*1.25</f>
        <v>0.5</v>
      </c>
      <c r="E24" s="28"/>
      <c r="F24" s="28">
        <f>0.4*0.88</f>
        <v>0.35200000000000004</v>
      </c>
      <c r="G24" s="33">
        <f t="shared" si="0"/>
        <v>0.42600000000000005</v>
      </c>
      <c r="H24" s="184"/>
      <c r="I24" s="380"/>
      <c r="J24" s="384"/>
      <c r="K24" s="384"/>
      <c r="L24" s="266"/>
      <c r="M24" s="266"/>
      <c r="N24" s="267" t="s">
        <v>134</v>
      </c>
      <c r="O24" s="387"/>
      <c r="P24" s="44"/>
    </row>
    <row r="25" spans="1:16" ht="37.5">
      <c r="A25" s="11"/>
      <c r="B25" s="76" t="s">
        <v>36</v>
      </c>
      <c r="C25" s="27"/>
      <c r="D25" s="28">
        <f>0.4*1.04</f>
        <v>0.41600000000000004</v>
      </c>
      <c r="E25" s="28"/>
      <c r="F25" s="28">
        <f>0.4*0.85</f>
        <v>0.34</v>
      </c>
      <c r="G25" s="33">
        <f t="shared" si="0"/>
        <v>0.378</v>
      </c>
      <c r="H25" s="184"/>
      <c r="I25" s="372" t="s">
        <v>18</v>
      </c>
      <c r="J25" s="383">
        <f>0.4*2.25</f>
        <v>0.9</v>
      </c>
      <c r="K25" s="383" t="s">
        <v>15</v>
      </c>
      <c r="L25" s="264"/>
      <c r="M25" s="264">
        <f>0.4*4.02</f>
        <v>1.6079999999999999</v>
      </c>
      <c r="N25" s="27" t="s">
        <v>135</v>
      </c>
      <c r="O25" s="386">
        <v>28</v>
      </c>
      <c r="P25" s="44"/>
    </row>
    <row r="26" spans="1:16" ht="37.5">
      <c r="A26" s="11"/>
      <c r="B26" s="76" t="s">
        <v>38</v>
      </c>
      <c r="C26" s="27"/>
      <c r="D26" s="28">
        <f>0.4*0.9</f>
        <v>0.36000000000000004</v>
      </c>
      <c r="E26" s="28"/>
      <c r="F26" s="29">
        <f>0.4*0.8</f>
        <v>0.32000000000000006</v>
      </c>
      <c r="G26" s="33">
        <f t="shared" si="0"/>
        <v>0.34000000000000008</v>
      </c>
      <c r="H26" s="184"/>
      <c r="I26" s="380"/>
      <c r="J26" s="384"/>
      <c r="K26" s="384"/>
      <c r="L26" s="266"/>
      <c r="M26" s="266"/>
      <c r="N26" s="267" t="s">
        <v>134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0.4*0.87</f>
        <v>0.34800000000000003</v>
      </c>
      <c r="E27" s="30"/>
      <c r="F27" s="29">
        <f>0.4*0.69</f>
        <v>0.27599999999999997</v>
      </c>
      <c r="G27" s="33">
        <f t="shared" si="0"/>
        <v>0.312</v>
      </c>
      <c r="H27" s="184"/>
      <c r="I27" s="372" t="s">
        <v>20</v>
      </c>
      <c r="J27" s="383">
        <f>0.4*6.14</f>
        <v>2.456</v>
      </c>
      <c r="K27" s="383" t="s">
        <v>15</v>
      </c>
      <c r="L27" s="264"/>
      <c r="M27" s="264">
        <f>0.4*3.35</f>
        <v>1.34</v>
      </c>
      <c r="N27" s="27" t="s">
        <v>135</v>
      </c>
      <c r="O27" s="386">
        <v>65</v>
      </c>
      <c r="P27" s="44"/>
    </row>
    <row r="28" spans="1:16" ht="38.25" thickBot="1">
      <c r="A28" s="11"/>
      <c r="B28" s="17"/>
      <c r="C28" s="18"/>
      <c r="D28" s="19" t="s">
        <v>136</v>
      </c>
      <c r="E28" s="18"/>
      <c r="F28" s="19"/>
      <c r="G28" s="20"/>
      <c r="H28" s="184"/>
      <c r="I28" s="380"/>
      <c r="J28" s="384"/>
      <c r="K28" s="384"/>
      <c r="L28" s="266"/>
      <c r="M28" s="266"/>
      <c r="N28" s="267" t="s">
        <v>134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0.4*5.35</f>
        <v>2.14</v>
      </c>
      <c r="K29" s="383" t="s">
        <v>15</v>
      </c>
      <c r="L29" s="81"/>
      <c r="M29" s="264">
        <f>0.4*2.46</f>
        <v>0.98399999999999999</v>
      </c>
      <c r="N29" s="27" t="s">
        <v>135</v>
      </c>
      <c r="O29" s="386">
        <v>73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266"/>
      <c r="N30" s="267" t="s">
        <v>134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0.17</v>
      </c>
      <c r="E31" s="28"/>
      <c r="F31" s="234">
        <v>0.08</v>
      </c>
      <c r="G31" s="33">
        <f t="shared" ref="G31:G46" si="1">AVERAGE(D31:F31)</f>
        <v>0.125</v>
      </c>
      <c r="H31" s="184"/>
      <c r="I31" s="372" t="s">
        <v>8</v>
      </c>
      <c r="J31" s="376">
        <v>1.7</v>
      </c>
      <c r="K31" s="85"/>
      <c r="L31" s="86"/>
      <c r="M31" s="376">
        <v>1.46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0.23</v>
      </c>
      <c r="E32" s="28"/>
      <c r="F32" s="29">
        <v>0.21</v>
      </c>
      <c r="G32" s="33">
        <f t="shared" si="1"/>
        <v>0.22</v>
      </c>
      <c r="H32" s="184"/>
      <c r="I32" s="380"/>
      <c r="J32" s="388"/>
      <c r="K32" s="266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0.14000000000000001</v>
      </c>
      <c r="E33" s="29"/>
      <c r="F33" s="29">
        <v>0.09</v>
      </c>
      <c r="G33" s="33">
        <f t="shared" si="1"/>
        <v>0.115</v>
      </c>
      <c r="H33" s="184"/>
      <c r="I33" s="372" t="s">
        <v>26</v>
      </c>
      <c r="J33" s="381">
        <f>0.4*3.49</f>
        <v>1.3960000000000001</v>
      </c>
      <c r="K33" s="383" t="s">
        <v>15</v>
      </c>
      <c r="L33" s="381"/>
      <c r="M33" s="381">
        <f>0.4*3.03</f>
        <v>1.212</v>
      </c>
      <c r="N33" s="88" t="s">
        <v>137</v>
      </c>
      <c r="O33" s="386">
        <v>60</v>
      </c>
      <c r="P33" s="44"/>
    </row>
    <row r="34" spans="1:16" ht="37.5">
      <c r="A34" s="11"/>
      <c r="B34" s="76" t="s">
        <v>24</v>
      </c>
      <c r="C34" s="29"/>
      <c r="D34" s="29">
        <v>0.03</v>
      </c>
      <c r="E34" s="28"/>
      <c r="F34" s="29">
        <v>0.05</v>
      </c>
      <c r="G34" s="33">
        <f t="shared" si="1"/>
        <v>0.04</v>
      </c>
      <c r="H34" s="184"/>
      <c r="I34" s="380"/>
      <c r="J34" s="382"/>
      <c r="K34" s="384"/>
      <c r="L34" s="382"/>
      <c r="M34" s="382"/>
      <c r="N34" s="269" t="s">
        <v>138</v>
      </c>
      <c r="O34" s="387"/>
      <c r="P34" s="44"/>
    </row>
    <row r="35" spans="1:16" ht="37.5">
      <c r="A35" s="11"/>
      <c r="B35" s="76" t="s">
        <v>25</v>
      </c>
      <c r="C35" s="29"/>
      <c r="D35" s="29">
        <v>0</v>
      </c>
      <c r="E35" s="28"/>
      <c r="F35" s="29">
        <v>0.04</v>
      </c>
      <c r="G35" s="33">
        <f t="shared" si="1"/>
        <v>0.02</v>
      </c>
      <c r="H35" s="184"/>
      <c r="I35" s="372" t="s">
        <v>28</v>
      </c>
      <c r="J35" s="381">
        <f>0.4*2.92</f>
        <v>1.1679999999999999</v>
      </c>
      <c r="K35" s="383" t="s">
        <v>15</v>
      </c>
      <c r="L35" s="381"/>
      <c r="M35" s="383">
        <f>0.4*3.29</f>
        <v>1.3160000000000001</v>
      </c>
      <c r="N35" s="88" t="s">
        <v>137</v>
      </c>
      <c r="O35" s="386">
        <v>41</v>
      </c>
      <c r="P35" s="44"/>
    </row>
    <row r="36" spans="1:16" ht="37.5">
      <c r="A36" s="11"/>
      <c r="B36" s="76" t="s">
        <v>27</v>
      </c>
      <c r="C36" s="29"/>
      <c r="D36" s="29">
        <v>0</v>
      </c>
      <c r="E36" s="29"/>
      <c r="F36" s="29">
        <v>0.01</v>
      </c>
      <c r="G36" s="33">
        <f t="shared" si="1"/>
        <v>5.0000000000000001E-3</v>
      </c>
      <c r="H36" s="184"/>
      <c r="I36" s="380"/>
      <c r="J36" s="382"/>
      <c r="K36" s="384"/>
      <c r="L36" s="382"/>
      <c r="M36" s="385"/>
      <c r="N36" s="269" t="s">
        <v>138</v>
      </c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0</v>
      </c>
      <c r="G37" s="33">
        <f t="shared" si="1"/>
        <v>0</v>
      </c>
      <c r="H37" s="184"/>
      <c r="I37" s="372" t="s">
        <v>31</v>
      </c>
      <c r="J37" s="381">
        <f>0.4*2.69</f>
        <v>1.0760000000000001</v>
      </c>
      <c r="K37" s="383" t="s">
        <v>15</v>
      </c>
      <c r="L37" s="381"/>
      <c r="M37" s="383">
        <f>0.4*2.3</f>
        <v>0.91999999999999993</v>
      </c>
      <c r="N37" s="88" t="s">
        <v>132</v>
      </c>
      <c r="O37" s="386">
        <v>52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</v>
      </c>
      <c r="G38" s="33">
        <f t="shared" si="1"/>
        <v>0</v>
      </c>
      <c r="H38" s="184"/>
      <c r="I38" s="380"/>
      <c r="J38" s="382"/>
      <c r="K38" s="384"/>
      <c r="L38" s="382"/>
      <c r="M38" s="385"/>
      <c r="N38" s="27" t="s">
        <v>139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0.4*2.37</f>
        <v>0.94800000000000006</v>
      </c>
      <c r="K39" s="383" t="s">
        <v>15</v>
      </c>
      <c r="L39" s="381"/>
      <c r="M39" s="383">
        <f>0.4*1.77</f>
        <v>0.70800000000000007</v>
      </c>
      <c r="N39" s="88" t="s">
        <v>132</v>
      </c>
      <c r="O39" s="386">
        <v>67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139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0.4*2.39</f>
        <v>0.95600000000000007</v>
      </c>
      <c r="K41" s="383" t="s">
        <v>15</v>
      </c>
      <c r="L41" s="381"/>
      <c r="M41" s="383">
        <f>0.4*1.39</f>
        <v>0.55599999999999994</v>
      </c>
      <c r="N41" s="88" t="s">
        <v>132</v>
      </c>
      <c r="O41" s="386">
        <v>61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139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0.4*1.36</f>
        <v>0.54400000000000004</v>
      </c>
      <c r="K43" s="383" t="s">
        <v>15</v>
      </c>
      <c r="L43" s="381"/>
      <c r="M43" s="383">
        <f>0.4*2.28</f>
        <v>0.91199999999999992</v>
      </c>
      <c r="N43" s="88" t="s">
        <v>141</v>
      </c>
      <c r="O43" s="386">
        <v>30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140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0.4*5.57</f>
        <v>2.2280000000000002</v>
      </c>
      <c r="K45" s="383" t="s">
        <v>15</v>
      </c>
      <c r="L45" s="381"/>
      <c r="M45" s="383">
        <f>0.4*3.06</f>
        <v>1.2240000000000002</v>
      </c>
      <c r="N45" s="88" t="s">
        <v>141</v>
      </c>
      <c r="O45" s="386">
        <v>30</v>
      </c>
      <c r="P45" s="44"/>
    </row>
    <row r="46" spans="1:16" ht="57.75" customHeight="1" thickBot="1">
      <c r="A46" s="14"/>
      <c r="B46" s="241" t="s">
        <v>58</v>
      </c>
      <c r="C46" s="237"/>
      <c r="D46" s="238">
        <v>0.08</v>
      </c>
      <c r="E46" s="239"/>
      <c r="F46" s="238">
        <v>0.05</v>
      </c>
      <c r="G46" s="240">
        <f t="shared" si="1"/>
        <v>6.5000000000000002E-2</v>
      </c>
      <c r="H46" s="184"/>
      <c r="I46" s="380"/>
      <c r="J46" s="382"/>
      <c r="K46" s="384"/>
      <c r="L46" s="382"/>
      <c r="M46" s="385"/>
      <c r="N46" s="27" t="s">
        <v>140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0.4*1.71</f>
        <v>0.68400000000000005</v>
      </c>
      <c r="K47" s="383" t="s">
        <v>15</v>
      </c>
      <c r="L47" s="381"/>
      <c r="M47" s="383">
        <f>0.4*2.18</f>
        <v>0.87200000000000011</v>
      </c>
      <c r="N47" s="27" t="s">
        <v>141</v>
      </c>
      <c r="O47" s="386">
        <v>64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88" t="s">
        <v>140</v>
      </c>
      <c r="O48" s="387"/>
      <c r="P48" s="44"/>
    </row>
    <row r="49" spans="1:16" ht="38.25" thickBot="1">
      <c r="A49" s="14"/>
      <c r="B49" s="95" t="s">
        <v>117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0.4*2.9</f>
        <v>1.1599999999999999</v>
      </c>
      <c r="K49" s="383" t="s">
        <v>15</v>
      </c>
      <c r="L49" s="264"/>
      <c r="M49" s="383">
        <f>0.4*1.79</f>
        <v>0.71600000000000008</v>
      </c>
      <c r="N49" s="27" t="s">
        <v>141</v>
      </c>
      <c r="O49" s="386">
        <v>53</v>
      </c>
      <c r="P49" s="44"/>
    </row>
    <row r="50" spans="1:16" ht="37.5">
      <c r="A50" s="14"/>
      <c r="B50" s="76" t="s">
        <v>22</v>
      </c>
      <c r="C50" s="97"/>
      <c r="D50" s="98">
        <v>1313</v>
      </c>
      <c r="E50" s="98">
        <v>12</v>
      </c>
      <c r="F50" s="98">
        <f>(D50*E50)*0.26</f>
        <v>4096.5600000000004</v>
      </c>
      <c r="G50" s="221"/>
      <c r="H50" s="222"/>
      <c r="I50" s="380"/>
      <c r="J50" s="382"/>
      <c r="K50" s="384"/>
      <c r="L50" s="266"/>
      <c r="M50" s="385"/>
      <c r="N50" s="88" t="s">
        <v>140</v>
      </c>
      <c r="O50" s="387"/>
      <c r="P50" s="44"/>
    </row>
    <row r="51" spans="1:16" ht="37.5">
      <c r="A51" s="14"/>
      <c r="B51" s="76" t="s">
        <v>24</v>
      </c>
      <c r="C51" s="97"/>
      <c r="D51" s="98">
        <v>726</v>
      </c>
      <c r="E51" s="98">
        <v>15</v>
      </c>
      <c r="F51" s="98">
        <f>(D51*E51)*0.26</f>
        <v>2831.4</v>
      </c>
      <c r="G51" s="99"/>
      <c r="H51" s="186"/>
      <c r="I51" s="372" t="s">
        <v>47</v>
      </c>
      <c r="J51" s="381">
        <f>0.4*2.17</f>
        <v>0.86799999999999999</v>
      </c>
      <c r="K51" s="383" t="s">
        <v>15</v>
      </c>
      <c r="L51" s="264"/>
      <c r="M51" s="383">
        <f>0.4*20.34</f>
        <v>8.136000000000001</v>
      </c>
      <c r="N51" s="27" t="s">
        <v>141</v>
      </c>
      <c r="O51" s="386">
        <v>69</v>
      </c>
      <c r="P51" s="44"/>
    </row>
    <row r="52" spans="1:16" ht="37.5">
      <c r="A52" s="14"/>
      <c r="B52" s="76" t="s">
        <v>25</v>
      </c>
      <c r="C52" s="97"/>
      <c r="D52" s="98">
        <v>406</v>
      </c>
      <c r="E52" s="98">
        <v>4</v>
      </c>
      <c r="F52" s="98">
        <f>(D52*E52)*0.26</f>
        <v>422.24</v>
      </c>
      <c r="G52" s="99"/>
      <c r="H52" s="186"/>
      <c r="I52" s="380"/>
      <c r="J52" s="382"/>
      <c r="K52" s="384"/>
      <c r="L52" s="266"/>
      <c r="M52" s="385"/>
      <c r="N52" s="88" t="s">
        <v>140</v>
      </c>
      <c r="O52" s="387"/>
      <c r="P52" s="44"/>
    </row>
    <row r="53" spans="1:16" ht="37.5">
      <c r="A53" s="14"/>
      <c r="B53" s="76" t="s">
        <v>27</v>
      </c>
      <c r="C53" s="97"/>
      <c r="D53" s="98">
        <v>203</v>
      </c>
      <c r="E53" s="98">
        <v>13</v>
      </c>
      <c r="F53" s="98">
        <f>(D53*E53)*0.26</f>
        <v>686.14</v>
      </c>
      <c r="G53" s="99"/>
      <c r="H53" s="186"/>
      <c r="I53" s="372" t="s">
        <v>50</v>
      </c>
      <c r="J53" s="381">
        <f>0.4*2.87</f>
        <v>1.1480000000000001</v>
      </c>
      <c r="K53" s="383" t="s">
        <v>15</v>
      </c>
      <c r="L53" s="264"/>
      <c r="M53" s="383">
        <f>0.4*1.82</f>
        <v>0.72800000000000009</v>
      </c>
      <c r="N53" s="88" t="s">
        <v>141</v>
      </c>
      <c r="O53" s="386">
        <v>49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2"/>
      <c r="K54" s="384"/>
      <c r="L54" s="266"/>
      <c r="M54" s="385"/>
      <c r="N54" s="27"/>
      <c r="O54" s="387"/>
      <c r="P54" s="44"/>
    </row>
    <row r="55" spans="1:16" ht="37.5">
      <c r="A55" s="15"/>
      <c r="B55" s="76" t="s">
        <v>48</v>
      </c>
      <c r="C55" s="100"/>
      <c r="D55" s="98">
        <v>180</v>
      </c>
      <c r="E55" s="98">
        <v>12</v>
      </c>
      <c r="F55" s="98">
        <f>(D55*E55)*0.13</f>
        <v>280.8</v>
      </c>
      <c r="G55" s="99"/>
      <c r="H55" s="186"/>
      <c r="I55" s="372" t="s">
        <v>53</v>
      </c>
      <c r="J55" s="381">
        <f>0.4*2.8</f>
        <v>1.1199999999999999</v>
      </c>
      <c r="K55" s="383" t="s">
        <v>15</v>
      </c>
      <c r="L55" s="264"/>
      <c r="M55" s="383">
        <f>0.4*2.71</f>
        <v>1.0840000000000001</v>
      </c>
      <c r="N55" s="88" t="s">
        <v>142</v>
      </c>
      <c r="O55" s="386">
        <v>44</v>
      </c>
      <c r="P55" s="44"/>
    </row>
    <row r="56" spans="1:16" ht="37.5">
      <c r="A56" s="15"/>
      <c r="B56" s="76" t="s">
        <v>49</v>
      </c>
      <c r="C56" s="100"/>
      <c r="D56" s="98">
        <v>124</v>
      </c>
      <c r="E56" s="98">
        <v>6</v>
      </c>
      <c r="F56" s="98">
        <f t="shared" ref="F56:F61" si="2">(D56*E56)*0.13</f>
        <v>96.72</v>
      </c>
      <c r="G56" s="99"/>
      <c r="H56" s="186"/>
      <c r="I56" s="380"/>
      <c r="J56" s="382"/>
      <c r="K56" s="384"/>
      <c r="L56" s="266"/>
      <c r="M56" s="385"/>
      <c r="N56" s="27" t="s">
        <v>143</v>
      </c>
      <c r="O56" s="387"/>
      <c r="P56" s="44"/>
    </row>
    <row r="57" spans="1:16" ht="37.5">
      <c r="A57" s="15"/>
      <c r="B57" s="76" t="s">
        <v>51</v>
      </c>
      <c r="C57" s="100"/>
      <c r="D57" s="98">
        <v>102</v>
      </c>
      <c r="E57" s="98">
        <v>10</v>
      </c>
      <c r="F57" s="98">
        <f t="shared" si="2"/>
        <v>132.6</v>
      </c>
      <c r="G57" s="99"/>
      <c r="H57" s="186"/>
      <c r="I57" s="372" t="s">
        <v>8</v>
      </c>
      <c r="J57" s="374">
        <v>1.1100000000000001</v>
      </c>
      <c r="K57" s="376"/>
      <c r="L57" s="101"/>
      <c r="M57" s="376">
        <v>1.53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99</v>
      </c>
      <c r="E58" s="98">
        <v>10</v>
      </c>
      <c r="F58" s="98">
        <f t="shared" si="2"/>
        <v>128.70000000000002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93</v>
      </c>
      <c r="E59" s="98">
        <v>21</v>
      </c>
      <c r="F59" s="98">
        <f t="shared" si="2"/>
        <v>253.89000000000001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73</v>
      </c>
      <c r="E60" s="98">
        <v>18</v>
      </c>
      <c r="F60" s="98">
        <f t="shared" si="2"/>
        <v>170.82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218"/>
      <c r="D61" s="98">
        <v>71</v>
      </c>
      <c r="E61" s="98">
        <v>6</v>
      </c>
      <c r="F61" s="98">
        <f t="shared" si="2"/>
        <v>55.38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214"/>
      <c r="C62" s="215"/>
      <c r="D62" s="216" t="s">
        <v>4</v>
      </c>
      <c r="E62" s="217"/>
      <c r="F62" s="230">
        <f>SUM(F50:F61)</f>
        <v>9155.25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62" t="s">
        <v>13</v>
      </c>
      <c r="J64" s="29">
        <v>0.79</v>
      </c>
      <c r="K64" s="29">
        <v>0.92</v>
      </c>
      <c r="L64" s="119">
        <f>AVERAGE(J64:K64)</f>
        <v>0.85499999999999998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62" t="s">
        <v>16</v>
      </c>
      <c r="J65" s="29">
        <v>0.51</v>
      </c>
      <c r="K65" s="245">
        <v>0.42</v>
      </c>
      <c r="L65" s="208">
        <f>AVERAGE(J65:K65)</f>
        <v>0.46499999999999997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 t="s">
        <v>4</v>
      </c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117</v>
      </c>
      <c r="C68" s="120" t="s">
        <v>83</v>
      </c>
      <c r="D68" s="120" t="s">
        <v>115</v>
      </c>
      <c r="E68" s="116">
        <v>55</v>
      </c>
      <c r="F68" s="29"/>
      <c r="G68" s="118"/>
      <c r="H68" s="190"/>
      <c r="I68" s="262" t="s">
        <v>67</v>
      </c>
      <c r="J68" s="262"/>
      <c r="K68" s="262"/>
      <c r="L68" s="126"/>
      <c r="M68" s="261"/>
      <c r="N68" s="127"/>
      <c r="O68" s="128"/>
      <c r="P68" s="44"/>
    </row>
    <row r="69" spans="1:16" ht="37.5">
      <c r="A69" s="15"/>
      <c r="B69" s="95" t="s">
        <v>117</v>
      </c>
      <c r="C69" s="120" t="s">
        <v>83</v>
      </c>
      <c r="D69" s="120" t="s">
        <v>122</v>
      </c>
      <c r="E69" s="116">
        <v>32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/>
      <c r="C70" s="120"/>
      <c r="D70" s="120"/>
      <c r="E70" s="116"/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75.849999999999994</v>
      </c>
      <c r="K72" s="29"/>
      <c r="L72" s="119">
        <f>AVERAGE(J72:K72)</f>
        <v>75.849999999999994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83.5</v>
      </c>
      <c r="K73" s="29"/>
      <c r="L73" s="119">
        <f>AVERAGE(J73:K73)</f>
        <v>83.5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61.4</v>
      </c>
      <c r="K74" s="27">
        <v>60.85</v>
      </c>
      <c r="L74" s="119">
        <f>AVERAGE(J74:K74)</f>
        <v>61.125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64.75</v>
      </c>
      <c r="K75" s="91">
        <v>62.85</v>
      </c>
      <c r="L75" s="119">
        <f>AVERAGE(J75:K75)</f>
        <v>63.8</v>
      </c>
      <c r="M75" s="115"/>
      <c r="N75" s="91"/>
      <c r="O75" s="35"/>
      <c r="P75" s="44"/>
    </row>
    <row r="76" spans="1:16" ht="39.75" thickBot="1">
      <c r="A76" s="170"/>
      <c r="B76" s="95" t="s">
        <v>117</v>
      </c>
      <c r="C76" s="120" t="s">
        <v>83</v>
      </c>
      <c r="D76" s="120" t="s">
        <v>115</v>
      </c>
      <c r="E76" s="136">
        <v>0.70909999999999995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117</v>
      </c>
      <c r="C77" s="120" t="s">
        <v>83</v>
      </c>
      <c r="D77" s="120" t="s">
        <v>122</v>
      </c>
      <c r="E77" s="136">
        <v>0.65629999999999999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61"/>
      <c r="J78" s="236" t="s">
        <v>66</v>
      </c>
      <c r="K78" s="236" t="s">
        <v>66</v>
      </c>
      <c r="L78" s="236" t="s">
        <v>66</v>
      </c>
      <c r="M78" s="113"/>
      <c r="N78" s="261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0.4*1.86</f>
        <v>0.74400000000000011</v>
      </c>
      <c r="K79" s="27">
        <f>0.4*1.34</f>
        <v>0.53600000000000003</v>
      </c>
      <c r="L79" s="119">
        <f>AVERAGE(J79:K79)</f>
        <v>0.64000000000000012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0.4*1.44</f>
        <v>0.57599999999999996</v>
      </c>
      <c r="K80" s="91">
        <f>0.4*2.7</f>
        <v>1.08</v>
      </c>
      <c r="L80" s="119">
        <f>AVERAGE(J80:K80)</f>
        <v>0.82800000000000007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117</v>
      </c>
      <c r="C82" s="120" t="s">
        <v>83</v>
      </c>
      <c r="D82" s="120" t="s">
        <v>115</v>
      </c>
      <c r="E82" s="27">
        <v>2.0099999999999998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>
        <v>0.13700000000000001</v>
      </c>
      <c r="L84" s="119">
        <f>AVERAGE(J84:K84)</f>
        <v>0.13700000000000001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>
        <v>0.06</v>
      </c>
      <c r="L85" s="119">
        <f>AVERAGE(J85:K85)</f>
        <v>0.06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63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39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O21:O22"/>
    <mergeCell ref="I27:I28"/>
    <mergeCell ref="J27:J28"/>
    <mergeCell ref="K27:K28"/>
    <mergeCell ref="O27:O28"/>
    <mergeCell ref="I29:I30"/>
    <mergeCell ref="J29:J30"/>
    <mergeCell ref="K29:K30"/>
    <mergeCell ref="O29:O30"/>
    <mergeCell ref="I23:I24"/>
    <mergeCell ref="J23:J24"/>
    <mergeCell ref="K23:K24"/>
    <mergeCell ref="O23:O24"/>
    <mergeCell ref="I25:I26"/>
    <mergeCell ref="J25:J26"/>
    <mergeCell ref="K25:K26"/>
    <mergeCell ref="O25:O26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131</v>
      </c>
      <c r="D3" s="38"/>
      <c r="E3" s="39" t="s">
        <v>9</v>
      </c>
      <c r="F3" s="39"/>
      <c r="G3" s="39"/>
      <c r="H3" s="40"/>
      <c r="I3" s="41" t="s">
        <v>2</v>
      </c>
      <c r="J3" s="42" t="s">
        <v>144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131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151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1.33</v>
      </c>
      <c r="E7" s="21"/>
      <c r="F7" s="21">
        <v>2.2599999999999998</v>
      </c>
      <c r="G7" s="102">
        <f>AVERAGE(D7:F7)</f>
        <v>1.7949999999999999</v>
      </c>
      <c r="H7" s="184"/>
      <c r="I7" s="372" t="s">
        <v>98</v>
      </c>
      <c r="J7" s="383">
        <f>0.4*2.08</f>
        <v>0.83200000000000007</v>
      </c>
      <c r="K7" s="383" t="s">
        <v>15</v>
      </c>
      <c r="L7" s="251"/>
      <c r="M7" s="383">
        <f>0.4*2.18</f>
        <v>0.87200000000000011</v>
      </c>
      <c r="N7" s="27" t="s">
        <v>145</v>
      </c>
      <c r="O7" s="386">
        <v>44</v>
      </c>
      <c r="P7" s="44"/>
    </row>
    <row r="8" spans="1:17" ht="38.25" thickBot="1">
      <c r="A8" s="12"/>
      <c r="B8" s="68" t="s">
        <v>16</v>
      </c>
      <c r="C8" s="69"/>
      <c r="D8" s="34">
        <v>1.88</v>
      </c>
      <c r="E8" s="23"/>
      <c r="F8" s="23">
        <v>1.61</v>
      </c>
      <c r="G8" s="124">
        <f>AVERAGE(D8:F8)</f>
        <v>1.7450000000000001</v>
      </c>
      <c r="H8" s="184"/>
      <c r="I8" s="380"/>
      <c r="J8" s="384"/>
      <c r="K8" s="384"/>
      <c r="L8" s="252"/>
      <c r="M8" s="385"/>
      <c r="N8" s="27" t="s">
        <v>143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0.4*7.47</f>
        <v>2.988</v>
      </c>
      <c r="K9" s="383" t="s">
        <v>15</v>
      </c>
      <c r="L9" s="383"/>
      <c r="M9" s="383">
        <f>0.4*4.06</f>
        <v>1.6239999999999999</v>
      </c>
      <c r="N9" s="27" t="s">
        <v>145</v>
      </c>
      <c r="O9" s="386">
        <v>94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143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0.4*15.71</f>
        <v>6.2840000000000007</v>
      </c>
      <c r="K11" s="383" t="s">
        <v>15</v>
      </c>
      <c r="L11" s="251"/>
      <c r="M11" s="383">
        <f>0.4*3.45</f>
        <v>1.3800000000000001</v>
      </c>
      <c r="N11" s="27" t="s">
        <v>145</v>
      </c>
      <c r="O11" s="386">
        <v>56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52"/>
      <c r="M12" s="385"/>
      <c r="N12" s="27" t="s">
        <v>143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0.4*3.01</f>
        <v>1.204</v>
      </c>
      <c r="K13" s="383" t="s">
        <v>15</v>
      </c>
      <c r="L13" s="251"/>
      <c r="M13" s="383">
        <f>0.4*2.85</f>
        <v>1.1400000000000001</v>
      </c>
      <c r="N13" s="27" t="s">
        <v>145</v>
      </c>
      <c r="O13" s="386">
        <v>57</v>
      </c>
      <c r="P13" s="44"/>
    </row>
    <row r="14" spans="1:17" ht="37.5">
      <c r="A14" s="11" t="s">
        <v>91</v>
      </c>
      <c r="B14" s="76" t="s">
        <v>21</v>
      </c>
      <c r="C14" s="120"/>
      <c r="D14" s="28">
        <f>0.4  *3.24</f>
        <v>1.2960000000000003</v>
      </c>
      <c r="E14" s="28"/>
      <c r="F14" s="28">
        <f>0.4*3.21</f>
        <v>1.284</v>
      </c>
      <c r="G14" s="33">
        <f t="shared" ref="G14:G27" si="0">AVERAGE(D14:F14)</f>
        <v>1.29</v>
      </c>
      <c r="H14" s="184"/>
      <c r="I14" s="380"/>
      <c r="J14" s="384"/>
      <c r="K14" s="384"/>
      <c r="L14" s="252"/>
      <c r="M14" s="385"/>
      <c r="N14" s="27" t="s">
        <v>143</v>
      </c>
      <c r="O14" s="387"/>
      <c r="P14" s="44"/>
    </row>
    <row r="15" spans="1:17" ht="37.5">
      <c r="A15" s="11"/>
      <c r="B15" s="76" t="s">
        <v>97</v>
      </c>
      <c r="C15" s="29"/>
      <c r="D15" s="29">
        <f>0.4*2.56</f>
        <v>1.024</v>
      </c>
      <c r="E15" s="28"/>
      <c r="F15" s="29">
        <f>0.4*3.76</f>
        <v>1.504</v>
      </c>
      <c r="G15" s="33">
        <f t="shared" si="0"/>
        <v>1.264</v>
      </c>
      <c r="H15" s="184" t="s">
        <v>4</v>
      </c>
      <c r="I15" s="390" t="s">
        <v>61</v>
      </c>
      <c r="J15" s="383">
        <f>0.4*2.75</f>
        <v>1.1000000000000001</v>
      </c>
      <c r="K15" s="383" t="s">
        <v>15</v>
      </c>
      <c r="L15" s="251"/>
      <c r="M15" s="383">
        <f>0.4*4.25</f>
        <v>1.7000000000000002</v>
      </c>
      <c r="N15" s="27" t="s">
        <v>145</v>
      </c>
      <c r="O15" s="386">
        <v>42</v>
      </c>
      <c r="P15" s="44"/>
    </row>
    <row r="16" spans="1:17" ht="37.5">
      <c r="A16" s="11"/>
      <c r="B16" s="76" t="s">
        <v>22</v>
      </c>
      <c r="C16" s="28"/>
      <c r="D16" s="28">
        <f>0.4*1.73</f>
        <v>0.69200000000000006</v>
      </c>
      <c r="E16" s="29"/>
      <c r="F16" s="29">
        <f>0.4*2.08</f>
        <v>0.83200000000000007</v>
      </c>
      <c r="G16" s="33">
        <f t="shared" si="0"/>
        <v>0.76200000000000001</v>
      </c>
      <c r="H16" s="184"/>
      <c r="I16" s="391"/>
      <c r="J16" s="384"/>
      <c r="K16" s="384"/>
      <c r="L16" s="252"/>
      <c r="M16" s="385"/>
      <c r="N16" s="27" t="s">
        <v>143</v>
      </c>
      <c r="O16" s="387"/>
      <c r="P16" s="44"/>
    </row>
    <row r="17" spans="1:16" ht="37.5">
      <c r="A17" s="11"/>
      <c r="B17" s="76" t="s">
        <v>24</v>
      </c>
      <c r="C17" s="28"/>
      <c r="D17" s="28">
        <f>0.4*1.44</f>
        <v>0.57599999999999996</v>
      </c>
      <c r="E17" s="28"/>
      <c r="F17" s="29">
        <f>0.4*1.89</f>
        <v>0.75600000000000001</v>
      </c>
      <c r="G17" s="33">
        <f t="shared" si="0"/>
        <v>0.66599999999999993</v>
      </c>
      <c r="H17" s="184"/>
      <c r="I17" s="372" t="s">
        <v>62</v>
      </c>
      <c r="J17" s="383">
        <f>0.4*2.48</f>
        <v>0.99199999999999999</v>
      </c>
      <c r="K17" s="383" t="s">
        <v>15</v>
      </c>
      <c r="L17" s="251"/>
      <c r="M17" s="383">
        <f>0.4*3.41</f>
        <v>1.3640000000000001</v>
      </c>
      <c r="N17" s="27" t="s">
        <v>145</v>
      </c>
      <c r="O17" s="386">
        <v>59</v>
      </c>
      <c r="P17" s="44"/>
    </row>
    <row r="18" spans="1:16" ht="37.5">
      <c r="A18" s="11"/>
      <c r="B18" s="76" t="s">
        <v>25</v>
      </c>
      <c r="C18" s="29"/>
      <c r="D18" s="28">
        <f>0.4*1.39</f>
        <v>0.55599999999999994</v>
      </c>
      <c r="E18" s="28"/>
      <c r="F18" s="29">
        <f>0.4*1.75</f>
        <v>0.70000000000000007</v>
      </c>
      <c r="G18" s="33">
        <f t="shared" si="0"/>
        <v>0.628</v>
      </c>
      <c r="H18" s="184"/>
      <c r="I18" s="380"/>
      <c r="J18" s="384"/>
      <c r="K18" s="384"/>
      <c r="L18" s="252"/>
      <c r="M18" s="385"/>
      <c r="N18" s="27" t="s">
        <v>143</v>
      </c>
      <c r="O18" s="387"/>
      <c r="P18" s="44"/>
    </row>
    <row r="19" spans="1:16" ht="37.5">
      <c r="A19" s="11"/>
      <c r="B19" s="76" t="s">
        <v>27</v>
      </c>
      <c r="C19" s="29"/>
      <c r="D19" s="28">
        <f>0.4*1.46</f>
        <v>0.58399999999999996</v>
      </c>
      <c r="E19" s="29"/>
      <c r="F19" s="29">
        <f>0.4*1.63</f>
        <v>0.65200000000000002</v>
      </c>
      <c r="G19" s="33">
        <f t="shared" si="0"/>
        <v>0.61799999999999999</v>
      </c>
      <c r="H19" s="184"/>
      <c r="I19" s="372" t="s">
        <v>63</v>
      </c>
      <c r="J19" s="383">
        <f>0.4*5.12</f>
        <v>2.048</v>
      </c>
      <c r="K19" s="383" t="s">
        <v>15</v>
      </c>
      <c r="L19" s="251"/>
      <c r="M19" s="383">
        <f>0.4*6.87</f>
        <v>2.7480000000000002</v>
      </c>
      <c r="N19" s="27" t="s">
        <v>145</v>
      </c>
      <c r="O19" s="386">
        <v>54</v>
      </c>
      <c r="P19" s="44"/>
    </row>
    <row r="20" spans="1:16" ht="37.5">
      <c r="A20" s="11"/>
      <c r="B20" s="76" t="s">
        <v>29</v>
      </c>
      <c r="C20" s="28"/>
      <c r="D20" s="28">
        <f>0.4*1.34</f>
        <v>0.53600000000000003</v>
      </c>
      <c r="E20" s="29"/>
      <c r="F20" s="29">
        <f>0.4*1.41</f>
        <v>0.56399999999999995</v>
      </c>
      <c r="G20" s="33">
        <f t="shared" si="0"/>
        <v>0.55000000000000004</v>
      </c>
      <c r="H20" s="184"/>
      <c r="I20" s="380"/>
      <c r="J20" s="384"/>
      <c r="K20" s="384"/>
      <c r="L20" s="252"/>
      <c r="M20" s="385"/>
      <c r="N20" s="27" t="s">
        <v>143</v>
      </c>
      <c r="O20" s="387"/>
      <c r="P20" s="44"/>
    </row>
    <row r="21" spans="1:16" ht="37.5">
      <c r="A21" s="11"/>
      <c r="B21" s="76" t="s">
        <v>30</v>
      </c>
      <c r="C21" s="28"/>
      <c r="D21" s="28">
        <f>0.4*1.27</f>
        <v>0.50800000000000001</v>
      </c>
      <c r="E21" s="28"/>
      <c r="F21" s="29">
        <f>0.4*1.35</f>
        <v>0.54</v>
      </c>
      <c r="G21" s="33">
        <f t="shared" si="0"/>
        <v>0.52400000000000002</v>
      </c>
      <c r="H21" s="184"/>
      <c r="I21" s="372" t="s">
        <v>14</v>
      </c>
      <c r="J21" s="383">
        <f>0.4*4.02</f>
        <v>1.6079999999999999</v>
      </c>
      <c r="K21" s="383" t="s">
        <v>15</v>
      </c>
      <c r="L21" s="251"/>
      <c r="M21" s="383">
        <f>0.4*2.4</f>
        <v>0.96</v>
      </c>
      <c r="N21" s="27" t="s">
        <v>145</v>
      </c>
      <c r="O21" s="386">
        <v>17</v>
      </c>
      <c r="P21" s="44"/>
    </row>
    <row r="22" spans="1:16" ht="37.5">
      <c r="A22" s="11"/>
      <c r="B22" s="76" t="s">
        <v>32</v>
      </c>
      <c r="C22" s="78"/>
      <c r="D22" s="28">
        <f>0.4*1.07</f>
        <v>0.42800000000000005</v>
      </c>
      <c r="E22" s="28"/>
      <c r="F22" s="29">
        <f>0.4*1.32</f>
        <v>0.52800000000000002</v>
      </c>
      <c r="G22" s="33">
        <f t="shared" si="0"/>
        <v>0.47800000000000004</v>
      </c>
      <c r="H22" s="184"/>
      <c r="I22" s="380"/>
      <c r="J22" s="384"/>
      <c r="K22" s="384"/>
      <c r="L22" s="252"/>
      <c r="M22" s="385"/>
      <c r="N22" s="27" t="s">
        <v>143</v>
      </c>
      <c r="O22" s="387"/>
      <c r="P22" s="44"/>
    </row>
    <row r="23" spans="1:16" ht="37.5">
      <c r="A23" s="11"/>
      <c r="B23" s="76" t="s">
        <v>33</v>
      </c>
      <c r="C23" s="28"/>
      <c r="D23" s="28">
        <f>0.4*0.99</f>
        <v>0.39600000000000002</v>
      </c>
      <c r="E23" s="28"/>
      <c r="F23" s="28">
        <f>0.4*1.23</f>
        <v>0.49199999999999999</v>
      </c>
      <c r="G23" s="33">
        <f t="shared" si="0"/>
        <v>0.44400000000000001</v>
      </c>
      <c r="H23" s="184"/>
      <c r="I23" s="372" t="s">
        <v>17</v>
      </c>
      <c r="J23" s="383">
        <f>0.4*2.86</f>
        <v>1.1439999999999999</v>
      </c>
      <c r="K23" s="383" t="s">
        <v>15</v>
      </c>
      <c r="L23" s="251"/>
      <c r="M23" s="383">
        <f>0.4*1.24</f>
        <v>0.496</v>
      </c>
      <c r="N23" s="27" t="s">
        <v>145</v>
      </c>
      <c r="O23" s="386">
        <v>65</v>
      </c>
      <c r="P23" s="44"/>
    </row>
    <row r="24" spans="1:16" ht="37.5">
      <c r="A24" s="11"/>
      <c r="B24" s="76" t="s">
        <v>35</v>
      </c>
      <c r="C24" s="29"/>
      <c r="D24" s="28">
        <f>0.4*0.95</f>
        <v>0.38</v>
      </c>
      <c r="E24" s="28"/>
      <c r="F24" s="28">
        <f>0.4*1.1</f>
        <v>0.44000000000000006</v>
      </c>
      <c r="G24" s="33">
        <f t="shared" si="0"/>
        <v>0.41000000000000003</v>
      </c>
      <c r="H24" s="184"/>
      <c r="I24" s="380"/>
      <c r="J24" s="384"/>
      <c r="K24" s="384"/>
      <c r="L24" s="252"/>
      <c r="M24" s="385"/>
      <c r="N24" s="27" t="s">
        <v>143</v>
      </c>
      <c r="O24" s="387"/>
      <c r="P24" s="44"/>
    </row>
    <row r="25" spans="1:16" ht="37.5">
      <c r="A25" s="11"/>
      <c r="B25" s="76" t="s">
        <v>36</v>
      </c>
      <c r="C25" s="27"/>
      <c r="D25" s="28">
        <f>0.4*0.89</f>
        <v>0.35600000000000004</v>
      </c>
      <c r="E25" s="28"/>
      <c r="F25" s="28">
        <f>0.4*1.05</f>
        <v>0.42000000000000004</v>
      </c>
      <c r="G25" s="33">
        <f t="shared" si="0"/>
        <v>0.38800000000000001</v>
      </c>
      <c r="H25" s="184"/>
      <c r="I25" s="372" t="s">
        <v>18</v>
      </c>
      <c r="J25" s="383">
        <f>0.4*4.47</f>
        <v>1.788</v>
      </c>
      <c r="K25" s="383" t="s">
        <v>15</v>
      </c>
      <c r="L25" s="251"/>
      <c r="M25" s="383">
        <f>0.4*2.5</f>
        <v>1</v>
      </c>
      <c r="N25" s="27" t="s">
        <v>145</v>
      </c>
      <c r="O25" s="386">
        <v>67</v>
      </c>
      <c r="P25" s="44"/>
    </row>
    <row r="26" spans="1:16" ht="37.5">
      <c r="A26" s="11"/>
      <c r="B26" s="76" t="s">
        <v>38</v>
      </c>
      <c r="C26" s="27"/>
      <c r="D26" s="28">
        <f>0.4*0.87</f>
        <v>0.34800000000000003</v>
      </c>
      <c r="E26" s="28"/>
      <c r="F26" s="29">
        <f>0.4*1.1</f>
        <v>0.44000000000000006</v>
      </c>
      <c r="G26" s="33">
        <f t="shared" si="0"/>
        <v>0.39400000000000002</v>
      </c>
      <c r="H26" s="184"/>
      <c r="I26" s="380"/>
      <c r="J26" s="384"/>
      <c r="K26" s="384"/>
      <c r="L26" s="252"/>
      <c r="M26" s="385"/>
      <c r="N26" s="27" t="s">
        <v>143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0.4*0.82</f>
        <v>0.32800000000000001</v>
      </c>
      <c r="E27" s="30"/>
      <c r="F27" s="29">
        <f>0.4*0.93</f>
        <v>0.37200000000000005</v>
      </c>
      <c r="G27" s="33">
        <f t="shared" si="0"/>
        <v>0.35000000000000003</v>
      </c>
      <c r="H27" s="184"/>
      <c r="I27" s="372" t="s">
        <v>20</v>
      </c>
      <c r="J27" s="383">
        <f>0.4*2.61</f>
        <v>1.044</v>
      </c>
      <c r="K27" s="383" t="s">
        <v>15</v>
      </c>
      <c r="L27" s="251"/>
      <c r="M27" s="383">
        <f>0.4*2.75</f>
        <v>1.1000000000000001</v>
      </c>
      <c r="N27" s="27" t="s">
        <v>145</v>
      </c>
      <c r="O27" s="386">
        <v>42</v>
      </c>
      <c r="P27" s="44"/>
    </row>
    <row r="28" spans="1:16" ht="38.25" thickBot="1">
      <c r="A28" s="11"/>
      <c r="B28" s="17"/>
      <c r="C28" s="18"/>
      <c r="D28" s="19" t="s">
        <v>136</v>
      </c>
      <c r="E28" s="18"/>
      <c r="F28" s="19"/>
      <c r="G28" s="20"/>
      <c r="H28" s="184"/>
      <c r="I28" s="380"/>
      <c r="J28" s="384"/>
      <c r="K28" s="384"/>
      <c r="L28" s="252"/>
      <c r="M28" s="385"/>
      <c r="N28" s="27" t="s">
        <v>143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0.4*3.84</f>
        <v>1.536</v>
      </c>
      <c r="K29" s="383" t="s">
        <v>15</v>
      </c>
      <c r="L29" s="81"/>
      <c r="M29" s="383">
        <f>0.4*3.94</f>
        <v>1.5760000000000001</v>
      </c>
      <c r="N29" s="27" t="s">
        <v>145</v>
      </c>
      <c r="O29" s="386">
        <v>43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143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0.19</v>
      </c>
      <c r="E31" s="28"/>
      <c r="F31" s="234">
        <v>0.28000000000000003</v>
      </c>
      <c r="G31" s="33">
        <f t="shared" ref="G31:G46" si="1">AVERAGE(D31:F31)</f>
        <v>0.23500000000000001</v>
      </c>
      <c r="H31" s="184"/>
      <c r="I31" s="372" t="s">
        <v>8</v>
      </c>
      <c r="J31" s="376">
        <v>1.88</v>
      </c>
      <c r="K31" s="264"/>
      <c r="L31" s="86"/>
      <c r="M31" s="376">
        <v>1.33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0.31</v>
      </c>
      <c r="E32" s="28"/>
      <c r="F32" s="29">
        <v>0.46</v>
      </c>
      <c r="G32" s="33">
        <f t="shared" si="1"/>
        <v>0.38500000000000001</v>
      </c>
      <c r="H32" s="184"/>
      <c r="I32" s="380"/>
      <c r="J32" s="388"/>
      <c r="K32" s="26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1.6E-2</v>
      </c>
      <c r="E33" s="29"/>
      <c r="F33" s="29">
        <v>0.18</v>
      </c>
      <c r="G33" s="33">
        <f t="shared" si="1"/>
        <v>9.8000000000000004E-2</v>
      </c>
      <c r="H33" s="184"/>
      <c r="I33" s="372" t="s">
        <v>26</v>
      </c>
      <c r="J33" s="381">
        <f>0.4*2.85</f>
        <v>1.1400000000000001</v>
      </c>
      <c r="K33" s="383" t="s">
        <v>15</v>
      </c>
      <c r="L33" s="381"/>
      <c r="M33" s="381">
        <f>0.4*4.06</f>
        <v>1.6239999999999999</v>
      </c>
      <c r="N33" s="88" t="s">
        <v>142</v>
      </c>
      <c r="O33" s="386">
        <v>40</v>
      </c>
      <c r="P33" s="44"/>
    </row>
    <row r="34" spans="1:16" ht="37.5">
      <c r="A34" s="11"/>
      <c r="B34" s="76" t="s">
        <v>24</v>
      </c>
      <c r="C34" s="29"/>
      <c r="D34" s="29">
        <v>0.1</v>
      </c>
      <c r="E34" s="28"/>
      <c r="F34" s="29">
        <v>0.16</v>
      </c>
      <c r="G34" s="33">
        <f t="shared" si="1"/>
        <v>0.13</v>
      </c>
      <c r="H34" s="184"/>
      <c r="I34" s="380"/>
      <c r="J34" s="382"/>
      <c r="K34" s="384"/>
      <c r="L34" s="382"/>
      <c r="M34" s="382"/>
      <c r="N34" s="269" t="s">
        <v>146</v>
      </c>
      <c r="O34" s="387"/>
      <c r="P34" s="44"/>
    </row>
    <row r="35" spans="1:16" ht="37.5">
      <c r="A35" s="11"/>
      <c r="B35" s="76" t="s">
        <v>25</v>
      </c>
      <c r="C35" s="29"/>
      <c r="D35" s="29">
        <v>0.08</v>
      </c>
      <c r="E35" s="28"/>
      <c r="F35" s="29">
        <v>0.12</v>
      </c>
      <c r="G35" s="33">
        <f t="shared" si="1"/>
        <v>0.1</v>
      </c>
      <c r="H35" s="184"/>
      <c r="I35" s="372" t="s">
        <v>28</v>
      </c>
      <c r="J35" s="381">
        <f>0.4*4.71</f>
        <v>1.8840000000000001</v>
      </c>
      <c r="K35" s="383" t="s">
        <v>15</v>
      </c>
      <c r="L35" s="381"/>
      <c r="M35" s="383">
        <f>0.4*4.44</f>
        <v>1.7760000000000002</v>
      </c>
      <c r="N35" s="88" t="s">
        <v>142</v>
      </c>
      <c r="O35" s="386">
        <v>60</v>
      </c>
      <c r="P35" s="44"/>
    </row>
    <row r="36" spans="1:16" ht="37.5">
      <c r="A36" s="11"/>
      <c r="B36" s="76" t="s">
        <v>27</v>
      </c>
      <c r="C36" s="29"/>
      <c r="D36" s="29">
        <v>0.01</v>
      </c>
      <c r="E36" s="29"/>
      <c r="F36" s="29">
        <v>0.08</v>
      </c>
      <c r="G36" s="33">
        <f t="shared" si="1"/>
        <v>4.4999999999999998E-2</v>
      </c>
      <c r="H36" s="184"/>
      <c r="I36" s="380"/>
      <c r="J36" s="382"/>
      <c r="K36" s="384"/>
      <c r="L36" s="382"/>
      <c r="M36" s="385"/>
      <c r="N36" s="269" t="s">
        <v>146</v>
      </c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7.0000000000000007E-2</v>
      </c>
      <c r="G37" s="33">
        <f t="shared" si="1"/>
        <v>3.5000000000000003E-2</v>
      </c>
      <c r="H37" s="184"/>
      <c r="I37" s="372" t="s">
        <v>31</v>
      </c>
      <c r="J37" s="381">
        <f>0.4*4.37</f>
        <v>1.7480000000000002</v>
      </c>
      <c r="K37" s="383" t="s">
        <v>15</v>
      </c>
      <c r="L37" s="381"/>
      <c r="M37" s="383">
        <f>0.4*3.98</f>
        <v>1.5920000000000001</v>
      </c>
      <c r="N37" s="88" t="s">
        <v>142</v>
      </c>
      <c r="O37" s="386">
        <v>50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0.05</v>
      </c>
      <c r="G38" s="33">
        <f t="shared" si="1"/>
        <v>2.5000000000000001E-2</v>
      </c>
      <c r="H38" s="184"/>
      <c r="I38" s="380"/>
      <c r="J38" s="382"/>
      <c r="K38" s="384"/>
      <c r="L38" s="382"/>
      <c r="M38" s="385"/>
      <c r="N38" s="269" t="s">
        <v>146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0.4*4.41</f>
        <v>1.7640000000000002</v>
      </c>
      <c r="K39" s="383" t="s">
        <v>15</v>
      </c>
      <c r="L39" s="381"/>
      <c r="M39" s="383">
        <f>0.4*4.03</f>
        <v>1.6120000000000001</v>
      </c>
      <c r="N39" s="88" t="s">
        <v>147</v>
      </c>
      <c r="O39" s="386">
        <v>55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148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0.4*2.75</f>
        <v>1.1000000000000001</v>
      </c>
      <c r="K41" s="383" t="s">
        <v>15</v>
      </c>
      <c r="L41" s="381"/>
      <c r="M41" s="383">
        <f>0.4*6.43</f>
        <v>2.5720000000000001</v>
      </c>
      <c r="N41" s="88" t="s">
        <v>147</v>
      </c>
      <c r="O41" s="386">
        <v>51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148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0.4*6.99</f>
        <v>2.7960000000000003</v>
      </c>
      <c r="K43" s="383" t="s">
        <v>15</v>
      </c>
      <c r="L43" s="381"/>
      <c r="M43" s="383">
        <f>0.4*2.72</f>
        <v>1.0880000000000001</v>
      </c>
      <c r="N43" s="88" t="s">
        <v>147</v>
      </c>
      <c r="O43" s="386">
        <v>55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148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0.4*4.45</f>
        <v>1.7800000000000002</v>
      </c>
      <c r="K45" s="383" t="s">
        <v>15</v>
      </c>
      <c r="L45" s="381"/>
      <c r="M45" s="383">
        <f>0.4*18.33</f>
        <v>7.3319999999999999</v>
      </c>
      <c r="N45" s="88" t="s">
        <v>147</v>
      </c>
      <c r="O45" s="386">
        <v>55</v>
      </c>
      <c r="P45" s="44"/>
    </row>
    <row r="46" spans="1:16" ht="57.75" customHeight="1" thickBot="1">
      <c r="A46" s="14"/>
      <c r="B46" s="241" t="s">
        <v>58</v>
      </c>
      <c r="C46" s="237"/>
      <c r="D46" s="238">
        <v>0.06</v>
      </c>
      <c r="E46" s="239"/>
      <c r="F46" s="238">
        <v>0.03</v>
      </c>
      <c r="G46" s="240">
        <f t="shared" si="1"/>
        <v>4.4999999999999998E-2</v>
      </c>
      <c r="H46" s="184"/>
      <c r="I46" s="380"/>
      <c r="J46" s="382"/>
      <c r="K46" s="384"/>
      <c r="L46" s="382"/>
      <c r="M46" s="385"/>
      <c r="N46" s="27" t="s">
        <v>148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0.4*2.68</f>
        <v>1.0720000000000001</v>
      </c>
      <c r="K47" s="383" t="s">
        <v>15</v>
      </c>
      <c r="L47" s="381"/>
      <c r="M47" s="383">
        <f>0.4*1.17</f>
        <v>0.46799999999999997</v>
      </c>
      <c r="N47" s="88" t="s">
        <v>149</v>
      </c>
      <c r="O47" s="386">
        <v>21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150</v>
      </c>
      <c r="O48" s="387"/>
      <c r="P48" s="44"/>
    </row>
    <row r="49" spans="1:16" ht="38.25" thickBot="1">
      <c r="A49" s="14"/>
      <c r="B49" s="95" t="s">
        <v>131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0.4*3.72</f>
        <v>1.4880000000000002</v>
      </c>
      <c r="K49" s="383" t="s">
        <v>15</v>
      </c>
      <c r="L49" s="251"/>
      <c r="M49" s="383" t="s">
        <v>85</v>
      </c>
      <c r="N49" s="27"/>
      <c r="O49" s="386" t="s">
        <v>85</v>
      </c>
      <c r="P49" s="44"/>
    </row>
    <row r="50" spans="1:16" ht="37.5">
      <c r="A50" s="14"/>
      <c r="B50" s="76" t="s">
        <v>22</v>
      </c>
      <c r="C50" s="97"/>
      <c r="D50" s="98">
        <v>1579</v>
      </c>
      <c r="E50" s="98">
        <v>9</v>
      </c>
      <c r="F50" s="98">
        <f>(D50*E50)*0.26</f>
        <v>3694.86</v>
      </c>
      <c r="G50" s="221"/>
      <c r="H50" s="222"/>
      <c r="I50" s="380"/>
      <c r="J50" s="382"/>
      <c r="K50" s="384"/>
      <c r="L50" s="252"/>
      <c r="M50" s="385"/>
      <c r="N50" s="88" t="s">
        <v>85</v>
      </c>
      <c r="O50" s="387"/>
      <c r="P50" s="44"/>
    </row>
    <row r="51" spans="1:16" ht="37.5">
      <c r="A51" s="14"/>
      <c r="B51" s="76" t="s">
        <v>24</v>
      </c>
      <c r="C51" s="97"/>
      <c r="D51" s="98">
        <v>856</v>
      </c>
      <c r="E51" s="98">
        <v>15</v>
      </c>
      <c r="F51" s="98">
        <f>(D51*E51)*0.26</f>
        <v>3338.4</v>
      </c>
      <c r="G51" s="99"/>
      <c r="H51" s="186"/>
      <c r="I51" s="372" t="s">
        <v>47</v>
      </c>
      <c r="J51" s="381">
        <f>0.4*4.99</f>
        <v>1.9960000000000002</v>
      </c>
      <c r="K51" s="383" t="s">
        <v>15</v>
      </c>
      <c r="L51" s="251"/>
      <c r="M51" s="383" t="s">
        <v>85</v>
      </c>
      <c r="N51" s="27"/>
      <c r="O51" s="386" t="s">
        <v>85</v>
      </c>
      <c r="P51" s="44"/>
    </row>
    <row r="52" spans="1:16" ht="37.5">
      <c r="A52" s="14"/>
      <c r="B52" s="76" t="s">
        <v>25</v>
      </c>
      <c r="C52" s="97"/>
      <c r="D52" s="98">
        <v>591</v>
      </c>
      <c r="E52" s="98">
        <v>3</v>
      </c>
      <c r="F52" s="98">
        <f>(D52*E52)*0.26</f>
        <v>460.98</v>
      </c>
      <c r="G52" s="99"/>
      <c r="H52" s="186"/>
      <c r="I52" s="380"/>
      <c r="J52" s="382"/>
      <c r="K52" s="384"/>
      <c r="L52" s="252"/>
      <c r="M52" s="385"/>
      <c r="N52" s="88" t="s">
        <v>85</v>
      </c>
      <c r="O52" s="387"/>
      <c r="P52" s="44"/>
    </row>
    <row r="53" spans="1:16" ht="37.5">
      <c r="A53" s="14"/>
      <c r="B53" s="76" t="s">
        <v>27</v>
      </c>
      <c r="C53" s="97"/>
      <c r="D53" s="98">
        <v>151</v>
      </c>
      <c r="E53" s="98">
        <v>12</v>
      </c>
      <c r="F53" s="98">
        <f>(D53*E53)*0.26</f>
        <v>471.12</v>
      </c>
      <c r="G53" s="99"/>
      <c r="H53" s="186"/>
      <c r="I53" s="372" t="s">
        <v>50</v>
      </c>
      <c r="J53" s="381">
        <f>0.4*1.65</f>
        <v>0.66</v>
      </c>
      <c r="K53" s="383" t="s">
        <v>90</v>
      </c>
      <c r="L53" s="251"/>
      <c r="M53" s="383" t="s">
        <v>85</v>
      </c>
      <c r="N53" s="88" t="s">
        <v>85</v>
      </c>
      <c r="O53" s="386" t="s">
        <v>85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>
        <f>(D54*E54)*0.26</f>
        <v>0</v>
      </c>
      <c r="G54" s="99"/>
      <c r="H54" s="186"/>
      <c r="I54" s="380"/>
      <c r="J54" s="382"/>
      <c r="K54" s="384"/>
      <c r="L54" s="252"/>
      <c r="M54" s="385"/>
      <c r="N54" s="27"/>
      <c r="O54" s="387"/>
      <c r="P54" s="44"/>
    </row>
    <row r="55" spans="1:16" ht="37.5">
      <c r="A55" s="15"/>
      <c r="B55" s="76" t="s">
        <v>48</v>
      </c>
      <c r="C55" s="100"/>
      <c r="D55" s="98">
        <v>169</v>
      </c>
      <c r="E55" s="98">
        <v>7</v>
      </c>
      <c r="F55" s="98">
        <f>(D55*E55)*0.13</f>
        <v>153.79</v>
      </c>
      <c r="G55" s="99"/>
      <c r="H55" s="186"/>
      <c r="I55" s="372" t="s">
        <v>53</v>
      </c>
      <c r="J55" s="381">
        <f>0.4*4.73</f>
        <v>1.8920000000000003</v>
      </c>
      <c r="K55" s="383" t="s">
        <v>90</v>
      </c>
      <c r="L55" s="251"/>
      <c r="M55" s="383" t="s">
        <v>85</v>
      </c>
      <c r="N55" s="88" t="s">
        <v>85</v>
      </c>
      <c r="O55" s="386" t="s">
        <v>85</v>
      </c>
      <c r="P55" s="44"/>
    </row>
    <row r="56" spans="1:16" ht="37.5">
      <c r="A56" s="15"/>
      <c r="B56" s="76" t="s">
        <v>49</v>
      </c>
      <c r="C56" s="100"/>
      <c r="D56" s="98">
        <v>178</v>
      </c>
      <c r="E56" s="98">
        <v>12</v>
      </c>
      <c r="F56" s="98">
        <f t="shared" ref="F56:F61" si="2">(D56*E56)*0.13</f>
        <v>277.68</v>
      </c>
      <c r="G56" s="99"/>
      <c r="H56" s="186"/>
      <c r="I56" s="380"/>
      <c r="J56" s="382"/>
      <c r="K56" s="384"/>
      <c r="L56" s="252"/>
      <c r="M56" s="385"/>
      <c r="N56" s="27"/>
      <c r="O56" s="387"/>
      <c r="P56" s="44"/>
    </row>
    <row r="57" spans="1:16" ht="37.5">
      <c r="A57" s="15"/>
      <c r="B57" s="76" t="s">
        <v>51</v>
      </c>
      <c r="C57" s="100"/>
      <c r="D57" s="98">
        <v>134</v>
      </c>
      <c r="E57" s="98">
        <v>15</v>
      </c>
      <c r="F57" s="98">
        <f t="shared" si="2"/>
        <v>261.3</v>
      </c>
      <c r="G57" s="99"/>
      <c r="H57" s="186"/>
      <c r="I57" s="372" t="s">
        <v>8</v>
      </c>
      <c r="J57" s="374">
        <v>1.61</v>
      </c>
      <c r="K57" s="376"/>
      <c r="L57" s="101"/>
      <c r="M57" s="376">
        <v>2.2599999999999998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121</v>
      </c>
      <c r="E58" s="98">
        <v>12</v>
      </c>
      <c r="F58" s="98">
        <f t="shared" si="2"/>
        <v>188.76000000000002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88</v>
      </c>
      <c r="E59" s="98">
        <v>10</v>
      </c>
      <c r="F59" s="98">
        <f t="shared" si="2"/>
        <v>114.4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92</v>
      </c>
      <c r="E60" s="98">
        <v>15</v>
      </c>
      <c r="F60" s="98">
        <f t="shared" si="2"/>
        <v>179.4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218"/>
      <c r="D61" s="98">
        <v>85</v>
      </c>
      <c r="E61" s="98">
        <v>6</v>
      </c>
      <c r="F61" s="98">
        <f t="shared" si="2"/>
        <v>66.3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214"/>
      <c r="C62" s="215"/>
      <c r="D62" s="216" t="s">
        <v>4</v>
      </c>
      <c r="E62" s="217">
        <v>1477</v>
      </c>
      <c r="F62" s="230">
        <f>SUM(F50:F61)</f>
        <v>9206.989999999998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49" t="s">
        <v>13</v>
      </c>
      <c r="J64" s="29">
        <v>0.9</v>
      </c>
      <c r="K64" s="29">
        <v>0.78</v>
      </c>
      <c r="L64" s="119">
        <f>AVERAGE(J64:K64)</f>
        <v>0.84000000000000008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49" t="s">
        <v>16</v>
      </c>
      <c r="J65" s="29">
        <v>0.46</v>
      </c>
      <c r="K65" s="245">
        <v>0.83</v>
      </c>
      <c r="L65" s="208">
        <f>AVERAGE(J65:K65)</f>
        <v>0.64500000000000002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/>
      <c r="C68" s="120"/>
      <c r="D68" s="120"/>
      <c r="E68" s="116"/>
      <c r="F68" s="29"/>
      <c r="G68" s="118"/>
      <c r="H68" s="190"/>
      <c r="I68" s="249" t="s">
        <v>67</v>
      </c>
      <c r="J68" s="249"/>
      <c r="K68" s="249"/>
      <c r="L68" s="126"/>
      <c r="M68" s="248"/>
      <c r="N68" s="127"/>
      <c r="O68" s="128"/>
      <c r="P68" s="44"/>
    </row>
    <row r="69" spans="1:16" ht="37.5">
      <c r="A69" s="15"/>
      <c r="B69" s="95"/>
      <c r="C69" s="120"/>
      <c r="D69" s="120"/>
      <c r="E69" s="116"/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/>
      <c r="C70" s="120"/>
      <c r="D70" s="120"/>
      <c r="E70" s="116"/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75.180000000000007</v>
      </c>
      <c r="K72" s="29"/>
      <c r="L72" s="119">
        <f>AVERAGE(J72:K72)</f>
        <v>75.180000000000007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82.68</v>
      </c>
      <c r="K73" s="29"/>
      <c r="L73" s="119">
        <f>AVERAGE(J73:K73)</f>
        <v>82.68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62.2</v>
      </c>
      <c r="K74" s="27">
        <v>61.95</v>
      </c>
      <c r="L74" s="119">
        <f>AVERAGE(J74:K74)</f>
        <v>62.075000000000003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64.400000000000006</v>
      </c>
      <c r="K75" s="91">
        <v>65.3</v>
      </c>
      <c r="L75" s="119">
        <f>AVERAGE(J75:K75)</f>
        <v>64.849999999999994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48"/>
      <c r="J78" s="236" t="s">
        <v>66</v>
      </c>
      <c r="K78" s="236" t="s">
        <v>66</v>
      </c>
      <c r="L78" s="236" t="s">
        <v>66</v>
      </c>
      <c r="M78" s="113"/>
      <c r="N78" s="248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0.4*2.49</f>
        <v>0.99600000000000011</v>
      </c>
      <c r="L79" s="119">
        <f>AVERAGE(J79:K79)</f>
        <v>0.99600000000000011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0.4*3.27</f>
        <v>1.3080000000000001</v>
      </c>
      <c r="L80" s="119">
        <f>AVERAGE(J80:K80)</f>
        <v>1.3080000000000001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/>
      <c r="C82" s="120"/>
      <c r="D82" s="120"/>
      <c r="E82" s="27"/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 t="s">
        <v>85</v>
      </c>
      <c r="L84" s="119" t="e">
        <f>AVERAGE(J84:K84)</f>
        <v>#DIV/0!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 t="s">
        <v>85</v>
      </c>
      <c r="L85" s="119" t="e">
        <f>AVERAGE(J85:K85)</f>
        <v>#DIV/0!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50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9:I20"/>
    <mergeCell ref="J19:J20"/>
    <mergeCell ref="K19:K20"/>
    <mergeCell ref="M19:M20"/>
    <mergeCell ref="O19:O20"/>
    <mergeCell ref="I21:I22"/>
    <mergeCell ref="J21:J22"/>
    <mergeCell ref="K21:K22"/>
    <mergeCell ref="O21:O22"/>
    <mergeCell ref="M21:M22"/>
    <mergeCell ref="I23:I24"/>
    <mergeCell ref="J23:J24"/>
    <mergeCell ref="K23:K24"/>
    <mergeCell ref="O23:O24"/>
    <mergeCell ref="I25:I26"/>
    <mergeCell ref="J25:J26"/>
    <mergeCell ref="K25:K26"/>
    <mergeCell ref="O25:O26"/>
    <mergeCell ref="I27:I28"/>
    <mergeCell ref="J27:J28"/>
    <mergeCell ref="K27:K28"/>
    <mergeCell ref="O27:O28"/>
    <mergeCell ref="M23:M24"/>
    <mergeCell ref="M25:M26"/>
    <mergeCell ref="M27:M28"/>
    <mergeCell ref="I29:I30"/>
    <mergeCell ref="J29:J30"/>
    <mergeCell ref="K29:K30"/>
    <mergeCell ref="O29:O30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M29:M30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T94"/>
  <sheetViews>
    <sheetView view="pageBreakPreview" topLeftCell="A63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131</v>
      </c>
      <c r="D3" s="38"/>
      <c r="E3" s="39" t="s">
        <v>9</v>
      </c>
      <c r="F3" s="39"/>
      <c r="G3" s="39"/>
      <c r="H3" s="40"/>
      <c r="I3" s="41" t="s">
        <v>2</v>
      </c>
      <c r="J3" s="42" t="s">
        <v>144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131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151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1.33</v>
      </c>
      <c r="E7" s="21"/>
      <c r="F7" s="21">
        <v>2.2599999999999998</v>
      </c>
      <c r="G7" s="102">
        <f>AVERAGE(D7:F7)</f>
        <v>1.7949999999999999</v>
      </c>
      <c r="H7" s="184"/>
      <c r="I7" s="372" t="s">
        <v>98</v>
      </c>
      <c r="J7" s="383">
        <f>0.4*2.08</f>
        <v>0.83200000000000007</v>
      </c>
      <c r="K7" s="383" t="s">
        <v>15</v>
      </c>
      <c r="L7" s="270"/>
      <c r="M7" s="383">
        <f>0.4*2.18</f>
        <v>0.87200000000000011</v>
      </c>
      <c r="N7" s="27" t="s">
        <v>145</v>
      </c>
      <c r="O7" s="386">
        <v>44</v>
      </c>
      <c r="P7" s="44"/>
    </row>
    <row r="8" spans="1:17" ht="38.25" thickBot="1">
      <c r="A8" s="12"/>
      <c r="B8" s="68" t="s">
        <v>16</v>
      </c>
      <c r="C8" s="69"/>
      <c r="D8" s="34">
        <v>1.88</v>
      </c>
      <c r="E8" s="23"/>
      <c r="F8" s="23">
        <v>1.61</v>
      </c>
      <c r="G8" s="124">
        <f>AVERAGE(D8:F8)</f>
        <v>1.7450000000000001</v>
      </c>
      <c r="H8" s="184"/>
      <c r="I8" s="380"/>
      <c r="J8" s="384"/>
      <c r="K8" s="384"/>
      <c r="L8" s="272"/>
      <c r="M8" s="385"/>
      <c r="N8" s="27" t="s">
        <v>143</v>
      </c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0.4*7.47</f>
        <v>2.988</v>
      </c>
      <c r="K9" s="383" t="s">
        <v>15</v>
      </c>
      <c r="L9" s="383"/>
      <c r="M9" s="383">
        <f>0.4*4.06</f>
        <v>1.6239999999999999</v>
      </c>
      <c r="N9" s="27" t="s">
        <v>145</v>
      </c>
      <c r="O9" s="386">
        <v>94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 t="s">
        <v>143</v>
      </c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0.4*15.71</f>
        <v>6.2840000000000007</v>
      </c>
      <c r="K11" s="383" t="s">
        <v>15</v>
      </c>
      <c r="L11" s="270"/>
      <c r="M11" s="383">
        <f>0.4*3.45</f>
        <v>1.3800000000000001</v>
      </c>
      <c r="N11" s="27" t="s">
        <v>145</v>
      </c>
      <c r="O11" s="386">
        <v>56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72"/>
      <c r="M12" s="385"/>
      <c r="N12" s="27" t="s">
        <v>143</v>
      </c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0.4*3.01</f>
        <v>1.204</v>
      </c>
      <c r="K13" s="383" t="s">
        <v>15</v>
      </c>
      <c r="L13" s="270"/>
      <c r="M13" s="383">
        <f>0.4*2.85</f>
        <v>1.1400000000000001</v>
      </c>
      <c r="N13" s="27" t="s">
        <v>145</v>
      </c>
      <c r="O13" s="386">
        <v>57</v>
      </c>
      <c r="P13" s="44"/>
    </row>
    <row r="14" spans="1:17" ht="37.5">
      <c r="A14" s="11" t="s">
        <v>91</v>
      </c>
      <c r="B14" s="76" t="s">
        <v>21</v>
      </c>
      <c r="C14" s="120"/>
      <c r="D14" s="28">
        <f>0.4  *3.24</f>
        <v>1.2960000000000003</v>
      </c>
      <c r="E14" s="28"/>
      <c r="F14" s="28">
        <f>0.4*3.21</f>
        <v>1.284</v>
      </c>
      <c r="G14" s="33">
        <f t="shared" ref="G14:G27" si="0">AVERAGE(D14:F14)</f>
        <v>1.29</v>
      </c>
      <c r="H14" s="184"/>
      <c r="I14" s="380"/>
      <c r="J14" s="384"/>
      <c r="K14" s="384"/>
      <c r="L14" s="272"/>
      <c r="M14" s="385"/>
      <c r="N14" s="27" t="s">
        <v>143</v>
      </c>
      <c r="O14" s="387"/>
      <c r="P14" s="44"/>
    </row>
    <row r="15" spans="1:17" ht="37.5">
      <c r="A15" s="11"/>
      <c r="B15" s="76" t="s">
        <v>97</v>
      </c>
      <c r="C15" s="29"/>
      <c r="D15" s="29">
        <f>0.4*2.56</f>
        <v>1.024</v>
      </c>
      <c r="E15" s="28"/>
      <c r="F15" s="29">
        <f>0.4*3.76</f>
        <v>1.504</v>
      </c>
      <c r="G15" s="33">
        <f t="shared" si="0"/>
        <v>1.264</v>
      </c>
      <c r="H15" s="184" t="s">
        <v>4</v>
      </c>
      <c r="I15" s="390" t="s">
        <v>61</v>
      </c>
      <c r="J15" s="383">
        <f>0.4*2.75</f>
        <v>1.1000000000000001</v>
      </c>
      <c r="K15" s="383" t="s">
        <v>15</v>
      </c>
      <c r="L15" s="270"/>
      <c r="M15" s="383">
        <f>0.4*4.25</f>
        <v>1.7000000000000002</v>
      </c>
      <c r="N15" s="27" t="s">
        <v>145</v>
      </c>
      <c r="O15" s="386">
        <v>42</v>
      </c>
      <c r="P15" s="44"/>
    </row>
    <row r="16" spans="1:17" ht="37.5">
      <c r="A16" s="11"/>
      <c r="B16" s="76" t="s">
        <v>22</v>
      </c>
      <c r="C16" s="28"/>
      <c r="D16" s="28">
        <f>0.4*1.73</f>
        <v>0.69200000000000006</v>
      </c>
      <c r="E16" s="29"/>
      <c r="F16" s="29">
        <f>0.4*2.08</f>
        <v>0.83200000000000007</v>
      </c>
      <c r="G16" s="33">
        <f t="shared" si="0"/>
        <v>0.76200000000000001</v>
      </c>
      <c r="H16" s="184"/>
      <c r="I16" s="391"/>
      <c r="J16" s="384"/>
      <c r="K16" s="384"/>
      <c r="L16" s="272"/>
      <c r="M16" s="385"/>
      <c r="N16" s="27" t="s">
        <v>143</v>
      </c>
      <c r="O16" s="387"/>
      <c r="P16" s="44"/>
    </row>
    <row r="17" spans="1:16" ht="37.5">
      <c r="A17" s="11"/>
      <c r="B17" s="76" t="s">
        <v>24</v>
      </c>
      <c r="C17" s="28"/>
      <c r="D17" s="28">
        <f>0.4*1.44</f>
        <v>0.57599999999999996</v>
      </c>
      <c r="E17" s="28"/>
      <c r="F17" s="29">
        <f>0.4*1.89</f>
        <v>0.75600000000000001</v>
      </c>
      <c r="G17" s="33">
        <f t="shared" si="0"/>
        <v>0.66599999999999993</v>
      </c>
      <c r="H17" s="184"/>
      <c r="I17" s="372" t="s">
        <v>62</v>
      </c>
      <c r="J17" s="383">
        <f>0.4*2.48</f>
        <v>0.99199999999999999</v>
      </c>
      <c r="K17" s="383" t="s">
        <v>15</v>
      </c>
      <c r="L17" s="270"/>
      <c r="M17" s="383">
        <f>0.4*3.41</f>
        <v>1.3640000000000001</v>
      </c>
      <c r="N17" s="27" t="s">
        <v>145</v>
      </c>
      <c r="O17" s="386">
        <v>59</v>
      </c>
      <c r="P17" s="44"/>
    </row>
    <row r="18" spans="1:16" ht="37.5">
      <c r="A18" s="11"/>
      <c r="B18" s="76" t="s">
        <v>25</v>
      </c>
      <c r="C18" s="29"/>
      <c r="D18" s="28">
        <f>0.4*1.39</f>
        <v>0.55599999999999994</v>
      </c>
      <c r="E18" s="28"/>
      <c r="F18" s="29">
        <f>0.4*1.75</f>
        <v>0.70000000000000007</v>
      </c>
      <c r="G18" s="33">
        <f t="shared" si="0"/>
        <v>0.628</v>
      </c>
      <c r="H18" s="184"/>
      <c r="I18" s="380"/>
      <c r="J18" s="384"/>
      <c r="K18" s="384"/>
      <c r="L18" s="272"/>
      <c r="M18" s="385"/>
      <c r="N18" s="27" t="s">
        <v>143</v>
      </c>
      <c r="O18" s="387"/>
      <c r="P18" s="44"/>
    </row>
    <row r="19" spans="1:16" ht="37.5">
      <c r="A19" s="11"/>
      <c r="B19" s="76" t="s">
        <v>27</v>
      </c>
      <c r="C19" s="29"/>
      <c r="D19" s="28">
        <f>0.4*1.46</f>
        <v>0.58399999999999996</v>
      </c>
      <c r="E19" s="29"/>
      <c r="F19" s="29">
        <f>0.4*1.63</f>
        <v>0.65200000000000002</v>
      </c>
      <c r="G19" s="33">
        <f t="shared" si="0"/>
        <v>0.61799999999999999</v>
      </c>
      <c r="H19" s="184"/>
      <c r="I19" s="372" t="s">
        <v>63</v>
      </c>
      <c r="J19" s="383">
        <f>0.4*5.12</f>
        <v>2.048</v>
      </c>
      <c r="K19" s="383" t="s">
        <v>15</v>
      </c>
      <c r="L19" s="270"/>
      <c r="M19" s="383">
        <f>0.4*6.87</f>
        <v>2.7480000000000002</v>
      </c>
      <c r="N19" s="27" t="s">
        <v>145</v>
      </c>
      <c r="O19" s="386">
        <v>54</v>
      </c>
      <c r="P19" s="44"/>
    </row>
    <row r="20" spans="1:16" ht="37.5">
      <c r="A20" s="11"/>
      <c r="B20" s="76" t="s">
        <v>29</v>
      </c>
      <c r="C20" s="28"/>
      <c r="D20" s="28">
        <f>0.4*1.34</f>
        <v>0.53600000000000003</v>
      </c>
      <c r="E20" s="29"/>
      <c r="F20" s="29">
        <f>0.4*1.41</f>
        <v>0.56399999999999995</v>
      </c>
      <c r="G20" s="33">
        <f t="shared" si="0"/>
        <v>0.55000000000000004</v>
      </c>
      <c r="H20" s="184"/>
      <c r="I20" s="380"/>
      <c r="J20" s="384"/>
      <c r="K20" s="384"/>
      <c r="L20" s="272"/>
      <c r="M20" s="385"/>
      <c r="N20" s="27" t="s">
        <v>143</v>
      </c>
      <c r="O20" s="387"/>
      <c r="P20" s="44"/>
    </row>
    <row r="21" spans="1:16" ht="37.5">
      <c r="A21" s="11"/>
      <c r="B21" s="76" t="s">
        <v>30</v>
      </c>
      <c r="C21" s="28"/>
      <c r="D21" s="28">
        <f>0.4*1.27</f>
        <v>0.50800000000000001</v>
      </c>
      <c r="E21" s="28"/>
      <c r="F21" s="29">
        <f>0.4*1.35</f>
        <v>0.54</v>
      </c>
      <c r="G21" s="33">
        <f t="shared" si="0"/>
        <v>0.52400000000000002</v>
      </c>
      <c r="H21" s="184"/>
      <c r="I21" s="372" t="s">
        <v>14</v>
      </c>
      <c r="J21" s="383">
        <f>0.4*4.02</f>
        <v>1.6079999999999999</v>
      </c>
      <c r="K21" s="383" t="s">
        <v>15</v>
      </c>
      <c r="L21" s="270"/>
      <c r="M21" s="383">
        <f>0.4*2.4</f>
        <v>0.96</v>
      </c>
      <c r="N21" s="27" t="s">
        <v>145</v>
      </c>
      <c r="O21" s="386">
        <v>17</v>
      </c>
      <c r="P21" s="44"/>
    </row>
    <row r="22" spans="1:16" ht="37.5">
      <c r="A22" s="11"/>
      <c r="B22" s="76" t="s">
        <v>32</v>
      </c>
      <c r="C22" s="78"/>
      <c r="D22" s="28">
        <f>0.4*1.07</f>
        <v>0.42800000000000005</v>
      </c>
      <c r="E22" s="28"/>
      <c r="F22" s="29">
        <f>0.4*1.32</f>
        <v>0.52800000000000002</v>
      </c>
      <c r="G22" s="33">
        <f t="shared" si="0"/>
        <v>0.47800000000000004</v>
      </c>
      <c r="H22" s="184"/>
      <c r="I22" s="380"/>
      <c r="J22" s="384"/>
      <c r="K22" s="384"/>
      <c r="L22" s="272"/>
      <c r="M22" s="385"/>
      <c r="N22" s="27" t="s">
        <v>143</v>
      </c>
      <c r="O22" s="387"/>
      <c r="P22" s="44"/>
    </row>
    <row r="23" spans="1:16" ht="37.5">
      <c r="A23" s="11"/>
      <c r="B23" s="76" t="s">
        <v>33</v>
      </c>
      <c r="C23" s="28"/>
      <c r="D23" s="28">
        <f>0.4*0.99</f>
        <v>0.39600000000000002</v>
      </c>
      <c r="E23" s="28"/>
      <c r="F23" s="28">
        <f>0.4*1.23</f>
        <v>0.49199999999999999</v>
      </c>
      <c r="G23" s="33">
        <f t="shared" si="0"/>
        <v>0.44400000000000001</v>
      </c>
      <c r="H23" s="184"/>
      <c r="I23" s="372" t="s">
        <v>17</v>
      </c>
      <c r="J23" s="383">
        <f>0.4*2.86</f>
        <v>1.1439999999999999</v>
      </c>
      <c r="K23" s="383" t="s">
        <v>15</v>
      </c>
      <c r="L23" s="270"/>
      <c r="M23" s="383">
        <f>0.4*1.24</f>
        <v>0.496</v>
      </c>
      <c r="N23" s="27" t="s">
        <v>145</v>
      </c>
      <c r="O23" s="386">
        <v>65</v>
      </c>
      <c r="P23" s="44"/>
    </row>
    <row r="24" spans="1:16" ht="37.5">
      <c r="A24" s="11"/>
      <c r="B24" s="76" t="s">
        <v>35</v>
      </c>
      <c r="C24" s="29"/>
      <c r="D24" s="28">
        <f>0.4*0.95</f>
        <v>0.38</v>
      </c>
      <c r="E24" s="28"/>
      <c r="F24" s="28">
        <f>0.4*1.1</f>
        <v>0.44000000000000006</v>
      </c>
      <c r="G24" s="33">
        <f t="shared" si="0"/>
        <v>0.41000000000000003</v>
      </c>
      <c r="H24" s="184"/>
      <c r="I24" s="380"/>
      <c r="J24" s="384"/>
      <c r="K24" s="384"/>
      <c r="L24" s="272"/>
      <c r="M24" s="385"/>
      <c r="N24" s="27" t="s">
        <v>143</v>
      </c>
      <c r="O24" s="387"/>
      <c r="P24" s="44"/>
    </row>
    <row r="25" spans="1:16" ht="37.5">
      <c r="A25" s="11"/>
      <c r="B25" s="76" t="s">
        <v>36</v>
      </c>
      <c r="C25" s="27"/>
      <c r="D25" s="28">
        <f>0.4*0.89</f>
        <v>0.35600000000000004</v>
      </c>
      <c r="E25" s="28"/>
      <c r="F25" s="28">
        <f>0.4*1.05</f>
        <v>0.42000000000000004</v>
      </c>
      <c r="G25" s="33">
        <f t="shared" si="0"/>
        <v>0.38800000000000001</v>
      </c>
      <c r="H25" s="184"/>
      <c r="I25" s="372" t="s">
        <v>18</v>
      </c>
      <c r="J25" s="383">
        <f>0.4*4.47</f>
        <v>1.788</v>
      </c>
      <c r="K25" s="383" t="s">
        <v>15</v>
      </c>
      <c r="L25" s="270"/>
      <c r="M25" s="383">
        <f>0.4*2.5</f>
        <v>1</v>
      </c>
      <c r="N25" s="27" t="s">
        <v>145</v>
      </c>
      <c r="O25" s="386">
        <v>67</v>
      </c>
      <c r="P25" s="44"/>
    </row>
    <row r="26" spans="1:16" ht="37.5">
      <c r="A26" s="11"/>
      <c r="B26" s="76" t="s">
        <v>38</v>
      </c>
      <c r="C26" s="27"/>
      <c r="D26" s="28">
        <f>0.4*0.87</f>
        <v>0.34800000000000003</v>
      </c>
      <c r="E26" s="28"/>
      <c r="F26" s="29">
        <f>0.4*1.1</f>
        <v>0.44000000000000006</v>
      </c>
      <c r="G26" s="33">
        <f t="shared" si="0"/>
        <v>0.39400000000000002</v>
      </c>
      <c r="H26" s="184"/>
      <c r="I26" s="380"/>
      <c r="J26" s="384"/>
      <c r="K26" s="384"/>
      <c r="L26" s="272"/>
      <c r="M26" s="385"/>
      <c r="N26" s="27" t="s">
        <v>143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0.4*0.82</f>
        <v>0.32800000000000001</v>
      </c>
      <c r="E27" s="30"/>
      <c r="F27" s="29">
        <f>0.4*0.93</f>
        <v>0.37200000000000005</v>
      </c>
      <c r="G27" s="33">
        <f t="shared" si="0"/>
        <v>0.35000000000000003</v>
      </c>
      <c r="H27" s="184"/>
      <c r="I27" s="372" t="s">
        <v>20</v>
      </c>
      <c r="J27" s="383">
        <f>0.4*2.61</f>
        <v>1.044</v>
      </c>
      <c r="K27" s="383" t="s">
        <v>15</v>
      </c>
      <c r="L27" s="270"/>
      <c r="M27" s="383">
        <f>0.4*2.75</f>
        <v>1.1000000000000001</v>
      </c>
      <c r="N27" s="27" t="s">
        <v>145</v>
      </c>
      <c r="O27" s="386">
        <v>42</v>
      </c>
      <c r="P27" s="44"/>
    </row>
    <row r="28" spans="1:16" ht="38.25" thickBot="1">
      <c r="A28" s="11"/>
      <c r="B28" s="17"/>
      <c r="C28" s="18"/>
      <c r="D28" s="19" t="s">
        <v>136</v>
      </c>
      <c r="E28" s="18"/>
      <c r="F28" s="19"/>
      <c r="G28" s="20"/>
      <c r="H28" s="184"/>
      <c r="I28" s="380"/>
      <c r="J28" s="384"/>
      <c r="K28" s="384"/>
      <c r="L28" s="272"/>
      <c r="M28" s="385"/>
      <c r="N28" s="27" t="s">
        <v>143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0.4*3.84</f>
        <v>1.536</v>
      </c>
      <c r="K29" s="383" t="s">
        <v>15</v>
      </c>
      <c r="L29" s="81"/>
      <c r="M29" s="383">
        <f>0.4*3.94</f>
        <v>1.5760000000000001</v>
      </c>
      <c r="N29" s="27" t="s">
        <v>145</v>
      </c>
      <c r="O29" s="386">
        <v>43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143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0.19</v>
      </c>
      <c r="E31" s="28"/>
      <c r="F31" s="234">
        <v>0.28000000000000003</v>
      </c>
      <c r="G31" s="33">
        <f t="shared" ref="G31:G46" si="1">AVERAGE(D31:F31)</f>
        <v>0.23500000000000001</v>
      </c>
      <c r="H31" s="184"/>
      <c r="I31" s="372" t="s">
        <v>8</v>
      </c>
      <c r="J31" s="376">
        <v>1.88</v>
      </c>
      <c r="K31" s="270"/>
      <c r="L31" s="86"/>
      <c r="M31" s="376">
        <v>1.33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0.31</v>
      </c>
      <c r="E32" s="28"/>
      <c r="F32" s="29">
        <v>0.46</v>
      </c>
      <c r="G32" s="33">
        <f t="shared" si="1"/>
        <v>0.38500000000000001</v>
      </c>
      <c r="H32" s="184"/>
      <c r="I32" s="380"/>
      <c r="J32" s="388"/>
      <c r="K32" s="271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1.6E-2</v>
      </c>
      <c r="E33" s="29"/>
      <c r="F33" s="29">
        <v>0.18</v>
      </c>
      <c r="G33" s="33">
        <f t="shared" si="1"/>
        <v>9.8000000000000004E-2</v>
      </c>
      <c r="H33" s="184"/>
      <c r="I33" s="372" t="s">
        <v>26</v>
      </c>
      <c r="J33" s="381">
        <f>0.4*2.85</f>
        <v>1.1400000000000001</v>
      </c>
      <c r="K33" s="383" t="s">
        <v>15</v>
      </c>
      <c r="L33" s="381"/>
      <c r="M33" s="381">
        <f>0.4*4.06</f>
        <v>1.6239999999999999</v>
      </c>
      <c r="N33" s="88" t="s">
        <v>142</v>
      </c>
      <c r="O33" s="386">
        <v>40</v>
      </c>
      <c r="P33" s="44"/>
    </row>
    <row r="34" spans="1:16" ht="37.5">
      <c r="A34" s="11"/>
      <c r="B34" s="76" t="s">
        <v>24</v>
      </c>
      <c r="C34" s="29"/>
      <c r="D34" s="29">
        <v>0.1</v>
      </c>
      <c r="E34" s="28"/>
      <c r="F34" s="29">
        <v>0.16</v>
      </c>
      <c r="G34" s="33">
        <f t="shared" si="1"/>
        <v>0.13</v>
      </c>
      <c r="H34" s="184"/>
      <c r="I34" s="380"/>
      <c r="J34" s="382"/>
      <c r="K34" s="384"/>
      <c r="L34" s="382"/>
      <c r="M34" s="382"/>
      <c r="N34" s="269" t="s">
        <v>146</v>
      </c>
      <c r="O34" s="387"/>
      <c r="P34" s="44"/>
    </row>
    <row r="35" spans="1:16" ht="37.5">
      <c r="A35" s="11"/>
      <c r="B35" s="76" t="s">
        <v>25</v>
      </c>
      <c r="C35" s="29"/>
      <c r="D35" s="29">
        <v>0.08</v>
      </c>
      <c r="E35" s="28"/>
      <c r="F35" s="29">
        <v>0.12</v>
      </c>
      <c r="G35" s="33">
        <f t="shared" si="1"/>
        <v>0.1</v>
      </c>
      <c r="H35" s="184"/>
      <c r="I35" s="372" t="s">
        <v>28</v>
      </c>
      <c r="J35" s="381">
        <f>0.4*4.71</f>
        <v>1.8840000000000001</v>
      </c>
      <c r="K35" s="383" t="s">
        <v>15</v>
      </c>
      <c r="L35" s="381"/>
      <c r="M35" s="383">
        <f>0.4*4.44</f>
        <v>1.7760000000000002</v>
      </c>
      <c r="N35" s="88" t="s">
        <v>142</v>
      </c>
      <c r="O35" s="386">
        <v>60</v>
      </c>
      <c r="P35" s="44"/>
    </row>
    <row r="36" spans="1:16" ht="37.5">
      <c r="A36" s="11"/>
      <c r="B36" s="76" t="s">
        <v>27</v>
      </c>
      <c r="C36" s="29"/>
      <c r="D36" s="29">
        <v>0.01</v>
      </c>
      <c r="E36" s="29"/>
      <c r="F36" s="29">
        <v>0.08</v>
      </c>
      <c r="G36" s="33">
        <f t="shared" si="1"/>
        <v>4.4999999999999998E-2</v>
      </c>
      <c r="H36" s="184"/>
      <c r="I36" s="380"/>
      <c r="J36" s="382"/>
      <c r="K36" s="384"/>
      <c r="L36" s="382"/>
      <c r="M36" s="385"/>
      <c r="N36" s="269" t="s">
        <v>146</v>
      </c>
      <c r="O36" s="387"/>
      <c r="P36" s="44"/>
    </row>
    <row r="37" spans="1:16" ht="37.5">
      <c r="A37" s="11"/>
      <c r="B37" s="76" t="s">
        <v>46</v>
      </c>
      <c r="C37" s="29"/>
      <c r="D37" s="29">
        <v>0</v>
      </c>
      <c r="E37" s="29"/>
      <c r="F37" s="29">
        <v>7.0000000000000007E-2</v>
      </c>
      <c r="G37" s="33">
        <f t="shared" si="1"/>
        <v>3.5000000000000003E-2</v>
      </c>
      <c r="H37" s="184"/>
      <c r="I37" s="372" t="s">
        <v>31</v>
      </c>
      <c r="J37" s="381">
        <f>0.4*4.37</f>
        <v>1.7480000000000002</v>
      </c>
      <c r="K37" s="383" t="s">
        <v>15</v>
      </c>
      <c r="L37" s="381"/>
      <c r="M37" s="383">
        <f>0.4*3.98</f>
        <v>1.5920000000000001</v>
      </c>
      <c r="N37" s="88" t="s">
        <v>142</v>
      </c>
      <c r="O37" s="386">
        <v>50</v>
      </c>
      <c r="P37" s="44"/>
    </row>
    <row r="38" spans="1:16" ht="37.5">
      <c r="A38" s="11"/>
      <c r="B38" s="76" t="s">
        <v>48</v>
      </c>
      <c r="C38" s="29"/>
      <c r="D38" s="29">
        <v>0</v>
      </c>
      <c r="E38" s="231"/>
      <c r="F38" s="29">
        <v>0.05</v>
      </c>
      <c r="G38" s="33">
        <f t="shared" si="1"/>
        <v>2.5000000000000001E-2</v>
      </c>
      <c r="H38" s="184"/>
      <c r="I38" s="380"/>
      <c r="J38" s="382"/>
      <c r="K38" s="384"/>
      <c r="L38" s="382"/>
      <c r="M38" s="385"/>
      <c r="N38" s="269" t="s">
        <v>146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0.4*4.41</f>
        <v>1.7640000000000002</v>
      </c>
      <c r="K39" s="383" t="s">
        <v>15</v>
      </c>
      <c r="L39" s="381"/>
      <c r="M39" s="383">
        <f>0.4*4.03</f>
        <v>1.6120000000000001</v>
      </c>
      <c r="N39" s="88" t="s">
        <v>147</v>
      </c>
      <c r="O39" s="386">
        <v>55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148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0.4*2.75</f>
        <v>1.1000000000000001</v>
      </c>
      <c r="K41" s="383" t="s">
        <v>15</v>
      </c>
      <c r="L41" s="381"/>
      <c r="M41" s="383">
        <f>0.4*6.43</f>
        <v>2.5720000000000001</v>
      </c>
      <c r="N41" s="88" t="s">
        <v>147</v>
      </c>
      <c r="O41" s="386">
        <v>51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148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0.4*6.99</f>
        <v>2.7960000000000003</v>
      </c>
      <c r="K43" s="383" t="s">
        <v>15</v>
      </c>
      <c r="L43" s="381"/>
      <c r="M43" s="383">
        <f>0.4*2.72</f>
        <v>1.0880000000000001</v>
      </c>
      <c r="N43" s="88" t="s">
        <v>147</v>
      </c>
      <c r="O43" s="386">
        <v>55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148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0.4*4.45</f>
        <v>1.7800000000000002</v>
      </c>
      <c r="K45" s="383" t="s">
        <v>15</v>
      </c>
      <c r="L45" s="381"/>
      <c r="M45" s="383">
        <f>0.4*18.33</f>
        <v>7.3319999999999999</v>
      </c>
      <c r="N45" s="88" t="s">
        <v>147</v>
      </c>
      <c r="O45" s="386">
        <v>55</v>
      </c>
      <c r="P45" s="44"/>
    </row>
    <row r="46" spans="1:16" ht="57.75" customHeight="1" thickBot="1">
      <c r="A46" s="14"/>
      <c r="B46" s="241" t="s">
        <v>58</v>
      </c>
      <c r="C46" s="237"/>
      <c r="D46" s="238">
        <v>0.06</v>
      </c>
      <c r="E46" s="239"/>
      <c r="F46" s="238">
        <v>0.03</v>
      </c>
      <c r="G46" s="240">
        <f t="shared" si="1"/>
        <v>4.4999999999999998E-2</v>
      </c>
      <c r="H46" s="184"/>
      <c r="I46" s="380"/>
      <c r="J46" s="382"/>
      <c r="K46" s="384"/>
      <c r="L46" s="382"/>
      <c r="M46" s="385"/>
      <c r="N46" s="27" t="s">
        <v>148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0.4*2.68</f>
        <v>1.0720000000000001</v>
      </c>
      <c r="K47" s="383" t="s">
        <v>15</v>
      </c>
      <c r="L47" s="381"/>
      <c r="M47" s="383">
        <f>0.4*1.17</f>
        <v>0.46799999999999997</v>
      </c>
      <c r="N47" s="88" t="s">
        <v>149</v>
      </c>
      <c r="O47" s="386">
        <v>21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150</v>
      </c>
      <c r="O48" s="387"/>
      <c r="P48" s="44"/>
    </row>
    <row r="49" spans="1:16" ht="38.25" thickBot="1">
      <c r="A49" s="14"/>
      <c r="B49" s="95" t="s">
        <v>131</v>
      </c>
      <c r="C49" s="77"/>
      <c r="D49" s="220" t="s">
        <v>66</v>
      </c>
      <c r="E49" s="219" t="s">
        <v>125</v>
      </c>
      <c r="F49" s="219" t="s">
        <v>128</v>
      </c>
      <c r="G49" s="223" t="s">
        <v>129</v>
      </c>
      <c r="H49" s="224" t="s">
        <v>8</v>
      </c>
      <c r="I49" s="372" t="s">
        <v>45</v>
      </c>
      <c r="J49" s="381">
        <f>0.4*3.72</f>
        <v>1.4880000000000002</v>
      </c>
      <c r="K49" s="383" t="s">
        <v>15</v>
      </c>
      <c r="L49" s="270"/>
      <c r="M49" s="383" t="s">
        <v>85</v>
      </c>
      <c r="N49" s="27"/>
      <c r="O49" s="386"/>
      <c r="P49" s="44"/>
    </row>
    <row r="50" spans="1:16" ht="37.5">
      <c r="A50" s="14"/>
      <c r="B50" s="76" t="s">
        <v>22</v>
      </c>
      <c r="C50" s="97"/>
      <c r="D50" s="98">
        <v>1579</v>
      </c>
      <c r="E50" s="98">
        <v>1814</v>
      </c>
      <c r="F50" s="98">
        <v>1696</v>
      </c>
      <c r="G50" s="277">
        <v>1741</v>
      </c>
      <c r="H50" s="260">
        <f>AVERAGE(E50:G50)</f>
        <v>1750.3333333333333</v>
      </c>
      <c r="I50" s="380"/>
      <c r="J50" s="382"/>
      <c r="K50" s="384"/>
      <c r="L50" s="272"/>
      <c r="M50" s="385"/>
      <c r="N50" s="88"/>
      <c r="O50" s="387"/>
      <c r="P50" s="44"/>
    </row>
    <row r="51" spans="1:16" ht="37.5">
      <c r="A51" s="14"/>
      <c r="B51" s="76" t="s">
        <v>24</v>
      </c>
      <c r="C51" s="97"/>
      <c r="D51" s="98">
        <v>856</v>
      </c>
      <c r="E51" s="98">
        <v>1054</v>
      </c>
      <c r="F51" s="98">
        <v>620</v>
      </c>
      <c r="G51" s="99">
        <v>841</v>
      </c>
      <c r="H51" s="260">
        <f t="shared" ref="H51:H61" si="2">AVERAGE(E51:G51)</f>
        <v>838.33333333333337</v>
      </c>
      <c r="I51" s="372" t="s">
        <v>47</v>
      </c>
      <c r="J51" s="381">
        <f>0.4*4.99</f>
        <v>1.9960000000000002</v>
      </c>
      <c r="K51" s="383" t="s">
        <v>15</v>
      </c>
      <c r="L51" s="270"/>
      <c r="M51" s="383" t="s">
        <v>85</v>
      </c>
      <c r="N51" s="27"/>
      <c r="O51" s="386"/>
      <c r="P51" s="44"/>
    </row>
    <row r="52" spans="1:16" ht="37.5">
      <c r="A52" s="14"/>
      <c r="B52" s="76" t="s">
        <v>25</v>
      </c>
      <c r="C52" s="97"/>
      <c r="D52" s="98">
        <v>591</v>
      </c>
      <c r="E52" s="98">
        <v>699</v>
      </c>
      <c r="F52" s="98">
        <v>516</v>
      </c>
      <c r="G52" s="99">
        <v>471</v>
      </c>
      <c r="H52" s="260">
        <f t="shared" si="2"/>
        <v>562</v>
      </c>
      <c r="I52" s="380"/>
      <c r="J52" s="382"/>
      <c r="K52" s="384"/>
      <c r="L52" s="272"/>
      <c r="M52" s="385"/>
      <c r="N52" s="88"/>
      <c r="O52" s="387"/>
      <c r="P52" s="44"/>
    </row>
    <row r="53" spans="1:16" ht="37.5">
      <c r="A53" s="14"/>
      <c r="B53" s="76" t="s">
        <v>27</v>
      </c>
      <c r="C53" s="97"/>
      <c r="D53" s="98">
        <v>151</v>
      </c>
      <c r="E53" s="98">
        <v>498</v>
      </c>
      <c r="F53" s="98">
        <v>261</v>
      </c>
      <c r="G53" s="99">
        <v>285</v>
      </c>
      <c r="H53" s="260">
        <f t="shared" si="2"/>
        <v>348</v>
      </c>
      <c r="I53" s="372" t="s">
        <v>50</v>
      </c>
      <c r="J53" s="381">
        <f>0.4*1.65</f>
        <v>0.66</v>
      </c>
      <c r="K53" s="383" t="s">
        <v>90</v>
      </c>
      <c r="L53" s="270"/>
      <c r="M53" s="383" t="s">
        <v>85</v>
      </c>
      <c r="N53" s="88"/>
      <c r="O53" s="386"/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260"/>
      <c r="I54" s="380"/>
      <c r="J54" s="382"/>
      <c r="K54" s="384"/>
      <c r="L54" s="272"/>
      <c r="M54" s="385"/>
      <c r="N54" s="27"/>
      <c r="O54" s="387"/>
      <c r="P54" s="44"/>
    </row>
    <row r="55" spans="1:16" ht="37.5">
      <c r="A55" s="15"/>
      <c r="B55" s="76" t="s">
        <v>48</v>
      </c>
      <c r="C55" s="100"/>
      <c r="D55" s="98">
        <v>169</v>
      </c>
      <c r="E55" s="98">
        <v>165</v>
      </c>
      <c r="F55" s="98">
        <v>188</v>
      </c>
      <c r="G55" s="99">
        <v>170</v>
      </c>
      <c r="H55" s="260">
        <f t="shared" si="2"/>
        <v>174.33333333333334</v>
      </c>
      <c r="I55" s="372" t="s">
        <v>53</v>
      </c>
      <c r="J55" s="381">
        <f>0.4*4.73</f>
        <v>1.8920000000000003</v>
      </c>
      <c r="K55" s="383" t="s">
        <v>90</v>
      </c>
      <c r="L55" s="270"/>
      <c r="M55" s="383" t="s">
        <v>85</v>
      </c>
      <c r="N55" s="88"/>
      <c r="O55" s="386"/>
      <c r="P55" s="44"/>
    </row>
    <row r="56" spans="1:16" ht="37.5">
      <c r="A56" s="15"/>
      <c r="B56" s="76" t="s">
        <v>49</v>
      </c>
      <c r="C56" s="100"/>
      <c r="D56" s="98">
        <v>178</v>
      </c>
      <c r="E56" s="98">
        <v>161</v>
      </c>
      <c r="F56" s="98">
        <v>165</v>
      </c>
      <c r="G56" s="99">
        <v>151</v>
      </c>
      <c r="H56" s="260">
        <f t="shared" si="2"/>
        <v>159</v>
      </c>
      <c r="I56" s="380"/>
      <c r="J56" s="382"/>
      <c r="K56" s="384"/>
      <c r="L56" s="272"/>
      <c r="M56" s="385"/>
      <c r="N56" s="27"/>
      <c r="O56" s="387"/>
      <c r="P56" s="44"/>
    </row>
    <row r="57" spans="1:16" ht="37.5">
      <c r="A57" s="15"/>
      <c r="B57" s="76" t="s">
        <v>51</v>
      </c>
      <c r="C57" s="100"/>
      <c r="D57" s="98">
        <v>134</v>
      </c>
      <c r="E57" s="98">
        <v>149</v>
      </c>
      <c r="F57" s="98">
        <v>145</v>
      </c>
      <c r="G57" s="99">
        <v>134</v>
      </c>
      <c r="H57" s="260">
        <f t="shared" si="2"/>
        <v>142.66666666666666</v>
      </c>
      <c r="I57" s="372" t="s">
        <v>8</v>
      </c>
      <c r="J57" s="374">
        <v>1.61</v>
      </c>
      <c r="K57" s="376"/>
      <c r="L57" s="101"/>
      <c r="M57" s="376">
        <v>2.2599999999999998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121</v>
      </c>
      <c r="E58" s="98">
        <v>114</v>
      </c>
      <c r="F58" s="98">
        <v>139</v>
      </c>
      <c r="G58" s="99">
        <v>123</v>
      </c>
      <c r="H58" s="260">
        <f t="shared" si="2"/>
        <v>125.33333333333333</v>
      </c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88</v>
      </c>
      <c r="E59" s="98">
        <v>111</v>
      </c>
      <c r="F59" s="98">
        <v>125</v>
      </c>
      <c r="G59" s="99">
        <v>106</v>
      </c>
      <c r="H59" s="260">
        <f t="shared" si="2"/>
        <v>114</v>
      </c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92</v>
      </c>
      <c r="E60" s="98">
        <v>83</v>
      </c>
      <c r="F60" s="98">
        <v>89</v>
      </c>
      <c r="G60" s="99">
        <v>84</v>
      </c>
      <c r="H60" s="260">
        <f t="shared" si="2"/>
        <v>85.333333333333329</v>
      </c>
      <c r="I60" s="176"/>
      <c r="J60" s="103"/>
      <c r="K60" s="103"/>
      <c r="L60" s="104"/>
      <c r="M60" s="103"/>
      <c r="N60" s="103"/>
      <c r="O60" s="105"/>
      <c r="P60" s="44"/>
    </row>
    <row r="61" spans="1:16" ht="37.5">
      <c r="A61" s="15"/>
      <c r="B61" s="89" t="s">
        <v>100</v>
      </c>
      <c r="C61" s="100"/>
      <c r="D61" s="98">
        <v>85</v>
      </c>
      <c r="E61" s="98">
        <v>72</v>
      </c>
      <c r="F61" s="98">
        <v>74</v>
      </c>
      <c r="G61" s="99">
        <v>79</v>
      </c>
      <c r="H61" s="260">
        <f t="shared" si="2"/>
        <v>75</v>
      </c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8.25" thickBot="1">
      <c r="A62" s="15"/>
      <c r="B62" s="214"/>
      <c r="C62" s="215"/>
      <c r="D62" s="216" t="s">
        <v>4</v>
      </c>
      <c r="E62" s="217"/>
      <c r="F62" s="276"/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9" thickTop="1" thickBot="1">
      <c r="A63" s="15"/>
      <c r="B63" s="214"/>
      <c r="C63" s="215"/>
      <c r="D63" s="216"/>
      <c r="E63" s="217"/>
      <c r="F63" s="230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8.25" thickTop="1">
      <c r="A64" s="15"/>
      <c r="G64" s="118" t="s">
        <v>1</v>
      </c>
      <c r="H64" s="188"/>
      <c r="I64" s="274" t="s">
        <v>13</v>
      </c>
      <c r="J64" s="29">
        <v>0.9</v>
      </c>
      <c r="K64" s="29">
        <v>0.78</v>
      </c>
      <c r="L64" s="119">
        <f>AVERAGE(J64:K64)</f>
        <v>0.84000000000000008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74" t="s">
        <v>16</v>
      </c>
      <c r="J65" s="29">
        <v>0.46</v>
      </c>
      <c r="K65" s="245">
        <v>0.83</v>
      </c>
      <c r="L65" s="208">
        <f>AVERAGE(J65:K65)</f>
        <v>0.64500000000000002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/>
      <c r="C68" s="120"/>
      <c r="D68" s="120"/>
      <c r="E68" s="116"/>
      <c r="F68" s="29"/>
      <c r="G68" s="118"/>
      <c r="H68" s="190"/>
      <c r="I68" s="274" t="s">
        <v>67</v>
      </c>
      <c r="J68" s="274"/>
      <c r="K68" s="274"/>
      <c r="L68" s="126"/>
      <c r="M68" s="273"/>
      <c r="N68" s="127"/>
      <c r="O68" s="128"/>
      <c r="P68" s="44"/>
    </row>
    <row r="69" spans="1:16" ht="37.5">
      <c r="A69" s="15"/>
      <c r="B69" s="95"/>
      <c r="C69" s="120"/>
      <c r="D69" s="120"/>
      <c r="E69" s="116"/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/>
      <c r="C70" s="120"/>
      <c r="D70" s="120"/>
      <c r="E70" s="116"/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75.180000000000007</v>
      </c>
      <c r="K72" s="29"/>
      <c r="L72" s="119">
        <f>AVERAGE(J72:K72)</f>
        <v>75.180000000000007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82.68</v>
      </c>
      <c r="K73" s="29"/>
      <c r="L73" s="119">
        <f>AVERAGE(J73:K73)</f>
        <v>82.68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62.2</v>
      </c>
      <c r="K74" s="27">
        <v>61.95</v>
      </c>
      <c r="L74" s="119">
        <f>AVERAGE(J74:K74)</f>
        <v>62.075000000000003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47"/>
      <c r="F75" s="131"/>
      <c r="G75" s="139"/>
      <c r="H75" s="195"/>
      <c r="I75" s="178" t="s">
        <v>72</v>
      </c>
      <c r="J75" s="91">
        <v>64.400000000000006</v>
      </c>
      <c r="K75" s="91">
        <v>65.3</v>
      </c>
      <c r="L75" s="119">
        <f>AVERAGE(J75:K75)</f>
        <v>64.849999999999994</v>
      </c>
      <c r="M75" s="115"/>
      <c r="N75" s="91"/>
      <c r="O75" s="35"/>
      <c r="P75" s="44"/>
    </row>
    <row r="76" spans="1:16" ht="39.75" thickBot="1">
      <c r="A76" s="170"/>
      <c r="B76" s="95"/>
      <c r="C76" s="120"/>
      <c r="D76" s="120"/>
      <c r="E76" s="136"/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73"/>
      <c r="J78" s="236" t="s">
        <v>66</v>
      </c>
      <c r="K78" s="236" t="s">
        <v>66</v>
      </c>
      <c r="L78" s="236" t="s">
        <v>66</v>
      </c>
      <c r="M78" s="113"/>
      <c r="N78" s="273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0.4*2.49</f>
        <v>0.99600000000000011</v>
      </c>
      <c r="L79" s="119">
        <f>AVERAGE(J79:K79)</f>
        <v>0.99600000000000011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>
        <f>0.4*3.27</f>
        <v>1.3080000000000001</v>
      </c>
      <c r="L80" s="119">
        <f>AVERAGE(J80:K80)</f>
        <v>1.3080000000000001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/>
      <c r="C82" s="120"/>
      <c r="D82" s="120"/>
      <c r="E82" s="27"/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/>
      <c r="C83" s="120"/>
      <c r="D83" s="120"/>
      <c r="E83" s="27"/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 t="s">
        <v>85</v>
      </c>
      <c r="L84" s="119" t="e">
        <f>AVERAGE(J84:K84)</f>
        <v>#DIV/0!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 t="s">
        <v>85</v>
      </c>
      <c r="L85" s="119" t="e">
        <f>AVERAGE(J85:K85)</f>
        <v>#DIV/0!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3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26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29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75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T94"/>
  <sheetViews>
    <sheetView view="pageBreakPreview" topLeftCell="A67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151</v>
      </c>
      <c r="D3" s="38"/>
      <c r="E3" s="39" t="s">
        <v>9</v>
      </c>
      <c r="F3" s="39"/>
      <c r="G3" s="39"/>
      <c r="H3" s="40"/>
      <c r="I3" s="41" t="s">
        <v>2</v>
      </c>
      <c r="J3" s="42" t="s">
        <v>152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151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153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 t="s">
        <v>85</v>
      </c>
      <c r="E7" s="21"/>
      <c r="F7" s="21" t="s">
        <v>85</v>
      </c>
      <c r="G7" s="102" t="e">
        <f>AVERAGE(D7:F7)</f>
        <v>#DIV/0!</v>
      </c>
      <c r="H7" s="184"/>
      <c r="I7" s="372" t="s">
        <v>98</v>
      </c>
      <c r="J7" s="383">
        <f>4.46*0.4</f>
        <v>1.784</v>
      </c>
      <c r="K7" s="383" t="s">
        <v>154</v>
      </c>
      <c r="L7" s="278"/>
      <c r="M7" s="383"/>
      <c r="N7" s="88" t="s">
        <v>85</v>
      </c>
      <c r="O7" s="386" t="s">
        <v>85</v>
      </c>
      <c r="P7" s="44"/>
    </row>
    <row r="8" spans="1:17" ht="38.25" thickBot="1">
      <c r="A8" s="12"/>
      <c r="B8" s="68" t="s">
        <v>16</v>
      </c>
      <c r="C8" s="69"/>
      <c r="D8" s="34">
        <v>1.41</v>
      </c>
      <c r="E8" s="23"/>
      <c r="F8" s="23">
        <v>1.76</v>
      </c>
      <c r="G8" s="124">
        <f>AVERAGE(D8:F8)</f>
        <v>1.585</v>
      </c>
      <c r="H8" s="184"/>
      <c r="I8" s="380"/>
      <c r="J8" s="384"/>
      <c r="K8" s="384"/>
      <c r="L8" s="280"/>
      <c r="M8" s="385"/>
      <c r="N8" s="27"/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5.55*0.4</f>
        <v>2.2200000000000002</v>
      </c>
      <c r="K9" s="383" t="s">
        <v>154</v>
      </c>
      <c r="L9" s="383"/>
      <c r="M9" s="383"/>
      <c r="N9" s="88" t="s">
        <v>85</v>
      </c>
      <c r="O9" s="386" t="s">
        <v>85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/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3.55*0.4</f>
        <v>1.42</v>
      </c>
      <c r="K11" s="383" t="s">
        <v>154</v>
      </c>
      <c r="L11" s="278"/>
      <c r="M11" s="383"/>
      <c r="N11" s="88" t="s">
        <v>85</v>
      </c>
      <c r="O11" s="386" t="s">
        <v>85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80"/>
      <c r="M12" s="385"/>
      <c r="N12" s="27"/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2.13*0.4</f>
        <v>0.85199999999999998</v>
      </c>
      <c r="K13" s="383" t="s">
        <v>154</v>
      </c>
      <c r="L13" s="278"/>
      <c r="M13" s="383"/>
      <c r="N13" s="88" t="s">
        <v>85</v>
      </c>
      <c r="O13" s="386" t="s">
        <v>85</v>
      </c>
      <c r="P13" s="44"/>
    </row>
    <row r="14" spans="1:17" ht="37.5">
      <c r="A14" s="11" t="s">
        <v>91</v>
      </c>
      <c r="B14" s="76" t="s">
        <v>21</v>
      </c>
      <c r="C14" s="120"/>
      <c r="D14" s="28">
        <v>1.54</v>
      </c>
      <c r="E14" s="28"/>
      <c r="F14" s="28">
        <f>6.01*0.4</f>
        <v>2.4039999999999999</v>
      </c>
      <c r="G14" s="33">
        <f t="shared" ref="G14:G27" si="0">AVERAGE(D14:F14)</f>
        <v>1.972</v>
      </c>
      <c r="H14" s="184"/>
      <c r="I14" s="380"/>
      <c r="J14" s="384"/>
      <c r="K14" s="384"/>
      <c r="L14" s="280"/>
      <c r="M14" s="385"/>
      <c r="N14" s="27"/>
      <c r="O14" s="387"/>
      <c r="P14" s="44"/>
    </row>
    <row r="15" spans="1:17" ht="37.5">
      <c r="A15" s="11"/>
      <c r="B15" s="76" t="s">
        <v>97</v>
      </c>
      <c r="C15" s="29"/>
      <c r="D15" s="29">
        <v>1.3160000000000001</v>
      </c>
      <c r="E15" s="28"/>
      <c r="F15" s="29">
        <f>4.15*0.4</f>
        <v>1.6600000000000001</v>
      </c>
      <c r="G15" s="33">
        <f t="shared" si="0"/>
        <v>1.488</v>
      </c>
      <c r="H15" s="184" t="s">
        <v>4</v>
      </c>
      <c r="I15" s="390" t="s">
        <v>61</v>
      </c>
      <c r="J15" s="383">
        <f>2.57*0.4</f>
        <v>1.028</v>
      </c>
      <c r="K15" s="383" t="s">
        <v>154</v>
      </c>
      <c r="L15" s="278"/>
      <c r="M15" s="383"/>
      <c r="N15" s="88" t="s">
        <v>85</v>
      </c>
      <c r="O15" s="386" t="s">
        <v>85</v>
      </c>
      <c r="P15" s="44"/>
    </row>
    <row r="16" spans="1:17" ht="37.5">
      <c r="A16" s="11"/>
      <c r="B16" s="76" t="s">
        <v>22</v>
      </c>
      <c r="C16" s="28"/>
      <c r="D16" s="28">
        <v>0.6080000000000001</v>
      </c>
      <c r="E16" s="29"/>
      <c r="F16" s="29">
        <f>2.08*0.4</f>
        <v>0.83200000000000007</v>
      </c>
      <c r="G16" s="33">
        <f t="shared" si="0"/>
        <v>0.72000000000000008</v>
      </c>
      <c r="H16" s="184"/>
      <c r="I16" s="391"/>
      <c r="J16" s="384"/>
      <c r="K16" s="384"/>
      <c r="L16" s="280"/>
      <c r="M16" s="385"/>
      <c r="N16" s="27"/>
      <c r="O16" s="387"/>
      <c r="P16" s="44"/>
    </row>
    <row r="17" spans="1:16" ht="37.5">
      <c r="A17" s="11"/>
      <c r="B17" s="76" t="s">
        <v>24</v>
      </c>
      <c r="C17" s="28"/>
      <c r="D17" s="28">
        <v>0.54400000000000004</v>
      </c>
      <c r="E17" s="28"/>
      <c r="F17" s="29">
        <f>1.48*0.4</f>
        <v>0.59199999999999997</v>
      </c>
      <c r="G17" s="33">
        <f t="shared" si="0"/>
        <v>0.56800000000000006</v>
      </c>
      <c r="H17" s="184"/>
      <c r="I17" s="372" t="s">
        <v>62</v>
      </c>
      <c r="J17" s="383">
        <f>6.36*0.4</f>
        <v>2.5440000000000005</v>
      </c>
      <c r="K17" s="383" t="s">
        <v>154</v>
      </c>
      <c r="L17" s="278"/>
      <c r="M17" s="383"/>
      <c r="N17" s="88" t="s">
        <v>85</v>
      </c>
      <c r="O17" s="386" t="s">
        <v>85</v>
      </c>
      <c r="P17" s="44"/>
    </row>
    <row r="18" spans="1:16" ht="37.5">
      <c r="A18" s="11"/>
      <c r="B18" s="76" t="s">
        <v>25</v>
      </c>
      <c r="C18" s="29"/>
      <c r="D18" s="28">
        <v>0.504</v>
      </c>
      <c r="E18" s="28"/>
      <c r="F18" s="29">
        <f>1.18*0.4</f>
        <v>0.47199999999999998</v>
      </c>
      <c r="G18" s="33">
        <f t="shared" si="0"/>
        <v>0.48799999999999999</v>
      </c>
      <c r="H18" s="184"/>
      <c r="I18" s="380"/>
      <c r="J18" s="384"/>
      <c r="K18" s="384"/>
      <c r="L18" s="280"/>
      <c r="M18" s="385"/>
      <c r="N18" s="27"/>
      <c r="O18" s="387"/>
      <c r="P18" s="44"/>
    </row>
    <row r="19" spans="1:16" ht="37.5">
      <c r="A19" s="11"/>
      <c r="B19" s="76" t="s">
        <v>27</v>
      </c>
      <c r="C19" s="29"/>
      <c r="D19" s="28">
        <v>0.44800000000000006</v>
      </c>
      <c r="E19" s="29"/>
      <c r="F19" s="29">
        <f>1.1*0.4</f>
        <v>0.44000000000000006</v>
      </c>
      <c r="G19" s="33">
        <f t="shared" si="0"/>
        <v>0.44400000000000006</v>
      </c>
      <c r="H19" s="184"/>
      <c r="I19" s="372" t="s">
        <v>63</v>
      </c>
      <c r="J19" s="383">
        <f>3.49*0.4</f>
        <v>1.3960000000000001</v>
      </c>
      <c r="K19" s="383" t="s">
        <v>154</v>
      </c>
      <c r="L19" s="278"/>
      <c r="M19" s="383"/>
      <c r="N19" s="88" t="s">
        <v>85</v>
      </c>
      <c r="O19" s="386" t="s">
        <v>85</v>
      </c>
      <c r="P19" s="44"/>
    </row>
    <row r="20" spans="1:16" ht="37.5">
      <c r="A20" s="11"/>
      <c r="B20" s="76" t="s">
        <v>29</v>
      </c>
      <c r="C20" s="28"/>
      <c r="D20" s="28">
        <v>0.48</v>
      </c>
      <c r="E20" s="29"/>
      <c r="F20" s="29">
        <f>1.02*0.4</f>
        <v>0.40800000000000003</v>
      </c>
      <c r="G20" s="33">
        <f t="shared" si="0"/>
        <v>0.44400000000000001</v>
      </c>
      <c r="H20" s="184"/>
      <c r="I20" s="380"/>
      <c r="J20" s="384"/>
      <c r="K20" s="384"/>
      <c r="L20" s="280"/>
      <c r="M20" s="385"/>
      <c r="N20" s="27"/>
      <c r="O20" s="387"/>
      <c r="P20" s="44"/>
    </row>
    <row r="21" spans="1:16" ht="37.5">
      <c r="A21" s="11"/>
      <c r="B21" s="76" t="s">
        <v>30</v>
      </c>
      <c r="C21" s="28"/>
      <c r="D21" s="28">
        <v>0.44400000000000006</v>
      </c>
      <c r="E21" s="28"/>
      <c r="F21" s="29">
        <f>1.05*0.4</f>
        <v>0.42000000000000004</v>
      </c>
      <c r="G21" s="33">
        <f t="shared" si="0"/>
        <v>0.43200000000000005</v>
      </c>
      <c r="H21" s="184"/>
      <c r="I21" s="372" t="s">
        <v>14</v>
      </c>
      <c r="J21" s="383">
        <f>2.9*0.4</f>
        <v>1.1599999999999999</v>
      </c>
      <c r="K21" s="383" t="s">
        <v>154</v>
      </c>
      <c r="L21" s="278"/>
      <c r="M21" s="383"/>
      <c r="N21" s="88" t="s">
        <v>85</v>
      </c>
      <c r="O21" s="386" t="s">
        <v>85</v>
      </c>
      <c r="P21" s="44"/>
    </row>
    <row r="22" spans="1:16" ht="37.5">
      <c r="A22" s="11"/>
      <c r="B22" s="76" t="s">
        <v>32</v>
      </c>
      <c r="C22" s="78"/>
      <c r="D22" s="28">
        <v>0.46399999999999997</v>
      </c>
      <c r="E22" s="28"/>
      <c r="F22" s="29">
        <f>0.99*0.4</f>
        <v>0.39600000000000002</v>
      </c>
      <c r="G22" s="33">
        <f t="shared" si="0"/>
        <v>0.43</v>
      </c>
      <c r="H22" s="184"/>
      <c r="I22" s="380"/>
      <c r="J22" s="384"/>
      <c r="K22" s="384"/>
      <c r="L22" s="280"/>
      <c r="M22" s="385"/>
      <c r="N22" s="27"/>
      <c r="O22" s="387"/>
      <c r="P22" s="44"/>
    </row>
    <row r="23" spans="1:16" ht="37.5">
      <c r="A23" s="11"/>
      <c r="B23" s="76" t="s">
        <v>33</v>
      </c>
      <c r="C23" s="28"/>
      <c r="D23" s="28">
        <v>0.43600000000000005</v>
      </c>
      <c r="E23" s="28"/>
      <c r="F23" s="28">
        <f>0.99*0.4</f>
        <v>0.39600000000000002</v>
      </c>
      <c r="G23" s="33">
        <f t="shared" si="0"/>
        <v>0.41600000000000004</v>
      </c>
      <c r="H23" s="184"/>
      <c r="I23" s="372" t="s">
        <v>17</v>
      </c>
      <c r="J23" s="383">
        <f>2.78*0.4</f>
        <v>1.1119999999999999</v>
      </c>
      <c r="K23" s="383" t="s">
        <v>154</v>
      </c>
      <c r="L23" s="278"/>
      <c r="M23" s="383"/>
      <c r="N23" s="88" t="s">
        <v>85</v>
      </c>
      <c r="O23" s="386" t="s">
        <v>85</v>
      </c>
      <c r="P23" s="44"/>
    </row>
    <row r="24" spans="1:16" ht="37.5">
      <c r="A24" s="11"/>
      <c r="B24" s="76" t="s">
        <v>35</v>
      </c>
      <c r="C24" s="29"/>
      <c r="D24" s="28">
        <v>0.41200000000000003</v>
      </c>
      <c r="E24" s="28"/>
      <c r="F24" s="28">
        <f>0.89*0.4</f>
        <v>0.35600000000000004</v>
      </c>
      <c r="G24" s="33">
        <f t="shared" si="0"/>
        <v>0.38400000000000001</v>
      </c>
      <c r="H24" s="184"/>
      <c r="I24" s="380"/>
      <c r="J24" s="384"/>
      <c r="K24" s="384"/>
      <c r="L24" s="280"/>
      <c r="M24" s="385"/>
      <c r="N24" s="27"/>
      <c r="O24" s="387"/>
      <c r="P24" s="44"/>
    </row>
    <row r="25" spans="1:16" ht="37.5">
      <c r="A25" s="11"/>
      <c r="B25" s="76" t="s">
        <v>36</v>
      </c>
      <c r="C25" s="27"/>
      <c r="D25" s="28">
        <v>0.40400000000000003</v>
      </c>
      <c r="E25" s="28"/>
      <c r="F25" s="28">
        <f>0.93*0.4</f>
        <v>0.37200000000000005</v>
      </c>
      <c r="G25" s="33">
        <f t="shared" si="0"/>
        <v>0.38800000000000001</v>
      </c>
      <c r="H25" s="184"/>
      <c r="I25" s="372" t="s">
        <v>18</v>
      </c>
      <c r="J25" s="383">
        <f>1.47*0.4</f>
        <v>0.58799999999999997</v>
      </c>
      <c r="K25" s="383" t="s">
        <v>154</v>
      </c>
      <c r="L25" s="278"/>
      <c r="M25" s="383"/>
      <c r="N25" s="88" t="s">
        <v>85</v>
      </c>
      <c r="O25" s="386" t="s">
        <v>85</v>
      </c>
      <c r="P25" s="44"/>
    </row>
    <row r="26" spans="1:16" ht="37.5">
      <c r="A26" s="11"/>
      <c r="B26" s="76" t="s">
        <v>38</v>
      </c>
      <c r="C26" s="27"/>
      <c r="D26" s="28">
        <v>0.40800000000000003</v>
      </c>
      <c r="E26" s="28"/>
      <c r="F26" s="29">
        <f>0.91*0.4</f>
        <v>0.36400000000000005</v>
      </c>
      <c r="G26" s="33">
        <f t="shared" si="0"/>
        <v>0.38600000000000001</v>
      </c>
      <c r="H26" s="184"/>
      <c r="I26" s="380"/>
      <c r="J26" s="384"/>
      <c r="K26" s="384"/>
      <c r="L26" s="280"/>
      <c r="M26" s="385"/>
      <c r="N26" s="27"/>
      <c r="O26" s="387"/>
      <c r="P26" s="44"/>
    </row>
    <row r="27" spans="1:16" ht="38.25" thickBot="1">
      <c r="A27" s="11"/>
      <c r="B27" s="79" t="s">
        <v>39</v>
      </c>
      <c r="C27" s="80"/>
      <c r="D27" s="30">
        <v>0.38</v>
      </c>
      <c r="E27" s="30"/>
      <c r="F27" s="29">
        <f>0.86*0.4</f>
        <v>0.34400000000000003</v>
      </c>
      <c r="G27" s="33">
        <f t="shared" si="0"/>
        <v>0.36199999999999999</v>
      </c>
      <c r="H27" s="184"/>
      <c r="I27" s="372" t="s">
        <v>20</v>
      </c>
      <c r="J27" s="383" t="s">
        <v>85</v>
      </c>
      <c r="K27" s="383" t="s">
        <v>85</v>
      </c>
      <c r="L27" s="278"/>
      <c r="M27" s="383"/>
      <c r="N27" s="88" t="s">
        <v>85</v>
      </c>
      <c r="O27" s="386" t="s">
        <v>85</v>
      </c>
      <c r="P27" s="44"/>
    </row>
    <row r="28" spans="1:16" ht="38.25" thickBot="1">
      <c r="A28" s="11"/>
      <c r="B28" s="17"/>
      <c r="C28" s="18"/>
      <c r="D28" s="19" t="s">
        <v>136</v>
      </c>
      <c r="E28" s="18"/>
      <c r="F28" s="19"/>
      <c r="G28" s="20"/>
      <c r="H28" s="184"/>
      <c r="I28" s="380"/>
      <c r="J28" s="384"/>
      <c r="K28" s="384"/>
      <c r="L28" s="280"/>
      <c r="M28" s="385"/>
      <c r="N28" s="27"/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 t="s">
        <v>85</v>
      </c>
      <c r="K29" s="383" t="s">
        <v>85</v>
      </c>
      <c r="L29" s="81"/>
      <c r="M29" s="383"/>
      <c r="N29" s="88" t="s">
        <v>85</v>
      </c>
      <c r="O29" s="386" t="s">
        <v>85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/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0.37</v>
      </c>
      <c r="E31" s="28"/>
      <c r="F31" s="234">
        <v>0.23</v>
      </c>
      <c r="G31" s="33">
        <f t="shared" ref="G31:G46" si="1">AVERAGE(D31:F31)</f>
        <v>0.3</v>
      </c>
      <c r="H31" s="184"/>
      <c r="I31" s="372" t="s">
        <v>8</v>
      </c>
      <c r="J31" s="376">
        <v>1.41</v>
      </c>
      <c r="K31" s="278"/>
      <c r="L31" s="86"/>
      <c r="M31" s="376"/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0.56999999999999995</v>
      </c>
      <c r="E32" s="28"/>
      <c r="F32" s="29">
        <v>0.44</v>
      </c>
      <c r="G32" s="33">
        <f t="shared" si="1"/>
        <v>0.505</v>
      </c>
      <c r="H32" s="184"/>
      <c r="I32" s="380"/>
      <c r="J32" s="388"/>
      <c r="K32" s="279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0.2</v>
      </c>
      <c r="E33" s="29"/>
      <c r="F33" s="29">
        <v>0.14000000000000001</v>
      </c>
      <c r="G33" s="33">
        <f t="shared" si="1"/>
        <v>0.17</v>
      </c>
      <c r="H33" s="184"/>
      <c r="I33" s="372" t="s">
        <v>26</v>
      </c>
      <c r="J33" s="381"/>
      <c r="K33" s="383" t="s">
        <v>85</v>
      </c>
      <c r="L33" s="381"/>
      <c r="M33" s="381"/>
      <c r="N33" s="88" t="s">
        <v>85</v>
      </c>
      <c r="O33" s="386" t="s">
        <v>85</v>
      </c>
      <c r="P33" s="44"/>
    </row>
    <row r="34" spans="1:16" ht="37.5">
      <c r="A34" s="11"/>
      <c r="B34" s="76" t="s">
        <v>24</v>
      </c>
      <c r="C34" s="29"/>
      <c r="D34" s="29">
        <v>0.42</v>
      </c>
      <c r="E34" s="28"/>
      <c r="F34" s="29">
        <v>0.1</v>
      </c>
      <c r="G34" s="33">
        <f t="shared" si="1"/>
        <v>0.26</v>
      </c>
      <c r="H34" s="184"/>
      <c r="I34" s="380"/>
      <c r="J34" s="382"/>
      <c r="K34" s="384"/>
      <c r="L34" s="382"/>
      <c r="M34" s="382"/>
      <c r="N34" s="27"/>
      <c r="O34" s="387"/>
      <c r="P34" s="44"/>
    </row>
    <row r="35" spans="1:16" ht="37.5">
      <c r="A35" s="11"/>
      <c r="B35" s="76" t="s">
        <v>25</v>
      </c>
      <c r="C35" s="29"/>
      <c r="D35" s="29">
        <v>0.35</v>
      </c>
      <c r="E35" s="28"/>
      <c r="F35" s="29">
        <v>0.08</v>
      </c>
      <c r="G35" s="33">
        <f t="shared" si="1"/>
        <v>0.215</v>
      </c>
      <c r="H35" s="184"/>
      <c r="I35" s="372" t="s">
        <v>28</v>
      </c>
      <c r="J35" s="381"/>
      <c r="K35" s="383" t="s">
        <v>85</v>
      </c>
      <c r="L35" s="381"/>
      <c r="M35" s="383"/>
      <c r="N35" s="88" t="s">
        <v>85</v>
      </c>
      <c r="O35" s="386" t="s">
        <v>85</v>
      </c>
      <c r="P35" s="44"/>
    </row>
    <row r="36" spans="1:16" ht="37.5">
      <c r="A36" s="11"/>
      <c r="B36" s="76" t="s">
        <v>27</v>
      </c>
      <c r="C36" s="29"/>
      <c r="D36" s="29">
        <v>0.32</v>
      </c>
      <c r="E36" s="29"/>
      <c r="F36" s="29">
        <v>0.03</v>
      </c>
      <c r="G36" s="33">
        <f t="shared" si="1"/>
        <v>0.17499999999999999</v>
      </c>
      <c r="H36" s="184"/>
      <c r="I36" s="380"/>
      <c r="J36" s="382"/>
      <c r="K36" s="384"/>
      <c r="L36" s="382"/>
      <c r="M36" s="385"/>
      <c r="N36" s="27"/>
      <c r="O36" s="387"/>
      <c r="P36" s="44"/>
    </row>
    <row r="37" spans="1:16" ht="37.5">
      <c r="A37" s="11"/>
      <c r="B37" s="76" t="s">
        <v>46</v>
      </c>
      <c r="C37" s="29"/>
      <c r="D37" s="29">
        <v>0.1</v>
      </c>
      <c r="E37" s="29"/>
      <c r="F37" s="29">
        <v>0.01</v>
      </c>
      <c r="G37" s="33">
        <f t="shared" si="1"/>
        <v>5.5E-2</v>
      </c>
      <c r="H37" s="184"/>
      <c r="I37" s="372" t="s">
        <v>31</v>
      </c>
      <c r="J37" s="381"/>
      <c r="K37" s="383" t="s">
        <v>85</v>
      </c>
      <c r="L37" s="381"/>
      <c r="M37" s="383"/>
      <c r="N37" s="88" t="s">
        <v>85</v>
      </c>
      <c r="O37" s="386" t="s">
        <v>85</v>
      </c>
      <c r="P37" s="44"/>
    </row>
    <row r="38" spans="1:16" ht="37.5">
      <c r="A38" s="11"/>
      <c r="B38" s="76" t="s">
        <v>48</v>
      </c>
      <c r="C38" s="29"/>
      <c r="D38" s="29">
        <v>0.09</v>
      </c>
      <c r="E38" s="231"/>
      <c r="F38" s="29">
        <v>0</v>
      </c>
      <c r="G38" s="33">
        <f t="shared" si="1"/>
        <v>4.4999999999999998E-2</v>
      </c>
      <c r="H38" s="184"/>
      <c r="I38" s="380"/>
      <c r="J38" s="382"/>
      <c r="K38" s="384"/>
      <c r="L38" s="382"/>
      <c r="M38" s="385"/>
      <c r="N38" s="27"/>
      <c r="O38" s="387"/>
      <c r="P38" s="44"/>
    </row>
    <row r="39" spans="1:16" ht="37.5">
      <c r="A39" s="11"/>
      <c r="B39" s="76" t="s">
        <v>49</v>
      </c>
      <c r="C39" s="29"/>
      <c r="D39" s="29">
        <v>0.05</v>
      </c>
      <c r="E39" s="231"/>
      <c r="F39" s="29">
        <v>0</v>
      </c>
      <c r="G39" s="33">
        <f t="shared" si="1"/>
        <v>2.5000000000000001E-2</v>
      </c>
      <c r="H39" s="184"/>
      <c r="I39" s="372" t="s">
        <v>34</v>
      </c>
      <c r="J39" s="381"/>
      <c r="K39" s="383" t="s">
        <v>85</v>
      </c>
      <c r="L39" s="381"/>
      <c r="M39" s="383"/>
      <c r="N39" s="88" t="s">
        <v>85</v>
      </c>
      <c r="O39" s="386" t="s">
        <v>85</v>
      </c>
      <c r="P39" s="44"/>
    </row>
    <row r="40" spans="1:16" ht="37.5">
      <c r="A40" s="11"/>
      <c r="B40" s="76" t="s">
        <v>51</v>
      </c>
      <c r="C40" s="29"/>
      <c r="D40" s="29">
        <v>0.03</v>
      </c>
      <c r="E40" s="231"/>
      <c r="F40" s="28">
        <v>0</v>
      </c>
      <c r="G40" s="33">
        <f t="shared" si="1"/>
        <v>1.4999999999999999E-2</v>
      </c>
      <c r="H40" s="184"/>
      <c r="I40" s="380"/>
      <c r="J40" s="382"/>
      <c r="K40" s="384"/>
      <c r="L40" s="382"/>
      <c r="M40" s="385"/>
      <c r="N40" s="27"/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/>
      <c r="K41" s="383" t="s">
        <v>85</v>
      </c>
      <c r="L41" s="381"/>
      <c r="M41" s="383"/>
      <c r="N41" s="88" t="s">
        <v>85</v>
      </c>
      <c r="O41" s="386" t="s">
        <v>85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/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/>
      <c r="K43" s="383" t="s">
        <v>85</v>
      </c>
      <c r="L43" s="381"/>
      <c r="M43" s="383"/>
      <c r="N43" s="88" t="s">
        <v>85</v>
      </c>
      <c r="O43" s="386" t="s">
        <v>85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/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/>
      <c r="K45" s="383" t="s">
        <v>85</v>
      </c>
      <c r="L45" s="381"/>
      <c r="M45" s="383"/>
      <c r="N45" s="88" t="s">
        <v>85</v>
      </c>
      <c r="O45" s="386" t="s">
        <v>85</v>
      </c>
      <c r="P45" s="44"/>
    </row>
    <row r="46" spans="1:16" ht="57.75" customHeight="1" thickBot="1">
      <c r="A46" s="14"/>
      <c r="B46" s="241" t="s">
        <v>58</v>
      </c>
      <c r="C46" s="237"/>
      <c r="D46" s="238">
        <v>0.06</v>
      </c>
      <c r="E46" s="239"/>
      <c r="F46" s="238">
        <v>0.1</v>
      </c>
      <c r="G46" s="240">
        <f t="shared" si="1"/>
        <v>0.08</v>
      </c>
      <c r="H46" s="184"/>
      <c r="I46" s="380"/>
      <c r="J46" s="382"/>
      <c r="K46" s="384"/>
      <c r="L46" s="382"/>
      <c r="M46" s="385"/>
      <c r="N46" s="27"/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/>
      <c r="K47" s="383" t="s">
        <v>85</v>
      </c>
      <c r="L47" s="381"/>
      <c r="M47" s="383"/>
      <c r="N47" s="88" t="s">
        <v>85</v>
      </c>
      <c r="O47" s="386" t="s">
        <v>85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/>
      <c r="O48" s="387"/>
      <c r="P48" s="44"/>
    </row>
    <row r="49" spans="1:16" ht="38.25" thickBot="1">
      <c r="A49" s="14"/>
      <c r="B49" s="95" t="s">
        <v>151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/>
      <c r="K49" s="383" t="s">
        <v>85</v>
      </c>
      <c r="L49" s="278"/>
      <c r="M49" s="383"/>
      <c r="N49" s="88" t="s">
        <v>85</v>
      </c>
      <c r="O49" s="386" t="s">
        <v>85</v>
      </c>
      <c r="P49" s="44"/>
    </row>
    <row r="50" spans="1:16" ht="37.5">
      <c r="A50" s="14"/>
      <c r="B50" s="76" t="s">
        <v>22</v>
      </c>
      <c r="C50" s="97"/>
      <c r="D50" s="98">
        <v>1241</v>
      </c>
      <c r="E50" s="98">
        <v>12</v>
      </c>
      <c r="F50" s="98">
        <f>(D50*E50)*0.26</f>
        <v>3871.92</v>
      </c>
      <c r="G50" s="221"/>
      <c r="H50" s="222"/>
      <c r="I50" s="380"/>
      <c r="J50" s="382"/>
      <c r="K50" s="384"/>
      <c r="L50" s="280"/>
      <c r="M50" s="385"/>
      <c r="N50" s="27"/>
      <c r="O50" s="387"/>
      <c r="P50" s="44"/>
    </row>
    <row r="51" spans="1:16" ht="37.5">
      <c r="A51" s="14"/>
      <c r="B51" s="76" t="s">
        <v>24</v>
      </c>
      <c r="C51" s="97"/>
      <c r="D51" s="98">
        <v>623</v>
      </c>
      <c r="E51" s="98">
        <v>6</v>
      </c>
      <c r="F51" s="98">
        <f>(D51*E51)*0.26</f>
        <v>971.88</v>
      </c>
      <c r="G51" s="99"/>
      <c r="H51" s="186"/>
      <c r="I51" s="372" t="s">
        <v>47</v>
      </c>
      <c r="J51" s="381">
        <f>6.04*0.4</f>
        <v>2.4160000000000004</v>
      </c>
      <c r="K51" s="383" t="s">
        <v>154</v>
      </c>
      <c r="L51" s="278"/>
      <c r="M51" s="383"/>
      <c r="N51" s="88" t="s">
        <v>85</v>
      </c>
      <c r="O51" s="386" t="s">
        <v>85</v>
      </c>
      <c r="P51" s="44"/>
    </row>
    <row r="52" spans="1:16" ht="37.5">
      <c r="A52" s="14"/>
      <c r="B52" s="76" t="s">
        <v>25</v>
      </c>
      <c r="C52" s="97"/>
      <c r="D52" s="98">
        <v>620</v>
      </c>
      <c r="E52" s="98">
        <v>2</v>
      </c>
      <c r="F52" s="98">
        <f>(D52*E52)*0.26</f>
        <v>322.40000000000003</v>
      </c>
      <c r="G52" s="99"/>
      <c r="H52" s="186"/>
      <c r="I52" s="380"/>
      <c r="J52" s="382"/>
      <c r="K52" s="384"/>
      <c r="L52" s="280"/>
      <c r="M52" s="385"/>
      <c r="N52" s="27"/>
      <c r="O52" s="387"/>
      <c r="P52" s="44"/>
    </row>
    <row r="53" spans="1:16" ht="37.5">
      <c r="A53" s="14"/>
      <c r="B53" s="76" t="s">
        <v>27</v>
      </c>
      <c r="C53" s="97"/>
      <c r="D53" s="98">
        <v>341</v>
      </c>
      <c r="E53" s="98">
        <v>14</v>
      </c>
      <c r="F53" s="98">
        <f>(D53*E53)*0.26</f>
        <v>1241.24</v>
      </c>
      <c r="G53" s="99"/>
      <c r="H53" s="186"/>
      <c r="I53" s="372" t="s">
        <v>50</v>
      </c>
      <c r="J53" s="381">
        <f>5.96*0.4</f>
        <v>2.3839999999999999</v>
      </c>
      <c r="K53" s="383" t="s">
        <v>154</v>
      </c>
      <c r="L53" s="278"/>
      <c r="M53" s="383"/>
      <c r="N53" s="88" t="s">
        <v>85</v>
      </c>
      <c r="O53" s="281" t="s">
        <v>85</v>
      </c>
      <c r="P53" s="44"/>
    </row>
    <row r="54" spans="1:16" ht="37.5">
      <c r="A54" s="11"/>
      <c r="B54" s="76" t="s">
        <v>46</v>
      </c>
      <c r="C54" s="100"/>
      <c r="D54" s="98" t="s">
        <v>85</v>
      </c>
      <c r="E54" s="98"/>
      <c r="F54" s="98"/>
      <c r="G54" s="99"/>
      <c r="H54" s="186"/>
      <c r="I54" s="380"/>
      <c r="J54" s="382"/>
      <c r="K54" s="384"/>
      <c r="L54" s="280"/>
      <c r="M54" s="385"/>
      <c r="N54" s="27"/>
      <c r="O54" s="282"/>
      <c r="P54" s="44"/>
    </row>
    <row r="55" spans="1:16" ht="37.5">
      <c r="A55" s="15"/>
      <c r="B55" s="76" t="s">
        <v>48</v>
      </c>
      <c r="C55" s="100"/>
      <c r="D55" s="98">
        <v>223</v>
      </c>
      <c r="E55" s="98">
        <v>5</v>
      </c>
      <c r="F55" s="98">
        <f>(D55*E55)*0.13</f>
        <v>144.95000000000002</v>
      </c>
      <c r="G55" s="99"/>
      <c r="H55" s="186"/>
      <c r="I55" s="372" t="s">
        <v>53</v>
      </c>
      <c r="J55" s="381">
        <f>1.23*0.4</f>
        <v>0.49199999999999999</v>
      </c>
      <c r="K55" s="383" t="s">
        <v>154</v>
      </c>
      <c r="L55" s="278"/>
      <c r="M55" s="383"/>
      <c r="N55" s="88" t="s">
        <v>85</v>
      </c>
      <c r="O55" s="386" t="s">
        <v>85</v>
      </c>
      <c r="P55" s="44"/>
    </row>
    <row r="56" spans="1:16" ht="37.5">
      <c r="A56" s="15"/>
      <c r="B56" s="76" t="s">
        <v>49</v>
      </c>
      <c r="C56" s="100"/>
      <c r="D56" s="98">
        <v>167</v>
      </c>
      <c r="E56" s="98">
        <v>12</v>
      </c>
      <c r="F56" s="98">
        <f t="shared" ref="F56:F61" si="2">(D56*E56)*0.13</f>
        <v>260.52</v>
      </c>
      <c r="G56" s="99"/>
      <c r="H56" s="186"/>
      <c r="I56" s="380"/>
      <c r="J56" s="382"/>
      <c r="K56" s="384"/>
      <c r="L56" s="280"/>
      <c r="M56" s="385"/>
      <c r="N56" s="27"/>
      <c r="O56" s="387"/>
      <c r="P56" s="44"/>
    </row>
    <row r="57" spans="1:16" ht="37.5">
      <c r="A57" s="15"/>
      <c r="B57" s="76" t="s">
        <v>51</v>
      </c>
      <c r="C57" s="100"/>
      <c r="D57" s="98">
        <v>139</v>
      </c>
      <c r="E57" s="98">
        <v>14</v>
      </c>
      <c r="F57" s="98">
        <f t="shared" si="2"/>
        <v>252.98000000000002</v>
      </c>
      <c r="G57" s="99"/>
      <c r="H57" s="186"/>
      <c r="I57" s="372" t="s">
        <v>8</v>
      </c>
      <c r="J57" s="374">
        <v>1.76</v>
      </c>
      <c r="K57" s="376"/>
      <c r="L57" s="101"/>
      <c r="M57" s="376"/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138</v>
      </c>
      <c r="E58" s="98">
        <v>9</v>
      </c>
      <c r="F58" s="98">
        <f t="shared" si="2"/>
        <v>161.46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113</v>
      </c>
      <c r="E59" s="98">
        <v>10</v>
      </c>
      <c r="F59" s="98">
        <f t="shared" si="2"/>
        <v>146.9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81</v>
      </c>
      <c r="E60" s="98">
        <v>7</v>
      </c>
      <c r="F60" s="98">
        <f t="shared" si="2"/>
        <v>73.710000000000008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70</v>
      </c>
      <c r="E61" s="98">
        <v>5</v>
      </c>
      <c r="F61" s="98">
        <f t="shared" si="2"/>
        <v>45.5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 t="s">
        <v>4</v>
      </c>
      <c r="E62" s="77"/>
      <c r="F62" s="230">
        <f>SUM(F50:F61)</f>
        <v>7493.4599999999991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284" t="s">
        <v>13</v>
      </c>
      <c r="J64" s="29" t="s">
        <v>85</v>
      </c>
      <c r="K64" s="29" t="s">
        <v>85</v>
      </c>
      <c r="L64" s="119" t="e">
        <f>AVERAGE(J64:K64)</f>
        <v>#DIV/0!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84" t="s">
        <v>16</v>
      </c>
      <c r="J65" s="29">
        <v>1.77</v>
      </c>
      <c r="K65" s="245">
        <v>2.71</v>
      </c>
      <c r="L65" s="208">
        <f>AVERAGE(J65:K65)</f>
        <v>2.2400000000000002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 t="s">
        <v>151</v>
      </c>
      <c r="C67" s="120" t="s">
        <v>84</v>
      </c>
      <c r="D67" s="120" t="s">
        <v>155</v>
      </c>
      <c r="E67" s="116">
        <v>1368</v>
      </c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151</v>
      </c>
      <c r="C68" s="120" t="s">
        <v>84</v>
      </c>
      <c r="D68" s="120" t="s">
        <v>156</v>
      </c>
      <c r="E68" s="116">
        <v>1561</v>
      </c>
      <c r="F68" s="29"/>
      <c r="G68" s="118"/>
      <c r="H68" s="190"/>
      <c r="I68" s="284" t="s">
        <v>67</v>
      </c>
      <c r="J68" s="284"/>
      <c r="K68" s="284"/>
      <c r="L68" s="126"/>
      <c r="M68" s="283"/>
      <c r="N68" s="127"/>
      <c r="O68" s="128"/>
      <c r="P68" s="44"/>
    </row>
    <row r="69" spans="1:16" ht="37.5">
      <c r="A69" s="15"/>
      <c r="B69" s="95" t="s">
        <v>151</v>
      </c>
      <c r="C69" s="120" t="s">
        <v>84</v>
      </c>
      <c r="D69" s="120" t="s">
        <v>157</v>
      </c>
      <c r="E69" s="116">
        <v>1249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151</v>
      </c>
      <c r="C70" s="120" t="s">
        <v>84</v>
      </c>
      <c r="D70" s="120" t="s">
        <v>158</v>
      </c>
      <c r="E70" s="116">
        <v>1273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 t="s">
        <v>151</v>
      </c>
      <c r="C71" s="120" t="s">
        <v>83</v>
      </c>
      <c r="D71" s="120" t="s">
        <v>155</v>
      </c>
      <c r="E71" s="116">
        <v>20</v>
      </c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 t="s">
        <v>151</v>
      </c>
      <c r="C72" s="120" t="s">
        <v>83</v>
      </c>
      <c r="D72" s="120" t="s">
        <v>156</v>
      </c>
      <c r="E72" s="116">
        <v>28</v>
      </c>
      <c r="F72" s="130"/>
      <c r="G72" s="244"/>
      <c r="H72" s="192"/>
      <c r="I72" s="152" t="s">
        <v>88</v>
      </c>
      <c r="J72" s="29" t="s">
        <v>85</v>
      </c>
      <c r="K72" s="29"/>
      <c r="L72" s="119" t="e">
        <f>AVERAGE(J72:K72)</f>
        <v>#DIV/0!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 t="s">
        <v>85</v>
      </c>
      <c r="K73" s="29"/>
      <c r="L73" s="119" t="e">
        <f>AVERAGE(J73:K73)</f>
        <v>#DIV/0!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62.25</v>
      </c>
      <c r="K74" s="27">
        <v>65.95</v>
      </c>
      <c r="L74" s="119">
        <f>AVERAGE(J74:K74)</f>
        <v>64.099999999999994</v>
      </c>
      <c r="M74" s="115"/>
      <c r="N74" s="88"/>
      <c r="O74" s="33"/>
      <c r="P74" s="44"/>
    </row>
    <row r="75" spans="1:16" ht="39.75" thickBot="1">
      <c r="A75" s="16"/>
      <c r="B75" s="95" t="s">
        <v>151</v>
      </c>
      <c r="C75" s="120" t="s">
        <v>83</v>
      </c>
      <c r="D75" s="120" t="s">
        <v>155</v>
      </c>
      <c r="E75" s="286">
        <v>0.56440000000000001</v>
      </c>
      <c r="F75" s="131"/>
      <c r="G75" s="139"/>
      <c r="H75" s="195"/>
      <c r="I75" s="178" t="s">
        <v>72</v>
      </c>
      <c r="J75" s="91">
        <v>66.8</v>
      </c>
      <c r="K75" s="91">
        <v>64.05</v>
      </c>
      <c r="L75" s="119">
        <f>AVERAGE(J75:K75)</f>
        <v>65.424999999999997</v>
      </c>
      <c r="M75" s="115"/>
      <c r="N75" s="91"/>
      <c r="O75" s="35"/>
      <c r="P75" s="44"/>
    </row>
    <row r="76" spans="1:16" ht="39.75" thickBot="1">
      <c r="A76" s="170"/>
      <c r="B76" s="95" t="s">
        <v>151</v>
      </c>
      <c r="C76" s="120" t="s">
        <v>83</v>
      </c>
      <c r="D76" s="120" t="s">
        <v>156</v>
      </c>
      <c r="E76" s="136">
        <v>0.67110000000000003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83"/>
      <c r="J78" s="236" t="s">
        <v>66</v>
      </c>
      <c r="K78" s="236" t="s">
        <v>66</v>
      </c>
      <c r="L78" s="236" t="s">
        <v>66</v>
      </c>
      <c r="M78" s="113"/>
      <c r="N78" s="283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 t="s">
        <v>85</v>
      </c>
      <c r="K79" s="27">
        <f>1.56*0.4</f>
        <v>0.62400000000000011</v>
      </c>
      <c r="L79" s="119">
        <f>AVERAGE(J79:K79)</f>
        <v>0.62400000000000011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 t="s">
        <v>85</v>
      </c>
      <c r="K80" s="91" t="s">
        <v>85</v>
      </c>
      <c r="L80" s="119" t="e">
        <f>AVERAGE(J80:K80)</f>
        <v>#DIV/0!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117</v>
      </c>
      <c r="C82" s="120" t="s">
        <v>83</v>
      </c>
      <c r="D82" s="120" t="s">
        <v>122</v>
      </c>
      <c r="E82" s="27">
        <v>2.09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151</v>
      </c>
      <c r="C83" s="120" t="s">
        <v>83</v>
      </c>
      <c r="D83" s="120" t="s">
        <v>155</v>
      </c>
      <c r="E83" s="27">
        <v>2.81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>
        <v>7.8E-2</v>
      </c>
      <c r="L84" s="119">
        <f>AVERAGE(J84:K84)</f>
        <v>7.8E-2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 t="s">
        <v>85</v>
      </c>
      <c r="K85" s="211">
        <v>0.01</v>
      </c>
      <c r="L85" s="119">
        <f>AVERAGE(J85:K85)</f>
        <v>0.01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 t="s">
        <v>159</v>
      </c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 t="s">
        <v>160</v>
      </c>
      <c r="C88" s="235"/>
      <c r="D88" s="292">
        <v>85.83</v>
      </c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 t="s">
        <v>161</v>
      </c>
      <c r="C89" s="225"/>
      <c r="D89" s="293">
        <v>86.72</v>
      </c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 t="s">
        <v>162</v>
      </c>
      <c r="C90" s="228"/>
      <c r="D90" s="293">
        <v>86.47</v>
      </c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85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3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T94"/>
  <sheetViews>
    <sheetView view="pageBreakPreview" zoomScale="30" zoomScaleSheetLayoutView="30" workbookViewId="0">
      <selection activeCell="P1" sqref="P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153</v>
      </c>
      <c r="D3" s="38"/>
      <c r="E3" s="39" t="s">
        <v>9</v>
      </c>
      <c r="F3" s="39"/>
      <c r="G3" s="39"/>
      <c r="H3" s="40"/>
      <c r="I3" s="41" t="s">
        <v>2</v>
      </c>
      <c r="J3" s="42" t="s">
        <v>163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153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164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 t="s">
        <v>85</v>
      </c>
      <c r="E7" s="21"/>
      <c r="F7" s="21" t="s">
        <v>85</v>
      </c>
      <c r="G7" s="102" t="e">
        <f>AVERAGE(D7:F7)</f>
        <v>#DIV/0!</v>
      </c>
      <c r="H7" s="184"/>
      <c r="I7" s="372" t="s">
        <v>98</v>
      </c>
      <c r="J7" s="383">
        <f>3.82*0.4</f>
        <v>1.528</v>
      </c>
      <c r="K7" s="383" t="s">
        <v>154</v>
      </c>
      <c r="L7" s="294"/>
      <c r="M7" s="383"/>
      <c r="N7" s="88" t="s">
        <v>85</v>
      </c>
      <c r="O7" s="386" t="s">
        <v>85</v>
      </c>
      <c r="P7" s="44"/>
    </row>
    <row r="8" spans="1:17" ht="38.25" thickBot="1">
      <c r="A8" s="12"/>
      <c r="B8" s="68" t="s">
        <v>16</v>
      </c>
      <c r="C8" s="69"/>
      <c r="D8" s="34">
        <v>2.09</v>
      </c>
      <c r="E8" s="23"/>
      <c r="F8" s="23">
        <v>2.2200000000000002</v>
      </c>
      <c r="G8" s="124">
        <f>AVERAGE(D8:F8)</f>
        <v>2.1550000000000002</v>
      </c>
      <c r="H8" s="184"/>
      <c r="I8" s="380"/>
      <c r="J8" s="384"/>
      <c r="K8" s="384"/>
      <c r="L8" s="296"/>
      <c r="M8" s="385"/>
      <c r="N8" s="27"/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3.82*0.4</f>
        <v>1.528</v>
      </c>
      <c r="K9" s="383" t="s">
        <v>154</v>
      </c>
      <c r="L9" s="383"/>
      <c r="M9" s="383"/>
      <c r="N9" s="88" t="s">
        <v>85</v>
      </c>
      <c r="O9" s="386" t="s">
        <v>85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/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8.29*0.4</f>
        <v>3.3159999999999998</v>
      </c>
      <c r="K11" s="383" t="s">
        <v>154</v>
      </c>
      <c r="L11" s="294"/>
      <c r="M11" s="383"/>
      <c r="N11" s="88" t="s">
        <v>85</v>
      </c>
      <c r="O11" s="386" t="s">
        <v>85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296"/>
      <c r="M12" s="385"/>
      <c r="N12" s="27"/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4.56*0.4</f>
        <v>1.8239999999999998</v>
      </c>
      <c r="K13" s="383" t="s">
        <v>154</v>
      </c>
      <c r="L13" s="294"/>
      <c r="M13" s="383"/>
      <c r="N13" s="88" t="s">
        <v>85</v>
      </c>
      <c r="O13" s="386" t="s">
        <v>85</v>
      </c>
      <c r="P13" s="44"/>
    </row>
    <row r="14" spans="1:17" ht="37.5">
      <c r="A14" s="11" t="s">
        <v>91</v>
      </c>
      <c r="B14" s="76" t="s">
        <v>21</v>
      </c>
      <c r="C14" s="120"/>
      <c r="D14" s="28">
        <f>3.42*0.4</f>
        <v>1.3680000000000001</v>
      </c>
      <c r="E14" s="28"/>
      <c r="F14" s="28">
        <f>4.8*0.4</f>
        <v>1.92</v>
      </c>
      <c r="G14" s="33">
        <f t="shared" ref="G14:G27" si="0">AVERAGE(D14:F14)</f>
        <v>1.6440000000000001</v>
      </c>
      <c r="H14" s="184"/>
      <c r="I14" s="380"/>
      <c r="J14" s="384"/>
      <c r="K14" s="384"/>
      <c r="L14" s="296"/>
      <c r="M14" s="385"/>
      <c r="N14" s="27"/>
      <c r="O14" s="387"/>
      <c r="P14" s="44"/>
    </row>
    <row r="15" spans="1:17" ht="37.5">
      <c r="A15" s="11"/>
      <c r="B15" s="76" t="s">
        <v>97</v>
      </c>
      <c r="C15" s="29"/>
      <c r="D15" s="29">
        <f>3.37*0.4</f>
        <v>1.3480000000000001</v>
      </c>
      <c r="E15" s="28"/>
      <c r="F15" s="29">
        <f>4.21*0.4</f>
        <v>1.6840000000000002</v>
      </c>
      <c r="G15" s="33">
        <f t="shared" si="0"/>
        <v>1.516</v>
      </c>
      <c r="H15" s="184" t="s">
        <v>4</v>
      </c>
      <c r="I15" s="390" t="s">
        <v>61</v>
      </c>
      <c r="J15" s="383">
        <f>5.42*0.4</f>
        <v>2.1680000000000001</v>
      </c>
      <c r="K15" s="383" t="s">
        <v>154</v>
      </c>
      <c r="L15" s="294"/>
      <c r="M15" s="383"/>
      <c r="N15" s="88" t="s">
        <v>85</v>
      </c>
      <c r="O15" s="386" t="s">
        <v>85</v>
      </c>
      <c r="P15" s="44"/>
    </row>
    <row r="16" spans="1:17" ht="37.5">
      <c r="A16" s="11"/>
      <c r="B16" s="76" t="s">
        <v>22</v>
      </c>
      <c r="C16" s="28"/>
      <c r="D16" s="28">
        <f>3.26*0.4</f>
        <v>1.304</v>
      </c>
      <c r="E16" s="29"/>
      <c r="F16" s="29">
        <f>3.34*0.4</f>
        <v>1.3360000000000001</v>
      </c>
      <c r="G16" s="33">
        <f t="shared" si="0"/>
        <v>1.32</v>
      </c>
      <c r="H16" s="184"/>
      <c r="I16" s="391"/>
      <c r="J16" s="384"/>
      <c r="K16" s="384"/>
      <c r="L16" s="296"/>
      <c r="M16" s="385"/>
      <c r="N16" s="27"/>
      <c r="O16" s="387"/>
      <c r="P16" s="44"/>
    </row>
    <row r="17" spans="1:16" ht="37.5">
      <c r="A17" s="11"/>
      <c r="B17" s="76" t="s">
        <v>24</v>
      </c>
      <c r="C17" s="28"/>
      <c r="D17" s="28">
        <f>1.73*0.4</f>
        <v>0.69200000000000006</v>
      </c>
      <c r="E17" s="28"/>
      <c r="F17" s="29">
        <f>1.53*0.4</f>
        <v>0.6120000000000001</v>
      </c>
      <c r="G17" s="33">
        <f t="shared" si="0"/>
        <v>0.65200000000000014</v>
      </c>
      <c r="H17" s="184"/>
      <c r="I17" s="372" t="s">
        <v>62</v>
      </c>
      <c r="J17" s="383">
        <f>5.43*0.4</f>
        <v>2.1720000000000002</v>
      </c>
      <c r="K17" s="383" t="s">
        <v>154</v>
      </c>
      <c r="L17" s="294"/>
      <c r="M17" s="383"/>
      <c r="N17" s="88" t="s">
        <v>85</v>
      </c>
      <c r="O17" s="386" t="s">
        <v>85</v>
      </c>
      <c r="P17" s="44"/>
    </row>
    <row r="18" spans="1:16" ht="37.5">
      <c r="A18" s="11"/>
      <c r="B18" s="76" t="s">
        <v>25</v>
      </c>
      <c r="C18" s="29"/>
      <c r="D18" s="28">
        <f>1.66*0.4</f>
        <v>0.66400000000000003</v>
      </c>
      <c r="E18" s="28"/>
      <c r="F18" s="29">
        <f>1.73*0.4</f>
        <v>0.69200000000000006</v>
      </c>
      <c r="G18" s="33">
        <f t="shared" si="0"/>
        <v>0.67800000000000005</v>
      </c>
      <c r="H18" s="184"/>
      <c r="I18" s="380"/>
      <c r="J18" s="384"/>
      <c r="K18" s="384"/>
      <c r="L18" s="296"/>
      <c r="M18" s="385"/>
      <c r="N18" s="27"/>
      <c r="O18" s="387"/>
      <c r="P18" s="44"/>
    </row>
    <row r="19" spans="1:16" ht="37.5">
      <c r="A19" s="11"/>
      <c r="B19" s="76" t="s">
        <v>27</v>
      </c>
      <c r="C19" s="29"/>
      <c r="D19" s="28">
        <f>1.36*0.4</f>
        <v>0.54400000000000004</v>
      </c>
      <c r="E19" s="29"/>
      <c r="F19" s="29">
        <f>1.28*0.4</f>
        <v>0.51200000000000001</v>
      </c>
      <c r="G19" s="33">
        <f t="shared" si="0"/>
        <v>0.52800000000000002</v>
      </c>
      <c r="H19" s="184"/>
      <c r="I19" s="372" t="s">
        <v>63</v>
      </c>
      <c r="J19" s="383">
        <f>6.3*0.4</f>
        <v>2.52</v>
      </c>
      <c r="K19" s="383" t="s">
        <v>154</v>
      </c>
      <c r="L19" s="294"/>
      <c r="M19" s="383"/>
      <c r="N19" s="88" t="s">
        <v>85</v>
      </c>
      <c r="O19" s="386" t="s">
        <v>85</v>
      </c>
      <c r="P19" s="44"/>
    </row>
    <row r="20" spans="1:16" ht="37.5">
      <c r="A20" s="11"/>
      <c r="B20" s="76" t="s">
        <v>29</v>
      </c>
      <c r="C20" s="28"/>
      <c r="D20" s="28">
        <f>1.3*0.4</f>
        <v>0.52</v>
      </c>
      <c r="E20" s="29"/>
      <c r="F20" s="29">
        <f>1.03*0.4</f>
        <v>0.41200000000000003</v>
      </c>
      <c r="G20" s="33">
        <f t="shared" si="0"/>
        <v>0.46600000000000003</v>
      </c>
      <c r="H20" s="184"/>
      <c r="I20" s="380"/>
      <c r="J20" s="384"/>
      <c r="K20" s="384"/>
      <c r="L20" s="296"/>
      <c r="M20" s="385"/>
      <c r="N20" s="27"/>
      <c r="O20" s="387"/>
      <c r="P20" s="44"/>
    </row>
    <row r="21" spans="1:16" ht="37.5">
      <c r="A21" s="11"/>
      <c r="B21" s="76" t="s">
        <v>30</v>
      </c>
      <c r="C21" s="28"/>
      <c r="D21" s="28">
        <f>1.26*0.4</f>
        <v>0.504</v>
      </c>
      <c r="E21" s="28"/>
      <c r="F21" s="29">
        <f>0.98*0.4</f>
        <v>0.39200000000000002</v>
      </c>
      <c r="G21" s="33">
        <f t="shared" si="0"/>
        <v>0.44800000000000001</v>
      </c>
      <c r="H21" s="184"/>
      <c r="I21" s="372" t="s">
        <v>14</v>
      </c>
      <c r="J21" s="383">
        <f>6.27*0.4</f>
        <v>2.508</v>
      </c>
      <c r="K21" s="383" t="s">
        <v>90</v>
      </c>
      <c r="L21" s="294"/>
      <c r="M21" s="383"/>
      <c r="N21" s="88" t="s">
        <v>85</v>
      </c>
      <c r="O21" s="386" t="s">
        <v>85</v>
      </c>
      <c r="P21" s="44"/>
    </row>
    <row r="22" spans="1:16" ht="37.5">
      <c r="A22" s="11"/>
      <c r="B22" s="76" t="s">
        <v>32</v>
      </c>
      <c r="C22" s="78"/>
      <c r="D22" s="28">
        <f>1.16*0.4</f>
        <v>0.46399999999999997</v>
      </c>
      <c r="E22" s="28"/>
      <c r="F22" s="29">
        <f>0.96*0.4</f>
        <v>0.38400000000000001</v>
      </c>
      <c r="G22" s="33">
        <f t="shared" si="0"/>
        <v>0.42399999999999999</v>
      </c>
      <c r="H22" s="184"/>
      <c r="I22" s="380"/>
      <c r="J22" s="384"/>
      <c r="K22" s="384"/>
      <c r="L22" s="296"/>
      <c r="M22" s="385"/>
      <c r="N22" s="27"/>
      <c r="O22" s="387"/>
      <c r="P22" s="44"/>
    </row>
    <row r="23" spans="1:16" ht="37.5">
      <c r="A23" s="11"/>
      <c r="B23" s="76" t="s">
        <v>33</v>
      </c>
      <c r="C23" s="28"/>
      <c r="D23" s="28">
        <f>1.1*0.4</f>
        <v>0.44000000000000006</v>
      </c>
      <c r="E23" s="28"/>
      <c r="F23" s="28">
        <f>0.94*0.4</f>
        <v>0.376</v>
      </c>
      <c r="G23" s="33">
        <f t="shared" si="0"/>
        <v>0.40800000000000003</v>
      </c>
      <c r="H23" s="184"/>
      <c r="I23" s="372" t="s">
        <v>17</v>
      </c>
      <c r="J23" s="383">
        <f>6.14*0.4</f>
        <v>2.456</v>
      </c>
      <c r="K23" s="383" t="s">
        <v>90</v>
      </c>
      <c r="L23" s="294"/>
      <c r="M23" s="383"/>
      <c r="N23" s="88" t="s">
        <v>85</v>
      </c>
      <c r="O23" s="386" t="s">
        <v>85</v>
      </c>
      <c r="P23" s="44"/>
    </row>
    <row r="24" spans="1:16" ht="37.5">
      <c r="A24" s="11"/>
      <c r="B24" s="76" t="s">
        <v>35</v>
      </c>
      <c r="C24" s="29"/>
      <c r="D24" s="28">
        <f>1.15*0.4</f>
        <v>0.45999999999999996</v>
      </c>
      <c r="E24" s="28"/>
      <c r="F24" s="28">
        <f>0.89*0.4</f>
        <v>0.35600000000000004</v>
      </c>
      <c r="G24" s="33">
        <f t="shared" si="0"/>
        <v>0.40800000000000003</v>
      </c>
      <c r="H24" s="184"/>
      <c r="I24" s="380"/>
      <c r="J24" s="384"/>
      <c r="K24" s="384"/>
      <c r="L24" s="296"/>
      <c r="M24" s="385"/>
      <c r="N24" s="27"/>
      <c r="O24" s="387"/>
      <c r="P24" s="44"/>
    </row>
    <row r="25" spans="1:16" ht="37.5">
      <c r="A25" s="11"/>
      <c r="B25" s="76" t="s">
        <v>36</v>
      </c>
      <c r="C25" s="27"/>
      <c r="D25" s="28">
        <f>1.08*0.4</f>
        <v>0.43200000000000005</v>
      </c>
      <c r="E25" s="28"/>
      <c r="F25" s="28">
        <f>0.9*0.4</f>
        <v>0.36000000000000004</v>
      </c>
      <c r="G25" s="33">
        <f t="shared" si="0"/>
        <v>0.39600000000000002</v>
      </c>
      <c r="H25" s="184"/>
      <c r="I25" s="372" t="s">
        <v>18</v>
      </c>
      <c r="J25" s="383">
        <f>5.46*0.4</f>
        <v>2.1840000000000002</v>
      </c>
      <c r="K25" s="383" t="s">
        <v>90</v>
      </c>
      <c r="L25" s="294"/>
      <c r="M25" s="383"/>
      <c r="N25" s="88" t="s">
        <v>85</v>
      </c>
      <c r="O25" s="386" t="s">
        <v>85</v>
      </c>
      <c r="P25" s="44"/>
    </row>
    <row r="26" spans="1:16" ht="37.5">
      <c r="A26" s="11"/>
      <c r="B26" s="76" t="s">
        <v>38</v>
      </c>
      <c r="C26" s="27"/>
      <c r="D26" s="28">
        <f>1.03*0.4</f>
        <v>0.41200000000000003</v>
      </c>
      <c r="E26" s="28"/>
      <c r="F26" s="29">
        <f>0.88*0.4</f>
        <v>0.35200000000000004</v>
      </c>
      <c r="G26" s="33">
        <f t="shared" si="0"/>
        <v>0.38200000000000001</v>
      </c>
      <c r="H26" s="184"/>
      <c r="I26" s="380"/>
      <c r="J26" s="384"/>
      <c r="K26" s="384"/>
      <c r="L26" s="296"/>
      <c r="M26" s="385"/>
      <c r="N26" s="27"/>
      <c r="O26" s="387"/>
      <c r="P26" s="44"/>
    </row>
    <row r="27" spans="1:16" ht="38.25" thickBot="1">
      <c r="A27" s="11"/>
      <c r="B27" s="79" t="s">
        <v>39</v>
      </c>
      <c r="C27" s="80"/>
      <c r="D27" s="30">
        <f>0.93*0.4</f>
        <v>0.37200000000000005</v>
      </c>
      <c r="E27" s="30"/>
      <c r="F27" s="29">
        <f>0.86*0.4</f>
        <v>0.34400000000000003</v>
      </c>
      <c r="G27" s="33">
        <f t="shared" si="0"/>
        <v>0.35800000000000004</v>
      </c>
      <c r="H27" s="184"/>
      <c r="I27" s="372" t="s">
        <v>20</v>
      </c>
      <c r="J27" s="383">
        <f>3.25*0.4</f>
        <v>1.3</v>
      </c>
      <c r="K27" s="383" t="s">
        <v>90</v>
      </c>
      <c r="L27" s="294"/>
      <c r="M27" s="383"/>
      <c r="N27" s="88" t="s">
        <v>85</v>
      </c>
      <c r="O27" s="386" t="s">
        <v>85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296"/>
      <c r="M28" s="385"/>
      <c r="N28" s="27"/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3.84*0.4</f>
        <v>1.536</v>
      </c>
      <c r="K29" s="383" t="s">
        <v>90</v>
      </c>
      <c r="L29" s="81"/>
      <c r="M29" s="383"/>
      <c r="N29" s="88" t="s">
        <v>85</v>
      </c>
      <c r="O29" s="386" t="s">
        <v>85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/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0.61</v>
      </c>
      <c r="E31" s="28"/>
      <c r="F31" s="234">
        <v>0.6</v>
      </c>
      <c r="G31" s="33">
        <f t="shared" ref="G31:G46" si="1">AVERAGE(D31:F31)</f>
        <v>0.60499999999999998</v>
      </c>
      <c r="H31" s="184"/>
      <c r="I31" s="372" t="s">
        <v>8</v>
      </c>
      <c r="J31" s="376">
        <v>2.09</v>
      </c>
      <c r="K31" s="294"/>
      <c r="L31" s="86"/>
      <c r="M31" s="376"/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0.96</v>
      </c>
      <c r="E32" s="28"/>
      <c r="F32" s="29">
        <v>0.94</v>
      </c>
      <c r="G32" s="33">
        <f t="shared" si="1"/>
        <v>0.95</v>
      </c>
      <c r="H32" s="184"/>
      <c r="I32" s="380"/>
      <c r="J32" s="388"/>
      <c r="K32" s="295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0.46</v>
      </c>
      <c r="E33" s="29"/>
      <c r="F33" s="29">
        <v>0.43</v>
      </c>
      <c r="G33" s="33">
        <f t="shared" si="1"/>
        <v>0.44500000000000001</v>
      </c>
      <c r="H33" s="184"/>
      <c r="I33" s="372" t="s">
        <v>26</v>
      </c>
      <c r="J33" s="381">
        <f>10.36*0.4</f>
        <v>4.1440000000000001</v>
      </c>
      <c r="K33" s="383" t="s">
        <v>167</v>
      </c>
      <c r="L33" s="381"/>
      <c r="M33" s="381"/>
      <c r="N33" s="88" t="s">
        <v>85</v>
      </c>
      <c r="O33" s="386" t="s">
        <v>85</v>
      </c>
      <c r="P33" s="44"/>
    </row>
    <row r="34" spans="1:16" ht="37.5">
      <c r="A34" s="11"/>
      <c r="B34" s="76" t="s">
        <v>24</v>
      </c>
      <c r="C34" s="29"/>
      <c r="D34" s="29">
        <v>0.42</v>
      </c>
      <c r="E34" s="28"/>
      <c r="F34" s="29">
        <v>0.28000000000000003</v>
      </c>
      <c r="G34" s="33">
        <f t="shared" si="1"/>
        <v>0.35</v>
      </c>
      <c r="H34" s="184"/>
      <c r="I34" s="380"/>
      <c r="J34" s="382"/>
      <c r="K34" s="384"/>
      <c r="L34" s="382"/>
      <c r="M34" s="382"/>
      <c r="N34" s="27"/>
      <c r="O34" s="387"/>
      <c r="P34" s="44"/>
    </row>
    <row r="35" spans="1:16" ht="37.5">
      <c r="A35" s="11"/>
      <c r="B35" s="76" t="s">
        <v>25</v>
      </c>
      <c r="C35" s="29"/>
      <c r="D35" s="29">
        <v>0.36</v>
      </c>
      <c r="E35" s="28"/>
      <c r="F35" s="29">
        <v>0.17</v>
      </c>
      <c r="G35" s="33">
        <f t="shared" si="1"/>
        <v>0.26500000000000001</v>
      </c>
      <c r="H35" s="184"/>
      <c r="I35" s="372" t="s">
        <v>28</v>
      </c>
      <c r="J35" s="381">
        <f>5.17*0.4</f>
        <v>2.0680000000000001</v>
      </c>
      <c r="K35" s="383" t="s">
        <v>167</v>
      </c>
      <c r="L35" s="381"/>
      <c r="M35" s="383"/>
      <c r="N35" s="88" t="s">
        <v>85</v>
      </c>
      <c r="O35" s="386" t="s">
        <v>85</v>
      </c>
      <c r="P35" s="44"/>
    </row>
    <row r="36" spans="1:16" ht="37.5">
      <c r="A36" s="11"/>
      <c r="B36" s="76" t="s">
        <v>27</v>
      </c>
      <c r="C36" s="29"/>
      <c r="D36" s="29">
        <v>0.28999999999999998</v>
      </c>
      <c r="E36" s="29"/>
      <c r="F36" s="29">
        <v>0.1</v>
      </c>
      <c r="G36" s="33">
        <f t="shared" si="1"/>
        <v>0.19500000000000001</v>
      </c>
      <c r="H36" s="184"/>
      <c r="I36" s="380"/>
      <c r="J36" s="382"/>
      <c r="K36" s="384"/>
      <c r="L36" s="382"/>
      <c r="M36" s="385"/>
      <c r="N36" s="27"/>
      <c r="O36" s="387"/>
      <c r="P36" s="44"/>
    </row>
    <row r="37" spans="1:16" ht="37.5">
      <c r="A37" s="11"/>
      <c r="B37" s="76" t="s">
        <v>46</v>
      </c>
      <c r="C37" s="29"/>
      <c r="D37" s="29">
        <v>0.23</v>
      </c>
      <c r="E37" s="29"/>
      <c r="F37" s="29">
        <v>0.09</v>
      </c>
      <c r="G37" s="33">
        <f t="shared" si="1"/>
        <v>0.16</v>
      </c>
      <c r="H37" s="184"/>
      <c r="I37" s="372" t="s">
        <v>31</v>
      </c>
      <c r="J37" s="381">
        <f>5.11*0.4</f>
        <v>2.044</v>
      </c>
      <c r="K37" s="383" t="s">
        <v>167</v>
      </c>
      <c r="L37" s="381"/>
      <c r="M37" s="383"/>
      <c r="N37" s="88" t="s">
        <v>85</v>
      </c>
      <c r="O37" s="386" t="s">
        <v>85</v>
      </c>
      <c r="P37" s="44"/>
    </row>
    <row r="38" spans="1:16" ht="37.5">
      <c r="A38" s="11"/>
      <c r="B38" s="76" t="s">
        <v>48</v>
      </c>
      <c r="C38" s="29"/>
      <c r="D38" s="29">
        <v>0.15</v>
      </c>
      <c r="E38" s="231"/>
      <c r="F38" s="29">
        <v>0.03</v>
      </c>
      <c r="G38" s="33">
        <f t="shared" si="1"/>
        <v>0.09</v>
      </c>
      <c r="H38" s="184"/>
      <c r="I38" s="380"/>
      <c r="J38" s="382"/>
      <c r="K38" s="384"/>
      <c r="L38" s="382"/>
      <c r="M38" s="385"/>
      <c r="N38" s="27"/>
      <c r="O38" s="387"/>
      <c r="P38" s="44"/>
    </row>
    <row r="39" spans="1:16" ht="37.5">
      <c r="A39" s="11"/>
      <c r="B39" s="76" t="s">
        <v>49</v>
      </c>
      <c r="C39" s="29"/>
      <c r="D39" s="29">
        <v>0.1</v>
      </c>
      <c r="E39" s="231"/>
      <c r="F39" s="29">
        <v>0.01</v>
      </c>
      <c r="G39" s="33">
        <f t="shared" si="1"/>
        <v>5.5E-2</v>
      </c>
      <c r="H39" s="184"/>
      <c r="I39" s="372" t="s">
        <v>34</v>
      </c>
      <c r="J39" s="381">
        <f>4.12*0.4</f>
        <v>1.6480000000000001</v>
      </c>
      <c r="K39" s="383" t="s">
        <v>167</v>
      </c>
      <c r="L39" s="381"/>
      <c r="M39" s="383"/>
      <c r="N39" s="88" t="s">
        <v>85</v>
      </c>
      <c r="O39" s="386" t="s">
        <v>85</v>
      </c>
      <c r="P39" s="44"/>
    </row>
    <row r="40" spans="1:16" ht="37.5">
      <c r="A40" s="11"/>
      <c r="B40" s="76" t="s">
        <v>51</v>
      </c>
      <c r="C40" s="29"/>
      <c r="D40" s="29">
        <v>0.05</v>
      </c>
      <c r="E40" s="231"/>
      <c r="F40" s="28">
        <v>0</v>
      </c>
      <c r="G40" s="33">
        <f t="shared" si="1"/>
        <v>2.5000000000000001E-2</v>
      </c>
      <c r="H40" s="184"/>
      <c r="I40" s="380"/>
      <c r="J40" s="382"/>
      <c r="K40" s="384"/>
      <c r="L40" s="382"/>
      <c r="M40" s="385"/>
      <c r="N40" s="27"/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3.07*0.4</f>
        <v>1.228</v>
      </c>
      <c r="K41" s="383" t="s">
        <v>167</v>
      </c>
      <c r="L41" s="381"/>
      <c r="M41" s="383"/>
      <c r="N41" s="88" t="s">
        <v>85</v>
      </c>
      <c r="O41" s="386" t="s">
        <v>85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/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3.05*0.4</f>
        <v>1.22</v>
      </c>
      <c r="K43" s="383" t="s">
        <v>167</v>
      </c>
      <c r="L43" s="381"/>
      <c r="M43" s="383"/>
      <c r="N43" s="88" t="s">
        <v>85</v>
      </c>
      <c r="O43" s="386" t="s">
        <v>85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/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3.72*0.4</f>
        <v>1.4880000000000002</v>
      </c>
      <c r="K45" s="383" t="s">
        <v>167</v>
      </c>
      <c r="L45" s="381"/>
      <c r="M45" s="383"/>
      <c r="N45" s="88" t="s">
        <v>85</v>
      </c>
      <c r="O45" s="386" t="s">
        <v>85</v>
      </c>
      <c r="P45" s="44"/>
    </row>
    <row r="46" spans="1:16" ht="57.75" customHeight="1" thickBot="1">
      <c r="A46" s="14"/>
      <c r="B46" s="241" t="s">
        <v>58</v>
      </c>
      <c r="C46" s="237"/>
      <c r="D46" s="238">
        <v>0.15</v>
      </c>
      <c r="E46" s="239"/>
      <c r="F46" s="238">
        <v>0.09</v>
      </c>
      <c r="G46" s="240">
        <f t="shared" si="1"/>
        <v>0.12</v>
      </c>
      <c r="H46" s="184"/>
      <c r="I46" s="380"/>
      <c r="J46" s="382"/>
      <c r="K46" s="384"/>
      <c r="L46" s="382"/>
      <c r="M46" s="385"/>
      <c r="N46" s="27"/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9.71*0.4</f>
        <v>3.8840000000000003</v>
      </c>
      <c r="K47" s="383" t="s">
        <v>167</v>
      </c>
      <c r="L47" s="381"/>
      <c r="M47" s="383"/>
      <c r="N47" s="88" t="s">
        <v>85</v>
      </c>
      <c r="O47" s="386" t="s">
        <v>85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/>
      <c r="O48" s="387"/>
      <c r="P48" s="44"/>
    </row>
    <row r="49" spans="1:16" ht="38.25" thickBot="1">
      <c r="A49" s="14"/>
      <c r="B49" s="95" t="s">
        <v>153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3.54*0.4</f>
        <v>1.4160000000000001</v>
      </c>
      <c r="K49" s="383" t="s">
        <v>167</v>
      </c>
      <c r="L49" s="294"/>
      <c r="M49" s="383"/>
      <c r="N49" s="88" t="s">
        <v>85</v>
      </c>
      <c r="O49" s="386" t="s">
        <v>85</v>
      </c>
      <c r="P49" s="44"/>
    </row>
    <row r="50" spans="1:16" ht="37.5">
      <c r="A50" s="14"/>
      <c r="B50" s="76" t="s">
        <v>22</v>
      </c>
      <c r="C50" s="97"/>
      <c r="D50" s="98">
        <v>1703</v>
      </c>
      <c r="E50" s="98">
        <v>15</v>
      </c>
      <c r="F50" s="98">
        <f>(D50*E50)*0.26</f>
        <v>6641.7</v>
      </c>
      <c r="G50" s="221"/>
      <c r="H50" s="222"/>
      <c r="I50" s="380"/>
      <c r="J50" s="382"/>
      <c r="K50" s="384"/>
      <c r="L50" s="296"/>
      <c r="M50" s="385"/>
      <c r="N50" s="27"/>
      <c r="O50" s="387"/>
      <c r="P50" s="44"/>
    </row>
    <row r="51" spans="1:16" ht="37.5">
      <c r="A51" s="14"/>
      <c r="B51" s="76" t="s">
        <v>24</v>
      </c>
      <c r="C51" s="97"/>
      <c r="D51" s="98">
        <v>983</v>
      </c>
      <c r="E51" s="98">
        <v>10</v>
      </c>
      <c r="F51" s="98">
        <f>(D51*E51)*0.26</f>
        <v>2555.8000000000002</v>
      </c>
      <c r="G51" s="99"/>
      <c r="H51" s="186"/>
      <c r="I51" s="372" t="s">
        <v>47</v>
      </c>
      <c r="J51" s="381">
        <f>3.34*0.4</f>
        <v>1.3360000000000001</v>
      </c>
      <c r="K51" s="383" t="s">
        <v>167</v>
      </c>
      <c r="L51" s="294"/>
      <c r="M51" s="383"/>
      <c r="N51" s="88" t="s">
        <v>85</v>
      </c>
      <c r="O51" s="386" t="s">
        <v>85</v>
      </c>
      <c r="P51" s="44"/>
    </row>
    <row r="52" spans="1:16" ht="37.5">
      <c r="A52" s="14"/>
      <c r="B52" s="76" t="s">
        <v>25</v>
      </c>
      <c r="C52" s="97"/>
      <c r="D52" s="98">
        <v>326</v>
      </c>
      <c r="E52" s="98">
        <v>7</v>
      </c>
      <c r="F52" s="98">
        <f>(D52*E52)*0.26</f>
        <v>593.32000000000005</v>
      </c>
      <c r="G52" s="99"/>
      <c r="H52" s="186"/>
      <c r="I52" s="380"/>
      <c r="J52" s="382"/>
      <c r="K52" s="384"/>
      <c r="L52" s="296"/>
      <c r="M52" s="385"/>
      <c r="N52" s="27"/>
      <c r="O52" s="387"/>
      <c r="P52" s="44"/>
    </row>
    <row r="53" spans="1:16" ht="37.5">
      <c r="A53" s="14"/>
      <c r="B53" s="76" t="s">
        <v>27</v>
      </c>
      <c r="C53" s="97"/>
      <c r="D53" s="98">
        <v>298</v>
      </c>
      <c r="E53" s="98">
        <v>8</v>
      </c>
      <c r="F53" s="98">
        <f>(D53*E53)*0.26</f>
        <v>619.84</v>
      </c>
      <c r="G53" s="99"/>
      <c r="H53" s="186"/>
      <c r="I53" s="372" t="s">
        <v>50</v>
      </c>
      <c r="J53" s="381">
        <f>11.76*0.4</f>
        <v>4.7039999999999997</v>
      </c>
      <c r="K53" s="383" t="s">
        <v>167</v>
      </c>
      <c r="L53" s="294"/>
      <c r="M53" s="383"/>
      <c r="N53" s="88" t="s">
        <v>85</v>
      </c>
      <c r="O53" s="386" t="s">
        <v>85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296"/>
      <c r="M54" s="385"/>
      <c r="N54" s="27"/>
      <c r="O54" s="387"/>
      <c r="P54" s="44"/>
    </row>
    <row r="55" spans="1:16" ht="37.5">
      <c r="A55" s="15"/>
      <c r="B55" s="76" t="s">
        <v>48</v>
      </c>
      <c r="C55" s="100"/>
      <c r="D55" s="98">
        <v>177</v>
      </c>
      <c r="E55" s="98">
        <v>7</v>
      </c>
      <c r="F55" s="98">
        <f>(D55*E55)*0.13</f>
        <v>161.07</v>
      </c>
      <c r="G55" s="99"/>
      <c r="H55" s="186"/>
      <c r="I55" s="372" t="s">
        <v>53</v>
      </c>
      <c r="J55" s="381">
        <f>3.79*0.4</f>
        <v>1.516</v>
      </c>
      <c r="K55" s="383" t="s">
        <v>167</v>
      </c>
      <c r="L55" s="294"/>
      <c r="M55" s="383"/>
      <c r="N55" s="88" t="s">
        <v>85</v>
      </c>
      <c r="O55" s="386" t="s">
        <v>85</v>
      </c>
      <c r="P55" s="44"/>
    </row>
    <row r="56" spans="1:16" ht="37.5">
      <c r="A56" s="15"/>
      <c r="B56" s="76" t="s">
        <v>49</v>
      </c>
      <c r="C56" s="100"/>
      <c r="D56" s="98">
        <v>138</v>
      </c>
      <c r="E56" s="98">
        <v>5</v>
      </c>
      <c r="F56" s="98">
        <f t="shared" ref="F56:F61" si="2">(D56*E56)*0.13</f>
        <v>89.7</v>
      </c>
      <c r="G56" s="99"/>
      <c r="H56" s="186"/>
      <c r="I56" s="380"/>
      <c r="J56" s="382"/>
      <c r="K56" s="384"/>
      <c r="L56" s="296"/>
      <c r="M56" s="385"/>
      <c r="N56" s="27"/>
      <c r="O56" s="387"/>
      <c r="P56" s="44"/>
    </row>
    <row r="57" spans="1:16" ht="37.5">
      <c r="A57" s="15"/>
      <c r="B57" s="76" t="s">
        <v>51</v>
      </c>
      <c r="C57" s="100"/>
      <c r="D57" s="98">
        <v>111</v>
      </c>
      <c r="E57" s="98">
        <v>9</v>
      </c>
      <c r="F57" s="98">
        <f t="shared" si="2"/>
        <v>129.87</v>
      </c>
      <c r="G57" s="99"/>
      <c r="H57" s="186"/>
      <c r="I57" s="372" t="s">
        <v>8</v>
      </c>
      <c r="J57" s="374">
        <v>2.2200000000000002</v>
      </c>
      <c r="K57" s="376"/>
      <c r="L57" s="101"/>
      <c r="M57" s="376"/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107</v>
      </c>
      <c r="E58" s="98">
        <v>10</v>
      </c>
      <c r="F58" s="98">
        <f t="shared" si="2"/>
        <v>139.1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102</v>
      </c>
      <c r="E59" s="98">
        <v>10</v>
      </c>
      <c r="F59" s="98">
        <f t="shared" si="2"/>
        <v>132.6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56</v>
      </c>
      <c r="E60" s="98">
        <v>8</v>
      </c>
      <c r="F60" s="98">
        <f t="shared" si="2"/>
        <v>58.24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52</v>
      </c>
      <c r="E61" s="98">
        <v>5</v>
      </c>
      <c r="F61" s="98">
        <f t="shared" si="2"/>
        <v>33.800000000000004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 t="s">
        <v>4</v>
      </c>
      <c r="E62" s="77"/>
      <c r="F62" s="230">
        <f>SUM(F50:F61)</f>
        <v>11155.04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298" t="s">
        <v>13</v>
      </c>
      <c r="J64" s="29" t="s">
        <v>85</v>
      </c>
      <c r="K64" s="29" t="s">
        <v>85</v>
      </c>
      <c r="L64" s="119" t="e">
        <f>AVERAGE(J64:K64)</f>
        <v>#DIV/0!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298" t="s">
        <v>16</v>
      </c>
      <c r="J65" s="29">
        <v>3.09</v>
      </c>
      <c r="K65" s="245">
        <v>3.52</v>
      </c>
      <c r="L65" s="208">
        <f>AVERAGE(J65:K65)</f>
        <v>3.3049999999999997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 t="s">
        <v>153</v>
      </c>
      <c r="C67" s="120" t="s">
        <v>84</v>
      </c>
      <c r="D67" s="120" t="s">
        <v>165</v>
      </c>
      <c r="E67" s="116">
        <v>1350</v>
      </c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153</v>
      </c>
      <c r="C68" s="120" t="s">
        <v>84</v>
      </c>
      <c r="D68" s="120" t="s">
        <v>166</v>
      </c>
      <c r="E68" s="116">
        <v>1524</v>
      </c>
      <c r="F68" s="29"/>
      <c r="G68" s="118"/>
      <c r="H68" s="190"/>
      <c r="I68" s="298" t="s">
        <v>67</v>
      </c>
      <c r="J68" s="298"/>
      <c r="K68" s="298"/>
      <c r="L68" s="126"/>
      <c r="M68" s="297"/>
      <c r="N68" s="127"/>
      <c r="O68" s="128"/>
      <c r="P68" s="44"/>
    </row>
    <row r="69" spans="1:16" ht="37.5">
      <c r="A69" s="15"/>
      <c r="B69" s="95" t="s">
        <v>153</v>
      </c>
      <c r="C69" s="120" t="s">
        <v>83</v>
      </c>
      <c r="D69" s="120" t="s">
        <v>157</v>
      </c>
      <c r="E69" s="116">
        <v>15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153</v>
      </c>
      <c r="C70" s="120" t="s">
        <v>83</v>
      </c>
      <c r="D70" s="120" t="s">
        <v>158</v>
      </c>
      <c r="E70" s="116">
        <v>24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74.88</v>
      </c>
      <c r="K72" s="29"/>
      <c r="L72" s="119">
        <f>AVERAGE(J72:K72)</f>
        <v>74.88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80.849999999999994</v>
      </c>
      <c r="K73" s="29"/>
      <c r="L73" s="119">
        <f>AVERAGE(J73:K73)</f>
        <v>80.849999999999994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71.75</v>
      </c>
      <c r="K74" s="27">
        <v>62.3</v>
      </c>
      <c r="L74" s="119">
        <f>AVERAGE(J74:K74)</f>
        <v>67.025000000000006</v>
      </c>
      <c r="M74" s="115"/>
      <c r="N74" s="88"/>
      <c r="O74" s="33"/>
      <c r="P74" s="44"/>
    </row>
    <row r="75" spans="1:16" ht="39.75" thickBot="1">
      <c r="A75" s="16"/>
      <c r="B75" s="95" t="s">
        <v>153</v>
      </c>
      <c r="C75" s="120" t="s">
        <v>83</v>
      </c>
      <c r="D75" s="120" t="s">
        <v>157</v>
      </c>
      <c r="E75" s="286">
        <v>0.34</v>
      </c>
      <c r="F75" s="131"/>
      <c r="G75" s="139"/>
      <c r="H75" s="195"/>
      <c r="I75" s="178" t="s">
        <v>72</v>
      </c>
      <c r="J75" s="91">
        <v>53.45</v>
      </c>
      <c r="K75" s="91">
        <v>60.05</v>
      </c>
      <c r="L75" s="119">
        <f>AVERAGE(J75:K75)</f>
        <v>56.75</v>
      </c>
      <c r="M75" s="115"/>
      <c r="N75" s="91"/>
      <c r="O75" s="35"/>
      <c r="P75" s="44"/>
    </row>
    <row r="76" spans="1:16" ht="39.75" thickBot="1">
      <c r="A76" s="170"/>
      <c r="B76" s="95" t="s">
        <v>153</v>
      </c>
      <c r="C76" s="120" t="s">
        <v>83</v>
      </c>
      <c r="D76" s="120" t="s">
        <v>158</v>
      </c>
      <c r="E76" s="136">
        <v>0.73250000000000004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/>
      <c r="C77" s="120"/>
      <c r="D77" s="120"/>
      <c r="E77" s="136"/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297"/>
      <c r="J78" s="236" t="s">
        <v>66</v>
      </c>
      <c r="K78" s="236" t="s">
        <v>66</v>
      </c>
      <c r="L78" s="236" t="s">
        <v>66</v>
      </c>
      <c r="M78" s="113"/>
      <c r="N78" s="297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1.82*0.4</f>
        <v>0.72800000000000009</v>
      </c>
      <c r="K79" s="27" t="s">
        <v>85</v>
      </c>
      <c r="L79" s="119">
        <f>AVERAGE(J79:K79)</f>
        <v>0.72800000000000009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1.8*0.4</f>
        <v>0.72000000000000008</v>
      </c>
      <c r="K80" s="91" t="s">
        <v>85</v>
      </c>
      <c r="L80" s="119">
        <f>AVERAGE(J80:K80)</f>
        <v>0.72000000000000008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153</v>
      </c>
      <c r="C82" s="120" t="s">
        <v>83</v>
      </c>
      <c r="D82" s="120" t="s">
        <v>156</v>
      </c>
      <c r="E82" s="27">
        <v>1.65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153</v>
      </c>
      <c r="C83" s="120" t="s">
        <v>83</v>
      </c>
      <c r="D83" s="120" t="s">
        <v>157</v>
      </c>
      <c r="E83" s="27">
        <v>4.03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>
        <v>7.8E-2</v>
      </c>
      <c r="K84" s="32">
        <v>7.8E-2</v>
      </c>
      <c r="L84" s="119">
        <f>AVERAGE(J84:K84)</f>
        <v>7.8E-2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7.0000000000000007E-2</v>
      </c>
      <c r="K85" s="211">
        <v>0</v>
      </c>
      <c r="L85" s="119">
        <f>AVERAGE(J85:K85)</f>
        <v>3.5000000000000003E-2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299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H91:I91"/>
    <mergeCell ref="G93:H93"/>
    <mergeCell ref="O55:O56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I55:I56"/>
    <mergeCell ref="J55:J56"/>
    <mergeCell ref="K55:K56"/>
    <mergeCell ref="M55:M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O53:O5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T94"/>
  <sheetViews>
    <sheetView view="pageBreakPreview" zoomScale="30" zoomScaleSheetLayoutView="30" workbookViewId="0">
      <selection sqref="A1:O1"/>
    </sheetView>
  </sheetViews>
  <sheetFormatPr defaultRowHeight="15"/>
  <cols>
    <col min="1" max="1" width="2.85546875" customWidth="1"/>
    <col min="2" max="2" width="56" customWidth="1"/>
    <col min="3" max="3" width="32.7109375" customWidth="1"/>
    <col min="4" max="4" width="28.28515625" customWidth="1"/>
    <col min="5" max="5" width="25.42578125" customWidth="1"/>
    <col min="6" max="6" width="38.7109375" customWidth="1"/>
    <col min="7" max="7" width="28.28515625" customWidth="1"/>
    <col min="8" max="8" width="31.140625" customWidth="1"/>
    <col min="9" max="9" width="45.85546875" customWidth="1"/>
    <col min="10" max="10" width="31.5703125" customWidth="1"/>
    <col min="11" max="11" width="41" customWidth="1"/>
    <col min="12" max="13" width="25" customWidth="1"/>
    <col min="14" max="14" width="95" customWidth="1"/>
    <col min="15" max="15" width="25" customWidth="1"/>
  </cols>
  <sheetData>
    <row r="1" spans="1:17" ht="57" customHeight="1" thickBot="1">
      <c r="A1" s="392" t="s">
        <v>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4"/>
      <c r="P1" t="s">
        <v>4</v>
      </c>
      <c r="Q1" t="s">
        <v>4</v>
      </c>
    </row>
    <row r="2" spans="1:17" ht="57.75" customHeight="1" thickBot="1">
      <c r="A2" s="395" t="s">
        <v>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</row>
    <row r="3" spans="1:17" ht="37.5">
      <c r="A3" s="6"/>
      <c r="B3" s="144" t="s">
        <v>81</v>
      </c>
      <c r="C3" s="95" t="s">
        <v>164</v>
      </c>
      <c r="D3" s="38"/>
      <c r="E3" s="39" t="s">
        <v>9</v>
      </c>
      <c r="F3" s="39"/>
      <c r="G3" s="39"/>
      <c r="H3" s="40"/>
      <c r="I3" s="41" t="s">
        <v>2</v>
      </c>
      <c r="J3" s="42" t="s">
        <v>169</v>
      </c>
      <c r="K3" s="39"/>
      <c r="L3" s="39"/>
      <c r="M3" s="39"/>
      <c r="N3" s="40"/>
      <c r="O3" s="43"/>
      <c r="P3" s="44"/>
    </row>
    <row r="4" spans="1:17" ht="37.5">
      <c r="A4" s="7" t="s">
        <v>3</v>
      </c>
      <c r="B4" s="45"/>
      <c r="C4" s="95" t="s">
        <v>164</v>
      </c>
      <c r="D4" s="46" t="s">
        <v>4</v>
      </c>
      <c r="E4" s="47"/>
      <c r="F4" s="47"/>
      <c r="G4" s="47"/>
      <c r="H4" s="48" t="s">
        <v>4</v>
      </c>
      <c r="I4" s="49"/>
      <c r="J4" s="47"/>
      <c r="K4" s="47"/>
      <c r="L4" s="47"/>
      <c r="M4" s="47"/>
      <c r="N4" s="48"/>
      <c r="O4" s="50"/>
      <c r="P4" s="44"/>
    </row>
    <row r="5" spans="1:17" ht="38.25" thickBot="1">
      <c r="A5" s="8" t="s">
        <v>5</v>
      </c>
      <c r="B5" s="51"/>
      <c r="C5" s="95" t="s">
        <v>168</v>
      </c>
      <c r="D5" s="52"/>
      <c r="E5" s="53"/>
      <c r="F5" s="53"/>
      <c r="G5" s="53"/>
      <c r="H5" s="54" t="s">
        <v>4</v>
      </c>
      <c r="I5" s="55"/>
      <c r="J5" s="56"/>
      <c r="K5" s="56"/>
      <c r="L5" s="56"/>
      <c r="M5" s="56"/>
      <c r="N5" s="54"/>
      <c r="O5" s="57"/>
      <c r="P5" s="44"/>
    </row>
    <row r="6" spans="1:17" ht="38.25" thickBot="1">
      <c r="A6" s="9"/>
      <c r="B6" s="58"/>
      <c r="C6" s="59"/>
      <c r="D6" s="57" t="s">
        <v>6</v>
      </c>
      <c r="E6" s="23" t="s">
        <v>4</v>
      </c>
      <c r="F6" s="60" t="s">
        <v>7</v>
      </c>
      <c r="G6" s="61" t="s">
        <v>8</v>
      </c>
      <c r="H6" s="183" t="s">
        <v>9</v>
      </c>
      <c r="I6" s="175"/>
      <c r="J6" s="62" t="s">
        <v>74</v>
      </c>
      <c r="K6" s="63" t="s">
        <v>10</v>
      </c>
      <c r="L6" s="64" t="s">
        <v>11</v>
      </c>
      <c r="M6" s="62" t="s">
        <v>12</v>
      </c>
      <c r="N6" s="62" t="s">
        <v>10</v>
      </c>
      <c r="O6" s="65" t="s">
        <v>11</v>
      </c>
      <c r="P6" s="44"/>
    </row>
    <row r="7" spans="1:17" ht="37.5">
      <c r="A7" s="10"/>
      <c r="B7" s="66" t="s">
        <v>13</v>
      </c>
      <c r="C7" s="67"/>
      <c r="D7" s="22">
        <v>1.8</v>
      </c>
      <c r="E7" s="21"/>
      <c r="F7" s="21">
        <v>1.01</v>
      </c>
      <c r="G7" s="102">
        <f>AVERAGE(D7:F7)</f>
        <v>1.405</v>
      </c>
      <c r="H7" s="184"/>
      <c r="I7" s="372" t="s">
        <v>98</v>
      </c>
      <c r="J7" s="383">
        <f>6.24*0.4</f>
        <v>2.4960000000000004</v>
      </c>
      <c r="K7" s="383" t="s">
        <v>167</v>
      </c>
      <c r="L7" s="300"/>
      <c r="M7" s="383"/>
      <c r="N7" s="88" t="s">
        <v>85</v>
      </c>
      <c r="O7" s="386" t="s">
        <v>85</v>
      </c>
      <c r="P7" s="44"/>
    </row>
    <row r="8" spans="1:17" ht="38.25" thickBot="1">
      <c r="A8" s="12"/>
      <c r="B8" s="68" t="s">
        <v>16</v>
      </c>
      <c r="C8" s="69"/>
      <c r="D8" s="34">
        <v>1.87</v>
      </c>
      <c r="E8" s="23"/>
      <c r="F8" s="23">
        <v>1.06</v>
      </c>
      <c r="G8" s="124">
        <f>AVERAGE(D8:F8)</f>
        <v>1.4650000000000001</v>
      </c>
      <c r="H8" s="184"/>
      <c r="I8" s="380"/>
      <c r="J8" s="384"/>
      <c r="K8" s="384"/>
      <c r="L8" s="302"/>
      <c r="M8" s="385"/>
      <c r="N8" s="27"/>
      <c r="O8" s="387"/>
      <c r="P8" s="44"/>
    </row>
    <row r="9" spans="1:17" ht="37.5">
      <c r="A9" s="11"/>
      <c r="B9" s="66" t="s">
        <v>4</v>
      </c>
      <c r="C9" s="39"/>
      <c r="D9" s="24"/>
      <c r="E9" s="25"/>
      <c r="F9" s="24"/>
      <c r="G9" s="70"/>
      <c r="H9" s="184"/>
      <c r="I9" s="372" t="s">
        <v>57</v>
      </c>
      <c r="J9" s="383">
        <f>5.17*0.4</f>
        <v>2.0680000000000001</v>
      </c>
      <c r="K9" s="383" t="s">
        <v>167</v>
      </c>
      <c r="L9" s="383"/>
      <c r="M9" s="383"/>
      <c r="N9" s="88" t="s">
        <v>85</v>
      </c>
      <c r="O9" s="386" t="s">
        <v>85</v>
      </c>
      <c r="P9" s="44"/>
    </row>
    <row r="10" spans="1:17" ht="38.25" thickBot="1">
      <c r="A10" s="11"/>
      <c r="B10" s="71"/>
      <c r="C10" s="72"/>
      <c r="D10" s="36"/>
      <c r="E10" s="36"/>
      <c r="F10" s="36"/>
      <c r="G10" s="73"/>
      <c r="H10" s="184"/>
      <c r="I10" s="380"/>
      <c r="J10" s="384"/>
      <c r="K10" s="384"/>
      <c r="L10" s="384"/>
      <c r="M10" s="385"/>
      <c r="N10" s="27"/>
      <c r="O10" s="387"/>
      <c r="P10" s="44"/>
    </row>
    <row r="11" spans="1:17" ht="38.25" thickBot="1">
      <c r="A11" s="11"/>
      <c r="B11" s="17"/>
      <c r="C11" s="18"/>
      <c r="D11" s="19"/>
      <c r="E11" s="18"/>
      <c r="F11" s="19"/>
      <c r="G11" s="20"/>
      <c r="H11" s="184"/>
      <c r="I11" s="372" t="s">
        <v>59</v>
      </c>
      <c r="J11" s="383">
        <f>4.96*0.4</f>
        <v>1.984</v>
      </c>
      <c r="K11" s="383" t="s">
        <v>167</v>
      </c>
      <c r="L11" s="300"/>
      <c r="M11" s="383"/>
      <c r="N11" s="88" t="s">
        <v>85</v>
      </c>
      <c r="O11" s="386" t="s">
        <v>85</v>
      </c>
      <c r="P11" s="44"/>
    </row>
    <row r="12" spans="1:17" ht="38.25" thickBot="1">
      <c r="A12" s="11" t="s">
        <v>102</v>
      </c>
      <c r="B12" s="17"/>
      <c r="C12" s="18"/>
      <c r="D12" s="19"/>
      <c r="E12" s="18"/>
      <c r="F12" s="19"/>
      <c r="G12" s="20"/>
      <c r="H12" s="184"/>
      <c r="I12" s="380"/>
      <c r="J12" s="384"/>
      <c r="K12" s="384"/>
      <c r="L12" s="302"/>
      <c r="M12" s="385"/>
      <c r="N12" s="27"/>
      <c r="O12" s="387"/>
      <c r="P12" s="44"/>
    </row>
    <row r="13" spans="1:17" ht="38.25" thickBot="1">
      <c r="A13" s="11"/>
      <c r="B13" s="75" t="s">
        <v>19</v>
      </c>
      <c r="C13" s="62"/>
      <c r="D13" s="220" t="s">
        <v>66</v>
      </c>
      <c r="E13" s="25"/>
      <c r="F13" s="220" t="s">
        <v>66</v>
      </c>
      <c r="G13" s="61" t="s">
        <v>8</v>
      </c>
      <c r="H13" s="184"/>
      <c r="I13" s="372" t="s">
        <v>60</v>
      </c>
      <c r="J13" s="383">
        <f>4.07*0.4</f>
        <v>1.6280000000000001</v>
      </c>
      <c r="K13" s="383" t="s">
        <v>167</v>
      </c>
      <c r="L13" s="300"/>
      <c r="M13" s="383"/>
      <c r="N13" s="88" t="s">
        <v>85</v>
      </c>
      <c r="O13" s="386" t="s">
        <v>85</v>
      </c>
      <c r="P13" s="44"/>
    </row>
    <row r="14" spans="1:17" ht="37.5">
      <c r="A14" s="11" t="s">
        <v>91</v>
      </c>
      <c r="B14" s="76" t="s">
        <v>21</v>
      </c>
      <c r="C14" s="120"/>
      <c r="D14" s="28">
        <f>4.6*0.4</f>
        <v>1.8399999999999999</v>
      </c>
      <c r="E14" s="28"/>
      <c r="F14" s="28">
        <f>3.17*0.4</f>
        <v>1.268</v>
      </c>
      <c r="G14" s="33">
        <f t="shared" ref="G14:G27" si="0">AVERAGE(D14:F14)</f>
        <v>1.5539999999999998</v>
      </c>
      <c r="H14" s="184"/>
      <c r="I14" s="380"/>
      <c r="J14" s="384"/>
      <c r="K14" s="384"/>
      <c r="L14" s="302"/>
      <c r="M14" s="385"/>
      <c r="N14" s="27"/>
      <c r="O14" s="387"/>
      <c r="P14" s="44"/>
    </row>
    <row r="15" spans="1:17" ht="37.5">
      <c r="A15" s="11"/>
      <c r="B15" s="76" t="s">
        <v>97</v>
      </c>
      <c r="C15" s="29"/>
      <c r="D15" s="29">
        <f>3.67*0.4</f>
        <v>1.468</v>
      </c>
      <c r="E15" s="28"/>
      <c r="F15" s="29">
        <f>2.48*0.4</f>
        <v>0.99199999999999999</v>
      </c>
      <c r="G15" s="33">
        <f t="shared" si="0"/>
        <v>1.23</v>
      </c>
      <c r="H15" s="184" t="s">
        <v>4</v>
      </c>
      <c r="I15" s="390" t="s">
        <v>61</v>
      </c>
      <c r="J15" s="383">
        <f>5.02*0.4</f>
        <v>2.008</v>
      </c>
      <c r="K15" s="383" t="s">
        <v>167</v>
      </c>
      <c r="L15" s="300"/>
      <c r="M15" s="383"/>
      <c r="N15" s="88" t="s">
        <v>85</v>
      </c>
      <c r="O15" s="386" t="s">
        <v>85</v>
      </c>
      <c r="P15" s="44"/>
    </row>
    <row r="16" spans="1:17" ht="37.5">
      <c r="A16" s="11"/>
      <c r="B16" s="76" t="s">
        <v>22</v>
      </c>
      <c r="C16" s="28"/>
      <c r="D16" s="28">
        <f>1.71*0.4</f>
        <v>0.68400000000000005</v>
      </c>
      <c r="E16" s="29"/>
      <c r="F16" s="29">
        <f>2.62*0.4</f>
        <v>1.048</v>
      </c>
      <c r="G16" s="33">
        <f t="shared" si="0"/>
        <v>0.8660000000000001</v>
      </c>
      <c r="H16" s="184"/>
      <c r="I16" s="391"/>
      <c r="J16" s="384"/>
      <c r="K16" s="384"/>
      <c r="L16" s="302"/>
      <c r="M16" s="385"/>
      <c r="N16" s="27"/>
      <c r="O16" s="387"/>
      <c r="P16" s="44"/>
    </row>
    <row r="17" spans="1:16" ht="37.5">
      <c r="A17" s="11"/>
      <c r="B17" s="76" t="s">
        <v>24</v>
      </c>
      <c r="C17" s="28"/>
      <c r="D17" s="28">
        <f>1.47*0.4</f>
        <v>0.58799999999999997</v>
      </c>
      <c r="E17" s="28"/>
      <c r="F17" s="29">
        <f>2.18*0.4</f>
        <v>0.87200000000000011</v>
      </c>
      <c r="G17" s="33">
        <f t="shared" si="0"/>
        <v>0.73</v>
      </c>
      <c r="H17" s="184"/>
      <c r="I17" s="372" t="s">
        <v>62</v>
      </c>
      <c r="J17" s="383">
        <f>5.8*0.4</f>
        <v>2.3199999999999998</v>
      </c>
      <c r="K17" s="383" t="s">
        <v>167</v>
      </c>
      <c r="L17" s="300"/>
      <c r="M17" s="383"/>
      <c r="N17" s="88" t="s">
        <v>85</v>
      </c>
      <c r="O17" s="386" t="s">
        <v>85</v>
      </c>
      <c r="P17" s="44"/>
    </row>
    <row r="18" spans="1:16" ht="37.5">
      <c r="A18" s="11"/>
      <c r="B18" s="76" t="s">
        <v>25</v>
      </c>
      <c r="C18" s="29"/>
      <c r="D18" s="28">
        <f>1.21*0.4</f>
        <v>0.48399999999999999</v>
      </c>
      <c r="E18" s="28"/>
      <c r="F18" s="29">
        <f>1.97*0.4</f>
        <v>0.78800000000000003</v>
      </c>
      <c r="G18" s="33">
        <f t="shared" si="0"/>
        <v>0.63600000000000001</v>
      </c>
      <c r="H18" s="184"/>
      <c r="I18" s="380"/>
      <c r="J18" s="384"/>
      <c r="K18" s="384"/>
      <c r="L18" s="302"/>
      <c r="M18" s="385"/>
      <c r="N18" s="27"/>
      <c r="O18" s="387"/>
      <c r="P18" s="44"/>
    </row>
    <row r="19" spans="1:16" ht="37.5">
      <c r="A19" s="11"/>
      <c r="B19" s="76" t="s">
        <v>27</v>
      </c>
      <c r="C19" s="29"/>
      <c r="D19" s="28">
        <f>1.23*0.4</f>
        <v>0.49199999999999999</v>
      </c>
      <c r="E19" s="29"/>
      <c r="F19" s="29">
        <f>1.49*0.4</f>
        <v>0.59599999999999997</v>
      </c>
      <c r="G19" s="33">
        <f t="shared" si="0"/>
        <v>0.54400000000000004</v>
      </c>
      <c r="H19" s="184"/>
      <c r="I19" s="372" t="s">
        <v>63</v>
      </c>
      <c r="J19" s="383">
        <f>4.45*0.4</f>
        <v>1.7800000000000002</v>
      </c>
      <c r="K19" s="383" t="s">
        <v>167</v>
      </c>
      <c r="L19" s="300"/>
      <c r="M19" s="383"/>
      <c r="N19" s="88" t="s">
        <v>85</v>
      </c>
      <c r="O19" s="386" t="s">
        <v>85</v>
      </c>
      <c r="P19" s="44"/>
    </row>
    <row r="20" spans="1:16" ht="37.5">
      <c r="A20" s="11"/>
      <c r="B20" s="76" t="s">
        <v>29</v>
      </c>
      <c r="C20" s="28"/>
      <c r="D20" s="28">
        <f>1.18*0.4</f>
        <v>0.47199999999999998</v>
      </c>
      <c r="E20" s="29"/>
      <c r="F20" s="29">
        <f>1.12*0.4</f>
        <v>0.44800000000000006</v>
      </c>
      <c r="G20" s="33">
        <f t="shared" si="0"/>
        <v>0.46</v>
      </c>
      <c r="H20" s="184"/>
      <c r="I20" s="380"/>
      <c r="J20" s="384"/>
      <c r="K20" s="384"/>
      <c r="L20" s="302"/>
      <c r="M20" s="385"/>
      <c r="N20" s="27"/>
      <c r="O20" s="387"/>
      <c r="P20" s="44"/>
    </row>
    <row r="21" spans="1:16" ht="37.5">
      <c r="A21" s="11"/>
      <c r="B21" s="76" t="s">
        <v>30</v>
      </c>
      <c r="C21" s="28"/>
      <c r="D21" s="28">
        <f>1.13*0.4</f>
        <v>0.45199999999999996</v>
      </c>
      <c r="E21" s="28"/>
      <c r="F21" s="29">
        <f>1.07*0.4</f>
        <v>0.42800000000000005</v>
      </c>
      <c r="G21" s="33">
        <f t="shared" si="0"/>
        <v>0.44</v>
      </c>
      <c r="H21" s="184"/>
      <c r="I21" s="372" t="s">
        <v>14</v>
      </c>
      <c r="J21" s="383">
        <f>5.15*0.4</f>
        <v>2.06</v>
      </c>
      <c r="K21" s="383" t="s">
        <v>15</v>
      </c>
      <c r="L21" s="300"/>
      <c r="M21" s="383">
        <f>2.41*0.4</f>
        <v>0.96400000000000008</v>
      </c>
      <c r="N21" s="88" t="s">
        <v>170</v>
      </c>
      <c r="O21" s="386">
        <v>34</v>
      </c>
      <c r="P21" s="44"/>
    </row>
    <row r="22" spans="1:16" ht="37.5">
      <c r="A22" s="11"/>
      <c r="B22" s="76" t="s">
        <v>32</v>
      </c>
      <c r="C22" s="78"/>
      <c r="D22" s="28">
        <f>1.07*0.4</f>
        <v>0.42800000000000005</v>
      </c>
      <c r="E22" s="28"/>
      <c r="F22" s="29">
        <f>1.03*0.4</f>
        <v>0.41200000000000003</v>
      </c>
      <c r="G22" s="33">
        <f t="shared" si="0"/>
        <v>0.42000000000000004</v>
      </c>
      <c r="H22" s="184"/>
      <c r="I22" s="380"/>
      <c r="J22" s="384"/>
      <c r="K22" s="384"/>
      <c r="L22" s="302"/>
      <c r="M22" s="385"/>
      <c r="N22" s="27" t="s">
        <v>171</v>
      </c>
      <c r="O22" s="387"/>
      <c r="P22" s="44"/>
    </row>
    <row r="23" spans="1:16" ht="37.5">
      <c r="A23" s="11"/>
      <c r="B23" s="76" t="s">
        <v>33</v>
      </c>
      <c r="C23" s="28"/>
      <c r="D23" s="28">
        <f>1.08*0.4</f>
        <v>0.43200000000000005</v>
      </c>
      <c r="E23" s="28"/>
      <c r="F23" s="28">
        <f>0.94*0.4</f>
        <v>0.376</v>
      </c>
      <c r="G23" s="33">
        <f t="shared" si="0"/>
        <v>0.40400000000000003</v>
      </c>
      <c r="H23" s="184"/>
      <c r="I23" s="372" t="s">
        <v>17</v>
      </c>
      <c r="J23" s="383">
        <f>3.47*0.4</f>
        <v>1.3880000000000001</v>
      </c>
      <c r="K23" s="383" t="s">
        <v>15</v>
      </c>
      <c r="L23" s="300"/>
      <c r="M23" s="383">
        <f>4.34*0.4</f>
        <v>1.736</v>
      </c>
      <c r="N23" s="88" t="s">
        <v>170</v>
      </c>
      <c r="O23" s="386">
        <v>29</v>
      </c>
      <c r="P23" s="44"/>
    </row>
    <row r="24" spans="1:16" ht="37.5">
      <c r="A24" s="11"/>
      <c r="B24" s="76" t="s">
        <v>35</v>
      </c>
      <c r="C24" s="29"/>
      <c r="D24" s="28">
        <f>1.06*0.4</f>
        <v>0.42400000000000004</v>
      </c>
      <c r="E24" s="28"/>
      <c r="F24" s="28">
        <f>0.91*0.4</f>
        <v>0.36400000000000005</v>
      </c>
      <c r="G24" s="33">
        <f t="shared" si="0"/>
        <v>0.39400000000000002</v>
      </c>
      <c r="H24" s="184"/>
      <c r="I24" s="380"/>
      <c r="J24" s="384"/>
      <c r="K24" s="384"/>
      <c r="L24" s="302"/>
      <c r="M24" s="385"/>
      <c r="N24" s="27" t="s">
        <v>171</v>
      </c>
      <c r="O24" s="387"/>
      <c r="P24" s="44"/>
    </row>
    <row r="25" spans="1:16" ht="37.5">
      <c r="A25" s="11"/>
      <c r="B25" s="76" t="s">
        <v>36</v>
      </c>
      <c r="C25" s="27"/>
      <c r="D25" s="28">
        <f>1.03*0.4</f>
        <v>0.41200000000000003</v>
      </c>
      <c r="E25" s="28"/>
      <c r="F25" s="28">
        <f>0.89*0.4</f>
        <v>0.35600000000000004</v>
      </c>
      <c r="G25" s="33">
        <f t="shared" si="0"/>
        <v>0.38400000000000001</v>
      </c>
      <c r="H25" s="184"/>
      <c r="I25" s="372" t="s">
        <v>18</v>
      </c>
      <c r="J25" s="383">
        <f>2.87*0.4</f>
        <v>1.1480000000000001</v>
      </c>
      <c r="K25" s="383" t="s">
        <v>15</v>
      </c>
      <c r="L25" s="300"/>
      <c r="M25" s="383">
        <f>4.15*0.4</f>
        <v>1.6600000000000001</v>
      </c>
      <c r="N25" s="88" t="s">
        <v>170</v>
      </c>
      <c r="O25" s="386">
        <v>23</v>
      </c>
      <c r="P25" s="44"/>
    </row>
    <row r="26" spans="1:16" ht="37.5">
      <c r="A26" s="11"/>
      <c r="B26" s="76" t="s">
        <v>38</v>
      </c>
      <c r="C26" s="27"/>
      <c r="D26" s="28">
        <f>1.07*0.4</f>
        <v>0.42800000000000005</v>
      </c>
      <c r="E26" s="28"/>
      <c r="F26" s="29">
        <f>0.88*0.4</f>
        <v>0.35200000000000004</v>
      </c>
      <c r="G26" s="33">
        <f t="shared" si="0"/>
        <v>0.39</v>
      </c>
      <c r="H26" s="184"/>
      <c r="I26" s="380"/>
      <c r="J26" s="384"/>
      <c r="K26" s="384"/>
      <c r="L26" s="302"/>
      <c r="M26" s="385"/>
      <c r="N26" s="27" t="s">
        <v>171</v>
      </c>
      <c r="O26" s="387"/>
      <c r="P26" s="44"/>
    </row>
    <row r="27" spans="1:16" ht="38.25" thickBot="1">
      <c r="A27" s="11"/>
      <c r="B27" s="79" t="s">
        <v>39</v>
      </c>
      <c r="C27" s="80"/>
      <c r="D27" s="30">
        <f>0.96*0.4</f>
        <v>0.38400000000000001</v>
      </c>
      <c r="E27" s="30"/>
      <c r="F27" s="29">
        <f>0.83*0.4</f>
        <v>0.33200000000000002</v>
      </c>
      <c r="G27" s="33">
        <f t="shared" si="0"/>
        <v>0.35799999999999998</v>
      </c>
      <c r="H27" s="184"/>
      <c r="I27" s="372" t="s">
        <v>20</v>
      </c>
      <c r="J27" s="383">
        <f>5.32*0.4</f>
        <v>2.1280000000000001</v>
      </c>
      <c r="K27" s="383" t="s">
        <v>15</v>
      </c>
      <c r="L27" s="300"/>
      <c r="M27" s="383">
        <f>8.79*0.4</f>
        <v>3.516</v>
      </c>
      <c r="N27" s="88" t="s">
        <v>170</v>
      </c>
      <c r="O27" s="386">
        <v>82</v>
      </c>
      <c r="P27" s="44"/>
    </row>
    <row r="28" spans="1:16" ht="38.25" thickBot="1">
      <c r="A28" s="11"/>
      <c r="B28" s="17"/>
      <c r="C28" s="18"/>
      <c r="D28" s="19"/>
      <c r="E28" s="18"/>
      <c r="F28" s="19"/>
      <c r="G28" s="20"/>
      <c r="H28" s="184"/>
      <c r="I28" s="380"/>
      <c r="J28" s="384"/>
      <c r="K28" s="384"/>
      <c r="L28" s="302"/>
      <c r="M28" s="385"/>
      <c r="N28" s="27" t="s">
        <v>171</v>
      </c>
      <c r="O28" s="387"/>
      <c r="P28" s="44"/>
    </row>
    <row r="29" spans="1:16" ht="37.5">
      <c r="A29" s="11"/>
      <c r="B29" s="74"/>
      <c r="C29" s="26"/>
      <c r="D29" s="31"/>
      <c r="E29" s="26"/>
      <c r="F29" s="31"/>
      <c r="G29" s="102"/>
      <c r="H29" s="184"/>
      <c r="I29" s="372" t="s">
        <v>23</v>
      </c>
      <c r="J29" s="383">
        <f>3.7*0.4</f>
        <v>1.4800000000000002</v>
      </c>
      <c r="K29" s="383" t="s">
        <v>15</v>
      </c>
      <c r="L29" s="81"/>
      <c r="M29" s="383">
        <f>2.84*0.4</f>
        <v>1.1359999999999999</v>
      </c>
      <c r="N29" s="88" t="s">
        <v>170</v>
      </c>
      <c r="O29" s="386">
        <v>81</v>
      </c>
      <c r="P29" s="44"/>
    </row>
    <row r="30" spans="1:16" ht="38.25" thickBot="1">
      <c r="A30" s="11"/>
      <c r="B30" s="82" t="s">
        <v>42</v>
      </c>
      <c r="C30" s="83"/>
      <c r="D30" s="233" t="s">
        <v>92</v>
      </c>
      <c r="E30" s="32"/>
      <c r="F30" s="233" t="s">
        <v>92</v>
      </c>
      <c r="G30" s="61" t="s">
        <v>8</v>
      </c>
      <c r="H30" s="184"/>
      <c r="I30" s="380"/>
      <c r="J30" s="384"/>
      <c r="K30" s="384"/>
      <c r="L30" s="84"/>
      <c r="M30" s="385"/>
      <c r="N30" s="27" t="s">
        <v>171</v>
      </c>
      <c r="O30" s="387"/>
      <c r="P30" s="44"/>
    </row>
    <row r="31" spans="1:16" ht="37.5">
      <c r="A31" s="11"/>
      <c r="B31" s="76" t="s">
        <v>43</v>
      </c>
      <c r="C31" s="29" t="s">
        <v>4</v>
      </c>
      <c r="D31" s="27">
        <v>0.72</v>
      </c>
      <c r="E31" s="28"/>
      <c r="F31" s="234">
        <v>0.85</v>
      </c>
      <c r="G31" s="33">
        <f t="shared" ref="G31:G46" si="1">AVERAGE(D31:F31)</f>
        <v>0.78499999999999992</v>
      </c>
      <c r="H31" s="184"/>
      <c r="I31" s="372" t="s">
        <v>8</v>
      </c>
      <c r="J31" s="376">
        <v>1.87</v>
      </c>
      <c r="K31" s="300"/>
      <c r="L31" s="86"/>
      <c r="M31" s="376">
        <v>1.8</v>
      </c>
      <c r="N31" s="389"/>
      <c r="O31" s="386"/>
      <c r="P31" s="44"/>
    </row>
    <row r="32" spans="1:16" ht="37.5">
      <c r="A32" s="11"/>
      <c r="B32" s="76" t="s">
        <v>97</v>
      </c>
      <c r="C32" s="29"/>
      <c r="D32" s="29">
        <v>1.1000000000000001</v>
      </c>
      <c r="E32" s="28"/>
      <c r="F32" s="29">
        <v>1.24</v>
      </c>
      <c r="G32" s="33">
        <f t="shared" si="1"/>
        <v>1.17</v>
      </c>
      <c r="H32" s="184"/>
      <c r="I32" s="380"/>
      <c r="J32" s="388"/>
      <c r="K32" s="301"/>
      <c r="L32" s="87"/>
      <c r="M32" s="388"/>
      <c r="N32" s="383"/>
      <c r="O32" s="387"/>
      <c r="P32" s="44"/>
    </row>
    <row r="33" spans="1:16" ht="37.5">
      <c r="A33" s="11"/>
      <c r="B33" s="76" t="s">
        <v>22</v>
      </c>
      <c r="C33" s="88"/>
      <c r="D33" s="88">
        <v>0.34</v>
      </c>
      <c r="E33" s="29"/>
      <c r="F33" s="29">
        <v>0.49</v>
      </c>
      <c r="G33" s="33">
        <f t="shared" si="1"/>
        <v>0.41500000000000004</v>
      </c>
      <c r="H33" s="184"/>
      <c r="I33" s="372" t="s">
        <v>26</v>
      </c>
      <c r="J33" s="381">
        <f>2.19*0.4</f>
        <v>0.876</v>
      </c>
      <c r="K33" s="383" t="s">
        <v>15</v>
      </c>
      <c r="L33" s="381"/>
      <c r="M33" s="381">
        <f>2.52*0.4</f>
        <v>1.008</v>
      </c>
      <c r="N33" s="88" t="s">
        <v>170</v>
      </c>
      <c r="O33" s="386">
        <v>78</v>
      </c>
      <c r="P33" s="44"/>
    </row>
    <row r="34" spans="1:16" ht="37.5">
      <c r="A34" s="11"/>
      <c r="B34" s="76" t="s">
        <v>24</v>
      </c>
      <c r="C34" s="29"/>
      <c r="D34" s="29">
        <v>0.33</v>
      </c>
      <c r="E34" s="28"/>
      <c r="F34" s="29">
        <v>0.19</v>
      </c>
      <c r="G34" s="33">
        <f t="shared" si="1"/>
        <v>0.26</v>
      </c>
      <c r="H34" s="184"/>
      <c r="I34" s="380"/>
      <c r="J34" s="382"/>
      <c r="K34" s="384"/>
      <c r="L34" s="382"/>
      <c r="M34" s="382"/>
      <c r="N34" s="27" t="s">
        <v>173</v>
      </c>
      <c r="O34" s="387"/>
      <c r="P34" s="44"/>
    </row>
    <row r="35" spans="1:16" ht="37.5">
      <c r="A35" s="11"/>
      <c r="B35" s="76" t="s">
        <v>25</v>
      </c>
      <c r="C35" s="29"/>
      <c r="D35" s="29">
        <v>0.2</v>
      </c>
      <c r="E35" s="28"/>
      <c r="F35" s="29">
        <v>0.08</v>
      </c>
      <c r="G35" s="33">
        <f t="shared" si="1"/>
        <v>0.14000000000000001</v>
      </c>
      <c r="H35" s="184"/>
      <c r="I35" s="372" t="s">
        <v>28</v>
      </c>
      <c r="J35" s="381">
        <f>2.34*0.4</f>
        <v>0.93599999999999994</v>
      </c>
      <c r="K35" s="383" t="s">
        <v>15</v>
      </c>
      <c r="L35" s="381"/>
      <c r="M35" s="383">
        <f>2.16*0.4</f>
        <v>0.8640000000000001</v>
      </c>
      <c r="N35" s="88" t="s">
        <v>170</v>
      </c>
      <c r="O35" s="386">
        <v>81</v>
      </c>
      <c r="P35" s="44"/>
    </row>
    <row r="36" spans="1:16" ht="37.5">
      <c r="A36" s="11"/>
      <c r="B36" s="76" t="s">
        <v>27</v>
      </c>
      <c r="C36" s="29"/>
      <c r="D36" s="29">
        <v>0.15</v>
      </c>
      <c r="E36" s="29"/>
      <c r="F36" s="29">
        <v>0.03</v>
      </c>
      <c r="G36" s="33">
        <f t="shared" si="1"/>
        <v>0.09</v>
      </c>
      <c r="H36" s="184"/>
      <c r="I36" s="380"/>
      <c r="J36" s="382"/>
      <c r="K36" s="384"/>
      <c r="L36" s="382"/>
      <c r="M36" s="385"/>
      <c r="N36" s="27" t="s">
        <v>173</v>
      </c>
      <c r="O36" s="387"/>
      <c r="P36" s="44"/>
    </row>
    <row r="37" spans="1:16" ht="37.5">
      <c r="A37" s="11"/>
      <c r="B37" s="76" t="s">
        <v>46</v>
      </c>
      <c r="C37" s="29"/>
      <c r="D37" s="29">
        <v>0.08</v>
      </c>
      <c r="E37" s="29"/>
      <c r="F37" s="29">
        <v>0.01</v>
      </c>
      <c r="G37" s="33">
        <f t="shared" si="1"/>
        <v>4.4999999999999998E-2</v>
      </c>
      <c r="H37" s="184"/>
      <c r="I37" s="372" t="s">
        <v>31</v>
      </c>
      <c r="J37" s="381">
        <f>2.65*0.4</f>
        <v>1.06</v>
      </c>
      <c r="K37" s="383" t="s">
        <v>15</v>
      </c>
      <c r="L37" s="381"/>
      <c r="M37" s="383">
        <f>2.47*0.4</f>
        <v>0.9880000000000001</v>
      </c>
      <c r="N37" s="88" t="s">
        <v>170</v>
      </c>
      <c r="O37" s="386">
        <v>80</v>
      </c>
      <c r="P37" s="44"/>
    </row>
    <row r="38" spans="1:16" ht="37.5">
      <c r="A38" s="11"/>
      <c r="B38" s="76" t="s">
        <v>48</v>
      </c>
      <c r="C38" s="29"/>
      <c r="D38" s="29">
        <v>0.03</v>
      </c>
      <c r="E38" s="231"/>
      <c r="F38" s="29">
        <v>0</v>
      </c>
      <c r="G38" s="33">
        <f t="shared" si="1"/>
        <v>1.4999999999999999E-2</v>
      </c>
      <c r="H38" s="184"/>
      <c r="I38" s="380"/>
      <c r="J38" s="382"/>
      <c r="K38" s="384"/>
      <c r="L38" s="382"/>
      <c r="M38" s="385"/>
      <c r="N38" s="27" t="s">
        <v>173</v>
      </c>
      <c r="O38" s="387"/>
      <c r="P38" s="44"/>
    </row>
    <row r="39" spans="1:16" ht="37.5">
      <c r="A39" s="11"/>
      <c r="B39" s="76" t="s">
        <v>49</v>
      </c>
      <c r="C39" s="29"/>
      <c r="D39" s="29">
        <v>0</v>
      </c>
      <c r="E39" s="231"/>
      <c r="F39" s="29">
        <v>0</v>
      </c>
      <c r="G39" s="33">
        <f t="shared" si="1"/>
        <v>0</v>
      </c>
      <c r="H39" s="184"/>
      <c r="I39" s="372" t="s">
        <v>34</v>
      </c>
      <c r="J39" s="381">
        <f>2.59*0.4</f>
        <v>1.036</v>
      </c>
      <c r="K39" s="383" t="s">
        <v>15</v>
      </c>
      <c r="L39" s="381"/>
      <c r="M39" s="383">
        <f>1.77*0.4</f>
        <v>0.70800000000000007</v>
      </c>
      <c r="N39" s="88" t="s">
        <v>170</v>
      </c>
      <c r="O39" s="386">
        <v>39</v>
      </c>
      <c r="P39" s="44"/>
    </row>
    <row r="40" spans="1:16" ht="37.5">
      <c r="A40" s="11"/>
      <c r="B40" s="76" t="s">
        <v>51</v>
      </c>
      <c r="C40" s="29"/>
      <c r="D40" s="29">
        <v>0</v>
      </c>
      <c r="E40" s="231"/>
      <c r="F40" s="28">
        <v>0</v>
      </c>
      <c r="G40" s="33">
        <f t="shared" si="1"/>
        <v>0</v>
      </c>
      <c r="H40" s="184"/>
      <c r="I40" s="380"/>
      <c r="J40" s="382"/>
      <c r="K40" s="384"/>
      <c r="L40" s="382"/>
      <c r="M40" s="385"/>
      <c r="N40" s="27" t="s">
        <v>173</v>
      </c>
      <c r="O40" s="387"/>
      <c r="P40" s="44"/>
    </row>
    <row r="41" spans="1:16" ht="37.5">
      <c r="A41" s="11"/>
      <c r="B41" s="76" t="s">
        <v>52</v>
      </c>
      <c r="C41" s="29"/>
      <c r="D41" s="29">
        <v>0</v>
      </c>
      <c r="E41" s="231"/>
      <c r="F41" s="28">
        <v>0</v>
      </c>
      <c r="G41" s="33">
        <f t="shared" si="1"/>
        <v>0</v>
      </c>
      <c r="H41" s="184"/>
      <c r="I41" s="372" t="s">
        <v>37</v>
      </c>
      <c r="J41" s="381">
        <f>3.21*0.4</f>
        <v>1.284</v>
      </c>
      <c r="K41" s="383" t="s">
        <v>15</v>
      </c>
      <c r="L41" s="381"/>
      <c r="M41" s="383">
        <f>1.7*0.4</f>
        <v>0.68</v>
      </c>
      <c r="N41" s="88" t="s">
        <v>170</v>
      </c>
      <c r="O41" s="386">
        <v>54</v>
      </c>
      <c r="P41" s="44"/>
    </row>
    <row r="42" spans="1:16" ht="37.5">
      <c r="A42" s="13"/>
      <c r="B42" s="76" t="s">
        <v>54</v>
      </c>
      <c r="C42" s="29"/>
      <c r="D42" s="29">
        <v>0</v>
      </c>
      <c r="E42" s="28"/>
      <c r="F42" s="28">
        <v>0</v>
      </c>
      <c r="G42" s="33">
        <f t="shared" si="1"/>
        <v>0</v>
      </c>
      <c r="H42" s="184"/>
      <c r="I42" s="380"/>
      <c r="J42" s="382"/>
      <c r="K42" s="384"/>
      <c r="L42" s="382"/>
      <c r="M42" s="385"/>
      <c r="N42" s="27" t="s">
        <v>173</v>
      </c>
      <c r="O42" s="387"/>
      <c r="P42" s="44"/>
    </row>
    <row r="43" spans="1:16" ht="37.5">
      <c r="A43" s="14"/>
      <c r="B43" s="89" t="s">
        <v>55</v>
      </c>
      <c r="C43" s="29"/>
      <c r="D43" s="29">
        <v>0</v>
      </c>
      <c r="E43" s="28"/>
      <c r="F43" s="29">
        <v>0</v>
      </c>
      <c r="G43" s="33">
        <f t="shared" si="1"/>
        <v>0</v>
      </c>
      <c r="H43" s="33"/>
      <c r="I43" s="372" t="s">
        <v>40</v>
      </c>
      <c r="J43" s="381">
        <f>2.78*0.4</f>
        <v>1.1119999999999999</v>
      </c>
      <c r="K43" s="383" t="s">
        <v>15</v>
      </c>
      <c r="L43" s="381"/>
      <c r="M43" s="383">
        <f>2.69*0.4</f>
        <v>1.0760000000000001</v>
      </c>
      <c r="N43" s="88" t="s">
        <v>170</v>
      </c>
      <c r="O43" s="386">
        <v>52</v>
      </c>
      <c r="P43" s="44"/>
    </row>
    <row r="44" spans="1:16" ht="37.5">
      <c r="A44" s="14"/>
      <c r="B44" s="46" t="s">
        <v>56</v>
      </c>
      <c r="C44" s="29"/>
      <c r="D44" s="29">
        <v>0</v>
      </c>
      <c r="E44" s="30"/>
      <c r="F44" s="29">
        <v>0</v>
      </c>
      <c r="G44" s="33">
        <f t="shared" si="1"/>
        <v>0</v>
      </c>
      <c r="H44" s="184"/>
      <c r="I44" s="380"/>
      <c r="J44" s="382"/>
      <c r="K44" s="384"/>
      <c r="L44" s="382"/>
      <c r="M44" s="385"/>
      <c r="N44" s="27" t="s">
        <v>173</v>
      </c>
      <c r="O44" s="387"/>
      <c r="P44" s="44"/>
    </row>
    <row r="45" spans="1:16" ht="42.75" customHeight="1">
      <c r="A45" s="14"/>
      <c r="B45" s="89"/>
      <c r="C45" s="29"/>
      <c r="D45" s="29"/>
      <c r="E45" s="29"/>
      <c r="F45" s="29"/>
      <c r="G45" s="90"/>
      <c r="H45" s="184"/>
      <c r="I45" s="372" t="s">
        <v>41</v>
      </c>
      <c r="J45" s="381">
        <f>2.8*0.4</f>
        <v>1.1199999999999999</v>
      </c>
      <c r="K45" s="383" t="s">
        <v>15</v>
      </c>
      <c r="L45" s="381"/>
      <c r="M45" s="383">
        <f>3.76*0.4</f>
        <v>1.504</v>
      </c>
      <c r="N45" s="88" t="s">
        <v>170</v>
      </c>
      <c r="O45" s="386">
        <v>26</v>
      </c>
      <c r="P45" s="44"/>
    </row>
    <row r="46" spans="1:16" ht="57.75" customHeight="1" thickBot="1">
      <c r="A46" s="14"/>
      <c r="B46" s="241" t="s">
        <v>58</v>
      </c>
      <c r="C46" s="237"/>
      <c r="D46" s="238">
        <v>0.03</v>
      </c>
      <c r="E46" s="239"/>
      <c r="F46" s="238">
        <v>0.01</v>
      </c>
      <c r="G46" s="240">
        <f t="shared" si="1"/>
        <v>0.02</v>
      </c>
      <c r="H46" s="184"/>
      <c r="I46" s="380"/>
      <c r="J46" s="382"/>
      <c r="K46" s="384"/>
      <c r="L46" s="382"/>
      <c r="M46" s="385"/>
      <c r="N46" s="27" t="s">
        <v>173</v>
      </c>
      <c r="O46" s="387"/>
      <c r="P46" s="44"/>
    </row>
    <row r="47" spans="1:16" ht="38.25" thickBot="1">
      <c r="A47" s="14"/>
      <c r="B47" s="17"/>
      <c r="C47" s="18"/>
      <c r="D47" s="19"/>
      <c r="E47" s="18"/>
      <c r="F47" s="19"/>
      <c r="G47" s="20"/>
      <c r="H47" s="185"/>
      <c r="I47" s="372" t="s">
        <v>44</v>
      </c>
      <c r="J47" s="381">
        <f>2.48*0.4</f>
        <v>0.99199999999999999</v>
      </c>
      <c r="K47" s="383" t="s">
        <v>15</v>
      </c>
      <c r="L47" s="381"/>
      <c r="M47" s="383">
        <f>2.72*0.4</f>
        <v>1.0880000000000001</v>
      </c>
      <c r="N47" s="88" t="s">
        <v>170</v>
      </c>
      <c r="O47" s="386">
        <v>63</v>
      </c>
      <c r="P47" s="44"/>
    </row>
    <row r="48" spans="1:16" ht="37.5">
      <c r="A48" s="14"/>
      <c r="B48" s="92" t="s">
        <v>75</v>
      </c>
      <c r="C48" s="93"/>
      <c r="D48" s="94"/>
      <c r="E48" s="64"/>
      <c r="F48" s="39"/>
      <c r="G48" s="40"/>
      <c r="H48" s="50" t="s">
        <v>4</v>
      </c>
      <c r="I48" s="380"/>
      <c r="J48" s="382"/>
      <c r="K48" s="384"/>
      <c r="L48" s="382"/>
      <c r="M48" s="385"/>
      <c r="N48" s="27" t="s">
        <v>173</v>
      </c>
      <c r="O48" s="387"/>
      <c r="P48" s="44"/>
    </row>
    <row r="49" spans="1:16" ht="38.25" thickBot="1">
      <c r="A49" s="14"/>
      <c r="B49" s="95" t="s">
        <v>164</v>
      </c>
      <c r="C49" s="77"/>
      <c r="D49" s="220" t="s">
        <v>66</v>
      </c>
      <c r="E49" s="219" t="s">
        <v>95</v>
      </c>
      <c r="F49" s="219" t="s">
        <v>96</v>
      </c>
      <c r="G49" s="223"/>
      <c r="H49" s="224"/>
      <c r="I49" s="372" t="s">
        <v>45</v>
      </c>
      <c r="J49" s="381">
        <f>2.35*0.4</f>
        <v>0.94000000000000006</v>
      </c>
      <c r="K49" s="383" t="s">
        <v>15</v>
      </c>
      <c r="L49" s="300"/>
      <c r="M49" s="383">
        <f>3.9*0.4</f>
        <v>1.56</v>
      </c>
      <c r="N49" s="88" t="s">
        <v>170</v>
      </c>
      <c r="O49" s="386">
        <v>84</v>
      </c>
      <c r="P49" s="44"/>
    </row>
    <row r="50" spans="1:16" ht="37.5">
      <c r="A50" s="14"/>
      <c r="B50" s="76" t="s">
        <v>22</v>
      </c>
      <c r="C50" s="97"/>
      <c r="D50" s="98">
        <v>1579</v>
      </c>
      <c r="E50" s="98">
        <v>12</v>
      </c>
      <c r="F50" s="98">
        <f>(D50*E50)*0.26</f>
        <v>4926.4800000000005</v>
      </c>
      <c r="G50" s="221"/>
      <c r="H50" s="222"/>
      <c r="I50" s="380"/>
      <c r="J50" s="382"/>
      <c r="K50" s="384"/>
      <c r="L50" s="302"/>
      <c r="M50" s="385"/>
      <c r="N50" s="27" t="s">
        <v>173</v>
      </c>
      <c r="O50" s="387"/>
      <c r="P50" s="44"/>
    </row>
    <row r="51" spans="1:16" ht="37.5">
      <c r="A51" s="14"/>
      <c r="B51" s="76" t="s">
        <v>24</v>
      </c>
      <c r="C51" s="97"/>
      <c r="D51" s="98">
        <v>555</v>
      </c>
      <c r="E51" s="98">
        <v>8</v>
      </c>
      <c r="F51" s="98">
        <f>(D51*E51)*0.26</f>
        <v>1154.4000000000001</v>
      </c>
      <c r="G51" s="99"/>
      <c r="H51" s="186"/>
      <c r="I51" s="372" t="s">
        <v>47</v>
      </c>
      <c r="J51" s="381">
        <f>2.72*0.4</f>
        <v>1.0880000000000001</v>
      </c>
      <c r="K51" s="383" t="s">
        <v>15</v>
      </c>
      <c r="L51" s="300"/>
      <c r="M51" s="383">
        <f>1.16*0.4</f>
        <v>0.46399999999999997</v>
      </c>
      <c r="N51" s="88" t="s">
        <v>170</v>
      </c>
      <c r="O51" s="386">
        <v>73</v>
      </c>
      <c r="P51" s="44"/>
    </row>
    <row r="52" spans="1:16" ht="37.5">
      <c r="A52" s="14"/>
      <c r="B52" s="76" t="s">
        <v>25</v>
      </c>
      <c r="C52" s="97"/>
      <c r="D52" s="98">
        <v>425</v>
      </c>
      <c r="E52" s="98">
        <v>7</v>
      </c>
      <c r="F52" s="98">
        <f>(D52*E52)*0.26</f>
        <v>773.5</v>
      </c>
      <c r="G52" s="99"/>
      <c r="H52" s="186"/>
      <c r="I52" s="380"/>
      <c r="J52" s="382"/>
      <c r="K52" s="384"/>
      <c r="L52" s="302"/>
      <c r="M52" s="385"/>
      <c r="N52" s="27" t="s">
        <v>173</v>
      </c>
      <c r="O52" s="387"/>
      <c r="P52" s="44"/>
    </row>
    <row r="53" spans="1:16" ht="37.5">
      <c r="A53" s="14"/>
      <c r="B53" s="76" t="s">
        <v>27</v>
      </c>
      <c r="C53" s="97"/>
      <c r="D53" s="98">
        <v>590</v>
      </c>
      <c r="E53" s="98">
        <v>8</v>
      </c>
      <c r="F53" s="98">
        <f>(D53*E53)*0.26</f>
        <v>1227.2</v>
      </c>
      <c r="G53" s="99"/>
      <c r="H53" s="186"/>
      <c r="I53" s="372" t="s">
        <v>50</v>
      </c>
      <c r="J53" s="381">
        <f>3.71*0.4</f>
        <v>1.484</v>
      </c>
      <c r="K53" s="383" t="s">
        <v>15</v>
      </c>
      <c r="L53" s="300"/>
      <c r="M53" s="383">
        <f>2.8*0.4</f>
        <v>1.1199999999999999</v>
      </c>
      <c r="N53" s="88" t="s">
        <v>170</v>
      </c>
      <c r="O53" s="386">
        <v>73</v>
      </c>
      <c r="P53" s="44"/>
    </row>
    <row r="54" spans="1:16" ht="37.5">
      <c r="A54" s="11"/>
      <c r="B54" s="76" t="s">
        <v>46</v>
      </c>
      <c r="C54" s="100"/>
      <c r="D54" s="98"/>
      <c r="E54" s="98"/>
      <c r="F54" s="98"/>
      <c r="G54" s="99"/>
      <c r="H54" s="186"/>
      <c r="I54" s="380"/>
      <c r="J54" s="382"/>
      <c r="K54" s="384"/>
      <c r="L54" s="302"/>
      <c r="M54" s="385"/>
      <c r="N54" s="27" t="s">
        <v>173</v>
      </c>
      <c r="O54" s="387"/>
      <c r="P54" s="44"/>
    </row>
    <row r="55" spans="1:16" ht="37.5">
      <c r="A55" s="15"/>
      <c r="B55" s="76" t="s">
        <v>48</v>
      </c>
      <c r="C55" s="100"/>
      <c r="D55" s="98">
        <v>451</v>
      </c>
      <c r="E55" s="98">
        <v>5</v>
      </c>
      <c r="F55" s="98">
        <f>(D55*E55)*0.13</f>
        <v>293.15000000000003</v>
      </c>
      <c r="G55" s="99"/>
      <c r="H55" s="186"/>
      <c r="I55" s="372" t="s">
        <v>53</v>
      </c>
      <c r="J55" s="381">
        <f>2.04*0.4</f>
        <v>0.81600000000000006</v>
      </c>
      <c r="K55" s="383" t="s">
        <v>15</v>
      </c>
      <c r="L55" s="300"/>
      <c r="M55" s="383">
        <f>2.53*0.4</f>
        <v>1.012</v>
      </c>
      <c r="N55" s="88" t="s">
        <v>170</v>
      </c>
      <c r="O55" s="386">
        <v>49</v>
      </c>
      <c r="P55" s="44"/>
    </row>
    <row r="56" spans="1:16" ht="37.5">
      <c r="A56" s="15"/>
      <c r="B56" s="76" t="s">
        <v>49</v>
      </c>
      <c r="C56" s="100"/>
      <c r="D56" s="98">
        <v>173</v>
      </c>
      <c r="E56" s="98">
        <v>8</v>
      </c>
      <c r="F56" s="98">
        <f t="shared" ref="F56:F61" si="2">(D56*E56)*0.13</f>
        <v>179.92000000000002</v>
      </c>
      <c r="G56" s="99"/>
      <c r="H56" s="186"/>
      <c r="I56" s="380"/>
      <c r="J56" s="382"/>
      <c r="K56" s="384"/>
      <c r="L56" s="302"/>
      <c r="M56" s="385"/>
      <c r="N56" s="27" t="s">
        <v>173</v>
      </c>
      <c r="O56" s="387"/>
      <c r="P56" s="44"/>
    </row>
    <row r="57" spans="1:16" ht="37.5">
      <c r="A57" s="15"/>
      <c r="B57" s="76" t="s">
        <v>51</v>
      </c>
      <c r="C57" s="100"/>
      <c r="D57" s="98">
        <v>116</v>
      </c>
      <c r="E57" s="98">
        <v>9</v>
      </c>
      <c r="F57" s="98">
        <f t="shared" si="2"/>
        <v>135.72</v>
      </c>
      <c r="G57" s="99"/>
      <c r="H57" s="186"/>
      <c r="I57" s="372" t="s">
        <v>8</v>
      </c>
      <c r="J57" s="374">
        <v>1.06</v>
      </c>
      <c r="K57" s="376"/>
      <c r="L57" s="101"/>
      <c r="M57" s="376">
        <v>1.01</v>
      </c>
      <c r="N57" s="376"/>
      <c r="O57" s="378"/>
      <c r="P57" s="44"/>
    </row>
    <row r="58" spans="1:16" ht="38.25" thickBot="1">
      <c r="A58" s="15"/>
      <c r="B58" s="76" t="s">
        <v>52</v>
      </c>
      <c r="C58" s="100"/>
      <c r="D58" s="98">
        <v>107</v>
      </c>
      <c r="E58" s="98">
        <v>10</v>
      </c>
      <c r="F58" s="98">
        <f t="shared" si="2"/>
        <v>139.1</v>
      </c>
      <c r="G58" s="99"/>
      <c r="H58" s="186"/>
      <c r="I58" s="373"/>
      <c r="J58" s="375"/>
      <c r="K58" s="377"/>
      <c r="L58" s="36"/>
      <c r="M58" s="377"/>
      <c r="N58" s="377"/>
      <c r="O58" s="379"/>
      <c r="P58" s="44"/>
    </row>
    <row r="59" spans="1:16" ht="37.5">
      <c r="A59" s="15"/>
      <c r="B59" s="76" t="s">
        <v>54</v>
      </c>
      <c r="C59" s="100"/>
      <c r="D59" s="98">
        <v>88</v>
      </c>
      <c r="E59" s="98">
        <v>14</v>
      </c>
      <c r="F59" s="98">
        <f t="shared" si="2"/>
        <v>160.16</v>
      </c>
      <c r="G59" s="99"/>
      <c r="H59" s="186"/>
      <c r="I59" s="209"/>
      <c r="J59" s="206"/>
      <c r="K59" s="206"/>
      <c r="L59" s="207"/>
      <c r="M59" s="206"/>
      <c r="N59" s="206"/>
      <c r="O59" s="205" t="s">
        <v>101</v>
      </c>
      <c r="P59" s="44"/>
    </row>
    <row r="60" spans="1:16" ht="37.5">
      <c r="A60" s="15"/>
      <c r="B60" s="89" t="s">
        <v>55</v>
      </c>
      <c r="C60" s="100"/>
      <c r="D60" s="98">
        <v>60</v>
      </c>
      <c r="E60" s="98">
        <v>14</v>
      </c>
      <c r="F60" s="98">
        <f t="shared" si="2"/>
        <v>109.2</v>
      </c>
      <c r="G60" s="99"/>
      <c r="H60" s="186"/>
      <c r="I60" s="176"/>
      <c r="J60" s="103"/>
      <c r="K60" s="103"/>
      <c r="L60" s="104"/>
      <c r="M60" s="103"/>
      <c r="N60" s="103"/>
      <c r="O60" s="105"/>
      <c r="P60" s="44"/>
    </row>
    <row r="61" spans="1:16" ht="38.25" thickBot="1">
      <c r="A61" s="15"/>
      <c r="B61" s="89" t="s">
        <v>100</v>
      </c>
      <c r="C61" s="100"/>
      <c r="D61" s="98">
        <v>44</v>
      </c>
      <c r="E61" s="98">
        <v>12</v>
      </c>
      <c r="F61" s="98">
        <f t="shared" si="2"/>
        <v>68.64</v>
      </c>
      <c r="G61" s="99"/>
      <c r="H61" s="186"/>
      <c r="I61" s="177" t="s">
        <v>64</v>
      </c>
      <c r="J61" s="107"/>
      <c r="K61" s="107"/>
      <c r="L61" s="108"/>
      <c r="M61" s="109"/>
      <c r="N61" s="32"/>
      <c r="O61" s="110"/>
      <c r="P61" s="44"/>
    </row>
    <row r="62" spans="1:16" ht="39" thickTop="1" thickBot="1">
      <c r="A62" s="15"/>
      <c r="B62" s="111"/>
      <c r="C62" s="112"/>
      <c r="D62" s="97"/>
      <c r="E62" s="77"/>
      <c r="F62" s="230">
        <f>SUM(F50:F61)</f>
        <v>9167.4700000000012</v>
      </c>
      <c r="G62" s="99"/>
      <c r="H62" s="186"/>
      <c r="I62" s="112"/>
      <c r="J62" s="107"/>
      <c r="K62" s="107"/>
      <c r="L62" s="108"/>
      <c r="M62" s="109"/>
      <c r="N62" s="32"/>
      <c r="O62" s="110"/>
      <c r="P62" s="44"/>
    </row>
    <row r="63" spans="1:16" ht="38.25" thickTop="1">
      <c r="A63" s="15"/>
      <c r="B63" s="287"/>
      <c r="C63" s="288"/>
      <c r="D63" s="289"/>
      <c r="E63" s="290"/>
      <c r="F63" s="291"/>
      <c r="G63" s="99"/>
      <c r="H63" s="187" t="s">
        <v>4</v>
      </c>
      <c r="I63" s="77"/>
      <c r="J63" s="32" t="s">
        <v>6</v>
      </c>
      <c r="K63" s="114" t="s">
        <v>7</v>
      </c>
      <c r="L63" s="32" t="s">
        <v>8</v>
      </c>
      <c r="M63" s="32"/>
      <c r="N63" s="115"/>
      <c r="O63" s="33"/>
      <c r="P63" s="44"/>
    </row>
    <row r="64" spans="1:16" ht="37.5">
      <c r="A64" s="15"/>
      <c r="G64" s="118" t="s">
        <v>1</v>
      </c>
      <c r="H64" s="188"/>
      <c r="I64" s="304" t="s">
        <v>13</v>
      </c>
      <c r="J64" s="29">
        <v>0.77</v>
      </c>
      <c r="K64" s="29">
        <v>0.82</v>
      </c>
      <c r="L64" s="119">
        <f>AVERAGE(J64:K64)</f>
        <v>0.79499999999999993</v>
      </c>
      <c r="M64" s="115"/>
      <c r="N64" s="28"/>
      <c r="O64" s="33"/>
      <c r="P64" s="44"/>
    </row>
    <row r="65" spans="1:16" ht="37.5">
      <c r="A65" s="15"/>
      <c r="B65" s="212"/>
      <c r="C65" s="212"/>
      <c r="D65" s="212"/>
      <c r="E65" s="212"/>
      <c r="F65" s="212"/>
      <c r="G65" s="213"/>
      <c r="H65" s="188"/>
      <c r="I65" s="304" t="s">
        <v>16</v>
      </c>
      <c r="J65" s="29">
        <v>1.87</v>
      </c>
      <c r="K65" s="245">
        <v>0.83</v>
      </c>
      <c r="L65" s="208">
        <f>AVERAGE(J65:K65)</f>
        <v>1.35</v>
      </c>
      <c r="M65" s="115"/>
      <c r="N65" s="28"/>
      <c r="O65" s="33"/>
      <c r="P65" s="44"/>
    </row>
    <row r="66" spans="1:16" ht="38.25" thickBot="1">
      <c r="A66" s="15"/>
      <c r="B66" s="111" t="s">
        <v>65</v>
      </c>
      <c r="C66" s="112"/>
      <c r="D66" s="112"/>
      <c r="E66" s="220" t="s">
        <v>66</v>
      </c>
      <c r="F66" s="117"/>
      <c r="G66" s="121"/>
      <c r="H66" s="188"/>
      <c r="I66" s="178"/>
      <c r="J66" s="34"/>
      <c r="K66" s="122"/>
      <c r="L66" s="36"/>
      <c r="M66" s="123"/>
      <c r="N66" s="34"/>
      <c r="O66" s="124"/>
      <c r="P66" s="44"/>
    </row>
    <row r="67" spans="1:16" ht="37.5">
      <c r="A67" s="15"/>
      <c r="B67" s="95"/>
      <c r="C67" s="120"/>
      <c r="D67" s="120"/>
      <c r="E67" s="116"/>
      <c r="F67" s="28"/>
      <c r="G67" s="125"/>
      <c r="H67" s="189"/>
      <c r="I67" s="204"/>
      <c r="J67" s="202"/>
      <c r="K67" s="202"/>
      <c r="L67" s="203"/>
      <c r="M67" s="204"/>
      <c r="N67" s="202"/>
      <c r="O67" s="205" t="s">
        <v>1</v>
      </c>
      <c r="P67" s="44"/>
    </row>
    <row r="68" spans="1:16" ht="39">
      <c r="A68" s="15"/>
      <c r="B68" s="95" t="s">
        <v>164</v>
      </c>
      <c r="C68" s="120" t="s">
        <v>84</v>
      </c>
      <c r="D68" s="120" t="s">
        <v>172</v>
      </c>
      <c r="E68" s="116">
        <v>1595</v>
      </c>
      <c r="F68" s="29"/>
      <c r="G68" s="118"/>
      <c r="H68" s="190"/>
      <c r="I68" s="304" t="s">
        <v>67</v>
      </c>
      <c r="J68" s="304"/>
      <c r="K68" s="304"/>
      <c r="L68" s="126"/>
      <c r="M68" s="303"/>
      <c r="N68" s="127"/>
      <c r="O68" s="128"/>
      <c r="P68" s="44"/>
    </row>
    <row r="69" spans="1:16" ht="37.5">
      <c r="A69" s="15"/>
      <c r="B69" s="95" t="s">
        <v>164</v>
      </c>
      <c r="C69" s="120" t="s">
        <v>83</v>
      </c>
      <c r="D69" s="120" t="s">
        <v>165</v>
      </c>
      <c r="E69" s="116">
        <v>19</v>
      </c>
      <c r="F69" s="29"/>
      <c r="G69" s="118"/>
      <c r="H69" s="188"/>
      <c r="I69" s="126"/>
      <c r="J69" s="96" t="s">
        <v>68</v>
      </c>
      <c r="K69" s="96"/>
      <c r="L69" s="96"/>
      <c r="M69" s="77"/>
      <c r="N69" s="96"/>
      <c r="O69" s="129" t="s">
        <v>1</v>
      </c>
      <c r="P69" s="44"/>
    </row>
    <row r="70" spans="1:16" ht="37.5">
      <c r="A70" s="15"/>
      <c r="B70" s="95" t="s">
        <v>164</v>
      </c>
      <c r="C70" s="120" t="s">
        <v>83</v>
      </c>
      <c r="D70" s="120" t="s">
        <v>166</v>
      </c>
      <c r="E70" s="116">
        <v>19</v>
      </c>
      <c r="F70" s="172"/>
      <c r="G70" s="118"/>
      <c r="H70" s="191"/>
      <c r="I70" s="179"/>
      <c r="J70" s="120" t="s">
        <v>69</v>
      </c>
      <c r="K70" s="120"/>
      <c r="L70" s="32"/>
      <c r="M70" s="115"/>
      <c r="N70" s="32"/>
      <c r="O70" s="129"/>
      <c r="P70" s="44"/>
    </row>
    <row r="71" spans="1:16" ht="39">
      <c r="A71" s="16"/>
      <c r="B71" s="95"/>
      <c r="C71" s="120"/>
      <c r="D71" s="120"/>
      <c r="E71" s="116"/>
      <c r="F71" s="172"/>
      <c r="G71" s="132"/>
      <c r="H71" s="188"/>
      <c r="I71" s="174"/>
      <c r="J71" s="32" t="s">
        <v>6</v>
      </c>
      <c r="K71" s="32" t="s">
        <v>7</v>
      </c>
      <c r="L71" s="32" t="s">
        <v>8</v>
      </c>
      <c r="M71" s="133"/>
      <c r="N71" s="32"/>
      <c r="O71" s="33"/>
      <c r="P71" s="44"/>
    </row>
    <row r="72" spans="1:16" ht="39">
      <c r="A72" s="16"/>
      <c r="B72" s="95"/>
      <c r="C72" s="120"/>
      <c r="D72" s="120"/>
      <c r="E72" s="116"/>
      <c r="F72" s="130"/>
      <c r="G72" s="244"/>
      <c r="H72" s="192"/>
      <c r="I72" s="152" t="s">
        <v>88</v>
      </c>
      <c r="J72" s="29">
        <v>84.55</v>
      </c>
      <c r="K72" s="29"/>
      <c r="L72" s="119">
        <f>AVERAGE(J72:K72)</f>
        <v>84.55</v>
      </c>
      <c r="M72" s="133"/>
      <c r="N72" s="32"/>
      <c r="O72" s="33"/>
      <c r="P72" s="44"/>
    </row>
    <row r="73" spans="1:16" ht="39">
      <c r="A73" s="16"/>
      <c r="B73" s="95"/>
      <c r="C73" s="120"/>
      <c r="D73" s="120"/>
      <c r="E73" s="116"/>
      <c r="F73" s="131"/>
      <c r="G73" s="132"/>
      <c r="H73" s="193"/>
      <c r="I73" s="152" t="s">
        <v>89</v>
      </c>
      <c r="J73" s="29">
        <v>81.05</v>
      </c>
      <c r="K73" s="29"/>
      <c r="L73" s="119">
        <f>AVERAGE(J73:K73)</f>
        <v>81.05</v>
      </c>
      <c r="M73" s="135" t="s">
        <v>4</v>
      </c>
      <c r="N73" s="115" t="s">
        <v>4</v>
      </c>
      <c r="O73" s="33"/>
      <c r="P73" s="44"/>
    </row>
    <row r="74" spans="1:16" ht="39.75" thickBot="1">
      <c r="A74" s="16"/>
      <c r="B74" s="111" t="s">
        <v>70</v>
      </c>
      <c r="C74" s="120"/>
      <c r="D74" s="120"/>
      <c r="E74" s="156" t="s">
        <v>99</v>
      </c>
      <c r="F74" s="134"/>
      <c r="G74" s="132" t="s">
        <v>4</v>
      </c>
      <c r="H74" s="194"/>
      <c r="I74" s="126" t="s">
        <v>71</v>
      </c>
      <c r="J74" s="27">
        <v>64.400000000000006</v>
      </c>
      <c r="K74" s="27">
        <v>64.3</v>
      </c>
      <c r="L74" s="119">
        <f>AVERAGE(J74:K74)</f>
        <v>64.349999999999994</v>
      </c>
      <c r="M74" s="115"/>
      <c r="N74" s="88"/>
      <c r="O74" s="33"/>
      <c r="P74" s="44"/>
    </row>
    <row r="75" spans="1:16" ht="39.75" thickBot="1">
      <c r="A75" s="16"/>
      <c r="B75" s="95"/>
      <c r="C75" s="120"/>
      <c r="D75" s="120"/>
      <c r="E75" s="286"/>
      <c r="F75" s="131"/>
      <c r="G75" s="139"/>
      <c r="H75" s="195"/>
      <c r="I75" s="178" t="s">
        <v>72</v>
      </c>
      <c r="J75" s="91">
        <v>61.4</v>
      </c>
      <c r="K75" s="91">
        <v>61.3</v>
      </c>
      <c r="L75" s="119">
        <f>AVERAGE(J75:K75)</f>
        <v>61.349999999999994</v>
      </c>
      <c r="M75" s="115"/>
      <c r="N75" s="91"/>
      <c r="O75" s="35"/>
      <c r="P75" s="44"/>
    </row>
    <row r="76" spans="1:16" ht="39.75" thickBot="1">
      <c r="A76" s="170"/>
      <c r="B76" s="95" t="s">
        <v>164</v>
      </c>
      <c r="C76" s="120" t="s">
        <v>83</v>
      </c>
      <c r="D76" s="120" t="s">
        <v>165</v>
      </c>
      <c r="E76" s="136">
        <v>0.60960000000000003</v>
      </c>
      <c r="F76" s="137"/>
      <c r="G76" s="141"/>
      <c r="H76" s="188"/>
      <c r="I76" s="180"/>
      <c r="J76" s="2" t="s">
        <v>4</v>
      </c>
      <c r="K76" s="2">
        <v>14</v>
      </c>
      <c r="L76" s="2"/>
      <c r="M76" s="3" t="s">
        <v>4</v>
      </c>
      <c r="N76" s="4"/>
      <c r="O76" s="5"/>
      <c r="P76" s="44"/>
    </row>
    <row r="77" spans="1:16" ht="39">
      <c r="A77" s="170"/>
      <c r="B77" s="95" t="s">
        <v>164</v>
      </c>
      <c r="C77" s="120" t="s">
        <v>83</v>
      </c>
      <c r="D77" s="120" t="s">
        <v>166</v>
      </c>
      <c r="E77" s="136">
        <v>0.71850000000000003</v>
      </c>
      <c r="F77" s="137"/>
      <c r="G77" s="141"/>
      <c r="H77" s="192"/>
      <c r="I77" s="126" t="s">
        <v>77</v>
      </c>
      <c r="J77" s="32" t="s">
        <v>6</v>
      </c>
      <c r="K77" s="32" t="s">
        <v>7</v>
      </c>
      <c r="L77" s="32" t="s">
        <v>8</v>
      </c>
      <c r="M77" s="143"/>
      <c r="N77" s="144"/>
      <c r="O77" s="145"/>
      <c r="P77" s="44"/>
    </row>
    <row r="78" spans="1:16" ht="39.75" thickBot="1">
      <c r="A78" s="170"/>
      <c r="B78" s="95"/>
      <c r="C78" s="120"/>
      <c r="D78" s="120"/>
      <c r="E78" s="120"/>
      <c r="F78" s="140"/>
      <c r="G78" s="141"/>
      <c r="H78" s="196"/>
      <c r="I78" s="303"/>
      <c r="J78" s="236" t="s">
        <v>66</v>
      </c>
      <c r="K78" s="236" t="s">
        <v>66</v>
      </c>
      <c r="L78" s="236" t="s">
        <v>66</v>
      </c>
      <c r="M78" s="113"/>
      <c r="N78" s="303"/>
      <c r="O78" s="147"/>
      <c r="P78" s="44"/>
    </row>
    <row r="79" spans="1:16" ht="39">
      <c r="A79" s="170"/>
      <c r="B79" s="95"/>
      <c r="C79" s="120"/>
      <c r="D79" s="120"/>
      <c r="E79" s="136"/>
      <c r="F79" s="134"/>
      <c r="G79" s="141"/>
      <c r="H79" s="197"/>
      <c r="I79" s="181" t="s">
        <v>78</v>
      </c>
      <c r="J79" s="27">
        <f>1.01*0.4</f>
        <v>0.40400000000000003</v>
      </c>
      <c r="K79" s="27">
        <f>2.53*0.4</f>
        <v>1.012</v>
      </c>
      <c r="L79" s="119">
        <f>AVERAGE(J79:K79)</f>
        <v>0.70799999999999996</v>
      </c>
      <c r="M79" s="242"/>
      <c r="N79" s="51"/>
      <c r="O79" s="151"/>
      <c r="P79" s="44"/>
    </row>
    <row r="80" spans="1:16" ht="39.75" thickBot="1">
      <c r="A80" s="170"/>
      <c r="B80" s="106" t="s">
        <v>76</v>
      </c>
      <c r="C80" s="120"/>
      <c r="D80" s="120"/>
      <c r="E80" s="220" t="s">
        <v>66</v>
      </c>
      <c r="F80" s="134"/>
      <c r="G80" s="141"/>
      <c r="H80" s="197"/>
      <c r="I80" s="182" t="s">
        <v>79</v>
      </c>
      <c r="J80" s="34">
        <f>1.72*0.4</f>
        <v>0.68800000000000006</v>
      </c>
      <c r="K80" s="91">
        <f>2.53*0.4</f>
        <v>1.012</v>
      </c>
      <c r="L80" s="119">
        <f>AVERAGE(J80:K80)</f>
        <v>0.85000000000000009</v>
      </c>
      <c r="M80" s="32"/>
      <c r="N80" s="45" t="s">
        <v>4</v>
      </c>
      <c r="O80" s="243"/>
      <c r="P80" s="44"/>
    </row>
    <row r="81" spans="1:20" ht="39">
      <c r="A81" s="170"/>
      <c r="B81" s="95"/>
      <c r="C81" s="120"/>
      <c r="D81" s="120"/>
      <c r="E81" s="246"/>
      <c r="F81" s="134"/>
      <c r="G81" s="141"/>
      <c r="H81" s="197"/>
      <c r="I81" s="199"/>
      <c r="J81" s="200"/>
      <c r="K81" s="200"/>
      <c r="L81" s="200"/>
      <c r="M81" s="200"/>
      <c r="N81" s="200"/>
      <c r="O81" s="201"/>
      <c r="P81" s="44"/>
    </row>
    <row r="82" spans="1:20" ht="39">
      <c r="A82" s="170" t="s">
        <v>4</v>
      </c>
      <c r="B82" s="95" t="s">
        <v>164</v>
      </c>
      <c r="C82" s="120" t="s">
        <v>83</v>
      </c>
      <c r="D82" s="120" t="s">
        <v>158</v>
      </c>
      <c r="E82" s="27">
        <v>2.19</v>
      </c>
      <c r="F82" s="131"/>
      <c r="G82" s="139"/>
      <c r="H82" s="197"/>
      <c r="I82" s="174" t="s">
        <v>94</v>
      </c>
      <c r="M82" s="51"/>
      <c r="N82" s="51"/>
      <c r="O82" s="151"/>
      <c r="P82" s="44"/>
    </row>
    <row r="83" spans="1:20" ht="39">
      <c r="A83" s="170"/>
      <c r="B83" s="95" t="s">
        <v>164</v>
      </c>
      <c r="C83" s="120" t="s">
        <v>83</v>
      </c>
      <c r="D83" s="120" t="s">
        <v>165</v>
      </c>
      <c r="E83" s="27">
        <v>3.14</v>
      </c>
      <c r="F83" s="131"/>
      <c r="G83" s="139"/>
      <c r="H83" s="197"/>
      <c r="I83" s="210"/>
      <c r="J83" s="96" t="s">
        <v>6</v>
      </c>
      <c r="K83" s="96" t="s">
        <v>7</v>
      </c>
      <c r="L83" s="96" t="s">
        <v>8</v>
      </c>
      <c r="M83" s="51"/>
      <c r="N83" s="51"/>
      <c r="O83" s="151"/>
      <c r="P83" s="44"/>
      <c r="Q83" s="173"/>
      <c r="R83" s="173"/>
      <c r="S83" s="173"/>
      <c r="T83" s="173"/>
    </row>
    <row r="84" spans="1:20" ht="39">
      <c r="A84" s="170"/>
      <c r="B84" s="95" t="s">
        <v>114</v>
      </c>
      <c r="C84" s="120"/>
      <c r="D84" s="120"/>
      <c r="E84" s="27"/>
      <c r="F84" s="131"/>
      <c r="G84" s="139"/>
      <c r="H84" s="197"/>
      <c r="I84" s="77" t="s">
        <v>93</v>
      </c>
      <c r="J84" s="32" t="s">
        <v>85</v>
      </c>
      <c r="K84" s="32" t="s">
        <v>85</v>
      </c>
      <c r="L84" s="119" t="e">
        <f>AVERAGE(J84:K84)</f>
        <v>#DIV/0!</v>
      </c>
      <c r="M84" s="51"/>
      <c r="N84" s="51"/>
      <c r="O84" s="151"/>
      <c r="P84" s="51"/>
      <c r="Q84" s="146"/>
      <c r="R84" s="146"/>
      <c r="S84" s="146"/>
      <c r="T84" s="173"/>
    </row>
    <row r="85" spans="1:20" ht="39">
      <c r="A85" s="170"/>
      <c r="B85" s="95"/>
      <c r="D85" s="120"/>
      <c r="E85" s="169"/>
      <c r="F85" s="131"/>
      <c r="G85" s="139"/>
      <c r="H85" s="197"/>
      <c r="I85" s="77" t="s">
        <v>92</v>
      </c>
      <c r="J85" s="211">
        <v>0.03</v>
      </c>
      <c r="K85" s="211">
        <v>0.01</v>
      </c>
      <c r="L85" s="119">
        <f>AVERAGE(J85:K85)</f>
        <v>0.02</v>
      </c>
      <c r="M85" s="51"/>
      <c r="N85" s="51"/>
      <c r="O85" s="151"/>
      <c r="P85" s="44"/>
      <c r="Q85" s="173"/>
      <c r="R85" s="173"/>
      <c r="S85" s="173"/>
      <c r="T85" s="173"/>
    </row>
    <row r="86" spans="1:20" ht="39.75" thickBot="1">
      <c r="A86" s="170"/>
      <c r="B86" s="111" t="s">
        <v>82</v>
      </c>
      <c r="C86" s="120"/>
      <c r="D86" s="219" t="s">
        <v>99</v>
      </c>
      <c r="E86" s="27"/>
      <c r="F86" s="131"/>
      <c r="G86" s="139"/>
      <c r="H86" s="197"/>
      <c r="I86" s="149"/>
      <c r="J86" s="51"/>
      <c r="K86" s="51"/>
      <c r="L86" s="51"/>
      <c r="M86" s="51"/>
      <c r="N86" s="51"/>
      <c r="O86" s="151"/>
      <c r="P86" s="44"/>
    </row>
    <row r="87" spans="1:20" ht="39">
      <c r="A87" s="170"/>
      <c r="B87" s="95"/>
      <c r="C87" s="120"/>
      <c r="D87" s="62"/>
      <c r="E87" s="27"/>
      <c r="F87" s="131"/>
      <c r="G87" s="139"/>
      <c r="H87" s="194"/>
      <c r="I87" s="142"/>
      <c r="J87" s="51"/>
      <c r="K87" s="51"/>
      <c r="L87" s="51"/>
      <c r="M87" s="51"/>
      <c r="N87" s="51"/>
      <c r="O87" s="151"/>
      <c r="P87" s="44"/>
    </row>
    <row r="88" spans="1:20" ht="39">
      <c r="A88" s="170"/>
      <c r="B88" s="95"/>
      <c r="C88" s="235"/>
      <c r="D88" s="292"/>
      <c r="E88" s="27"/>
      <c r="F88" s="131"/>
      <c r="G88" s="139"/>
      <c r="H88" s="194"/>
      <c r="I88" s="138"/>
      <c r="J88" s="51"/>
      <c r="K88" s="51"/>
      <c r="L88" s="51"/>
      <c r="M88" s="51"/>
      <c r="N88" s="51"/>
      <c r="O88" s="151"/>
      <c r="P88" s="44"/>
    </row>
    <row r="89" spans="1:20" ht="39">
      <c r="A89" s="170"/>
      <c r="B89" s="95"/>
      <c r="C89" s="225"/>
      <c r="D89" s="293"/>
      <c r="E89" s="136"/>
      <c r="F89" s="131"/>
      <c r="G89" s="139"/>
      <c r="H89" s="194"/>
      <c r="I89" s="138"/>
      <c r="J89" s="51" t="s">
        <v>4</v>
      </c>
      <c r="K89" s="51"/>
      <c r="L89" s="51"/>
      <c r="M89" s="51"/>
      <c r="N89" s="51"/>
      <c r="O89" s="151"/>
      <c r="P89" s="44"/>
    </row>
    <row r="90" spans="1:20" ht="39.75" thickBot="1">
      <c r="A90" s="170"/>
      <c r="B90" s="227"/>
      <c r="C90" s="228"/>
      <c r="D90" s="293"/>
      <c r="E90" s="136"/>
      <c r="F90" s="131"/>
      <c r="G90" s="139"/>
      <c r="H90" s="198"/>
      <c r="I90" s="138"/>
      <c r="J90" s="51"/>
      <c r="K90" s="51"/>
      <c r="L90" s="51"/>
      <c r="M90" s="51"/>
      <c r="N90" s="51"/>
      <c r="O90" s="151"/>
      <c r="P90" s="44"/>
    </row>
    <row r="91" spans="1:20" ht="39">
      <c r="A91" s="170"/>
      <c r="B91" s="227"/>
      <c r="C91" s="228"/>
      <c r="D91" s="229"/>
      <c r="E91" s="136"/>
      <c r="F91" s="134"/>
      <c r="G91" s="141"/>
      <c r="H91" s="369" t="s">
        <v>86</v>
      </c>
      <c r="I91" s="370"/>
      <c r="J91" s="51"/>
      <c r="K91" s="51"/>
      <c r="L91" s="51"/>
      <c r="M91" s="51"/>
      <c r="N91" s="51"/>
      <c r="O91" s="151"/>
      <c r="P91" s="44"/>
    </row>
    <row r="92" spans="1:20" ht="39.75" thickBot="1">
      <c r="A92" s="171"/>
      <c r="B92" s="153"/>
      <c r="C92" s="154"/>
      <c r="D92" s="155"/>
      <c r="E92" s="156"/>
      <c r="F92" s="157"/>
      <c r="G92" s="158"/>
      <c r="H92" s="148" t="s">
        <v>73</v>
      </c>
      <c r="I92" s="150"/>
      <c r="J92" s="150"/>
      <c r="K92" s="150"/>
      <c r="L92" s="159"/>
      <c r="M92" s="159"/>
      <c r="N92" s="159"/>
      <c r="O92" s="160"/>
      <c r="P92" s="44"/>
    </row>
    <row r="93" spans="1:20" ht="39">
      <c r="A93" s="1"/>
      <c r="B93" s="161"/>
      <c r="C93" s="305"/>
      <c r="D93" s="161"/>
      <c r="E93" s="162"/>
      <c r="F93" s="161" t="s">
        <v>4</v>
      </c>
      <c r="G93" s="371" t="s">
        <v>4</v>
      </c>
      <c r="H93" s="371"/>
      <c r="I93" s="168"/>
      <c r="J93" s="168" t="s">
        <v>1</v>
      </c>
      <c r="K93" s="168"/>
      <c r="L93" s="168"/>
      <c r="M93" s="168"/>
      <c r="N93" s="168"/>
      <c r="O93" s="168"/>
      <c r="P93" s="44"/>
    </row>
    <row r="94" spans="1:20" ht="37.5">
      <c r="B94" s="163"/>
      <c r="C94" s="164"/>
      <c r="D94" s="165"/>
      <c r="E94" s="166"/>
      <c r="F94" s="167" t="s">
        <v>4</v>
      </c>
      <c r="G94" s="167"/>
      <c r="H94" s="167"/>
      <c r="I94" s="167"/>
      <c r="J94" s="167"/>
      <c r="K94" s="167"/>
      <c r="L94" s="167"/>
      <c r="M94" s="167"/>
      <c r="N94" s="167"/>
      <c r="O94" s="167" t="s">
        <v>80</v>
      </c>
      <c r="P94" s="44"/>
    </row>
  </sheetData>
  <mergeCells count="144">
    <mergeCell ref="H91:I91"/>
    <mergeCell ref="G93:H93"/>
    <mergeCell ref="I57:I58"/>
    <mergeCell ref="J57:J58"/>
    <mergeCell ref="K57:K58"/>
    <mergeCell ref="M57:M58"/>
    <mergeCell ref="N57:N58"/>
    <mergeCell ref="O57:O58"/>
    <mergeCell ref="I53:I54"/>
    <mergeCell ref="J53:J54"/>
    <mergeCell ref="K53:K54"/>
    <mergeCell ref="M53:M54"/>
    <mergeCell ref="O53:O54"/>
    <mergeCell ref="I55:I56"/>
    <mergeCell ref="J55:J56"/>
    <mergeCell ref="K55:K56"/>
    <mergeCell ref="M55:M56"/>
    <mergeCell ref="O55:O56"/>
    <mergeCell ref="I49:I50"/>
    <mergeCell ref="J49:J50"/>
    <mergeCell ref="K49:K50"/>
    <mergeCell ref="M49:M50"/>
    <mergeCell ref="O49:O50"/>
    <mergeCell ref="I51:I52"/>
    <mergeCell ref="J51:J52"/>
    <mergeCell ref="K51:K52"/>
    <mergeCell ref="M51:M52"/>
    <mergeCell ref="O51:O52"/>
    <mergeCell ref="I47:I48"/>
    <mergeCell ref="J47:J48"/>
    <mergeCell ref="K47:K48"/>
    <mergeCell ref="L47:L48"/>
    <mergeCell ref="M47:M48"/>
    <mergeCell ref="O47:O48"/>
    <mergeCell ref="I45:I46"/>
    <mergeCell ref="J45:J46"/>
    <mergeCell ref="K45:K46"/>
    <mergeCell ref="L45:L46"/>
    <mergeCell ref="M45:M46"/>
    <mergeCell ref="O45:O46"/>
    <mergeCell ref="I43:I44"/>
    <mergeCell ref="J43:J44"/>
    <mergeCell ref="K43:K44"/>
    <mergeCell ref="L43:L44"/>
    <mergeCell ref="M43:M44"/>
    <mergeCell ref="O43:O44"/>
    <mergeCell ref="I41:I42"/>
    <mergeCell ref="J41:J42"/>
    <mergeCell ref="K41:K42"/>
    <mergeCell ref="L41:L42"/>
    <mergeCell ref="M41:M42"/>
    <mergeCell ref="O41:O42"/>
    <mergeCell ref="I39:I40"/>
    <mergeCell ref="J39:J40"/>
    <mergeCell ref="K39:K40"/>
    <mergeCell ref="L39:L40"/>
    <mergeCell ref="M39:M40"/>
    <mergeCell ref="O39:O40"/>
    <mergeCell ref="I37:I38"/>
    <mergeCell ref="J37:J38"/>
    <mergeCell ref="K37:K38"/>
    <mergeCell ref="L37:L38"/>
    <mergeCell ref="M37:M38"/>
    <mergeCell ref="O37:O38"/>
    <mergeCell ref="O33:O34"/>
    <mergeCell ref="I35:I36"/>
    <mergeCell ref="J35:J36"/>
    <mergeCell ref="K35:K36"/>
    <mergeCell ref="L35:L36"/>
    <mergeCell ref="M35:M36"/>
    <mergeCell ref="O35:O36"/>
    <mergeCell ref="I31:I32"/>
    <mergeCell ref="J31:J32"/>
    <mergeCell ref="M31:M32"/>
    <mergeCell ref="N31:N32"/>
    <mergeCell ref="O31:O32"/>
    <mergeCell ref="I33:I34"/>
    <mergeCell ref="J33:J34"/>
    <mergeCell ref="K33:K34"/>
    <mergeCell ref="L33:L34"/>
    <mergeCell ref="M33:M34"/>
    <mergeCell ref="I27:I28"/>
    <mergeCell ref="J27:J28"/>
    <mergeCell ref="K27:K28"/>
    <mergeCell ref="M27:M28"/>
    <mergeCell ref="O27:O28"/>
    <mergeCell ref="I29:I30"/>
    <mergeCell ref="J29:J30"/>
    <mergeCell ref="K29:K30"/>
    <mergeCell ref="M29:M30"/>
    <mergeCell ref="O29:O30"/>
    <mergeCell ref="I23:I24"/>
    <mergeCell ref="J23:J24"/>
    <mergeCell ref="K23:K24"/>
    <mergeCell ref="M23:M24"/>
    <mergeCell ref="O23:O24"/>
    <mergeCell ref="I25:I26"/>
    <mergeCell ref="J25:J26"/>
    <mergeCell ref="K25:K26"/>
    <mergeCell ref="M25:M26"/>
    <mergeCell ref="O25:O26"/>
    <mergeCell ref="I19:I20"/>
    <mergeCell ref="J19:J20"/>
    <mergeCell ref="K19:K20"/>
    <mergeCell ref="M19:M20"/>
    <mergeCell ref="O19:O20"/>
    <mergeCell ref="I21:I22"/>
    <mergeCell ref="J21:J22"/>
    <mergeCell ref="K21:K22"/>
    <mergeCell ref="M21:M22"/>
    <mergeCell ref="O21:O22"/>
    <mergeCell ref="I15:I16"/>
    <mergeCell ref="J15:J16"/>
    <mergeCell ref="K15:K16"/>
    <mergeCell ref="M15:M16"/>
    <mergeCell ref="O15:O16"/>
    <mergeCell ref="I17:I18"/>
    <mergeCell ref="J17:J18"/>
    <mergeCell ref="K17:K18"/>
    <mergeCell ref="M17:M18"/>
    <mergeCell ref="O17:O18"/>
    <mergeCell ref="I11:I12"/>
    <mergeCell ref="J11:J12"/>
    <mergeCell ref="K11:K12"/>
    <mergeCell ref="M11:M12"/>
    <mergeCell ref="O11:O12"/>
    <mergeCell ref="I13:I14"/>
    <mergeCell ref="J13:J14"/>
    <mergeCell ref="K13:K14"/>
    <mergeCell ref="M13:M14"/>
    <mergeCell ref="O13:O14"/>
    <mergeCell ref="I9:I10"/>
    <mergeCell ref="J9:J10"/>
    <mergeCell ref="K9:K10"/>
    <mergeCell ref="L9:L10"/>
    <mergeCell ref="M9:M10"/>
    <mergeCell ref="O9:O10"/>
    <mergeCell ref="A1:O1"/>
    <mergeCell ref="A2:O2"/>
    <mergeCell ref="I7:I8"/>
    <mergeCell ref="J7:J8"/>
    <mergeCell ref="K7:K8"/>
    <mergeCell ref="M7:M8"/>
    <mergeCell ref="O7:O8"/>
  </mergeCells>
  <printOptions headings="1"/>
  <pageMargins left="0.23622047244094491" right="0.23622047244094491" top="0.74803149606299213" bottom="0.74803149606299213" header="0.31496062992125984" footer="0.31496062992125984"/>
  <pageSetup paperSize="9" scale="18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01.08.20 </vt:lpstr>
      <vt:lpstr>02.08.20 (1)</vt:lpstr>
      <vt:lpstr>02.08.20(2)</vt:lpstr>
      <vt:lpstr>03.08.20 </vt:lpstr>
      <vt:lpstr>04.08.20(1)</vt:lpstr>
      <vt:lpstr>04.08.20</vt:lpstr>
      <vt:lpstr>05.08.20</vt:lpstr>
      <vt:lpstr>06.08.20</vt:lpstr>
      <vt:lpstr>07.08.20</vt:lpstr>
      <vt:lpstr>08.08.20</vt:lpstr>
      <vt:lpstr>09.08.20 </vt:lpstr>
      <vt:lpstr>10.08.20 </vt:lpstr>
      <vt:lpstr>11.08.20 </vt:lpstr>
      <vt:lpstr>12.08.20</vt:lpstr>
      <vt:lpstr>12.08.20 (2)</vt:lpstr>
      <vt:lpstr>13.08.20 </vt:lpstr>
      <vt:lpstr>14.08.20</vt:lpstr>
      <vt:lpstr>15.08.20</vt:lpstr>
      <vt:lpstr>16.08.20</vt:lpstr>
      <vt:lpstr>17.08.20</vt:lpstr>
      <vt:lpstr>18.08.20 (1)</vt:lpstr>
      <vt:lpstr>18.08.20(2)</vt:lpstr>
      <vt:lpstr>'01.08.20 '!Print_Area</vt:lpstr>
      <vt:lpstr>'02.08.20 (1)'!Print_Area</vt:lpstr>
      <vt:lpstr>'02.08.20(2)'!Print_Area</vt:lpstr>
      <vt:lpstr>'03.08.20 '!Print_Area</vt:lpstr>
      <vt:lpstr>'04.08.20'!Print_Area</vt:lpstr>
      <vt:lpstr>'04.08.20(1)'!Print_Area</vt:lpstr>
      <vt:lpstr>'05.08.20'!Print_Area</vt:lpstr>
      <vt:lpstr>'06.08.20'!Print_Area</vt:lpstr>
      <vt:lpstr>'07.08.20'!Print_Area</vt:lpstr>
      <vt:lpstr>'08.08.20'!Print_Area</vt:lpstr>
      <vt:lpstr>'09.08.20 '!Print_Area</vt:lpstr>
      <vt:lpstr>'10.08.20 '!Print_Area</vt:lpstr>
      <vt:lpstr>'11.08.20 '!Print_Area</vt:lpstr>
      <vt:lpstr>'12.08.20'!Print_Area</vt:lpstr>
      <vt:lpstr>'12.08.20 (2)'!Print_Area</vt:lpstr>
      <vt:lpstr>'13.08.20 '!Print_Area</vt:lpstr>
      <vt:lpstr>'14.08.20'!Print_Area</vt:lpstr>
      <vt:lpstr>'15.08.20'!Print_Area</vt:lpstr>
      <vt:lpstr>'16.08.20'!Print_Area</vt:lpstr>
      <vt:lpstr>'17.08.20'!Print_Area</vt:lpstr>
      <vt:lpstr>'18.08.20 (1)'!Print_Area</vt:lpstr>
      <vt:lpstr>'18.08.20(2)'!Print_Area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2020-08-18T05:14:16Z</cp:lastPrinted>
  <dcterms:created xsi:type="dcterms:W3CDTF">2019-05-01T02:01:33Z</dcterms:created>
  <dcterms:modified xsi:type="dcterms:W3CDTF">2020-08-18T05:27:13Z</dcterms:modified>
</cp:coreProperties>
</file>