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290" windowWidth="11280" windowHeight="6495" activeTab="1"/>
  </bookViews>
  <sheets>
    <sheet name="14-15" sheetId="4" r:id="rId1"/>
    <sheet name="2015-16" sheetId="38" r:id="rId2"/>
  </sheets>
  <definedNames>
    <definedName name="_xlnm._FilterDatabase" localSheetId="0" hidden="1">'14-15'!$A$1:$AU$1615</definedName>
    <definedName name="_xlnm._FilterDatabase" localSheetId="1" hidden="1">'2015-16'!$A$1:$AN$1158</definedName>
    <definedName name="Z_02C738B0_3F95_48F4_95FB_9C710A3C484C_.wvu.FilterData" localSheetId="0" hidden="1">'14-15'!$A$1:$AU$1</definedName>
    <definedName name="Z_04E09155_D9D7_4CF0_B05C_E79375F1D4CF_.wvu.FilterData" localSheetId="0" hidden="1">'14-15'!$A$1:$AU$1</definedName>
    <definedName name="Z_06E616D4_31AC_4EE3_8182_F241AB9942F7_.wvu.FilterData" localSheetId="0" hidden="1">'14-15'!$A$1:$AU$1</definedName>
    <definedName name="Z_0976B042_CAD4_4EE4_9BF4_015C9E2DB42F_.wvu.FilterData" localSheetId="0" hidden="1">'14-15'!$A$1:$AU$1</definedName>
    <definedName name="Z_09EA3D2A_7BB3_4CA0_8A42_B5689B6FAB6D_.wvu.FilterData" localSheetId="0" hidden="1">'14-15'!$A$1:$AU$1</definedName>
    <definedName name="Z_11BC9A4E_8FDD_41FC_9F52_976AACD74255_.wvu.FilterData" localSheetId="0" hidden="1">'14-15'!$A$1:$AU$1</definedName>
    <definedName name="Z_11E38004_5A7E_41A5_A903_29FBC1A318A4_.wvu.FilterData" localSheetId="0" hidden="1">'14-15'!$A$1:$AU$1</definedName>
    <definedName name="Z_1340DF80_08E1_4546_8806_7D5059BF0BC6_.wvu.FilterData" localSheetId="0" hidden="1">'14-15'!$A$1:$AU$1</definedName>
    <definedName name="Z_165102AC_C62D_42B0_ACE3_BF08B483F33C_.wvu.FilterData" localSheetId="0" hidden="1">'14-15'!$A$1:$AU$423</definedName>
    <definedName name="Z_1FD9B42E_7534_4B27_83FB_53FC95E37AEA_.wvu.FilterData" localSheetId="0" hidden="1">'14-15'!$A$1:$AU$1</definedName>
    <definedName name="Z_2B3DAAE8_E904_4828_92B4_DB82B0FD3435_.wvu.FilterData" localSheetId="0" hidden="1">'14-15'!$A$1:$AU$1</definedName>
    <definedName name="Z_2CCE796D_99FE_498E_9CF8_C98A0FFAE6F6_.wvu.Cols" localSheetId="0" hidden="1">'14-15'!$Z:$AD,'14-15'!$AH:$AP</definedName>
    <definedName name="Z_2CCE796D_99FE_498E_9CF8_C98A0FFAE6F6_.wvu.FilterData" localSheetId="0" hidden="1">'14-15'!$A$1:$AU$52</definedName>
    <definedName name="Z_32C9AF77_F953_40DF_B2AF_5D27948C4A61_.wvu.FilterData" localSheetId="0" hidden="1">'14-15'!$A$1:$AU$1</definedName>
    <definedName name="Z_340BC98D_8019_4A13_B419_E832701E2C83_.wvu.FilterData" localSheetId="0" hidden="1">'14-15'!$A$1:$AU$1</definedName>
    <definedName name="Z_35A219DF_7E11_4EDC_90B6_9D928E0913E6_.wvu.FilterData" localSheetId="0" hidden="1">'14-15'!$A$1:$AU$1</definedName>
    <definedName name="Z_36091AB2_F7A0_4254_B4D1_5EEB89CDB181_.wvu.FilterData" localSheetId="0" hidden="1">'14-15'!$A$1:$AU$1</definedName>
    <definedName name="Z_38891DA6_645A_46D4_AD59_7EABC85787AF_.wvu.FilterData" localSheetId="0" hidden="1">'14-15'!$A$1:$AU$1</definedName>
    <definedName name="Z_3E1A6102_8B7A_4A74_96BD_D57DECD9AAF2_.wvu.FilterData" localSheetId="0" hidden="1">'14-15'!$A$1:$AU$52</definedName>
    <definedName name="Z_3E6C56C6_FE9A_4026_8981_E4BA79B2C50B_.wvu.FilterData" localSheetId="0" hidden="1">'14-15'!$A$1:$AU$1</definedName>
    <definedName name="Z_3EC60C03_A2B7_477A_91C3_E56E19E9B46C_.wvu.FilterData" localSheetId="0" hidden="1">'14-15'!$A$1:$AU$1</definedName>
    <definedName name="Z_3F117083_C991_4E28_B4B1_63C9F51E6337_.wvu.FilterData" localSheetId="0" hidden="1">'14-15'!$A$1:$AU$1</definedName>
    <definedName name="Z_3FE30A94_02C6_458B_9D07_798780677BF5_.wvu.FilterData" localSheetId="0" hidden="1">'14-15'!$A$1:$AU$1</definedName>
    <definedName name="Z_40971F49_A6E8_4233_AA9A_5DF61BCB2715_.wvu.FilterData" localSheetId="0" hidden="1">'14-15'!$A$1:$AU$1</definedName>
    <definedName name="Z_450B01E7_5775_4572_B3F7_E508ABFAAA9E_.wvu.FilterData" localSheetId="0" hidden="1">'14-15'!$A$1:$AU$1</definedName>
    <definedName name="Z_45F9F32F_6097_4E3E_9A3D_48F4A3A0DED0_.wvu.FilterData" localSheetId="0" hidden="1">'14-15'!$A$1:$AU$1</definedName>
    <definedName name="Z_47B80F41_7C6D_4FA2_9451_43C12A18E31C_.wvu.FilterData" localSheetId="0" hidden="1">'14-15'!$A$1:$AU$1</definedName>
    <definedName name="Z_4811D03B_5AB6_4E54_8A58_48C809C77B20_.wvu.FilterData" localSheetId="0" hidden="1">'14-15'!$A$1:$AU$1</definedName>
    <definedName name="Z_4DF43DF7_F5F8_4329_90B7_055BB27088F1_.wvu.FilterData" localSheetId="0" hidden="1">'14-15'!$A$1:$AU$1</definedName>
    <definedName name="Z_53B0FEDF_71BD_4574_860F_35F8A876A452_.wvu.FilterData" localSheetId="0" hidden="1">'14-15'!$A$1:$AU$1</definedName>
    <definedName name="Z_54BEF14F_79DA_4FB7_9196_01EE63FBD1A0_.wvu.FilterData" localSheetId="0" hidden="1">'14-15'!$A$1:$AU$1</definedName>
    <definedName name="Z_5510229E_F755_4DD7_B663_884B4DD36882_.wvu.FilterData" localSheetId="0" hidden="1">'14-15'!$A$1:$AU$1</definedName>
    <definedName name="Z_5514B20F_D680_4060_B00D_291B58DB3235_.wvu.FilterData" localSheetId="0" hidden="1">'14-15'!$A$1:$AU$1</definedName>
    <definedName name="Z_55F56D14_7E8A_4DF6_A467_127560469964_.wvu.FilterData" localSheetId="0" hidden="1">'14-15'!$A$1:$AU$1</definedName>
    <definedName name="Z_560E4A91_C998_4EA9_9958_2EE45F558AB1_.wvu.FilterData" localSheetId="0" hidden="1">'14-15'!$A$1:$AU$1</definedName>
    <definedName name="Z_5C09DB53_2B97_4E25_B0BA_A47D29820ED6_.wvu.FilterData" localSheetId="0" hidden="1">'14-15'!$A$1:$AU$1</definedName>
    <definedName name="Z_5F1DC02A_D1BD_4172_BEB6_5E2D983940DC_.wvu.FilterData" localSheetId="0" hidden="1">'14-15'!$A$1:$AU$1</definedName>
    <definedName name="Z_5F98DC21_AF33_4D78_8BBE_C2D2D907AF66_.wvu.FilterData" localSheetId="0" hidden="1">'14-15'!$A$1:$AU$1</definedName>
    <definedName name="Z_6300298A_867B_40EA_90FE_BE9E4E549A51_.wvu.FilterData" localSheetId="0" hidden="1">'14-15'!$A$1:$AU$1</definedName>
    <definedName name="Z_6416D7B5_4215_44C4_9050_1C33BF1B0747_.wvu.FilterData" localSheetId="0" hidden="1">'14-15'!$A$1:$AU$1</definedName>
    <definedName name="Z_6777BF66_9313_4962_9732_2CA528CD2FD4_.wvu.FilterData" localSheetId="0" hidden="1">'14-15'!$A$1:$AU$1</definedName>
    <definedName name="Z_699FD2D6_78A7_4F7A_BA45_C9BE970D9638_.wvu.FilterData" localSheetId="0" hidden="1">'14-15'!$A$1:$AU$1</definedName>
    <definedName name="Z_6A09E53B_1B11_448B_A9C1_246044BC78A3_.wvu.FilterData" localSheetId="0" hidden="1">'14-15'!$A$1:$AU$1</definedName>
    <definedName name="Z_6A7AD797_7D3C_42E2_9329_0E26D4B25E1A_.wvu.FilterData" localSheetId="0" hidden="1">'14-15'!$A$1:$AU$1</definedName>
    <definedName name="Z_6B065DE3_0F8C_4ED4_8535_6559CD6DF1A7_.wvu.FilterData" localSheetId="0" hidden="1">'14-15'!$A$1:$AU$1</definedName>
    <definedName name="Z_7042EE88_D852_4D4A_82EA_C926C82D13D5_.wvu.FilterData" localSheetId="0" hidden="1">'14-15'!$A$1:$AU$1</definedName>
    <definedName name="Z_719C1831_35C6_4F37_AE94_C38EE2E58350_.wvu.FilterData" localSheetId="0" hidden="1">'14-15'!$A$1:$AU$2</definedName>
    <definedName name="Z_744FF2F7_B52A_4256_8F34_F85FB915E80C_.wvu.FilterData" localSheetId="0" hidden="1">'14-15'!$A$1:$AU$54</definedName>
    <definedName name="Z_7837D483_5131_4577_8169_69EA259EB1F5_.wvu.FilterData" localSheetId="0" hidden="1">'14-15'!$A$1:$AU$1</definedName>
    <definedName name="Z_79E12958_B4A4_46E4_9912_9B9CDD320A73_.wvu.FilterData" localSheetId="0" hidden="1">'14-15'!$A$1:$AU$2</definedName>
    <definedName name="Z_7C05351E_01E1_438C_B96D_BC0AF31985D4_.wvu.FilterData" localSheetId="0" hidden="1">'14-15'!$A$1:$AU$1</definedName>
    <definedName name="Z_7E524065_38B4_45D5_94FD_00FBED938ADB_.wvu.FilterData" localSheetId="0" hidden="1">'14-15'!$A$1:$AU$1</definedName>
    <definedName name="Z_86FAA4C4_D4BF_48F4_845F_B0C86E650355_.wvu.FilterData" localSheetId="0" hidden="1">'14-15'!$A$1:$AU$1</definedName>
    <definedName name="Z_8A6794F7_41A0_486C_9847_C0A061A4B8D0_.wvu.FilterData" localSheetId="0" hidden="1">'14-15'!$A$1:$AU$1</definedName>
    <definedName name="Z_8C804CC6_7D42_47F3_9293_5920E87E0986_.wvu.FilterData" localSheetId="0" hidden="1">'14-15'!$A$1:$AU$1</definedName>
    <definedName name="Z_8DB74DD1_6D6D_41C2_A8A2_05284ABBC25E_.wvu.FilterData" localSheetId="0" hidden="1">'14-15'!$A$1:$AU$1</definedName>
    <definedName name="Z_8DE2CDD1_1F5D_4B0B_844B_2BD569A9DE1E_.wvu.FilterData" localSheetId="0" hidden="1">'14-15'!$A$1:$AU$1</definedName>
    <definedName name="Z_8E39A356_A5E0_4D25_BE20_CD7DCD48E4F4_.wvu.FilterData" localSheetId="0" hidden="1">'14-15'!$A$1:$AU$1</definedName>
    <definedName name="Z_8FB31086_94A2_4E89_A16F_CDBFF4D1327C_.wvu.FilterData" localSheetId="0" hidden="1">'14-15'!$A$1:$AU$1</definedName>
    <definedName name="Z_933EC679_59EC_44FF_944F_C59AB5E4598B_.wvu.FilterData" localSheetId="0" hidden="1">'14-15'!$A$1:$AU$1</definedName>
    <definedName name="Z_954B8497_E84B_46F6_B416_EEF6B4A6CA93_.wvu.FilterData" localSheetId="0" hidden="1">'14-15'!$A$1:$AU$1</definedName>
    <definedName name="Z_96FB0E96_F91A_454A_802A_5D242EFC7270_.wvu.FilterData" localSheetId="0" hidden="1">'14-15'!$A$1:$AU$1</definedName>
    <definedName name="Z_974BDD7A_7FC5_41BC_B4BE_C5FB3433A85F_.wvu.FilterData" localSheetId="0" hidden="1">'14-15'!$A$1:$AU$1</definedName>
    <definedName name="Z_9A47C96B_BB39_45DB_9DBF_F63A5A3FFDDB_.wvu.FilterData" localSheetId="0" hidden="1">'14-15'!$A$1:$AU$1</definedName>
    <definedName name="Z_9FA90BE5_4B9F_4DEB_95AB_FA8059AB234A_.wvu.FilterData" localSheetId="0" hidden="1">'14-15'!$A$1:$AU$1</definedName>
    <definedName name="Z_A01A667D_D6DE_4D9E_A1C4_BBD47A8568BF_.wvu.FilterData" localSheetId="0" hidden="1">'14-15'!$A$1:$AU$1</definedName>
    <definedName name="Z_A6AF9059_6FF2_47D3_9EDC_0E8761845401_.wvu.FilterData" localSheetId="0" hidden="1">'14-15'!$A$1:$AU$1</definedName>
    <definedName name="Z_A9790609_56A7_40F7_8B4A_C33DDEFE57EB_.wvu.FilterData" localSheetId="0" hidden="1">'14-15'!$A$1:$AU$1</definedName>
    <definedName name="Z_AF9CABB1_ADF1_4007_AD31_32CCCFCFCB0C_.wvu.FilterData" localSheetId="0" hidden="1">'14-15'!$A$1:$AU$1</definedName>
    <definedName name="Z_B0B9791B_63E8_4692_9605_7EFFEF64384B_.wvu.FilterData" localSheetId="0" hidden="1">'14-15'!$A$1:$AU$52</definedName>
    <definedName name="Z_B6E6FE09_8048_4574_818F_E072770A181D_.wvu.FilterData" localSheetId="0" hidden="1">'14-15'!$A$1:$AU$1</definedName>
    <definedName name="Z_BA428C97_1AFD_42E2_A3A5_D5AF4A062146_.wvu.FilterData" localSheetId="0" hidden="1">'14-15'!$A$1:$AU$1</definedName>
    <definedName name="Z_BA8B2055_0AB3_4B47_8B11_FD78C5A8AD61_.wvu.FilterData" localSheetId="0" hidden="1">'14-15'!$A$1:$AU$1</definedName>
    <definedName name="Z_BC56A17E_C872_4A47_A7BD_6C09921C8CDE_.wvu.FilterData" localSheetId="0" hidden="1">'14-15'!$A$1:$AU$1</definedName>
    <definedName name="Z_BD3BFAB0_744C_4652_B00B_A41198D5BE9F_.wvu.FilterData" localSheetId="0" hidden="1">'14-15'!$A$1:$AU$52</definedName>
    <definedName name="Z_BFDE945F_43C3_45F4_9C7B_E3CC0A2F2A75_.wvu.FilterData" localSheetId="0" hidden="1">'14-15'!$A$1:$AU$1</definedName>
    <definedName name="Z_C14ABBE7_54C2_4AEA_BCB0_141971DEC900_.wvu.FilterData" localSheetId="0" hidden="1">'14-15'!$A$1:$AU$1</definedName>
    <definedName name="Z_C2CC546A_92AC_473B_9143_34F15ECC4A46_.wvu.FilterData" localSheetId="0" hidden="1">'14-15'!$A$1:$AU$1</definedName>
    <definedName name="Z_C2DD8FC7_8167_4559_BA7B_6423EB161AC7_.wvu.Cols" localSheetId="0" hidden="1">'14-15'!$K:$W,'14-15'!$Z:$Z,'14-15'!$AB:$AD,'14-15'!$AF:$AG,'14-15'!$AM:$AP</definedName>
    <definedName name="Z_C2DD8FC7_8167_4559_BA7B_6423EB161AC7_.wvu.FilterData" localSheetId="0" hidden="1">'14-15'!$A$1:$AU$5</definedName>
    <definedName name="Z_C576D5E9_AAD5_4499_8568_D947F5F3F059_.wvu.FilterData" localSheetId="0" hidden="1">'14-15'!$A$1:$AU$1</definedName>
    <definedName name="Z_C78528FC_D18B_4555_A69E_49D3C14CFB58_.wvu.FilterData" localSheetId="0" hidden="1">'14-15'!$A$1:$AU$1</definedName>
    <definedName name="Z_C8F61072_0AA7_419D_8A21_C655E3ECA6D2_.wvu.FilterData" localSheetId="0" hidden="1">'14-15'!$A$1:$AU$1</definedName>
    <definedName name="Z_C92C96FE_5936_4524_8EE1_7A24DE4A707A_.wvu.FilterData" localSheetId="0" hidden="1">'14-15'!$A$1:$AU$1</definedName>
    <definedName name="Z_CA2A07FE_217A_4D35_9FFC_2C5D76178BCA_.wvu.FilterData" localSheetId="0" hidden="1">'14-15'!$A$1:$AU$1</definedName>
    <definedName name="Z_D11F7DD8_1854_4739_87F5_4D183ED54038_.wvu.FilterData" localSheetId="0" hidden="1">'14-15'!$A$1:$AU$1</definedName>
    <definedName name="Z_D31D1D9B_FF2C_4F81_8216_4BDE7D65EDE7_.wvu.FilterData" localSheetId="0" hidden="1">'14-15'!$A$1:$AU$1</definedName>
    <definedName name="Z_D4D125B4_662C_4173_A199_E554BE0EAFFE_.wvu.FilterData" localSheetId="0" hidden="1">'14-15'!$A$1:$AU$1</definedName>
    <definedName name="Z_D8C30933_715A_4DFE_AD68_815576C1AA19_.wvu.FilterData" localSheetId="0" hidden="1">'14-15'!$A$1:$AU$1</definedName>
    <definedName name="Z_DC76462D_4CE5_4247_8267_17619C98BD7F_.wvu.FilterData" localSheetId="0" hidden="1">'14-15'!$A$1:$AU$1</definedName>
    <definedName name="Z_E1F00083_914A_41D6_BB2A_D800DA6CA2C4_.wvu.FilterData" localSheetId="0" hidden="1">'14-15'!$A$1:$AU$1</definedName>
    <definedName name="Z_E25BC452_931C_49F6_8504_001D9179BFB3_.wvu.FilterData" localSheetId="0" hidden="1">'14-15'!$A$1:$AU$1</definedName>
    <definedName name="Z_EA63C487_2AB0_4894_AA4C_4B5BE383666F_.wvu.FilterData" localSheetId="0" hidden="1">'14-15'!$A$1:$AU$1</definedName>
    <definedName name="Z_EB6B4573_AF98_4A13_8FBB_0F799E8469CA_.wvu.FilterData" localSheetId="0" hidden="1">'14-15'!$A$1:$AU$1</definedName>
    <definedName name="Z_EC006356_B5A6_43E1_AF40_A7F01B568B12_.wvu.FilterData" localSheetId="0" hidden="1">'14-15'!$A$1:$AU$1</definedName>
    <definedName name="Z_EE6C640C_6D21_412A_98CD_68121C177098_.wvu.FilterData" localSheetId="0" hidden="1">'14-15'!$A$1:$AU$1</definedName>
    <definedName name="Z_EF1A5EF1_7CAA_48D1_A301_FACD236709E7_.wvu.FilterData" localSheetId="0" hidden="1">'14-15'!$A$1:$AU$1</definedName>
    <definedName name="Z_F16F115B_5A50_4FA5_9C91_4E9F07D59358_.wvu.FilterData" localSheetId="0" hidden="1">'14-15'!$A$1:$AU$1</definedName>
    <definedName name="Z_F238679E_FC6E_48E6_AD5E_14E698A186E8_.wvu.FilterData" localSheetId="0" hidden="1">'14-15'!$A$1:$AU$1</definedName>
    <definedName name="Z_F2C8B688_B28C_45FF_9F83_DC4E3B06B24B_.wvu.FilterData" localSheetId="0" hidden="1">'14-15'!$A$1:$AU$1</definedName>
    <definedName name="Z_F4AF3E7D_6C24_4A17_8F30_10662C9877AB_.wvu.FilterData" localSheetId="0" hidden="1">'14-15'!$A$1:$AU$5</definedName>
    <definedName name="Z_FD48FA27_6FFC_410A_995F_C66037E23026_.wvu.FilterData" localSheetId="0" hidden="1">'14-15'!$A$1:$AU$1</definedName>
    <definedName name="Z_FE7CD422_EF5D_431B_9A7B_AA1C072BDB75_.wvu.FilterData" localSheetId="0" hidden="1">'14-15'!$A$1:$AU$1</definedName>
  </definedNames>
  <calcPr calcId="145621"/>
</workbook>
</file>

<file path=xl/calcChain.xml><?xml version="1.0" encoding="utf-8"?>
<calcChain xmlns="http://schemas.openxmlformats.org/spreadsheetml/2006/main">
  <c r="W1072" i="38" l="1"/>
  <c r="AE1072" i="38" s="1"/>
  <c r="AC1072" i="38"/>
  <c r="W1073" i="38"/>
  <c r="AE1073" i="38" s="1"/>
  <c r="AC1073" i="38"/>
  <c r="AG1159" i="38" l="1"/>
  <c r="AF1159" i="38"/>
  <c r="AD1159" i="38"/>
  <c r="W1158" i="38"/>
  <c r="W1157" i="38"/>
  <c r="AC1156" i="38"/>
  <c r="W1156" i="38"/>
  <c r="AE1156" i="38" s="1"/>
  <c r="AC1155" i="38"/>
  <c r="W1155" i="38"/>
  <c r="AE1155" i="38" s="1"/>
  <c r="AC1154" i="38"/>
  <c r="W1154" i="38"/>
  <c r="AE1154" i="38" s="1"/>
  <c r="AC1153" i="38"/>
  <c r="W1153" i="38"/>
  <c r="AE1153" i="38" s="1"/>
  <c r="AC1152" i="38"/>
  <c r="W1152" i="38"/>
  <c r="AE1152" i="38" s="1"/>
  <c r="AC1151" i="38"/>
  <c r="W1151" i="38"/>
  <c r="AE1151" i="38" s="1"/>
  <c r="AC1150" i="38"/>
  <c r="W1150" i="38"/>
  <c r="AE1150" i="38" s="1"/>
  <c r="AC1149" i="38"/>
  <c r="W1149" i="38"/>
  <c r="AE1149" i="38" s="1"/>
  <c r="AC1148" i="38"/>
  <c r="W1148" i="38"/>
  <c r="AE1148" i="38" s="1"/>
  <c r="AC1147" i="38"/>
  <c r="W1147" i="38"/>
  <c r="AE1147" i="38" s="1"/>
  <c r="AC1146" i="38"/>
  <c r="W1146" i="38"/>
  <c r="AE1146" i="38" s="1"/>
  <c r="AC1145" i="38"/>
  <c r="W1145" i="38"/>
  <c r="AE1145" i="38" s="1"/>
  <c r="AC1144" i="38"/>
  <c r="W1144" i="38"/>
  <c r="AE1144" i="38" s="1"/>
  <c r="AC1143" i="38"/>
  <c r="W1143" i="38"/>
  <c r="AE1143" i="38" s="1"/>
  <c r="AC1142" i="38"/>
  <c r="W1142" i="38"/>
  <c r="AE1142" i="38" s="1"/>
  <c r="AC1141" i="38"/>
  <c r="W1141" i="38"/>
  <c r="AE1141" i="38" s="1"/>
  <c r="AC1140" i="38"/>
  <c r="W1140" i="38"/>
  <c r="AE1140" i="38" s="1"/>
  <c r="AC1139" i="38"/>
  <c r="W1139" i="38"/>
  <c r="AE1139" i="38" s="1"/>
  <c r="AC1138" i="38"/>
  <c r="W1138" i="38"/>
  <c r="AE1138" i="38" s="1"/>
  <c r="AC1137" i="38"/>
  <c r="W1137" i="38"/>
  <c r="AE1137" i="38" s="1"/>
  <c r="AC1136" i="38"/>
  <c r="W1136" i="38"/>
  <c r="AE1136" i="38" s="1"/>
  <c r="AC1135" i="38"/>
  <c r="W1135" i="38"/>
  <c r="AE1135" i="38" s="1"/>
  <c r="AC1134" i="38"/>
  <c r="W1134" i="38"/>
  <c r="AE1134" i="38" s="1"/>
  <c r="AC1133" i="38"/>
  <c r="W1133" i="38"/>
  <c r="AE1133" i="38" s="1"/>
  <c r="AC1132" i="38"/>
  <c r="W1132" i="38"/>
  <c r="AE1132" i="38" s="1"/>
  <c r="AC1131" i="38"/>
  <c r="W1131" i="38"/>
  <c r="AE1131" i="38" s="1"/>
  <c r="AC1130" i="38"/>
  <c r="W1130" i="38"/>
  <c r="AE1130" i="38" s="1"/>
  <c r="AC1129" i="38"/>
  <c r="W1129" i="38"/>
  <c r="AE1129" i="38" s="1"/>
  <c r="AC1128" i="38"/>
  <c r="W1128" i="38"/>
  <c r="AE1128" i="38" s="1"/>
  <c r="AC1127" i="38"/>
  <c r="W1127" i="38"/>
  <c r="AE1127" i="38" s="1"/>
  <c r="AC1126" i="38"/>
  <c r="W1126" i="38"/>
  <c r="AE1126" i="38" s="1"/>
  <c r="AC1125" i="38"/>
  <c r="W1125" i="38"/>
  <c r="AE1125" i="38" s="1"/>
  <c r="AC1124" i="38"/>
  <c r="W1124" i="38"/>
  <c r="AE1124" i="38" s="1"/>
  <c r="AC1123" i="38"/>
  <c r="W1123" i="38"/>
  <c r="AE1123" i="38" s="1"/>
  <c r="AC1122" i="38"/>
  <c r="W1122" i="38"/>
  <c r="AE1122" i="38" s="1"/>
  <c r="AC1121" i="38"/>
  <c r="W1121" i="38"/>
  <c r="AE1121" i="38" s="1"/>
  <c r="AC1120" i="38"/>
  <c r="W1120" i="38"/>
  <c r="AE1120" i="38" s="1"/>
  <c r="AC1119" i="38"/>
  <c r="W1119" i="38"/>
  <c r="AE1119" i="38" s="1"/>
  <c r="AC1118" i="38"/>
  <c r="W1118" i="38"/>
  <c r="AE1118" i="38" s="1"/>
  <c r="AC1117" i="38"/>
  <c r="W1117" i="38"/>
  <c r="AE1117" i="38" s="1"/>
  <c r="AC1116" i="38"/>
  <c r="W1116" i="38"/>
  <c r="AE1116" i="38" s="1"/>
  <c r="AC1115" i="38"/>
  <c r="W1115" i="38"/>
  <c r="AE1115" i="38" s="1"/>
  <c r="AC1114" i="38"/>
  <c r="W1114" i="38"/>
  <c r="AE1114" i="38" s="1"/>
  <c r="AC1113" i="38"/>
  <c r="W1113" i="38"/>
  <c r="AE1113" i="38" s="1"/>
  <c r="AC1112" i="38"/>
  <c r="W1112" i="38"/>
  <c r="AE1112" i="38" s="1"/>
  <c r="AC1111" i="38"/>
  <c r="W1111" i="38"/>
  <c r="AE1111" i="38" s="1"/>
  <c r="AC1110" i="38"/>
  <c r="W1110" i="38"/>
  <c r="AE1110" i="38" s="1"/>
  <c r="AC1109" i="38"/>
  <c r="W1109" i="38"/>
  <c r="AE1109" i="38" s="1"/>
  <c r="AC1108" i="38"/>
  <c r="W1108" i="38"/>
  <c r="AE1108" i="38" s="1"/>
  <c r="AC1107" i="38"/>
  <c r="W1107" i="38"/>
  <c r="AE1107" i="38" s="1"/>
  <c r="AC1106" i="38"/>
  <c r="W1106" i="38"/>
  <c r="AE1106" i="38" s="1"/>
  <c r="AC1105" i="38"/>
  <c r="W1105" i="38"/>
  <c r="AE1105" i="38" s="1"/>
  <c r="AC1104" i="38"/>
  <c r="W1104" i="38"/>
  <c r="AE1104" i="38" s="1"/>
  <c r="AC1103" i="38"/>
  <c r="W1103" i="38"/>
  <c r="AE1103" i="38" s="1"/>
  <c r="AC1102" i="38"/>
  <c r="W1102" i="38"/>
  <c r="AE1102" i="38" s="1"/>
  <c r="AE1101" i="38"/>
  <c r="AC1101" i="38"/>
  <c r="W1101" i="38"/>
  <c r="AC1100" i="38"/>
  <c r="W1100" i="38"/>
  <c r="AE1100" i="38" s="1"/>
  <c r="AC1099" i="38"/>
  <c r="W1099" i="38"/>
  <c r="AE1099" i="38" s="1"/>
  <c r="AC1098" i="38"/>
  <c r="W1098" i="38"/>
  <c r="AE1098" i="38" s="1"/>
  <c r="AC1097" i="38"/>
  <c r="W1097" i="38"/>
  <c r="AE1097" i="38" s="1"/>
  <c r="AC1096" i="38"/>
  <c r="W1096" i="38"/>
  <c r="AE1096" i="38" s="1"/>
  <c r="AC1095" i="38"/>
  <c r="W1095" i="38"/>
  <c r="AE1095" i="38" s="1"/>
  <c r="AE1094" i="38"/>
  <c r="AC1094" i="38"/>
  <c r="W1094" i="38"/>
  <c r="AC1093" i="38"/>
  <c r="W1093" i="38"/>
  <c r="AE1093" i="38" s="1"/>
  <c r="AC1092" i="38"/>
  <c r="W1092" i="38"/>
  <c r="AE1092" i="38" s="1"/>
  <c r="AC1091" i="38"/>
  <c r="W1091" i="38"/>
  <c r="AE1091" i="38" s="1"/>
  <c r="AC1090" i="38"/>
  <c r="W1090" i="38"/>
  <c r="AE1090" i="38" s="1"/>
  <c r="AC1089" i="38"/>
  <c r="W1089" i="38"/>
  <c r="AE1089" i="38" s="1"/>
  <c r="AC1088" i="38"/>
  <c r="W1088" i="38"/>
  <c r="AE1088" i="38" s="1"/>
  <c r="AC1087" i="38"/>
  <c r="W1087" i="38"/>
  <c r="AE1087" i="38" s="1"/>
  <c r="AC1086" i="38"/>
  <c r="W1086" i="38"/>
  <c r="AE1086" i="38" s="1"/>
  <c r="AC1085" i="38"/>
  <c r="W1085" i="38"/>
  <c r="AE1085" i="38" s="1"/>
  <c r="AC1084" i="38"/>
  <c r="W1084" i="38"/>
  <c r="AE1084" i="38" s="1"/>
  <c r="AC1083" i="38"/>
  <c r="W1083" i="38"/>
  <c r="AE1083" i="38" s="1"/>
  <c r="AC1082" i="38"/>
  <c r="W1082" i="38"/>
  <c r="AE1082" i="38" s="1"/>
  <c r="AC1081" i="38"/>
  <c r="W1081" i="38"/>
  <c r="AE1081" i="38" s="1"/>
  <c r="AC1080" i="38"/>
  <c r="W1080" i="38"/>
  <c r="AE1080" i="38" s="1"/>
  <c r="AC1079" i="38"/>
  <c r="W1079" i="38"/>
  <c r="AE1079" i="38" s="1"/>
  <c r="AC1078" i="38"/>
  <c r="W1078" i="38"/>
  <c r="AE1078" i="38" s="1"/>
  <c r="AC1077" i="38"/>
  <c r="W1077" i="38"/>
  <c r="AE1077" i="38" s="1"/>
  <c r="AC1076" i="38"/>
  <c r="W1076" i="38"/>
  <c r="AE1076" i="38" s="1"/>
  <c r="AC1075" i="38"/>
  <c r="W1075" i="38"/>
  <c r="AE1075" i="38" s="1"/>
  <c r="AC1074" i="38"/>
  <c r="W1074" i="38"/>
  <c r="AE1074" i="38" s="1"/>
  <c r="AC1071" i="38"/>
  <c r="W1071" i="38"/>
  <c r="AE1071" i="38" s="1"/>
  <c r="AC1070" i="38"/>
  <c r="W1070" i="38"/>
  <c r="AE1070" i="38" s="1"/>
  <c r="AC1069" i="38"/>
  <c r="W1069" i="38"/>
  <c r="AE1069" i="38" s="1"/>
  <c r="AC1068" i="38"/>
  <c r="W1068" i="38"/>
  <c r="AE1068" i="38" s="1"/>
  <c r="AC1067" i="38"/>
  <c r="W1067" i="38"/>
  <c r="AE1067" i="38" s="1"/>
  <c r="AC1066" i="38"/>
  <c r="W1066" i="38"/>
  <c r="AE1066" i="38" s="1"/>
  <c r="AC1065" i="38"/>
  <c r="W1065" i="38"/>
  <c r="AE1065" i="38" s="1"/>
  <c r="AC1064" i="38"/>
  <c r="W1064" i="38"/>
  <c r="AE1064" i="38" s="1"/>
  <c r="AC1063" i="38"/>
  <c r="W1063" i="38"/>
  <c r="AE1063" i="38" s="1"/>
  <c r="AC1062" i="38"/>
  <c r="W1062" i="38"/>
  <c r="AE1062" i="38" s="1"/>
  <c r="AC1061" i="38"/>
  <c r="W1061" i="38"/>
  <c r="AE1061" i="38" s="1"/>
  <c r="AC1060" i="38"/>
  <c r="W1060" i="38"/>
  <c r="AE1060" i="38" s="1"/>
  <c r="AC1059" i="38"/>
  <c r="W1059" i="38"/>
  <c r="AE1059" i="38" s="1"/>
  <c r="AC1058" i="38"/>
  <c r="W1058" i="38"/>
  <c r="AE1058" i="38" s="1"/>
  <c r="AC1057" i="38"/>
  <c r="W1057" i="38"/>
  <c r="AE1057" i="38" s="1"/>
  <c r="AC1056" i="38"/>
  <c r="W1056" i="38"/>
  <c r="AE1056" i="38" s="1"/>
  <c r="AC1055" i="38"/>
  <c r="W1055" i="38"/>
  <c r="AE1055" i="38" s="1"/>
  <c r="AC1054" i="38"/>
  <c r="W1054" i="38"/>
  <c r="AE1054" i="38" s="1"/>
  <c r="AC1053" i="38"/>
  <c r="W1053" i="38"/>
  <c r="AE1053" i="38" s="1"/>
  <c r="AC1052" i="38"/>
  <c r="W1052" i="38"/>
  <c r="AE1052" i="38" s="1"/>
  <c r="AC1051" i="38"/>
  <c r="W1051" i="38"/>
  <c r="AE1051" i="38" s="1"/>
  <c r="AC1050" i="38"/>
  <c r="W1050" i="38"/>
  <c r="AE1050" i="38" s="1"/>
  <c r="AC1049" i="38"/>
  <c r="W1049" i="38"/>
  <c r="AE1049" i="38" s="1"/>
  <c r="AC1048" i="38"/>
  <c r="W1048" i="38"/>
  <c r="AE1048" i="38" s="1"/>
  <c r="AC1047" i="38"/>
  <c r="W1047" i="38"/>
  <c r="AE1047" i="38" s="1"/>
  <c r="AC1046" i="38"/>
  <c r="W1046" i="38"/>
  <c r="AE1046" i="38" s="1"/>
  <c r="AC1045" i="38"/>
  <c r="W1045" i="38"/>
  <c r="AE1045" i="38" s="1"/>
  <c r="AC1044" i="38"/>
  <c r="W1044" i="38"/>
  <c r="AE1044" i="38" s="1"/>
  <c r="AC1043" i="38"/>
  <c r="W1043" i="38"/>
  <c r="AE1043" i="38" s="1"/>
  <c r="AC1042" i="38"/>
  <c r="W1042" i="38"/>
  <c r="AE1042" i="38" s="1"/>
  <c r="AC1041" i="38"/>
  <c r="W1041" i="38"/>
  <c r="AE1041" i="38" s="1"/>
  <c r="AC1040" i="38"/>
  <c r="W1040" i="38"/>
  <c r="AE1040" i="38" s="1"/>
  <c r="AC1039" i="38"/>
  <c r="W1039" i="38"/>
  <c r="AE1039" i="38" s="1"/>
  <c r="AC1038" i="38"/>
  <c r="W1038" i="38"/>
  <c r="AE1038" i="38" s="1"/>
  <c r="AC1037" i="38"/>
  <c r="W1037" i="38"/>
  <c r="AE1037" i="38" s="1"/>
  <c r="AC1036" i="38"/>
  <c r="W1036" i="38"/>
  <c r="AE1036" i="38" s="1"/>
  <c r="AC1035" i="38"/>
  <c r="W1035" i="38"/>
  <c r="AE1035" i="38" s="1"/>
  <c r="AC1034" i="38"/>
  <c r="W1034" i="38"/>
  <c r="AE1034" i="38" s="1"/>
  <c r="AC1033" i="38"/>
  <c r="W1033" i="38"/>
  <c r="AE1033" i="38" s="1"/>
  <c r="AC1032" i="38"/>
  <c r="W1032" i="38"/>
  <c r="AE1032" i="38" s="1"/>
  <c r="AC1031" i="38"/>
  <c r="W1031" i="38"/>
  <c r="AE1031" i="38" s="1"/>
  <c r="AC1030" i="38"/>
  <c r="W1030" i="38"/>
  <c r="AE1030" i="38" s="1"/>
  <c r="AC1029" i="38"/>
  <c r="W1029" i="38"/>
  <c r="AE1029" i="38" s="1"/>
  <c r="AC1028" i="38"/>
  <c r="W1028" i="38"/>
  <c r="AE1028" i="38" s="1"/>
  <c r="AC1027" i="38"/>
  <c r="W1027" i="38"/>
  <c r="AE1027" i="38" s="1"/>
  <c r="AC1026" i="38"/>
  <c r="W1026" i="38"/>
  <c r="AE1026" i="38" s="1"/>
  <c r="AC1025" i="38"/>
  <c r="W1025" i="38"/>
  <c r="AE1025" i="38" s="1"/>
  <c r="AC1024" i="38"/>
  <c r="W1024" i="38"/>
  <c r="AE1024" i="38" s="1"/>
  <c r="AC1023" i="38"/>
  <c r="W1023" i="38"/>
  <c r="AE1023" i="38" s="1"/>
  <c r="AC1022" i="38"/>
  <c r="W1022" i="38"/>
  <c r="AE1022" i="38" s="1"/>
  <c r="AC1021" i="38"/>
  <c r="W1021" i="38"/>
  <c r="AE1021" i="38" s="1"/>
  <c r="AC1020" i="38"/>
  <c r="W1020" i="38"/>
  <c r="AE1020" i="38" s="1"/>
  <c r="AC1019" i="38"/>
  <c r="W1019" i="38"/>
  <c r="AE1019" i="38" s="1"/>
  <c r="AC1018" i="38"/>
  <c r="W1018" i="38"/>
  <c r="AE1018" i="38" s="1"/>
  <c r="AC1017" i="38"/>
  <c r="W1017" i="38"/>
  <c r="AE1017" i="38" s="1"/>
  <c r="AC1016" i="38"/>
  <c r="W1016" i="38"/>
  <c r="AE1016" i="38" s="1"/>
  <c r="AC1015" i="38"/>
  <c r="W1015" i="38"/>
  <c r="AE1015" i="38" s="1"/>
  <c r="AC1014" i="38"/>
  <c r="W1014" i="38"/>
  <c r="AE1014" i="38" s="1"/>
  <c r="AC1013" i="38"/>
  <c r="W1013" i="38"/>
  <c r="AE1013" i="38" s="1"/>
  <c r="AC1012" i="38"/>
  <c r="W1012" i="38"/>
  <c r="AE1012" i="38" s="1"/>
  <c r="AC1011" i="38"/>
  <c r="W1011" i="38"/>
  <c r="AE1011" i="38" s="1"/>
  <c r="AC1010" i="38"/>
  <c r="W1010" i="38"/>
  <c r="AE1010" i="38" s="1"/>
  <c r="AC1009" i="38"/>
  <c r="W1009" i="38"/>
  <c r="AE1009" i="38" s="1"/>
  <c r="AC1008" i="38"/>
  <c r="W1008" i="38"/>
  <c r="AE1008" i="38" s="1"/>
  <c r="AC1007" i="38"/>
  <c r="W1007" i="38"/>
  <c r="AE1007" i="38" s="1"/>
  <c r="AC1006" i="38"/>
  <c r="W1006" i="38"/>
  <c r="AE1006" i="38" s="1"/>
  <c r="AC1005" i="38"/>
  <c r="W1005" i="38"/>
  <c r="AE1005" i="38" s="1"/>
  <c r="AC1004" i="38"/>
  <c r="W1004" i="38"/>
  <c r="AE1004" i="38" s="1"/>
  <c r="AC1003" i="38"/>
  <c r="W1003" i="38"/>
  <c r="AE1003" i="38" s="1"/>
  <c r="AC1002" i="38"/>
  <c r="W1002" i="38"/>
  <c r="AE1002" i="38" s="1"/>
  <c r="AC1001" i="38"/>
  <c r="W1001" i="38"/>
  <c r="AE1001" i="38" s="1"/>
  <c r="AC1000" i="38"/>
  <c r="W1000" i="38"/>
  <c r="AE1000" i="38" s="1"/>
  <c r="AC999" i="38"/>
  <c r="W999" i="38"/>
  <c r="AE999" i="38" s="1"/>
  <c r="AC998" i="38"/>
  <c r="W998" i="38"/>
  <c r="AE998" i="38" s="1"/>
  <c r="AC997" i="38"/>
  <c r="W997" i="38"/>
  <c r="AE997" i="38" s="1"/>
  <c r="AC996" i="38"/>
  <c r="W996" i="38"/>
  <c r="AE996" i="38" s="1"/>
  <c r="AC995" i="38"/>
  <c r="W995" i="38"/>
  <c r="AE995" i="38" s="1"/>
  <c r="AC994" i="38"/>
  <c r="W994" i="38"/>
  <c r="AE994" i="38" s="1"/>
  <c r="AC993" i="38"/>
  <c r="W993" i="38"/>
  <c r="AE993" i="38" s="1"/>
  <c r="AC992" i="38"/>
  <c r="W992" i="38"/>
  <c r="AE992" i="38" s="1"/>
  <c r="AC991" i="38"/>
  <c r="W991" i="38"/>
  <c r="AE991" i="38" s="1"/>
  <c r="AC990" i="38"/>
  <c r="W990" i="38"/>
  <c r="AE990" i="38" s="1"/>
  <c r="AC989" i="38"/>
  <c r="W989" i="38"/>
  <c r="AE989" i="38" s="1"/>
  <c r="AC988" i="38"/>
  <c r="W988" i="38"/>
  <c r="AE988" i="38" s="1"/>
  <c r="AC987" i="38"/>
  <c r="W987" i="38"/>
  <c r="AE987" i="38" s="1"/>
  <c r="AC986" i="38"/>
  <c r="W986" i="38"/>
  <c r="AE986" i="38" s="1"/>
  <c r="AC985" i="38"/>
  <c r="W985" i="38"/>
  <c r="AE985" i="38" s="1"/>
  <c r="AC984" i="38"/>
  <c r="W984" i="38"/>
  <c r="AE984" i="38" s="1"/>
  <c r="AC983" i="38"/>
  <c r="W983" i="38"/>
  <c r="AE983" i="38" s="1"/>
  <c r="AC982" i="38"/>
  <c r="W982" i="38"/>
  <c r="AE982" i="38" s="1"/>
  <c r="AC981" i="38"/>
  <c r="W981" i="38"/>
  <c r="AE981" i="38" s="1"/>
  <c r="AC980" i="38"/>
  <c r="W980" i="38"/>
  <c r="AE980" i="38" s="1"/>
  <c r="AC979" i="38"/>
  <c r="W979" i="38"/>
  <c r="AE979" i="38" s="1"/>
  <c r="AC978" i="38"/>
  <c r="W978" i="38"/>
  <c r="AE978" i="38" s="1"/>
  <c r="AC977" i="38"/>
  <c r="W977" i="38"/>
  <c r="AE977" i="38" s="1"/>
  <c r="AC976" i="38"/>
  <c r="W976" i="38"/>
  <c r="AE976" i="38" s="1"/>
  <c r="AC975" i="38"/>
  <c r="W975" i="38"/>
  <c r="AE975" i="38" s="1"/>
  <c r="AC974" i="38"/>
  <c r="W974" i="38"/>
  <c r="AE974" i="38" s="1"/>
  <c r="AC973" i="38"/>
  <c r="W973" i="38"/>
  <c r="AE973" i="38" s="1"/>
  <c r="AC972" i="38"/>
  <c r="W972" i="38"/>
  <c r="AE972" i="38" s="1"/>
  <c r="AC971" i="38"/>
  <c r="W971" i="38"/>
  <c r="AE971" i="38" s="1"/>
  <c r="AC970" i="38"/>
  <c r="W970" i="38"/>
  <c r="AE970" i="38" s="1"/>
  <c r="AC969" i="38"/>
  <c r="W969" i="38"/>
  <c r="AE969" i="38" s="1"/>
  <c r="AC968" i="38"/>
  <c r="W968" i="38"/>
  <c r="AE968" i="38" s="1"/>
  <c r="AC967" i="38"/>
  <c r="W967" i="38"/>
  <c r="AE967" i="38" s="1"/>
  <c r="AC966" i="38"/>
  <c r="W966" i="38"/>
  <c r="AE966" i="38" s="1"/>
  <c r="AC965" i="38"/>
  <c r="W965" i="38"/>
  <c r="AE965" i="38" s="1"/>
  <c r="AC964" i="38"/>
  <c r="W964" i="38"/>
  <c r="AE964" i="38" s="1"/>
  <c r="AC963" i="38"/>
  <c r="W963" i="38"/>
  <c r="AE963" i="38" s="1"/>
  <c r="AC962" i="38"/>
  <c r="W962" i="38"/>
  <c r="AE962" i="38" s="1"/>
  <c r="AC961" i="38"/>
  <c r="W961" i="38"/>
  <c r="AE961" i="38" s="1"/>
  <c r="AC960" i="38"/>
  <c r="W960" i="38"/>
  <c r="AE960" i="38" s="1"/>
  <c r="AC959" i="38"/>
  <c r="W959" i="38"/>
  <c r="AE959" i="38" s="1"/>
  <c r="AC958" i="38"/>
  <c r="W958" i="38"/>
  <c r="AE958" i="38" s="1"/>
  <c r="AC957" i="38"/>
  <c r="W957" i="38"/>
  <c r="AE957" i="38" s="1"/>
  <c r="AC956" i="38"/>
  <c r="W956" i="38"/>
  <c r="AE956" i="38" s="1"/>
  <c r="AC955" i="38"/>
  <c r="W955" i="38"/>
  <c r="AE955" i="38" s="1"/>
  <c r="AC954" i="38"/>
  <c r="W954" i="38"/>
  <c r="AE954" i="38" s="1"/>
  <c r="AC953" i="38"/>
  <c r="W953" i="38"/>
  <c r="AE953" i="38" s="1"/>
  <c r="AC952" i="38"/>
  <c r="W952" i="38"/>
  <c r="AE952" i="38" s="1"/>
  <c r="AC951" i="38"/>
  <c r="W951" i="38"/>
  <c r="AE951" i="38" s="1"/>
  <c r="AC950" i="38"/>
  <c r="W950" i="38"/>
  <c r="AE950" i="38" s="1"/>
  <c r="AC949" i="38"/>
  <c r="W949" i="38"/>
  <c r="AE949" i="38" s="1"/>
  <c r="AC948" i="38"/>
  <c r="W948" i="38"/>
  <c r="AE948" i="38" s="1"/>
  <c r="AC947" i="38"/>
  <c r="W947" i="38"/>
  <c r="AE947" i="38" s="1"/>
  <c r="AC946" i="38"/>
  <c r="W946" i="38"/>
  <c r="AE946" i="38" s="1"/>
  <c r="AC945" i="38"/>
  <c r="W945" i="38"/>
  <c r="AE945" i="38" s="1"/>
  <c r="AC944" i="38"/>
  <c r="W944" i="38"/>
  <c r="AE944" i="38" s="1"/>
  <c r="AC943" i="38"/>
  <c r="W943" i="38"/>
  <c r="AE943" i="38" s="1"/>
  <c r="AC942" i="38"/>
  <c r="W942" i="38"/>
  <c r="AE942" i="38" s="1"/>
  <c r="AC941" i="38"/>
  <c r="W941" i="38"/>
  <c r="AE941" i="38" s="1"/>
  <c r="AC940" i="38"/>
  <c r="W940" i="38"/>
  <c r="AE940" i="38" s="1"/>
  <c r="AC939" i="38"/>
  <c r="W939" i="38"/>
  <c r="AE939" i="38" s="1"/>
  <c r="AC938" i="38"/>
  <c r="W938" i="38"/>
  <c r="AE938" i="38" s="1"/>
  <c r="AC937" i="38"/>
  <c r="W937" i="38"/>
  <c r="AE937" i="38" s="1"/>
  <c r="AC936" i="38"/>
  <c r="W936" i="38"/>
  <c r="AE936" i="38" s="1"/>
  <c r="AC935" i="38"/>
  <c r="W935" i="38"/>
  <c r="AE935" i="38" s="1"/>
  <c r="AC934" i="38"/>
  <c r="W934" i="38"/>
  <c r="AE934" i="38" s="1"/>
  <c r="AC933" i="38"/>
  <c r="W933" i="38"/>
  <c r="AE933" i="38" s="1"/>
  <c r="AC932" i="38"/>
  <c r="W932" i="38"/>
  <c r="AE932" i="38" s="1"/>
  <c r="AC931" i="38"/>
  <c r="W931" i="38"/>
  <c r="AE931" i="38" s="1"/>
  <c r="AC930" i="38"/>
  <c r="W930" i="38"/>
  <c r="AE930" i="38" s="1"/>
  <c r="AC929" i="38"/>
  <c r="W929" i="38"/>
  <c r="AE929" i="38" s="1"/>
  <c r="AC928" i="38"/>
  <c r="W928" i="38"/>
  <c r="AE928" i="38" s="1"/>
  <c r="AC927" i="38"/>
  <c r="W927" i="38"/>
  <c r="AE927" i="38" s="1"/>
  <c r="AC926" i="38"/>
  <c r="W926" i="38"/>
  <c r="AE926" i="38" s="1"/>
  <c r="AC925" i="38"/>
  <c r="W925" i="38"/>
  <c r="AE925" i="38" s="1"/>
  <c r="AC924" i="38"/>
  <c r="W924" i="38"/>
  <c r="AE924" i="38" s="1"/>
  <c r="AC923" i="38"/>
  <c r="W923" i="38"/>
  <c r="AE923" i="38" s="1"/>
  <c r="AC922" i="38"/>
  <c r="W922" i="38"/>
  <c r="AE922" i="38" s="1"/>
  <c r="AC921" i="38"/>
  <c r="W921" i="38"/>
  <c r="AE921" i="38" s="1"/>
  <c r="AC920" i="38"/>
  <c r="W920" i="38"/>
  <c r="AE920" i="38" s="1"/>
  <c r="AC919" i="38"/>
  <c r="W919" i="38"/>
  <c r="AE919" i="38" s="1"/>
  <c r="AC918" i="38"/>
  <c r="W918" i="38"/>
  <c r="AE918" i="38" s="1"/>
  <c r="AC917" i="38"/>
  <c r="W917" i="38"/>
  <c r="AE917" i="38" s="1"/>
  <c r="AC916" i="38"/>
  <c r="W916" i="38"/>
  <c r="AE916" i="38" s="1"/>
  <c r="AC915" i="38"/>
  <c r="W915" i="38"/>
  <c r="AE915" i="38" s="1"/>
  <c r="AC914" i="38"/>
  <c r="W914" i="38"/>
  <c r="AE914" i="38" s="1"/>
  <c r="AC913" i="38"/>
  <c r="W913" i="38"/>
  <c r="AE913" i="38" s="1"/>
  <c r="AC912" i="38"/>
  <c r="W912" i="38"/>
  <c r="AE912" i="38" s="1"/>
  <c r="AC911" i="38"/>
  <c r="W911" i="38"/>
  <c r="AE911" i="38" s="1"/>
  <c r="AC910" i="38"/>
  <c r="W910" i="38"/>
  <c r="AE910" i="38" s="1"/>
  <c r="AC909" i="38"/>
  <c r="W909" i="38"/>
  <c r="AE909" i="38" s="1"/>
  <c r="AC908" i="38"/>
  <c r="W908" i="38"/>
  <c r="AE908" i="38" s="1"/>
  <c r="AC907" i="38"/>
  <c r="W907" i="38"/>
  <c r="AE907" i="38" s="1"/>
  <c r="AC906" i="38"/>
  <c r="W906" i="38"/>
  <c r="AE906" i="38" s="1"/>
  <c r="AC905" i="38"/>
  <c r="W905" i="38"/>
  <c r="AE905" i="38" s="1"/>
  <c r="AC904" i="38"/>
  <c r="W904" i="38"/>
  <c r="AE904" i="38" s="1"/>
  <c r="AC903" i="38"/>
  <c r="W903" i="38"/>
  <c r="AE903" i="38" s="1"/>
  <c r="AC902" i="38"/>
  <c r="W902" i="38"/>
  <c r="AE902" i="38" s="1"/>
  <c r="AC901" i="38"/>
  <c r="W901" i="38"/>
  <c r="AE901" i="38" s="1"/>
  <c r="AC900" i="38"/>
  <c r="W900" i="38"/>
  <c r="AE900" i="38" s="1"/>
  <c r="AC899" i="38"/>
  <c r="W899" i="38"/>
  <c r="AE899" i="38" s="1"/>
  <c r="AC898" i="38"/>
  <c r="W898" i="38"/>
  <c r="AE898" i="38" s="1"/>
  <c r="AC897" i="38"/>
  <c r="W897" i="38"/>
  <c r="AE897" i="38" s="1"/>
  <c r="AC896" i="38"/>
  <c r="W896" i="38"/>
  <c r="AE896" i="38" s="1"/>
  <c r="AC895" i="38"/>
  <c r="W895" i="38"/>
  <c r="AE895" i="38" s="1"/>
  <c r="AC894" i="38"/>
  <c r="W894" i="38"/>
  <c r="AE894" i="38" s="1"/>
  <c r="AC893" i="38"/>
  <c r="W893" i="38"/>
  <c r="AE893" i="38" s="1"/>
  <c r="AC892" i="38"/>
  <c r="W892" i="38"/>
  <c r="AE892" i="38" s="1"/>
  <c r="AC891" i="38"/>
  <c r="W891" i="38"/>
  <c r="AE891" i="38" s="1"/>
  <c r="AC890" i="38"/>
  <c r="W890" i="38"/>
  <c r="AE890" i="38" s="1"/>
  <c r="AC889" i="38"/>
  <c r="W889" i="38"/>
  <c r="AE889" i="38" s="1"/>
  <c r="AC888" i="38"/>
  <c r="W888" i="38"/>
  <c r="AE888" i="38" s="1"/>
  <c r="AC887" i="38"/>
  <c r="W887" i="38"/>
  <c r="AE887" i="38" s="1"/>
  <c r="AC886" i="38"/>
  <c r="W886" i="38"/>
  <c r="AE886" i="38" s="1"/>
  <c r="AC885" i="38"/>
  <c r="W885" i="38"/>
  <c r="AE885" i="38" s="1"/>
  <c r="AC884" i="38"/>
  <c r="W884" i="38"/>
  <c r="AE884" i="38" s="1"/>
  <c r="AC883" i="38"/>
  <c r="W883" i="38"/>
  <c r="AE883" i="38" s="1"/>
  <c r="AC882" i="38"/>
  <c r="W882" i="38"/>
  <c r="AE882" i="38" s="1"/>
  <c r="W881" i="38"/>
  <c r="W880" i="38"/>
  <c r="AC879" i="38"/>
  <c r="W879" i="38"/>
  <c r="AE879" i="38" s="1"/>
  <c r="AC878" i="38"/>
  <c r="W878" i="38"/>
  <c r="AE878" i="38" s="1"/>
  <c r="AC877" i="38"/>
  <c r="W877" i="38"/>
  <c r="AE877" i="38" s="1"/>
  <c r="AC876" i="38"/>
  <c r="W876" i="38"/>
  <c r="AE876" i="38" s="1"/>
  <c r="AC875" i="38"/>
  <c r="W875" i="38"/>
  <c r="AE875" i="38" s="1"/>
  <c r="AC874" i="38"/>
  <c r="W874" i="38"/>
  <c r="AE874" i="38" s="1"/>
  <c r="AC873" i="38"/>
  <c r="W873" i="38"/>
  <c r="AE873" i="38" s="1"/>
  <c r="AC872" i="38"/>
  <c r="W872" i="38"/>
  <c r="AE872" i="38" s="1"/>
  <c r="AC871" i="38"/>
  <c r="W871" i="38"/>
  <c r="AE871" i="38" s="1"/>
  <c r="AC870" i="38"/>
  <c r="W870" i="38"/>
  <c r="AE870" i="38" s="1"/>
  <c r="AC869" i="38"/>
  <c r="W869" i="38"/>
  <c r="AE869" i="38" s="1"/>
  <c r="W868" i="38"/>
  <c r="AE868" i="38" s="1"/>
  <c r="AC867" i="38"/>
  <c r="W867" i="38"/>
  <c r="AE867" i="38" s="1"/>
  <c r="AC866" i="38"/>
  <c r="W866" i="38"/>
  <c r="AE866" i="38" s="1"/>
  <c r="AC865" i="38"/>
  <c r="W865" i="38"/>
  <c r="AE865" i="38" s="1"/>
  <c r="AC864" i="38"/>
  <c r="W864" i="38"/>
  <c r="AE864" i="38" s="1"/>
  <c r="AI863" i="38"/>
  <c r="AC863" i="38"/>
  <c r="W863" i="38"/>
  <c r="AE863" i="38" s="1"/>
  <c r="AC862" i="38"/>
  <c r="W862" i="38"/>
  <c r="AE862" i="38" s="1"/>
  <c r="AC861" i="38"/>
  <c r="W861" i="38"/>
  <c r="AE861" i="38" s="1"/>
  <c r="AC860" i="38"/>
  <c r="W860" i="38"/>
  <c r="AE860" i="38" s="1"/>
  <c r="AC859" i="38"/>
  <c r="W859" i="38"/>
  <c r="AE859" i="38" s="1"/>
  <c r="AC858" i="38"/>
  <c r="W858" i="38"/>
  <c r="AE858" i="38" s="1"/>
  <c r="AC857" i="38"/>
  <c r="W857" i="38"/>
  <c r="AE857" i="38" s="1"/>
  <c r="AC856" i="38"/>
  <c r="W856" i="38"/>
  <c r="AE856" i="38" s="1"/>
  <c r="AC855" i="38"/>
  <c r="W855" i="38"/>
  <c r="AE855" i="38" s="1"/>
  <c r="AC854" i="38"/>
  <c r="W854" i="38"/>
  <c r="AE854" i="38" s="1"/>
  <c r="AC853" i="38"/>
  <c r="W853" i="38"/>
  <c r="AE853" i="38" s="1"/>
  <c r="AC852" i="38"/>
  <c r="W852" i="38"/>
  <c r="AE852" i="38" s="1"/>
  <c r="AC851" i="38"/>
  <c r="W851" i="38"/>
  <c r="AE851" i="38" s="1"/>
  <c r="AC850" i="38"/>
  <c r="W850" i="38"/>
  <c r="AE850" i="38" s="1"/>
  <c r="AC849" i="38"/>
  <c r="W849" i="38"/>
  <c r="AE849" i="38" s="1"/>
  <c r="AC848" i="38"/>
  <c r="W848" i="38"/>
  <c r="AE848" i="38" s="1"/>
  <c r="AC847" i="38"/>
  <c r="W847" i="38"/>
  <c r="AE847" i="38" s="1"/>
  <c r="AC846" i="38"/>
  <c r="W846" i="38"/>
  <c r="AE846" i="38" s="1"/>
  <c r="AC845" i="38"/>
  <c r="W845" i="38"/>
  <c r="AE845" i="38" s="1"/>
  <c r="W844" i="38"/>
  <c r="W843" i="38"/>
  <c r="AC842" i="38"/>
  <c r="W842" i="38"/>
  <c r="AE842" i="38" s="1"/>
  <c r="AC841" i="38"/>
  <c r="W841" i="38"/>
  <c r="AE841" i="38" s="1"/>
  <c r="AC840" i="38"/>
  <c r="W840" i="38"/>
  <c r="AE840" i="38" s="1"/>
  <c r="AC839" i="38"/>
  <c r="W839" i="38"/>
  <c r="AE839" i="38" s="1"/>
  <c r="AC838" i="38"/>
  <c r="W838" i="38"/>
  <c r="AE838" i="38" s="1"/>
  <c r="AC837" i="38"/>
  <c r="W837" i="38"/>
  <c r="AE837" i="38" s="1"/>
  <c r="AC836" i="38"/>
  <c r="W836" i="38"/>
  <c r="AE836" i="38" s="1"/>
  <c r="AC835" i="38"/>
  <c r="W835" i="38"/>
  <c r="AE835" i="38" s="1"/>
  <c r="AC834" i="38"/>
  <c r="W834" i="38"/>
  <c r="AE834" i="38" s="1"/>
  <c r="AC833" i="38"/>
  <c r="W833" i="38"/>
  <c r="AE833" i="38" s="1"/>
  <c r="AC832" i="38"/>
  <c r="W832" i="38"/>
  <c r="AE832" i="38" s="1"/>
  <c r="AC831" i="38"/>
  <c r="W831" i="38"/>
  <c r="AE831" i="38" s="1"/>
  <c r="AC830" i="38"/>
  <c r="W830" i="38"/>
  <c r="AE830" i="38" s="1"/>
  <c r="AC829" i="38"/>
  <c r="W829" i="38"/>
  <c r="AE829" i="38" s="1"/>
  <c r="AC828" i="38"/>
  <c r="W828" i="38"/>
  <c r="AE828" i="38" s="1"/>
  <c r="AC827" i="38"/>
  <c r="W827" i="38"/>
  <c r="AE827" i="38" s="1"/>
  <c r="AC826" i="38"/>
  <c r="W826" i="38"/>
  <c r="AE826" i="38" s="1"/>
  <c r="AC825" i="38"/>
  <c r="W825" i="38"/>
  <c r="AE825" i="38" s="1"/>
  <c r="AC824" i="38"/>
  <c r="W824" i="38"/>
  <c r="AE824" i="38" s="1"/>
  <c r="AC823" i="38"/>
  <c r="W823" i="38"/>
  <c r="AE823" i="38" s="1"/>
  <c r="AC822" i="38"/>
  <c r="W822" i="38"/>
  <c r="AE822" i="38" s="1"/>
  <c r="AC821" i="38"/>
  <c r="W821" i="38"/>
  <c r="AE821" i="38" s="1"/>
  <c r="AC820" i="38"/>
  <c r="W820" i="38"/>
  <c r="AE820" i="38" s="1"/>
  <c r="AC819" i="38"/>
  <c r="W819" i="38"/>
  <c r="AE819" i="38" s="1"/>
  <c r="AC818" i="38"/>
  <c r="W818" i="38"/>
  <c r="AE818" i="38" s="1"/>
  <c r="AC817" i="38"/>
  <c r="W817" i="38"/>
  <c r="AE817" i="38" s="1"/>
  <c r="AC816" i="38"/>
  <c r="W816" i="38"/>
  <c r="AE816" i="38" s="1"/>
  <c r="AC815" i="38"/>
  <c r="W815" i="38"/>
  <c r="AE815" i="38" s="1"/>
  <c r="AC814" i="38"/>
  <c r="W814" i="38"/>
  <c r="AE814" i="38" s="1"/>
  <c r="AC813" i="38"/>
  <c r="W813" i="38"/>
  <c r="AE813" i="38" s="1"/>
  <c r="AC812" i="38"/>
  <c r="W812" i="38"/>
  <c r="AE812" i="38" s="1"/>
  <c r="AC811" i="38"/>
  <c r="W811" i="38"/>
  <c r="AE811" i="38" s="1"/>
  <c r="AC810" i="38"/>
  <c r="W810" i="38"/>
  <c r="AE810" i="38" s="1"/>
  <c r="AC809" i="38"/>
  <c r="W809" i="38"/>
  <c r="AE809" i="38" s="1"/>
  <c r="AC808" i="38"/>
  <c r="W808" i="38"/>
  <c r="AE808" i="38" s="1"/>
  <c r="AC807" i="38"/>
  <c r="W807" i="38"/>
  <c r="AE807" i="38" s="1"/>
  <c r="AC806" i="38"/>
  <c r="W806" i="38"/>
  <c r="AE806" i="38" s="1"/>
  <c r="AC805" i="38"/>
  <c r="W805" i="38"/>
  <c r="AE805" i="38" s="1"/>
  <c r="AC804" i="38"/>
  <c r="W804" i="38"/>
  <c r="AE804" i="38" s="1"/>
  <c r="AC803" i="38"/>
  <c r="W803" i="38"/>
  <c r="AE803" i="38" s="1"/>
  <c r="AC802" i="38"/>
  <c r="W802" i="38"/>
  <c r="AE802" i="38" s="1"/>
  <c r="AC801" i="38"/>
  <c r="W801" i="38"/>
  <c r="AE801" i="38" s="1"/>
  <c r="AC800" i="38"/>
  <c r="W800" i="38"/>
  <c r="AE800" i="38" s="1"/>
  <c r="AC799" i="38"/>
  <c r="W799" i="38"/>
  <c r="AE799" i="38" s="1"/>
  <c r="AC798" i="38"/>
  <c r="W798" i="38"/>
  <c r="AE798" i="38" s="1"/>
  <c r="AC797" i="38"/>
  <c r="W797" i="38"/>
  <c r="AE797" i="38" s="1"/>
  <c r="AC796" i="38"/>
  <c r="W796" i="38"/>
  <c r="AE796" i="38" s="1"/>
  <c r="AC795" i="38"/>
  <c r="W795" i="38"/>
  <c r="AE795" i="38" s="1"/>
  <c r="AC794" i="38"/>
  <c r="W794" i="38"/>
  <c r="AE794" i="38" s="1"/>
  <c r="AC793" i="38"/>
  <c r="W793" i="38"/>
  <c r="AE793" i="38" s="1"/>
  <c r="AC792" i="38"/>
  <c r="W792" i="38"/>
  <c r="AE792" i="38" s="1"/>
  <c r="AC791" i="38"/>
  <c r="W791" i="38"/>
  <c r="AE791" i="38" s="1"/>
  <c r="AC790" i="38"/>
  <c r="W790" i="38"/>
  <c r="AE790" i="38" s="1"/>
  <c r="AC789" i="38"/>
  <c r="W789" i="38"/>
  <c r="AE789" i="38" s="1"/>
  <c r="AI788" i="38"/>
  <c r="AC788" i="38"/>
  <c r="W788" i="38"/>
  <c r="AE788" i="38" s="1"/>
  <c r="AC787" i="38"/>
  <c r="W787" i="38"/>
  <c r="AE787" i="38" s="1"/>
  <c r="AC786" i="38"/>
  <c r="W786" i="38"/>
  <c r="AE786" i="38" s="1"/>
  <c r="AC785" i="38"/>
  <c r="W785" i="38"/>
  <c r="AE785" i="38" s="1"/>
  <c r="AC784" i="38"/>
  <c r="W784" i="38"/>
  <c r="AE784" i="38" s="1"/>
  <c r="AC783" i="38"/>
  <c r="W783" i="38"/>
  <c r="AE783" i="38" s="1"/>
  <c r="AC782" i="38"/>
  <c r="W782" i="38"/>
  <c r="AE782" i="38" s="1"/>
  <c r="AC781" i="38"/>
  <c r="W781" i="38"/>
  <c r="AE781" i="38" s="1"/>
  <c r="AC780" i="38"/>
  <c r="W780" i="38"/>
  <c r="AE780" i="38" s="1"/>
  <c r="AC779" i="38"/>
  <c r="W779" i="38"/>
  <c r="AE779" i="38" s="1"/>
  <c r="AC778" i="38"/>
  <c r="W778" i="38"/>
  <c r="AE778" i="38" s="1"/>
  <c r="AC777" i="38"/>
  <c r="W777" i="38"/>
  <c r="AE777" i="38" s="1"/>
  <c r="AC776" i="38"/>
  <c r="W776" i="38"/>
  <c r="AE776" i="38" s="1"/>
  <c r="AC775" i="38"/>
  <c r="W775" i="38"/>
  <c r="AE775" i="38" s="1"/>
  <c r="AC774" i="38"/>
  <c r="W774" i="38"/>
  <c r="AE774" i="38" s="1"/>
  <c r="AC773" i="38"/>
  <c r="W773" i="38"/>
  <c r="AE773" i="38" s="1"/>
  <c r="AC772" i="38"/>
  <c r="W772" i="38"/>
  <c r="AE772" i="38" s="1"/>
  <c r="AC771" i="38"/>
  <c r="W771" i="38"/>
  <c r="AE771" i="38" s="1"/>
  <c r="AC770" i="38"/>
  <c r="W770" i="38"/>
  <c r="AE770" i="38" s="1"/>
  <c r="AC769" i="38"/>
  <c r="W769" i="38"/>
  <c r="AE769" i="38" s="1"/>
  <c r="AC768" i="38"/>
  <c r="W768" i="38"/>
  <c r="AE768" i="38" s="1"/>
  <c r="AC767" i="38"/>
  <c r="W767" i="38"/>
  <c r="AE767" i="38" s="1"/>
  <c r="AC766" i="38"/>
  <c r="W766" i="38"/>
  <c r="AE766" i="38" s="1"/>
  <c r="AC765" i="38"/>
  <c r="W765" i="38"/>
  <c r="AE765" i="38" s="1"/>
  <c r="AC764" i="38"/>
  <c r="W764" i="38"/>
  <c r="AE764" i="38" s="1"/>
  <c r="AC763" i="38"/>
  <c r="W763" i="38"/>
  <c r="AE763" i="38" s="1"/>
  <c r="AC762" i="38"/>
  <c r="W762" i="38"/>
  <c r="AE762" i="38" s="1"/>
  <c r="AC761" i="38"/>
  <c r="W761" i="38"/>
  <c r="AE761" i="38" s="1"/>
  <c r="AC760" i="38"/>
  <c r="W760" i="38"/>
  <c r="AE760" i="38" s="1"/>
  <c r="AC759" i="38"/>
  <c r="W759" i="38"/>
  <c r="AE759" i="38" s="1"/>
  <c r="AC758" i="38"/>
  <c r="W758" i="38"/>
  <c r="AE758" i="38" s="1"/>
  <c r="AC757" i="38"/>
  <c r="W757" i="38"/>
  <c r="AE757" i="38" s="1"/>
  <c r="AC756" i="38"/>
  <c r="W756" i="38"/>
  <c r="AE756" i="38" s="1"/>
  <c r="AC755" i="38"/>
  <c r="W755" i="38"/>
  <c r="AE755" i="38" s="1"/>
  <c r="AC754" i="38"/>
  <c r="W754" i="38"/>
  <c r="AE754" i="38" s="1"/>
  <c r="AC753" i="38"/>
  <c r="W753" i="38"/>
  <c r="AE753" i="38" s="1"/>
  <c r="AC752" i="38"/>
  <c r="W752" i="38"/>
  <c r="AE752" i="38" s="1"/>
  <c r="AC751" i="38"/>
  <c r="W751" i="38"/>
  <c r="AE751" i="38" s="1"/>
  <c r="AC750" i="38"/>
  <c r="W750" i="38"/>
  <c r="AE750" i="38" s="1"/>
  <c r="AC749" i="38"/>
  <c r="W749" i="38"/>
  <c r="AE749" i="38" s="1"/>
  <c r="AC748" i="38"/>
  <c r="W748" i="38"/>
  <c r="AE748" i="38" s="1"/>
  <c r="AC747" i="38"/>
  <c r="W747" i="38"/>
  <c r="AE747" i="38" s="1"/>
  <c r="AC746" i="38"/>
  <c r="W746" i="38"/>
  <c r="AE746" i="38" s="1"/>
  <c r="AC745" i="38"/>
  <c r="W745" i="38"/>
  <c r="AE745" i="38" s="1"/>
  <c r="AC744" i="38"/>
  <c r="W744" i="38"/>
  <c r="AE744" i="38" s="1"/>
  <c r="AC743" i="38"/>
  <c r="W743" i="38"/>
  <c r="AE743" i="38" s="1"/>
  <c r="AC742" i="38"/>
  <c r="W742" i="38"/>
  <c r="AE742" i="38" s="1"/>
  <c r="AC741" i="38"/>
  <c r="W741" i="38"/>
  <c r="AE741" i="38" s="1"/>
  <c r="AC740" i="38"/>
  <c r="W740" i="38"/>
  <c r="AE740" i="38" s="1"/>
  <c r="AC739" i="38"/>
  <c r="W739" i="38"/>
  <c r="AE739" i="38" s="1"/>
  <c r="AC738" i="38"/>
  <c r="W738" i="38"/>
  <c r="AE738" i="38" s="1"/>
  <c r="AC737" i="38"/>
  <c r="W737" i="38"/>
  <c r="AE737" i="38" s="1"/>
  <c r="AC736" i="38"/>
  <c r="W736" i="38"/>
  <c r="AE736" i="38" s="1"/>
  <c r="AC735" i="38"/>
  <c r="W735" i="38"/>
  <c r="AE735" i="38" s="1"/>
  <c r="AC734" i="38"/>
  <c r="W734" i="38"/>
  <c r="AE734" i="38" s="1"/>
  <c r="AC733" i="38"/>
  <c r="W733" i="38"/>
  <c r="AE733" i="38" s="1"/>
  <c r="AC732" i="38"/>
  <c r="W732" i="38"/>
  <c r="AE732" i="38" s="1"/>
  <c r="AC731" i="38"/>
  <c r="W731" i="38"/>
  <c r="AE731" i="38" s="1"/>
  <c r="AC730" i="38"/>
  <c r="W730" i="38"/>
  <c r="AE730" i="38" s="1"/>
  <c r="W729" i="38"/>
  <c r="AC728" i="38"/>
  <c r="W728" i="38"/>
  <c r="AE728" i="38" s="1"/>
  <c r="AC727" i="38"/>
  <c r="W727" i="38"/>
  <c r="AE727" i="38" s="1"/>
  <c r="AC726" i="38"/>
  <c r="W726" i="38"/>
  <c r="AE726" i="38" s="1"/>
  <c r="AC725" i="38"/>
  <c r="W725" i="38"/>
  <c r="AE725" i="38" s="1"/>
  <c r="AC724" i="38"/>
  <c r="W724" i="38"/>
  <c r="AE724" i="38" s="1"/>
  <c r="AC723" i="38"/>
  <c r="W723" i="38"/>
  <c r="AE723" i="38" s="1"/>
  <c r="AC722" i="38"/>
  <c r="W722" i="38"/>
  <c r="AE722" i="38" s="1"/>
  <c r="AC721" i="38"/>
  <c r="W721" i="38"/>
  <c r="AE721" i="38" s="1"/>
  <c r="AC720" i="38"/>
  <c r="W720" i="38"/>
  <c r="AE720" i="38" s="1"/>
  <c r="AC719" i="38"/>
  <c r="W719" i="38"/>
  <c r="AE719" i="38" s="1"/>
  <c r="AC718" i="38"/>
  <c r="W718" i="38"/>
  <c r="AE718" i="38" s="1"/>
  <c r="AC717" i="38"/>
  <c r="W717" i="38"/>
  <c r="AE717" i="38" s="1"/>
  <c r="AC716" i="38"/>
  <c r="W716" i="38"/>
  <c r="AE716" i="38" s="1"/>
  <c r="AC715" i="38"/>
  <c r="W715" i="38"/>
  <c r="AE715" i="38" s="1"/>
  <c r="AC714" i="38"/>
  <c r="W714" i="38"/>
  <c r="AE714" i="38" s="1"/>
  <c r="AC713" i="38"/>
  <c r="W713" i="38"/>
  <c r="AE713" i="38" s="1"/>
  <c r="AC712" i="38"/>
  <c r="W712" i="38"/>
  <c r="AE712" i="38" s="1"/>
  <c r="AC711" i="38"/>
  <c r="W711" i="38"/>
  <c r="AE711" i="38" s="1"/>
  <c r="AC710" i="38"/>
  <c r="W710" i="38"/>
  <c r="AE710" i="38" s="1"/>
  <c r="AC709" i="38"/>
  <c r="W709" i="38"/>
  <c r="AE709" i="38" s="1"/>
  <c r="AC708" i="38"/>
  <c r="W708" i="38"/>
  <c r="AE708" i="38" s="1"/>
  <c r="AC707" i="38"/>
  <c r="W707" i="38"/>
  <c r="AE707" i="38" s="1"/>
  <c r="AC706" i="38"/>
  <c r="W706" i="38"/>
  <c r="AE706" i="38" s="1"/>
  <c r="AC705" i="38"/>
  <c r="W705" i="38"/>
  <c r="AE705" i="38" s="1"/>
  <c r="AC704" i="38"/>
  <c r="W704" i="38"/>
  <c r="AE704" i="38" s="1"/>
  <c r="AC703" i="38"/>
  <c r="W703" i="38"/>
  <c r="AE703" i="38" s="1"/>
  <c r="AC702" i="38"/>
  <c r="W702" i="38"/>
  <c r="AE702" i="38" s="1"/>
  <c r="AC701" i="38"/>
  <c r="W701" i="38"/>
  <c r="AE701" i="38" s="1"/>
  <c r="AC700" i="38"/>
  <c r="W700" i="38"/>
  <c r="AE700" i="38" s="1"/>
  <c r="AC699" i="38"/>
  <c r="W699" i="38"/>
  <c r="AE699" i="38" s="1"/>
  <c r="AC698" i="38"/>
  <c r="W698" i="38"/>
  <c r="AE698" i="38" s="1"/>
  <c r="AC697" i="38"/>
  <c r="W697" i="38"/>
  <c r="AE697" i="38" s="1"/>
  <c r="AC696" i="38"/>
  <c r="W696" i="38"/>
  <c r="AE696" i="38" s="1"/>
  <c r="AC695" i="38"/>
  <c r="W695" i="38"/>
  <c r="AE695" i="38" s="1"/>
  <c r="AC694" i="38"/>
  <c r="W694" i="38"/>
  <c r="AE694" i="38" s="1"/>
  <c r="AC693" i="38"/>
  <c r="W693" i="38"/>
  <c r="AE693" i="38" s="1"/>
  <c r="AC692" i="38"/>
  <c r="W692" i="38"/>
  <c r="AE692" i="38" s="1"/>
  <c r="AC691" i="38"/>
  <c r="W691" i="38"/>
  <c r="AE691" i="38" s="1"/>
  <c r="AC690" i="38"/>
  <c r="W690" i="38"/>
  <c r="AE690" i="38" s="1"/>
  <c r="AC689" i="38"/>
  <c r="W689" i="38"/>
  <c r="AE689" i="38" s="1"/>
  <c r="AC688" i="38"/>
  <c r="W688" i="38"/>
  <c r="AE688" i="38" s="1"/>
  <c r="AC687" i="38"/>
  <c r="W687" i="38"/>
  <c r="AE687" i="38" s="1"/>
  <c r="AC686" i="38"/>
  <c r="W686" i="38"/>
  <c r="AE686" i="38" s="1"/>
  <c r="AC685" i="38"/>
  <c r="W685" i="38"/>
  <c r="AE685" i="38" s="1"/>
  <c r="AC684" i="38"/>
  <c r="W684" i="38"/>
  <c r="AE684" i="38" s="1"/>
  <c r="AC683" i="38"/>
  <c r="W683" i="38"/>
  <c r="AE683" i="38" s="1"/>
  <c r="AC682" i="38"/>
  <c r="W682" i="38"/>
  <c r="AE682" i="38" s="1"/>
  <c r="AC681" i="38"/>
  <c r="W681" i="38"/>
  <c r="AE681" i="38" s="1"/>
  <c r="AC680" i="38"/>
  <c r="W680" i="38"/>
  <c r="AE680" i="38" s="1"/>
  <c r="AC679" i="38"/>
  <c r="W679" i="38"/>
  <c r="AE679" i="38" s="1"/>
  <c r="AC678" i="38"/>
  <c r="W678" i="38"/>
  <c r="AE678" i="38" s="1"/>
  <c r="AC677" i="38"/>
  <c r="W677" i="38"/>
  <c r="AE677" i="38" s="1"/>
  <c r="AC676" i="38"/>
  <c r="W676" i="38"/>
  <c r="AE676" i="38" s="1"/>
  <c r="AC675" i="38"/>
  <c r="W675" i="38"/>
  <c r="AE675" i="38" s="1"/>
  <c r="AC674" i="38"/>
  <c r="W674" i="38"/>
  <c r="AE674" i="38" s="1"/>
  <c r="AC673" i="38"/>
  <c r="W673" i="38"/>
  <c r="AE673" i="38" s="1"/>
  <c r="AC672" i="38"/>
  <c r="W672" i="38"/>
  <c r="AE672" i="38" s="1"/>
  <c r="AC671" i="38"/>
  <c r="W671" i="38"/>
  <c r="AE671" i="38" s="1"/>
  <c r="AC670" i="38"/>
  <c r="W670" i="38"/>
  <c r="AE670" i="38" s="1"/>
  <c r="AC669" i="38"/>
  <c r="W669" i="38"/>
  <c r="AE669" i="38" s="1"/>
  <c r="AI668" i="38"/>
  <c r="AC668" i="38"/>
  <c r="W668" i="38"/>
  <c r="AE668" i="38" s="1"/>
  <c r="AC667" i="38"/>
  <c r="W667" i="38"/>
  <c r="AE667" i="38" s="1"/>
  <c r="AC666" i="38"/>
  <c r="W666" i="38"/>
  <c r="AE666" i="38" s="1"/>
  <c r="AC665" i="38"/>
  <c r="W665" i="38"/>
  <c r="AE665" i="38" s="1"/>
  <c r="W664" i="38"/>
  <c r="AC663" i="38"/>
  <c r="W663" i="38"/>
  <c r="AE663" i="38" s="1"/>
  <c r="AC662" i="38"/>
  <c r="W662" i="38"/>
  <c r="AE662" i="38" s="1"/>
  <c r="AC661" i="38"/>
  <c r="W661" i="38"/>
  <c r="AE661" i="38" s="1"/>
  <c r="AC660" i="38"/>
  <c r="W660" i="38"/>
  <c r="AE660" i="38" s="1"/>
  <c r="AC659" i="38"/>
  <c r="W659" i="38"/>
  <c r="AE659" i="38" s="1"/>
  <c r="AC658" i="38"/>
  <c r="W658" i="38"/>
  <c r="AE658" i="38" s="1"/>
  <c r="AC657" i="38"/>
  <c r="W657" i="38"/>
  <c r="AE657" i="38" s="1"/>
  <c r="AC656" i="38"/>
  <c r="W656" i="38"/>
  <c r="AE656" i="38" s="1"/>
  <c r="AC655" i="38"/>
  <c r="W655" i="38"/>
  <c r="AE655" i="38" s="1"/>
  <c r="AC654" i="38"/>
  <c r="W654" i="38"/>
  <c r="AE654" i="38" s="1"/>
  <c r="AC653" i="38"/>
  <c r="W653" i="38"/>
  <c r="AE653" i="38" s="1"/>
  <c r="AC652" i="38"/>
  <c r="W652" i="38"/>
  <c r="AE652" i="38" s="1"/>
  <c r="AC651" i="38"/>
  <c r="W651" i="38"/>
  <c r="AE651" i="38" s="1"/>
  <c r="AC650" i="38"/>
  <c r="W650" i="38"/>
  <c r="AE650" i="38" s="1"/>
  <c r="AC649" i="38"/>
  <c r="W649" i="38"/>
  <c r="AE649" i="38" s="1"/>
  <c r="AC648" i="38"/>
  <c r="W648" i="38"/>
  <c r="AE648" i="38" s="1"/>
  <c r="AC647" i="38"/>
  <c r="W647" i="38"/>
  <c r="AE647" i="38" s="1"/>
  <c r="AC646" i="38"/>
  <c r="W646" i="38"/>
  <c r="AE646" i="38" s="1"/>
  <c r="AC645" i="38"/>
  <c r="W645" i="38"/>
  <c r="AE645" i="38" s="1"/>
  <c r="AC644" i="38"/>
  <c r="W644" i="38"/>
  <c r="AE644" i="38" s="1"/>
  <c r="AC643" i="38"/>
  <c r="W643" i="38"/>
  <c r="AE643" i="38" s="1"/>
  <c r="AC642" i="38"/>
  <c r="W642" i="38"/>
  <c r="AE642" i="38" s="1"/>
  <c r="AC641" i="38"/>
  <c r="W641" i="38"/>
  <c r="AE641" i="38" s="1"/>
  <c r="AC640" i="38"/>
  <c r="W640" i="38"/>
  <c r="AE640" i="38" s="1"/>
  <c r="AC639" i="38"/>
  <c r="W639" i="38"/>
  <c r="AE639" i="38" s="1"/>
  <c r="AC638" i="38"/>
  <c r="W638" i="38"/>
  <c r="AE638" i="38" s="1"/>
  <c r="AI637" i="38"/>
  <c r="AC637" i="38"/>
  <c r="W637" i="38"/>
  <c r="AE637" i="38" s="1"/>
  <c r="AC636" i="38"/>
  <c r="W636" i="38"/>
  <c r="AE636" i="38" s="1"/>
  <c r="AC635" i="38"/>
  <c r="W635" i="38"/>
  <c r="AE635" i="38" s="1"/>
  <c r="AC634" i="38"/>
  <c r="W634" i="38"/>
  <c r="AE634" i="38" s="1"/>
  <c r="AC633" i="38"/>
  <c r="W633" i="38"/>
  <c r="AE633" i="38" s="1"/>
  <c r="AC632" i="38"/>
  <c r="W632" i="38"/>
  <c r="AE632" i="38" s="1"/>
  <c r="AC631" i="38"/>
  <c r="W631" i="38"/>
  <c r="AE631" i="38" s="1"/>
  <c r="AC630" i="38"/>
  <c r="W630" i="38"/>
  <c r="AE630" i="38" s="1"/>
  <c r="AC629" i="38"/>
  <c r="W629" i="38"/>
  <c r="AE629" i="38" s="1"/>
  <c r="AC628" i="38"/>
  <c r="W628" i="38"/>
  <c r="AE628" i="38" s="1"/>
  <c r="AC627" i="38"/>
  <c r="W627" i="38"/>
  <c r="AE627" i="38" s="1"/>
  <c r="AC626" i="38"/>
  <c r="W626" i="38"/>
  <c r="AE626" i="38" s="1"/>
  <c r="AC625" i="38"/>
  <c r="W625" i="38"/>
  <c r="AE625" i="38" s="1"/>
  <c r="AC624" i="38"/>
  <c r="W624" i="38"/>
  <c r="AE624" i="38" s="1"/>
  <c r="AC623" i="38"/>
  <c r="W623" i="38"/>
  <c r="AE623" i="38" s="1"/>
  <c r="AC622" i="38"/>
  <c r="W622" i="38"/>
  <c r="AE622" i="38" s="1"/>
  <c r="AC621" i="38"/>
  <c r="W621" i="38"/>
  <c r="AE621" i="38" s="1"/>
  <c r="AC620" i="38"/>
  <c r="W620" i="38"/>
  <c r="AE620" i="38" s="1"/>
  <c r="AC619" i="38"/>
  <c r="W619" i="38"/>
  <c r="AE619" i="38" s="1"/>
  <c r="AC618" i="38"/>
  <c r="W618" i="38"/>
  <c r="AE618" i="38" s="1"/>
  <c r="AC617" i="38"/>
  <c r="W617" i="38"/>
  <c r="AE617" i="38" s="1"/>
  <c r="AC616" i="38"/>
  <c r="W616" i="38"/>
  <c r="AE616" i="38" s="1"/>
  <c r="AC615" i="38"/>
  <c r="W615" i="38"/>
  <c r="AE615" i="38" s="1"/>
  <c r="AC614" i="38"/>
  <c r="W614" i="38"/>
  <c r="AE614" i="38" s="1"/>
  <c r="AC613" i="38"/>
  <c r="W613" i="38"/>
  <c r="AE613" i="38" s="1"/>
  <c r="AC612" i="38"/>
  <c r="W612" i="38"/>
  <c r="AE612" i="38" s="1"/>
  <c r="AC611" i="38"/>
  <c r="W611" i="38"/>
  <c r="AE611" i="38" s="1"/>
  <c r="AC610" i="38"/>
  <c r="W610" i="38"/>
  <c r="AE610" i="38" s="1"/>
  <c r="AC609" i="38"/>
  <c r="W609" i="38"/>
  <c r="AE609" i="38" s="1"/>
  <c r="AC608" i="38"/>
  <c r="W608" i="38"/>
  <c r="AE608" i="38" s="1"/>
  <c r="AC607" i="38"/>
  <c r="W607" i="38"/>
  <c r="AE607" i="38" s="1"/>
  <c r="AC606" i="38"/>
  <c r="W606" i="38"/>
  <c r="AE606" i="38" s="1"/>
  <c r="AC605" i="38"/>
  <c r="W605" i="38"/>
  <c r="AE605" i="38" s="1"/>
  <c r="AC604" i="38"/>
  <c r="W604" i="38"/>
  <c r="AE604" i="38" s="1"/>
  <c r="AC603" i="38"/>
  <c r="W603" i="38"/>
  <c r="AE603" i="38" s="1"/>
  <c r="AC602" i="38"/>
  <c r="W602" i="38"/>
  <c r="AE602" i="38" s="1"/>
  <c r="AC601" i="38"/>
  <c r="W601" i="38"/>
  <c r="AE601" i="38" s="1"/>
  <c r="AC600" i="38"/>
  <c r="W600" i="38"/>
  <c r="AE600" i="38" s="1"/>
  <c r="AC599" i="38"/>
  <c r="W599" i="38"/>
  <c r="AE599" i="38" s="1"/>
  <c r="AC598" i="38"/>
  <c r="W598" i="38"/>
  <c r="AE598" i="38" s="1"/>
  <c r="AC597" i="38"/>
  <c r="W597" i="38"/>
  <c r="AE597" i="38" s="1"/>
  <c r="AC596" i="38"/>
  <c r="W596" i="38"/>
  <c r="AE596" i="38" s="1"/>
  <c r="AC595" i="38"/>
  <c r="W595" i="38"/>
  <c r="AE595" i="38" s="1"/>
  <c r="AC594" i="38"/>
  <c r="W594" i="38"/>
  <c r="AE594" i="38" s="1"/>
  <c r="AC593" i="38"/>
  <c r="W593" i="38"/>
  <c r="AE593" i="38" s="1"/>
  <c r="AC592" i="38"/>
  <c r="W592" i="38"/>
  <c r="AE592" i="38" s="1"/>
  <c r="AC591" i="38"/>
  <c r="W591" i="38"/>
  <c r="AE591" i="38" s="1"/>
  <c r="AC590" i="38"/>
  <c r="W590" i="38"/>
  <c r="AE590" i="38" s="1"/>
  <c r="AC589" i="38"/>
  <c r="W589" i="38"/>
  <c r="AE589" i="38" s="1"/>
  <c r="AC588" i="38"/>
  <c r="W588" i="38"/>
  <c r="AE588" i="38" s="1"/>
  <c r="AC587" i="38"/>
  <c r="W587" i="38"/>
  <c r="AE587" i="38" s="1"/>
  <c r="AC586" i="38"/>
  <c r="W586" i="38"/>
  <c r="AE586" i="38" s="1"/>
  <c r="AC585" i="38"/>
  <c r="W585" i="38"/>
  <c r="AE585" i="38" s="1"/>
  <c r="AC584" i="38"/>
  <c r="W584" i="38"/>
  <c r="AE584" i="38" s="1"/>
  <c r="AC583" i="38"/>
  <c r="W583" i="38"/>
  <c r="AE583" i="38" s="1"/>
  <c r="AC582" i="38"/>
  <c r="W582" i="38"/>
  <c r="AE582" i="38" s="1"/>
  <c r="AC581" i="38"/>
  <c r="W581" i="38"/>
  <c r="AE581" i="38" s="1"/>
  <c r="AC580" i="38"/>
  <c r="W580" i="38"/>
  <c r="AE580" i="38" s="1"/>
  <c r="AC579" i="38"/>
  <c r="W579" i="38"/>
  <c r="AE579" i="38" s="1"/>
  <c r="AC578" i="38"/>
  <c r="W578" i="38"/>
  <c r="AE578" i="38" s="1"/>
  <c r="AC577" i="38"/>
  <c r="W577" i="38"/>
  <c r="AE577" i="38" s="1"/>
  <c r="AC576" i="38"/>
  <c r="W576" i="38"/>
  <c r="AE576" i="38" s="1"/>
  <c r="AC575" i="38"/>
  <c r="W575" i="38"/>
  <c r="AE575" i="38" s="1"/>
  <c r="AC574" i="38"/>
  <c r="W574" i="38"/>
  <c r="AE574" i="38" s="1"/>
  <c r="AC573" i="38"/>
  <c r="W573" i="38"/>
  <c r="AE573" i="38" s="1"/>
  <c r="AC572" i="38"/>
  <c r="W572" i="38"/>
  <c r="AE572" i="38" s="1"/>
  <c r="AC571" i="38"/>
  <c r="W571" i="38"/>
  <c r="AE571" i="38" s="1"/>
  <c r="AC570" i="38"/>
  <c r="W570" i="38"/>
  <c r="AE570" i="38" s="1"/>
  <c r="AC569" i="38"/>
  <c r="W569" i="38"/>
  <c r="AE569" i="38" s="1"/>
  <c r="AC568" i="38"/>
  <c r="W568" i="38"/>
  <c r="AE568" i="38" s="1"/>
  <c r="AC567" i="38"/>
  <c r="W567" i="38"/>
  <c r="AE567" i="38" s="1"/>
  <c r="AC566" i="38"/>
  <c r="W566" i="38"/>
  <c r="AE566" i="38" s="1"/>
  <c r="AC565" i="38"/>
  <c r="W565" i="38"/>
  <c r="AE565" i="38" s="1"/>
  <c r="AC564" i="38"/>
  <c r="W564" i="38"/>
  <c r="AE564" i="38" s="1"/>
  <c r="AC563" i="38"/>
  <c r="W563" i="38"/>
  <c r="AE563" i="38" s="1"/>
  <c r="AC562" i="38"/>
  <c r="W562" i="38"/>
  <c r="AE562" i="38" s="1"/>
  <c r="AC561" i="38"/>
  <c r="W561" i="38"/>
  <c r="AE561" i="38" s="1"/>
  <c r="AC560" i="38"/>
  <c r="W560" i="38"/>
  <c r="AE560" i="38" s="1"/>
  <c r="AC559" i="38"/>
  <c r="W559" i="38"/>
  <c r="AE559" i="38" s="1"/>
  <c r="AC558" i="38"/>
  <c r="W558" i="38"/>
  <c r="AE558" i="38" s="1"/>
  <c r="AC557" i="38"/>
  <c r="W557" i="38"/>
  <c r="AE557" i="38" s="1"/>
  <c r="AC556" i="38"/>
  <c r="W556" i="38"/>
  <c r="AE556" i="38" s="1"/>
  <c r="AC555" i="38"/>
  <c r="W555" i="38"/>
  <c r="AE555" i="38" s="1"/>
  <c r="AC554" i="38"/>
  <c r="W554" i="38"/>
  <c r="AE554" i="38" s="1"/>
  <c r="AC553" i="38"/>
  <c r="W553" i="38"/>
  <c r="AE553" i="38" s="1"/>
  <c r="AC552" i="38"/>
  <c r="W552" i="38"/>
  <c r="AE552" i="38" s="1"/>
  <c r="AC551" i="38"/>
  <c r="W551" i="38"/>
  <c r="AE551" i="38" s="1"/>
  <c r="AC550" i="38"/>
  <c r="W550" i="38"/>
  <c r="AE550" i="38" s="1"/>
  <c r="AC549" i="38"/>
  <c r="W549" i="38"/>
  <c r="AE549" i="38" s="1"/>
  <c r="AC548" i="38"/>
  <c r="W548" i="38"/>
  <c r="AE548" i="38" s="1"/>
  <c r="AC547" i="38"/>
  <c r="W547" i="38"/>
  <c r="AE547" i="38" s="1"/>
  <c r="AC546" i="38"/>
  <c r="W546" i="38"/>
  <c r="AE546" i="38" s="1"/>
  <c r="AC545" i="38"/>
  <c r="W545" i="38"/>
  <c r="AE545" i="38" s="1"/>
  <c r="AC544" i="38"/>
  <c r="W544" i="38"/>
  <c r="AE544" i="38" s="1"/>
  <c r="AC543" i="38"/>
  <c r="W543" i="38"/>
  <c r="AE543" i="38" s="1"/>
  <c r="AC542" i="38"/>
  <c r="W542" i="38"/>
  <c r="AE542" i="38" s="1"/>
  <c r="AC541" i="38"/>
  <c r="W541" i="38"/>
  <c r="AE541" i="38" s="1"/>
  <c r="AC540" i="38"/>
  <c r="W540" i="38"/>
  <c r="AE540" i="38" s="1"/>
  <c r="AC539" i="38"/>
  <c r="W539" i="38"/>
  <c r="AE539" i="38" s="1"/>
  <c r="AC538" i="38"/>
  <c r="W538" i="38"/>
  <c r="AE538" i="38" s="1"/>
  <c r="AC537" i="38"/>
  <c r="W537" i="38"/>
  <c r="AE537" i="38" s="1"/>
  <c r="AC536" i="38"/>
  <c r="W536" i="38"/>
  <c r="AE536" i="38" s="1"/>
  <c r="AC535" i="38"/>
  <c r="W535" i="38"/>
  <c r="AE535" i="38" s="1"/>
  <c r="AC534" i="38"/>
  <c r="W534" i="38"/>
  <c r="AE534" i="38" s="1"/>
  <c r="AC533" i="38"/>
  <c r="W533" i="38"/>
  <c r="AE533" i="38" s="1"/>
  <c r="AC532" i="38"/>
  <c r="W532" i="38"/>
  <c r="AE532" i="38" s="1"/>
  <c r="AC531" i="38"/>
  <c r="W531" i="38"/>
  <c r="AE531" i="38" s="1"/>
  <c r="AC530" i="38"/>
  <c r="W530" i="38"/>
  <c r="AE530" i="38" s="1"/>
  <c r="AC529" i="38"/>
  <c r="W529" i="38"/>
  <c r="AE529" i="38" s="1"/>
  <c r="AC528" i="38"/>
  <c r="W528" i="38"/>
  <c r="AE528" i="38" s="1"/>
  <c r="AC527" i="38"/>
  <c r="W527" i="38"/>
  <c r="AE527" i="38" s="1"/>
  <c r="AC526" i="38"/>
  <c r="W526" i="38"/>
  <c r="AE526" i="38" s="1"/>
  <c r="AC525" i="38"/>
  <c r="W525" i="38"/>
  <c r="AE525" i="38" s="1"/>
  <c r="AC524" i="38"/>
  <c r="W524" i="38"/>
  <c r="AE524" i="38" s="1"/>
  <c r="AC523" i="38"/>
  <c r="W523" i="38"/>
  <c r="AE523" i="38" s="1"/>
  <c r="AC522" i="38"/>
  <c r="W522" i="38"/>
  <c r="AE522" i="38" s="1"/>
  <c r="AC521" i="38"/>
  <c r="W521" i="38"/>
  <c r="AE521" i="38" s="1"/>
  <c r="AC520" i="38"/>
  <c r="W520" i="38"/>
  <c r="AE520" i="38" s="1"/>
  <c r="AC519" i="38"/>
  <c r="W519" i="38"/>
  <c r="AE519" i="38" s="1"/>
  <c r="AC518" i="38"/>
  <c r="W518" i="38"/>
  <c r="AE518" i="38" s="1"/>
  <c r="AC517" i="38"/>
  <c r="W517" i="38"/>
  <c r="AE517" i="38" s="1"/>
  <c r="AC516" i="38"/>
  <c r="W516" i="38"/>
  <c r="AE516" i="38" s="1"/>
  <c r="AC515" i="38"/>
  <c r="W515" i="38"/>
  <c r="AE515" i="38" s="1"/>
  <c r="AC514" i="38"/>
  <c r="W514" i="38"/>
  <c r="AE514" i="38" s="1"/>
  <c r="AC513" i="38"/>
  <c r="W513" i="38"/>
  <c r="AE513" i="38" s="1"/>
  <c r="W512" i="38"/>
  <c r="AC511" i="38"/>
  <c r="W511" i="38"/>
  <c r="AE511" i="38" s="1"/>
  <c r="AC510" i="38"/>
  <c r="W510" i="38"/>
  <c r="AE510" i="38" s="1"/>
  <c r="AC509" i="38"/>
  <c r="W509" i="38"/>
  <c r="AE509" i="38" s="1"/>
  <c r="AC508" i="38"/>
  <c r="W508" i="38"/>
  <c r="AE508" i="38" s="1"/>
  <c r="AC507" i="38"/>
  <c r="W507" i="38"/>
  <c r="AE507" i="38" s="1"/>
  <c r="AC506" i="38"/>
  <c r="W506" i="38"/>
  <c r="AE506" i="38" s="1"/>
  <c r="AC505" i="38"/>
  <c r="W505" i="38"/>
  <c r="AE505" i="38" s="1"/>
  <c r="AC504" i="38"/>
  <c r="W504" i="38"/>
  <c r="AE504" i="38" s="1"/>
  <c r="AC503" i="38"/>
  <c r="W503" i="38"/>
  <c r="AE503" i="38" s="1"/>
  <c r="AC502" i="38"/>
  <c r="W502" i="38"/>
  <c r="AE502" i="38" s="1"/>
  <c r="AC501" i="38"/>
  <c r="W501" i="38"/>
  <c r="AE501" i="38" s="1"/>
  <c r="AC500" i="38"/>
  <c r="W500" i="38"/>
  <c r="AE500" i="38" s="1"/>
  <c r="AC499" i="38"/>
  <c r="W499" i="38"/>
  <c r="AE499" i="38" s="1"/>
  <c r="AC498" i="38"/>
  <c r="W498" i="38"/>
  <c r="AE498" i="38" s="1"/>
  <c r="AC497" i="38"/>
  <c r="W497" i="38"/>
  <c r="AE497" i="38" s="1"/>
  <c r="AC496" i="38"/>
  <c r="W496" i="38"/>
  <c r="AE496" i="38" s="1"/>
  <c r="AC495" i="38"/>
  <c r="W495" i="38"/>
  <c r="AE495" i="38" s="1"/>
  <c r="AC494" i="38"/>
  <c r="W494" i="38"/>
  <c r="AE494" i="38" s="1"/>
  <c r="AC493" i="38"/>
  <c r="W493" i="38"/>
  <c r="AE493" i="38" s="1"/>
  <c r="AC492" i="38"/>
  <c r="W492" i="38"/>
  <c r="AE492" i="38" s="1"/>
  <c r="AC491" i="38"/>
  <c r="W491" i="38"/>
  <c r="AE491" i="38" s="1"/>
  <c r="AC490" i="38"/>
  <c r="W490" i="38"/>
  <c r="AE490" i="38" s="1"/>
  <c r="AC489" i="38"/>
  <c r="W489" i="38"/>
  <c r="AE489" i="38" s="1"/>
  <c r="AC488" i="38"/>
  <c r="W488" i="38"/>
  <c r="AE488" i="38" s="1"/>
  <c r="AC487" i="38"/>
  <c r="W487" i="38"/>
  <c r="AE487" i="38" s="1"/>
  <c r="AC486" i="38"/>
  <c r="W486" i="38"/>
  <c r="AE486" i="38" s="1"/>
  <c r="AC485" i="38"/>
  <c r="W485" i="38"/>
  <c r="AE485" i="38" s="1"/>
  <c r="AC484" i="38"/>
  <c r="W484" i="38"/>
  <c r="AE484" i="38" s="1"/>
  <c r="AC483" i="38"/>
  <c r="W483" i="38"/>
  <c r="AE483" i="38" s="1"/>
  <c r="AC482" i="38"/>
  <c r="W482" i="38"/>
  <c r="AE482" i="38" s="1"/>
  <c r="AC481" i="38"/>
  <c r="W481" i="38"/>
  <c r="AE481" i="38" s="1"/>
  <c r="AC480" i="38"/>
  <c r="W480" i="38"/>
  <c r="AE480" i="38" s="1"/>
  <c r="AC479" i="38"/>
  <c r="W479" i="38"/>
  <c r="AE479" i="38" s="1"/>
  <c r="AC478" i="38"/>
  <c r="W478" i="38"/>
  <c r="AE478" i="38" s="1"/>
  <c r="AC477" i="38"/>
  <c r="W477" i="38"/>
  <c r="AE477" i="38" s="1"/>
  <c r="AC476" i="38"/>
  <c r="W476" i="38"/>
  <c r="AE476" i="38" s="1"/>
  <c r="AC475" i="38"/>
  <c r="W475" i="38"/>
  <c r="AE475" i="38" s="1"/>
  <c r="AC474" i="38"/>
  <c r="W474" i="38"/>
  <c r="AE474" i="38" s="1"/>
  <c r="AC473" i="38"/>
  <c r="W473" i="38"/>
  <c r="AE473" i="38" s="1"/>
  <c r="AC472" i="38"/>
  <c r="W472" i="38"/>
  <c r="AE472" i="38" s="1"/>
  <c r="AC471" i="38"/>
  <c r="W471" i="38"/>
  <c r="AE471" i="38" s="1"/>
  <c r="AC470" i="38"/>
  <c r="W470" i="38"/>
  <c r="AE470" i="38" s="1"/>
  <c r="AC469" i="38"/>
  <c r="W469" i="38"/>
  <c r="AE469" i="38" s="1"/>
  <c r="AC468" i="38"/>
  <c r="W468" i="38"/>
  <c r="AE468" i="38" s="1"/>
  <c r="AC467" i="38"/>
  <c r="W467" i="38"/>
  <c r="AE467" i="38" s="1"/>
  <c r="AC466" i="38"/>
  <c r="W466" i="38"/>
  <c r="AE466" i="38" s="1"/>
  <c r="AC465" i="38"/>
  <c r="W465" i="38"/>
  <c r="AE465" i="38" s="1"/>
  <c r="AC464" i="38"/>
  <c r="W464" i="38"/>
  <c r="AE464" i="38" s="1"/>
  <c r="AC463" i="38"/>
  <c r="W463" i="38"/>
  <c r="AE463" i="38" s="1"/>
  <c r="AC462" i="38"/>
  <c r="W462" i="38"/>
  <c r="AE462" i="38" s="1"/>
  <c r="W461" i="38"/>
  <c r="AE461" i="38" s="1"/>
  <c r="AC460" i="38"/>
  <c r="W460" i="38"/>
  <c r="AE460" i="38" s="1"/>
  <c r="AC459" i="38"/>
  <c r="W459" i="38"/>
  <c r="AE459" i="38" s="1"/>
  <c r="AC458" i="38"/>
  <c r="W458" i="38"/>
  <c r="AE458" i="38" s="1"/>
  <c r="AC457" i="38"/>
  <c r="W457" i="38"/>
  <c r="AE457" i="38" s="1"/>
  <c r="AC456" i="38"/>
  <c r="W456" i="38"/>
  <c r="AE456" i="38" s="1"/>
  <c r="AC455" i="38"/>
  <c r="W455" i="38"/>
  <c r="AE455" i="38" s="1"/>
  <c r="AC454" i="38"/>
  <c r="W454" i="38"/>
  <c r="AE454" i="38" s="1"/>
  <c r="AC453" i="38"/>
  <c r="W453" i="38"/>
  <c r="AE453" i="38" s="1"/>
  <c r="AC452" i="38"/>
  <c r="W452" i="38"/>
  <c r="AE452" i="38" s="1"/>
  <c r="AC451" i="38"/>
  <c r="W451" i="38"/>
  <c r="AE451" i="38" s="1"/>
  <c r="AC450" i="38"/>
  <c r="W450" i="38"/>
  <c r="AE450" i="38" s="1"/>
  <c r="AC449" i="38"/>
  <c r="W449" i="38"/>
  <c r="AE449" i="38" s="1"/>
  <c r="AC448" i="38"/>
  <c r="W448" i="38"/>
  <c r="AE448" i="38" s="1"/>
  <c r="AC447" i="38"/>
  <c r="W447" i="38"/>
  <c r="AE447" i="38" s="1"/>
  <c r="AC446" i="38"/>
  <c r="W446" i="38"/>
  <c r="AE446" i="38" s="1"/>
  <c r="AC445" i="38"/>
  <c r="W445" i="38"/>
  <c r="AE445" i="38" s="1"/>
  <c r="AC444" i="38"/>
  <c r="W444" i="38"/>
  <c r="AE444" i="38" s="1"/>
  <c r="AC443" i="38"/>
  <c r="W443" i="38"/>
  <c r="AE443" i="38" s="1"/>
  <c r="AC442" i="38"/>
  <c r="W442" i="38"/>
  <c r="AE442" i="38" s="1"/>
  <c r="AC441" i="38"/>
  <c r="W441" i="38"/>
  <c r="AE441" i="38" s="1"/>
  <c r="AC440" i="38"/>
  <c r="W440" i="38"/>
  <c r="AE440" i="38" s="1"/>
  <c r="AC439" i="38"/>
  <c r="W439" i="38"/>
  <c r="AE439" i="38" s="1"/>
  <c r="AC438" i="38"/>
  <c r="W438" i="38"/>
  <c r="AE438" i="38" s="1"/>
  <c r="AC437" i="38"/>
  <c r="W437" i="38"/>
  <c r="AE437" i="38" s="1"/>
  <c r="AC436" i="38"/>
  <c r="W436" i="38"/>
  <c r="AE436" i="38" s="1"/>
  <c r="AC435" i="38"/>
  <c r="W435" i="38"/>
  <c r="AE435" i="38" s="1"/>
  <c r="AC434" i="38"/>
  <c r="W434" i="38"/>
  <c r="AE434" i="38" s="1"/>
  <c r="AC433" i="38"/>
  <c r="W433" i="38"/>
  <c r="AE433" i="38" s="1"/>
  <c r="AC432" i="38"/>
  <c r="W432" i="38"/>
  <c r="AE432" i="38" s="1"/>
  <c r="AC431" i="38"/>
  <c r="W431" i="38"/>
  <c r="AE431" i="38" s="1"/>
  <c r="AC430" i="38"/>
  <c r="W430" i="38"/>
  <c r="AE430" i="38" s="1"/>
  <c r="AC429" i="38"/>
  <c r="W429" i="38"/>
  <c r="AE429" i="38" s="1"/>
  <c r="AC428" i="38"/>
  <c r="W428" i="38"/>
  <c r="AE428" i="38" s="1"/>
  <c r="AC427" i="38"/>
  <c r="W427" i="38"/>
  <c r="AE427" i="38" s="1"/>
  <c r="AC426" i="38"/>
  <c r="W426" i="38"/>
  <c r="AE426" i="38" s="1"/>
  <c r="AC425" i="38"/>
  <c r="W425" i="38"/>
  <c r="AE425" i="38" s="1"/>
  <c r="AC424" i="38"/>
  <c r="W424" i="38"/>
  <c r="AE424" i="38" s="1"/>
  <c r="AC423" i="38"/>
  <c r="W423" i="38"/>
  <c r="AE423" i="38" s="1"/>
  <c r="AC422" i="38"/>
  <c r="W422" i="38"/>
  <c r="AE422" i="38" s="1"/>
  <c r="AC421" i="38"/>
  <c r="W421" i="38"/>
  <c r="AE421" i="38" s="1"/>
  <c r="AC420" i="38"/>
  <c r="W420" i="38"/>
  <c r="AE420" i="38" s="1"/>
  <c r="AC419" i="38"/>
  <c r="W419" i="38"/>
  <c r="AE419" i="38" s="1"/>
  <c r="AC418" i="38"/>
  <c r="W418" i="38"/>
  <c r="AE418" i="38" s="1"/>
  <c r="AC417" i="38"/>
  <c r="W417" i="38"/>
  <c r="AE417" i="38" s="1"/>
  <c r="AC416" i="38"/>
  <c r="W416" i="38"/>
  <c r="AE416" i="38" s="1"/>
  <c r="AC415" i="38"/>
  <c r="W415" i="38"/>
  <c r="AE415" i="38" s="1"/>
  <c r="AC414" i="38"/>
  <c r="W414" i="38"/>
  <c r="AE414" i="38" s="1"/>
  <c r="AC413" i="38"/>
  <c r="W413" i="38"/>
  <c r="AE413" i="38" s="1"/>
  <c r="AC412" i="38"/>
  <c r="W412" i="38"/>
  <c r="AE412" i="38" s="1"/>
  <c r="AC411" i="38"/>
  <c r="W411" i="38"/>
  <c r="AE411" i="38" s="1"/>
  <c r="AC410" i="38"/>
  <c r="W410" i="38"/>
  <c r="AE410" i="38" s="1"/>
  <c r="AC409" i="38"/>
  <c r="W409" i="38"/>
  <c r="AE409" i="38" s="1"/>
  <c r="AC408" i="38"/>
  <c r="W408" i="38"/>
  <c r="AE408" i="38" s="1"/>
  <c r="AC407" i="38"/>
  <c r="W407" i="38"/>
  <c r="AE407" i="38" s="1"/>
  <c r="AC406" i="38"/>
  <c r="W406" i="38"/>
  <c r="AE406" i="38" s="1"/>
  <c r="AC405" i="38"/>
  <c r="W405" i="38"/>
  <c r="AE405" i="38" s="1"/>
  <c r="AC404" i="38"/>
  <c r="W404" i="38"/>
  <c r="AE404" i="38" s="1"/>
  <c r="AC403" i="38"/>
  <c r="W403" i="38"/>
  <c r="AE403" i="38" s="1"/>
  <c r="AC402" i="38"/>
  <c r="W402" i="38"/>
  <c r="AE402" i="38" s="1"/>
  <c r="AC401" i="38"/>
  <c r="W401" i="38"/>
  <c r="AE401" i="38" s="1"/>
  <c r="AC400" i="38"/>
  <c r="W400" i="38"/>
  <c r="AE400" i="38" s="1"/>
  <c r="AC399" i="38"/>
  <c r="W399" i="38"/>
  <c r="AE399" i="38" s="1"/>
  <c r="AC398" i="38"/>
  <c r="W398" i="38"/>
  <c r="AE398" i="38" s="1"/>
  <c r="AC397" i="38"/>
  <c r="W397" i="38"/>
  <c r="AE397" i="38" s="1"/>
  <c r="AC396" i="38"/>
  <c r="W396" i="38"/>
  <c r="AE396" i="38" s="1"/>
  <c r="AC395" i="38"/>
  <c r="W395" i="38"/>
  <c r="AE395" i="38" s="1"/>
  <c r="AC394" i="38"/>
  <c r="W394" i="38"/>
  <c r="AE394" i="38" s="1"/>
  <c r="AC393" i="38"/>
  <c r="W393" i="38"/>
  <c r="AE393" i="38" s="1"/>
  <c r="AC392" i="38"/>
  <c r="W392" i="38"/>
  <c r="AE392" i="38" s="1"/>
  <c r="AC391" i="38"/>
  <c r="W391" i="38"/>
  <c r="AE391" i="38" s="1"/>
  <c r="AC390" i="38"/>
  <c r="W390" i="38"/>
  <c r="AE390" i="38" s="1"/>
  <c r="AC389" i="38"/>
  <c r="W389" i="38"/>
  <c r="AE389" i="38" s="1"/>
  <c r="AC388" i="38"/>
  <c r="W388" i="38"/>
  <c r="AE388" i="38" s="1"/>
  <c r="AC387" i="38"/>
  <c r="W387" i="38"/>
  <c r="AE387" i="38" s="1"/>
  <c r="AC386" i="38"/>
  <c r="W386" i="38"/>
  <c r="AE386" i="38" s="1"/>
  <c r="AC385" i="38"/>
  <c r="W385" i="38"/>
  <c r="AE385" i="38" s="1"/>
  <c r="AC384" i="38"/>
  <c r="W384" i="38"/>
  <c r="AE384" i="38" s="1"/>
  <c r="AC383" i="38"/>
  <c r="W383" i="38"/>
  <c r="AE383" i="38" s="1"/>
  <c r="AC382" i="38"/>
  <c r="W382" i="38"/>
  <c r="AE382" i="38" s="1"/>
  <c r="AC381" i="38"/>
  <c r="W381" i="38"/>
  <c r="AE381" i="38" s="1"/>
  <c r="AC380" i="38"/>
  <c r="W380" i="38"/>
  <c r="AE380" i="38" s="1"/>
  <c r="AC379" i="38"/>
  <c r="W379" i="38"/>
  <c r="AE379" i="38" s="1"/>
  <c r="AC378" i="38"/>
  <c r="W378" i="38"/>
  <c r="AE378" i="38" s="1"/>
  <c r="AC377" i="38"/>
  <c r="W377" i="38"/>
  <c r="AE377" i="38" s="1"/>
  <c r="AC376" i="38"/>
  <c r="W376" i="38"/>
  <c r="AE376" i="38" s="1"/>
  <c r="AC375" i="38"/>
  <c r="W375" i="38"/>
  <c r="AE375" i="38" s="1"/>
  <c r="AC374" i="38"/>
  <c r="W374" i="38"/>
  <c r="AE374" i="38" s="1"/>
  <c r="AC373" i="38"/>
  <c r="W373" i="38"/>
  <c r="AE373" i="38" s="1"/>
  <c r="AC372" i="38"/>
  <c r="W372" i="38"/>
  <c r="AE372" i="38" s="1"/>
  <c r="AC371" i="38"/>
  <c r="W371" i="38"/>
  <c r="AE371" i="38" s="1"/>
  <c r="AC370" i="38"/>
  <c r="W370" i="38"/>
  <c r="AE370" i="38" s="1"/>
  <c r="AC369" i="38"/>
  <c r="W369" i="38"/>
  <c r="AE369" i="38" s="1"/>
  <c r="AC368" i="38"/>
  <c r="W368" i="38"/>
  <c r="AE368" i="38" s="1"/>
  <c r="AC367" i="38"/>
  <c r="W367" i="38"/>
  <c r="AE367" i="38" s="1"/>
  <c r="AC366" i="38"/>
  <c r="W366" i="38"/>
  <c r="AE366" i="38" s="1"/>
  <c r="AC365" i="38"/>
  <c r="W365" i="38"/>
  <c r="AE365" i="38" s="1"/>
  <c r="AC364" i="38"/>
  <c r="W364" i="38"/>
  <c r="AE364" i="38" s="1"/>
  <c r="AC363" i="38"/>
  <c r="W363" i="38"/>
  <c r="AE363" i="38" s="1"/>
  <c r="AC362" i="38"/>
  <c r="W362" i="38"/>
  <c r="AE362" i="38" s="1"/>
  <c r="AC361" i="38"/>
  <c r="W361" i="38"/>
  <c r="AE361" i="38" s="1"/>
  <c r="AC360" i="38"/>
  <c r="W360" i="38"/>
  <c r="AE360" i="38" s="1"/>
  <c r="AC359" i="38"/>
  <c r="W359" i="38"/>
  <c r="AE359" i="38" s="1"/>
  <c r="AC358" i="38"/>
  <c r="W358" i="38"/>
  <c r="AE358" i="38" s="1"/>
  <c r="AC357" i="38"/>
  <c r="W357" i="38"/>
  <c r="AE357" i="38" s="1"/>
  <c r="AC356" i="38"/>
  <c r="W356" i="38"/>
  <c r="AE356" i="38" s="1"/>
  <c r="AC355" i="38"/>
  <c r="W355" i="38"/>
  <c r="AE355" i="38" s="1"/>
  <c r="AC354" i="38"/>
  <c r="W354" i="38"/>
  <c r="AE354" i="38" s="1"/>
  <c r="AC353" i="38"/>
  <c r="W353" i="38"/>
  <c r="AE353" i="38" s="1"/>
  <c r="AC352" i="38"/>
  <c r="W352" i="38"/>
  <c r="AE352" i="38" s="1"/>
  <c r="AC351" i="38"/>
  <c r="W351" i="38"/>
  <c r="AE351" i="38" s="1"/>
  <c r="AC350" i="38"/>
  <c r="W350" i="38"/>
  <c r="AE350" i="38" s="1"/>
  <c r="AC349" i="38"/>
  <c r="W349" i="38"/>
  <c r="AE349" i="38" s="1"/>
  <c r="AC348" i="38"/>
  <c r="W348" i="38"/>
  <c r="AE348" i="38" s="1"/>
  <c r="AC347" i="38"/>
  <c r="W347" i="38"/>
  <c r="AE347" i="38" s="1"/>
  <c r="AC346" i="38"/>
  <c r="W346" i="38"/>
  <c r="AE346" i="38" s="1"/>
  <c r="AC345" i="38"/>
  <c r="W345" i="38"/>
  <c r="AE345" i="38" s="1"/>
  <c r="AC344" i="38"/>
  <c r="W344" i="38"/>
  <c r="AE344" i="38" s="1"/>
  <c r="AC343" i="38"/>
  <c r="W343" i="38"/>
  <c r="AE343" i="38" s="1"/>
  <c r="AC342" i="38"/>
  <c r="W342" i="38"/>
  <c r="AE342" i="38" s="1"/>
  <c r="AC341" i="38"/>
  <c r="W341" i="38"/>
  <c r="AE341" i="38" s="1"/>
  <c r="AC340" i="38"/>
  <c r="W340" i="38"/>
  <c r="AE340" i="38" s="1"/>
  <c r="AC339" i="38"/>
  <c r="W339" i="38"/>
  <c r="AE339" i="38" s="1"/>
  <c r="AC338" i="38"/>
  <c r="W338" i="38"/>
  <c r="AE338" i="38" s="1"/>
  <c r="AC337" i="38"/>
  <c r="W337" i="38"/>
  <c r="AE337" i="38" s="1"/>
  <c r="AC336" i="38"/>
  <c r="W336" i="38"/>
  <c r="AE336" i="38" s="1"/>
  <c r="AC335" i="38"/>
  <c r="W335" i="38"/>
  <c r="AE335" i="38" s="1"/>
  <c r="AC334" i="38"/>
  <c r="W334" i="38"/>
  <c r="AE334" i="38" s="1"/>
  <c r="AC333" i="38"/>
  <c r="W333" i="38"/>
  <c r="AE333" i="38" s="1"/>
  <c r="AC332" i="38"/>
  <c r="W332" i="38"/>
  <c r="AE332" i="38" s="1"/>
  <c r="AC331" i="38"/>
  <c r="W331" i="38"/>
  <c r="AE331" i="38" s="1"/>
  <c r="AC330" i="38"/>
  <c r="W330" i="38"/>
  <c r="AE330" i="38" s="1"/>
  <c r="AC329" i="38"/>
  <c r="W329" i="38"/>
  <c r="AE329" i="38" s="1"/>
  <c r="AC328" i="38"/>
  <c r="W328" i="38"/>
  <c r="AE328" i="38" s="1"/>
  <c r="AC327" i="38"/>
  <c r="W327" i="38"/>
  <c r="AE327" i="38" s="1"/>
  <c r="AC326" i="38"/>
  <c r="W326" i="38"/>
  <c r="AE326" i="38" s="1"/>
  <c r="AC325" i="38"/>
  <c r="W325" i="38"/>
  <c r="AE325" i="38" s="1"/>
  <c r="AC324" i="38"/>
  <c r="W324" i="38"/>
  <c r="AE324" i="38" s="1"/>
  <c r="AC323" i="38"/>
  <c r="W323" i="38"/>
  <c r="AE323" i="38" s="1"/>
  <c r="AC322" i="38"/>
  <c r="W322" i="38"/>
  <c r="AE322" i="38" s="1"/>
  <c r="AC321" i="38"/>
  <c r="W321" i="38"/>
  <c r="AE321" i="38" s="1"/>
  <c r="AC320" i="38"/>
  <c r="W320" i="38"/>
  <c r="AE320" i="38" s="1"/>
  <c r="AC319" i="38"/>
  <c r="W319" i="38"/>
  <c r="AE319" i="38" s="1"/>
  <c r="AC318" i="38"/>
  <c r="W318" i="38"/>
  <c r="AE318" i="38" s="1"/>
  <c r="AC317" i="38"/>
  <c r="W317" i="38"/>
  <c r="AE317" i="38" s="1"/>
  <c r="AC316" i="38"/>
  <c r="W316" i="38"/>
  <c r="AE316" i="38" s="1"/>
  <c r="AC315" i="38"/>
  <c r="W315" i="38"/>
  <c r="AE315" i="38" s="1"/>
  <c r="AC314" i="38"/>
  <c r="W314" i="38"/>
  <c r="AE314" i="38" s="1"/>
  <c r="AC313" i="38"/>
  <c r="W313" i="38"/>
  <c r="AE313" i="38" s="1"/>
  <c r="AC312" i="38"/>
  <c r="W312" i="38"/>
  <c r="AE312" i="38" s="1"/>
  <c r="AC311" i="38"/>
  <c r="W311" i="38"/>
  <c r="AE311" i="38" s="1"/>
  <c r="AC310" i="38"/>
  <c r="W310" i="38"/>
  <c r="AE310" i="38" s="1"/>
  <c r="AC309" i="38"/>
  <c r="W309" i="38"/>
  <c r="AE309" i="38" s="1"/>
  <c r="AC308" i="38"/>
  <c r="W308" i="38"/>
  <c r="AE308" i="38" s="1"/>
  <c r="AC307" i="38"/>
  <c r="W307" i="38"/>
  <c r="AE307" i="38" s="1"/>
  <c r="W306" i="38"/>
  <c r="AE306" i="38" s="1"/>
  <c r="AC305" i="38"/>
  <c r="W305" i="38"/>
  <c r="AE305" i="38" s="1"/>
  <c r="AC304" i="38"/>
  <c r="W304" i="38"/>
  <c r="AE304" i="38" s="1"/>
  <c r="AC303" i="38"/>
  <c r="W303" i="38"/>
  <c r="AE303" i="38" s="1"/>
  <c r="AC302" i="38"/>
  <c r="W302" i="38"/>
  <c r="AE302" i="38" s="1"/>
  <c r="AC301" i="38"/>
  <c r="W301" i="38"/>
  <c r="AE301" i="38" s="1"/>
  <c r="AC300" i="38"/>
  <c r="W300" i="38"/>
  <c r="AE300" i="38" s="1"/>
  <c r="AC299" i="38"/>
  <c r="W299" i="38"/>
  <c r="AE299" i="38" s="1"/>
  <c r="AC298" i="38"/>
  <c r="W298" i="38"/>
  <c r="AE298" i="38" s="1"/>
  <c r="AC297" i="38"/>
  <c r="W297" i="38"/>
  <c r="AE297" i="38" s="1"/>
  <c r="AC296" i="38"/>
  <c r="W296" i="38"/>
  <c r="AE296" i="38" s="1"/>
  <c r="AC295" i="38"/>
  <c r="W295" i="38"/>
  <c r="AE295" i="38" s="1"/>
  <c r="AC294" i="38"/>
  <c r="W294" i="38"/>
  <c r="AE294" i="38" s="1"/>
  <c r="AC293" i="38"/>
  <c r="W293" i="38"/>
  <c r="AE293" i="38" s="1"/>
  <c r="AC292" i="38"/>
  <c r="W292" i="38"/>
  <c r="AE292" i="38" s="1"/>
  <c r="AC291" i="38"/>
  <c r="W291" i="38"/>
  <c r="AE291" i="38" s="1"/>
  <c r="AC290" i="38"/>
  <c r="W290" i="38"/>
  <c r="AE290" i="38" s="1"/>
  <c r="AC289" i="38"/>
  <c r="W289" i="38"/>
  <c r="AE289" i="38" s="1"/>
  <c r="AC288" i="38"/>
  <c r="W288" i="38"/>
  <c r="AE288" i="38" s="1"/>
  <c r="AC287" i="38"/>
  <c r="W287" i="38"/>
  <c r="AE287" i="38" s="1"/>
  <c r="AC286" i="38"/>
  <c r="W286" i="38"/>
  <c r="AE286" i="38" s="1"/>
  <c r="AC285" i="38"/>
  <c r="W285" i="38"/>
  <c r="AE285" i="38" s="1"/>
  <c r="AC284" i="38"/>
  <c r="W284" i="38"/>
  <c r="AE284" i="38" s="1"/>
  <c r="AC283" i="38"/>
  <c r="W283" i="38"/>
  <c r="AE283" i="38" s="1"/>
  <c r="AC282" i="38"/>
  <c r="W282" i="38"/>
  <c r="AE282" i="38" s="1"/>
  <c r="AC281" i="38"/>
  <c r="W281" i="38"/>
  <c r="AE281" i="38" s="1"/>
  <c r="AC280" i="38"/>
  <c r="W280" i="38"/>
  <c r="AE280" i="38" s="1"/>
  <c r="AC279" i="38"/>
  <c r="W279" i="38"/>
  <c r="AE279" i="38" s="1"/>
  <c r="AC278" i="38"/>
  <c r="W278" i="38"/>
  <c r="AE278" i="38" s="1"/>
  <c r="AC277" i="38"/>
  <c r="W277" i="38"/>
  <c r="AE277" i="38" s="1"/>
  <c r="AC276" i="38"/>
  <c r="W276" i="38"/>
  <c r="AE276" i="38" s="1"/>
  <c r="AC275" i="38"/>
  <c r="W275" i="38"/>
  <c r="AE275" i="38" s="1"/>
  <c r="AC274" i="38"/>
  <c r="W274" i="38"/>
  <c r="AE274" i="38" s="1"/>
  <c r="AC273" i="38"/>
  <c r="W273" i="38"/>
  <c r="AE273" i="38" s="1"/>
  <c r="AC272" i="38"/>
  <c r="W272" i="38"/>
  <c r="AE272" i="38" s="1"/>
  <c r="AC271" i="38"/>
  <c r="W271" i="38"/>
  <c r="AE271" i="38" s="1"/>
  <c r="AC270" i="38"/>
  <c r="W270" i="38"/>
  <c r="AE270" i="38" s="1"/>
  <c r="AC269" i="38"/>
  <c r="W269" i="38"/>
  <c r="AE269" i="38" s="1"/>
  <c r="AC268" i="38"/>
  <c r="W268" i="38"/>
  <c r="AE268" i="38" s="1"/>
  <c r="AC267" i="38"/>
  <c r="W267" i="38"/>
  <c r="AE267" i="38" s="1"/>
  <c r="AC266" i="38"/>
  <c r="W266" i="38"/>
  <c r="AE266" i="38" s="1"/>
  <c r="AC265" i="38"/>
  <c r="W265" i="38"/>
  <c r="AE265" i="38" s="1"/>
  <c r="AC264" i="38"/>
  <c r="W264" i="38"/>
  <c r="AE264" i="38" s="1"/>
  <c r="AC263" i="38"/>
  <c r="W263" i="38"/>
  <c r="AE263" i="38" s="1"/>
  <c r="AC262" i="38"/>
  <c r="W262" i="38"/>
  <c r="AE262" i="38" s="1"/>
  <c r="AC261" i="38"/>
  <c r="W261" i="38"/>
  <c r="AE261" i="38" s="1"/>
  <c r="AC260" i="38"/>
  <c r="W260" i="38"/>
  <c r="AE260" i="38" s="1"/>
  <c r="AC259" i="38"/>
  <c r="W259" i="38"/>
  <c r="AE259" i="38" s="1"/>
  <c r="AC258" i="38"/>
  <c r="W258" i="38"/>
  <c r="AE258" i="38" s="1"/>
  <c r="AC257" i="38"/>
  <c r="W257" i="38"/>
  <c r="AE257" i="38" s="1"/>
  <c r="AC256" i="38"/>
  <c r="W256" i="38"/>
  <c r="AE256" i="38" s="1"/>
  <c r="AC255" i="38"/>
  <c r="W255" i="38"/>
  <c r="AE255" i="38" s="1"/>
  <c r="AC254" i="38"/>
  <c r="W254" i="38"/>
  <c r="AE254" i="38" s="1"/>
  <c r="AC253" i="38"/>
  <c r="W253" i="38"/>
  <c r="AE253" i="38" s="1"/>
  <c r="AC252" i="38"/>
  <c r="W252" i="38"/>
  <c r="AE252" i="38" s="1"/>
  <c r="AC251" i="38"/>
  <c r="W251" i="38"/>
  <c r="AE251" i="38" s="1"/>
  <c r="AC250" i="38"/>
  <c r="W250" i="38"/>
  <c r="AE250" i="38" s="1"/>
  <c r="AC249" i="38"/>
  <c r="W249" i="38"/>
  <c r="AE249" i="38" s="1"/>
  <c r="AC248" i="38"/>
  <c r="W248" i="38"/>
  <c r="AE248" i="38" s="1"/>
  <c r="AC247" i="38"/>
  <c r="W247" i="38"/>
  <c r="AE247" i="38" s="1"/>
  <c r="AC246" i="38"/>
  <c r="W246" i="38"/>
  <c r="AE246" i="38" s="1"/>
  <c r="AC245" i="38"/>
  <c r="W245" i="38"/>
  <c r="AE245" i="38" s="1"/>
  <c r="AC244" i="38"/>
  <c r="W244" i="38"/>
  <c r="AE244" i="38" s="1"/>
  <c r="AC243" i="38"/>
  <c r="W243" i="38"/>
  <c r="AE243" i="38" s="1"/>
  <c r="AC242" i="38"/>
  <c r="W242" i="38"/>
  <c r="AE242" i="38" s="1"/>
  <c r="AC241" i="38"/>
  <c r="W241" i="38"/>
  <c r="AE241" i="38" s="1"/>
  <c r="AC240" i="38"/>
  <c r="W240" i="38"/>
  <c r="AE240" i="38" s="1"/>
  <c r="AC239" i="38"/>
  <c r="W239" i="38"/>
  <c r="AE239" i="38" s="1"/>
  <c r="AC238" i="38"/>
  <c r="W238" i="38"/>
  <c r="AE238" i="38" s="1"/>
  <c r="AC237" i="38"/>
  <c r="W237" i="38"/>
  <c r="AE237" i="38" s="1"/>
  <c r="AC236" i="38"/>
  <c r="W236" i="38"/>
  <c r="AE236" i="38" s="1"/>
  <c r="AC235" i="38"/>
  <c r="W235" i="38"/>
  <c r="AE235" i="38" s="1"/>
  <c r="AC234" i="38"/>
  <c r="W234" i="38"/>
  <c r="AE234" i="38" s="1"/>
  <c r="AC233" i="38"/>
  <c r="W233" i="38"/>
  <c r="AE233" i="38" s="1"/>
  <c r="AC232" i="38"/>
  <c r="W232" i="38"/>
  <c r="AE232" i="38" s="1"/>
  <c r="AC231" i="38"/>
  <c r="W231" i="38"/>
  <c r="AE231" i="38" s="1"/>
  <c r="AC230" i="38"/>
  <c r="W230" i="38"/>
  <c r="AE230" i="38" s="1"/>
  <c r="AC229" i="38"/>
  <c r="W229" i="38"/>
  <c r="AE229" i="38" s="1"/>
  <c r="AC228" i="38"/>
  <c r="W228" i="38"/>
  <c r="AE228" i="38" s="1"/>
  <c r="AC227" i="38"/>
  <c r="W227" i="38"/>
  <c r="AE227" i="38" s="1"/>
  <c r="AC226" i="38"/>
  <c r="W226" i="38"/>
  <c r="AE226" i="38" s="1"/>
  <c r="AC225" i="38"/>
  <c r="W225" i="38"/>
  <c r="AE225" i="38" s="1"/>
  <c r="AC224" i="38"/>
  <c r="W224" i="38"/>
  <c r="AE224" i="38" s="1"/>
  <c r="AC223" i="38"/>
  <c r="W223" i="38"/>
  <c r="AE223" i="38" s="1"/>
  <c r="AC222" i="38"/>
  <c r="W222" i="38"/>
  <c r="AE222" i="38" s="1"/>
  <c r="AC221" i="38"/>
  <c r="W221" i="38"/>
  <c r="AE221" i="38" s="1"/>
  <c r="AC220" i="38"/>
  <c r="W220" i="38"/>
  <c r="AE220" i="38" s="1"/>
  <c r="AC219" i="38"/>
  <c r="W219" i="38"/>
  <c r="AE219" i="38" s="1"/>
  <c r="AC218" i="38"/>
  <c r="W218" i="38"/>
  <c r="AE218" i="38" s="1"/>
  <c r="AC217" i="38"/>
  <c r="W217" i="38"/>
  <c r="AE217" i="38" s="1"/>
  <c r="AC216" i="38"/>
  <c r="W216" i="38"/>
  <c r="AE216" i="38" s="1"/>
  <c r="AC215" i="38"/>
  <c r="W215" i="38"/>
  <c r="AE215" i="38" s="1"/>
  <c r="AC214" i="38"/>
  <c r="W214" i="38"/>
  <c r="AE214" i="38" s="1"/>
  <c r="AC213" i="38"/>
  <c r="W213" i="38"/>
  <c r="AE213" i="38" s="1"/>
  <c r="AC212" i="38"/>
  <c r="W212" i="38"/>
  <c r="AE212" i="38" s="1"/>
  <c r="AC211" i="38"/>
  <c r="W211" i="38"/>
  <c r="AE211" i="38" s="1"/>
  <c r="AC210" i="38"/>
  <c r="W210" i="38"/>
  <c r="AE210" i="38" s="1"/>
  <c r="AC209" i="38"/>
  <c r="W209" i="38"/>
  <c r="AE209" i="38" s="1"/>
  <c r="AC208" i="38"/>
  <c r="W208" i="38"/>
  <c r="AE208" i="38" s="1"/>
  <c r="AC207" i="38"/>
  <c r="W207" i="38"/>
  <c r="AE207" i="38" s="1"/>
  <c r="AC206" i="38"/>
  <c r="W206" i="38"/>
  <c r="AE206" i="38" s="1"/>
  <c r="AE205" i="38"/>
  <c r="AC205" i="38"/>
  <c r="W204" i="38"/>
  <c r="AC203" i="38"/>
  <c r="W203" i="38"/>
  <c r="AE203" i="38" s="1"/>
  <c r="AC202" i="38"/>
  <c r="W202" i="38"/>
  <c r="AE202" i="38" s="1"/>
  <c r="AC201" i="38"/>
  <c r="W201" i="38"/>
  <c r="AE201" i="38" s="1"/>
  <c r="AC200" i="38"/>
  <c r="W200" i="38"/>
  <c r="AE200" i="38" s="1"/>
  <c r="AC199" i="38"/>
  <c r="W199" i="38"/>
  <c r="AE199" i="38" s="1"/>
  <c r="AC198" i="38"/>
  <c r="W198" i="38"/>
  <c r="AE198" i="38" s="1"/>
  <c r="AC197" i="38"/>
  <c r="W197" i="38"/>
  <c r="AE197" i="38" s="1"/>
  <c r="AC196" i="38"/>
  <c r="W196" i="38"/>
  <c r="AE196" i="38" s="1"/>
  <c r="AC195" i="38"/>
  <c r="W195" i="38"/>
  <c r="AE195" i="38" s="1"/>
  <c r="AC194" i="38"/>
  <c r="W194" i="38"/>
  <c r="AE194" i="38" s="1"/>
  <c r="AC193" i="38"/>
  <c r="W193" i="38"/>
  <c r="AE193" i="38" s="1"/>
  <c r="AC192" i="38"/>
  <c r="W192" i="38"/>
  <c r="AE192" i="38" s="1"/>
  <c r="AC191" i="38"/>
  <c r="W191" i="38"/>
  <c r="AE191" i="38" s="1"/>
  <c r="AC190" i="38"/>
  <c r="W190" i="38"/>
  <c r="AE190" i="38" s="1"/>
  <c r="AC189" i="38"/>
  <c r="W189" i="38"/>
  <c r="AE189" i="38" s="1"/>
  <c r="AC187" i="38"/>
  <c r="W187" i="38"/>
  <c r="AE187" i="38" s="1"/>
  <c r="AC186" i="38"/>
  <c r="W186" i="38"/>
  <c r="AE186" i="38" s="1"/>
  <c r="AC185" i="38"/>
  <c r="W185" i="38"/>
  <c r="AE185" i="38" s="1"/>
  <c r="AC184" i="38"/>
  <c r="W184" i="38"/>
  <c r="AE184" i="38" s="1"/>
  <c r="AC183" i="38"/>
  <c r="W183" i="38"/>
  <c r="AE183" i="38" s="1"/>
  <c r="AC182" i="38"/>
  <c r="W182" i="38"/>
  <c r="AE182" i="38" s="1"/>
  <c r="AC181" i="38"/>
  <c r="W181" i="38"/>
  <c r="AE181" i="38" s="1"/>
  <c r="AC180" i="38"/>
  <c r="W180" i="38"/>
  <c r="AE180" i="38" s="1"/>
  <c r="AC179" i="38"/>
  <c r="W179" i="38"/>
  <c r="AE179" i="38" s="1"/>
  <c r="AC178" i="38"/>
  <c r="W178" i="38"/>
  <c r="AE178" i="38" s="1"/>
  <c r="AC177" i="38"/>
  <c r="W177" i="38"/>
  <c r="AE177" i="38" s="1"/>
  <c r="AC176" i="38"/>
  <c r="W176" i="38"/>
  <c r="AE176" i="38" s="1"/>
  <c r="AC175" i="38"/>
  <c r="W175" i="38"/>
  <c r="AE175" i="38" s="1"/>
  <c r="AC174" i="38"/>
  <c r="W174" i="38"/>
  <c r="AE174" i="38" s="1"/>
  <c r="AC173" i="38"/>
  <c r="W173" i="38"/>
  <c r="AE173" i="38" s="1"/>
  <c r="AC172" i="38"/>
  <c r="W172" i="38"/>
  <c r="AE172" i="38" s="1"/>
  <c r="AC171" i="38"/>
  <c r="W171" i="38"/>
  <c r="AE171" i="38" s="1"/>
  <c r="AC170" i="38"/>
  <c r="W170" i="38"/>
  <c r="AE170" i="38" s="1"/>
  <c r="AC169" i="38"/>
  <c r="W169" i="38"/>
  <c r="AE169" i="38" s="1"/>
  <c r="AC168" i="38"/>
  <c r="W168" i="38"/>
  <c r="AE168" i="38" s="1"/>
  <c r="AC167" i="38"/>
  <c r="W167" i="38"/>
  <c r="AE167" i="38" s="1"/>
  <c r="AC166" i="38"/>
  <c r="W166" i="38"/>
  <c r="AE166" i="38" s="1"/>
  <c r="AC165" i="38"/>
  <c r="W165" i="38"/>
  <c r="AE165" i="38" s="1"/>
  <c r="AC164" i="38"/>
  <c r="W164" i="38"/>
  <c r="AE164" i="38" s="1"/>
  <c r="AC163" i="38"/>
  <c r="W163" i="38"/>
  <c r="AE163" i="38" s="1"/>
  <c r="AC162" i="38"/>
  <c r="W162" i="38"/>
  <c r="AE162" i="38" s="1"/>
  <c r="AC161" i="38"/>
  <c r="W161" i="38"/>
  <c r="AE161" i="38" s="1"/>
  <c r="AC160" i="38"/>
  <c r="W160" i="38"/>
  <c r="AE160" i="38" s="1"/>
  <c r="AC159" i="38"/>
  <c r="W159" i="38"/>
  <c r="AE159" i="38" s="1"/>
  <c r="AC158" i="38"/>
  <c r="W158" i="38"/>
  <c r="AE158" i="38" s="1"/>
  <c r="AC157" i="38"/>
  <c r="W157" i="38"/>
  <c r="AE157" i="38" s="1"/>
  <c r="AC156" i="38"/>
  <c r="W156" i="38"/>
  <c r="AE156" i="38" s="1"/>
  <c r="AC155" i="38"/>
  <c r="W155" i="38"/>
  <c r="AE155" i="38" s="1"/>
  <c r="AC154" i="38"/>
  <c r="W154" i="38"/>
  <c r="AE154" i="38" s="1"/>
  <c r="AC153" i="38"/>
  <c r="W153" i="38"/>
  <c r="AE153" i="38" s="1"/>
  <c r="AC152" i="38"/>
  <c r="W152" i="38"/>
  <c r="AE152" i="38" s="1"/>
  <c r="AC151" i="38"/>
  <c r="W151" i="38"/>
  <c r="AE151" i="38" s="1"/>
  <c r="AC150" i="38"/>
  <c r="W150" i="38"/>
  <c r="AE150" i="38" s="1"/>
  <c r="AC149" i="38"/>
  <c r="W149" i="38"/>
  <c r="AE149" i="38" s="1"/>
  <c r="AC148" i="38"/>
  <c r="W148" i="38"/>
  <c r="AE148" i="38" s="1"/>
  <c r="AC147" i="38"/>
  <c r="W147" i="38"/>
  <c r="AE147" i="38" s="1"/>
  <c r="AC146" i="38"/>
  <c r="W146" i="38"/>
  <c r="AE146" i="38" s="1"/>
  <c r="W145" i="38"/>
  <c r="AE145" i="38" s="1"/>
  <c r="AC144" i="38"/>
  <c r="W144" i="38"/>
  <c r="AE144" i="38" s="1"/>
  <c r="AC143" i="38"/>
  <c r="W143" i="38"/>
  <c r="AE143" i="38" s="1"/>
  <c r="AC142" i="38"/>
  <c r="W142" i="38"/>
  <c r="AE142" i="38" s="1"/>
  <c r="AC141" i="38"/>
  <c r="W141" i="38"/>
  <c r="AE141" i="38" s="1"/>
  <c r="AC140" i="38"/>
  <c r="W140" i="38"/>
  <c r="AE140" i="38" s="1"/>
  <c r="AC139" i="38"/>
  <c r="W139" i="38"/>
  <c r="AE139" i="38" s="1"/>
  <c r="AC138" i="38"/>
  <c r="W138" i="38"/>
  <c r="AE138" i="38" s="1"/>
  <c r="AC137" i="38"/>
  <c r="W137" i="38"/>
  <c r="AE137" i="38" s="1"/>
  <c r="AC136" i="38"/>
  <c r="W136" i="38"/>
  <c r="AE136" i="38" s="1"/>
  <c r="AC135" i="38"/>
  <c r="W135" i="38"/>
  <c r="AE135" i="38" s="1"/>
  <c r="AC134" i="38"/>
  <c r="W134" i="38"/>
  <c r="AE134" i="38" s="1"/>
  <c r="AC133" i="38"/>
  <c r="W133" i="38"/>
  <c r="AE133" i="38" s="1"/>
  <c r="AC132" i="38"/>
  <c r="W132" i="38"/>
  <c r="AE132" i="38" s="1"/>
  <c r="AC131" i="38"/>
  <c r="W131" i="38"/>
  <c r="AE131" i="38" s="1"/>
  <c r="AC130" i="38"/>
  <c r="W130" i="38"/>
  <c r="AE130" i="38" s="1"/>
  <c r="AC129" i="38"/>
  <c r="W129" i="38"/>
  <c r="AE129" i="38" s="1"/>
  <c r="AC128" i="38"/>
  <c r="W128" i="38"/>
  <c r="AE128" i="38" s="1"/>
  <c r="AC127" i="38"/>
  <c r="W127" i="38"/>
  <c r="AE127" i="38" s="1"/>
  <c r="AC126" i="38"/>
  <c r="W126" i="38"/>
  <c r="AE126" i="38" s="1"/>
  <c r="AC125" i="38"/>
  <c r="W125" i="38"/>
  <c r="AE125" i="38" s="1"/>
  <c r="AC124" i="38"/>
  <c r="W124" i="38"/>
  <c r="AE124" i="38" s="1"/>
  <c r="AC123" i="38"/>
  <c r="W123" i="38"/>
  <c r="AE123" i="38" s="1"/>
  <c r="AC122" i="38"/>
  <c r="W122" i="38"/>
  <c r="AE122" i="38" s="1"/>
  <c r="AC121" i="38"/>
  <c r="W121" i="38"/>
  <c r="AE121" i="38" s="1"/>
  <c r="AC120" i="38"/>
  <c r="W120" i="38"/>
  <c r="AE120" i="38" s="1"/>
  <c r="AC119" i="38"/>
  <c r="W119" i="38"/>
  <c r="AE119" i="38" s="1"/>
  <c r="AC118" i="38"/>
  <c r="W118" i="38"/>
  <c r="AE118" i="38" s="1"/>
  <c r="AC117" i="38"/>
  <c r="W117" i="38"/>
  <c r="AE117" i="38" s="1"/>
  <c r="AC116" i="38"/>
  <c r="W116" i="38"/>
  <c r="AE116" i="38" s="1"/>
  <c r="AC115" i="38"/>
  <c r="W115" i="38"/>
  <c r="AE115" i="38" s="1"/>
  <c r="W110" i="38"/>
  <c r="W109" i="38"/>
  <c r="AC108" i="38"/>
  <c r="W108" i="38"/>
  <c r="AE108" i="38" s="1"/>
  <c r="AC107" i="38"/>
  <c r="W107" i="38"/>
  <c r="AE107" i="38" s="1"/>
  <c r="AC106" i="38"/>
  <c r="W106" i="38"/>
  <c r="AE106" i="38" s="1"/>
  <c r="AC105" i="38"/>
  <c r="W105" i="38"/>
  <c r="AE105" i="38" s="1"/>
  <c r="AC103" i="38"/>
  <c r="W103" i="38"/>
  <c r="AE103" i="38" s="1"/>
  <c r="AC102" i="38"/>
  <c r="W102" i="38"/>
  <c r="AE102" i="38" s="1"/>
  <c r="AC101" i="38"/>
  <c r="W101" i="38"/>
  <c r="AE101" i="38" s="1"/>
  <c r="AC100" i="38"/>
  <c r="W100" i="38"/>
  <c r="AE100" i="38" s="1"/>
  <c r="AC99" i="38"/>
  <c r="W99" i="38"/>
  <c r="AE99" i="38" s="1"/>
  <c r="AC98" i="38"/>
  <c r="W98" i="38"/>
  <c r="AE98" i="38" s="1"/>
  <c r="AC97" i="38"/>
  <c r="W97" i="38"/>
  <c r="AE97" i="38" s="1"/>
  <c r="AC96" i="38"/>
  <c r="W96" i="38"/>
  <c r="AE96" i="38" s="1"/>
  <c r="AC95" i="38"/>
  <c r="W95" i="38"/>
  <c r="AE95" i="38" s="1"/>
  <c r="AC94" i="38"/>
  <c r="W94" i="38"/>
  <c r="AE94" i="38" s="1"/>
  <c r="AC93" i="38"/>
  <c r="W93" i="38"/>
  <c r="AE93" i="38" s="1"/>
  <c r="AC92" i="38"/>
  <c r="W92" i="38"/>
  <c r="AE92" i="38" s="1"/>
  <c r="AC91" i="38"/>
  <c r="W91" i="38"/>
  <c r="AE91" i="38" s="1"/>
  <c r="AC90" i="38"/>
  <c r="W90" i="38"/>
  <c r="AE90" i="38" s="1"/>
  <c r="AC89" i="38"/>
  <c r="W89" i="38"/>
  <c r="AE89" i="38" s="1"/>
  <c r="AC88" i="38"/>
  <c r="W88" i="38"/>
  <c r="AE88" i="38" s="1"/>
  <c r="AC87" i="38"/>
  <c r="W87" i="38"/>
  <c r="AE87" i="38" s="1"/>
  <c r="AC86" i="38"/>
  <c r="W86" i="38"/>
  <c r="AE86" i="38" s="1"/>
  <c r="AC85" i="38"/>
  <c r="W85" i="38"/>
  <c r="AE85" i="38" s="1"/>
  <c r="AC84" i="38"/>
  <c r="W84" i="38"/>
  <c r="AE84" i="38" s="1"/>
  <c r="AC83" i="38"/>
  <c r="W83" i="38"/>
  <c r="AE83" i="38" s="1"/>
  <c r="AC82" i="38"/>
  <c r="W82" i="38"/>
  <c r="AE82" i="38" s="1"/>
  <c r="AC81" i="38"/>
  <c r="W81" i="38"/>
  <c r="AE81" i="38" s="1"/>
  <c r="AC80" i="38"/>
  <c r="W80" i="38"/>
  <c r="AE80" i="38" s="1"/>
  <c r="AC79" i="38"/>
  <c r="W79" i="38"/>
  <c r="AE79" i="38" s="1"/>
  <c r="AC78" i="38"/>
  <c r="W78" i="38"/>
  <c r="AE78" i="38" s="1"/>
  <c r="AC77" i="38"/>
  <c r="W77" i="38"/>
  <c r="AE77" i="38" s="1"/>
  <c r="AC76" i="38"/>
  <c r="W76" i="38"/>
  <c r="AE76" i="38" s="1"/>
  <c r="AC75" i="38"/>
  <c r="W75" i="38"/>
  <c r="AE75" i="38" s="1"/>
  <c r="AC74" i="38"/>
  <c r="W74" i="38"/>
  <c r="AE74" i="38" s="1"/>
  <c r="AC73" i="38"/>
  <c r="W73" i="38"/>
  <c r="AE73" i="38" s="1"/>
  <c r="AC72" i="38"/>
  <c r="W72" i="38"/>
  <c r="AE72" i="38" s="1"/>
  <c r="AC71" i="38"/>
  <c r="W71" i="38"/>
  <c r="AE71" i="38" s="1"/>
  <c r="AC70" i="38"/>
  <c r="W70" i="38"/>
  <c r="AE70" i="38" s="1"/>
  <c r="AC69" i="38"/>
  <c r="W69" i="38"/>
  <c r="AE69" i="38" s="1"/>
  <c r="AC68" i="38"/>
  <c r="W68" i="38"/>
  <c r="AE68" i="38" s="1"/>
  <c r="AC67" i="38"/>
  <c r="W67" i="38"/>
  <c r="AE67" i="38" s="1"/>
  <c r="AC66" i="38"/>
  <c r="W66" i="38"/>
  <c r="AE66" i="38" s="1"/>
  <c r="AC65" i="38"/>
  <c r="W65" i="38"/>
  <c r="AE65" i="38" s="1"/>
  <c r="AC64" i="38"/>
  <c r="W64" i="38"/>
  <c r="AE64" i="38" s="1"/>
  <c r="AC63" i="38"/>
  <c r="W63" i="38"/>
  <c r="AE63" i="38" s="1"/>
  <c r="AC62" i="38"/>
  <c r="W62" i="38"/>
  <c r="AE62" i="38" s="1"/>
  <c r="AC61" i="38"/>
  <c r="W61" i="38"/>
  <c r="AE61" i="38" s="1"/>
  <c r="AC60" i="38"/>
  <c r="W60" i="38"/>
  <c r="AE60" i="38" s="1"/>
  <c r="AC59" i="38"/>
  <c r="W59" i="38"/>
  <c r="AE59" i="38" s="1"/>
  <c r="AC58" i="38"/>
  <c r="W58" i="38"/>
  <c r="AE58" i="38" s="1"/>
  <c r="AC57" i="38"/>
  <c r="W57" i="38"/>
  <c r="AE57" i="38" s="1"/>
  <c r="AC56" i="38"/>
  <c r="W56" i="38"/>
  <c r="AE56" i="38" s="1"/>
  <c r="AC55" i="38"/>
  <c r="W55" i="38"/>
  <c r="AE55" i="38" s="1"/>
  <c r="AC54" i="38"/>
  <c r="W54" i="38"/>
  <c r="AE54" i="38" s="1"/>
  <c r="AC53" i="38"/>
  <c r="W53" i="38"/>
  <c r="AE53" i="38" s="1"/>
  <c r="AC52" i="38"/>
  <c r="W52" i="38"/>
  <c r="AE52" i="38" s="1"/>
  <c r="AC51" i="38"/>
  <c r="W51" i="38"/>
  <c r="AE51" i="38" s="1"/>
  <c r="AC50" i="38"/>
  <c r="W50" i="38"/>
  <c r="AE50" i="38" s="1"/>
  <c r="W49" i="38"/>
  <c r="AC48" i="38"/>
  <c r="W48" i="38"/>
  <c r="AE48" i="38" s="1"/>
  <c r="AC47" i="38"/>
  <c r="W47" i="38"/>
  <c r="AE47" i="38" s="1"/>
  <c r="AC46" i="38"/>
  <c r="W46" i="38"/>
  <c r="AE46" i="38" s="1"/>
  <c r="AC45" i="38"/>
  <c r="W45" i="38"/>
  <c r="AE45" i="38" s="1"/>
  <c r="AC44" i="38"/>
  <c r="W44" i="38"/>
  <c r="AE44" i="38" s="1"/>
  <c r="AC43" i="38"/>
  <c r="W43" i="38"/>
  <c r="AE43" i="38" s="1"/>
  <c r="AC42" i="38"/>
  <c r="W42" i="38"/>
  <c r="AE42" i="38" s="1"/>
  <c r="AC41" i="38"/>
  <c r="W41" i="38"/>
  <c r="AE41" i="38" s="1"/>
  <c r="AC40" i="38"/>
  <c r="W40" i="38"/>
  <c r="AE40" i="38" s="1"/>
  <c r="AC39" i="38"/>
  <c r="W39" i="38"/>
  <c r="AE39" i="38" s="1"/>
  <c r="AC38" i="38"/>
  <c r="W38" i="38"/>
  <c r="AE38" i="38" s="1"/>
  <c r="AC37" i="38"/>
  <c r="W37" i="38"/>
  <c r="AE37" i="38" s="1"/>
  <c r="AC36" i="38"/>
  <c r="W36" i="38"/>
  <c r="AE36" i="38" s="1"/>
  <c r="AC35" i="38"/>
  <c r="W35" i="38"/>
  <c r="AE35" i="38" s="1"/>
  <c r="AC34" i="38"/>
  <c r="W34" i="38"/>
  <c r="AE34" i="38" s="1"/>
  <c r="AC33" i="38"/>
  <c r="W33" i="38"/>
  <c r="AE33" i="38" s="1"/>
  <c r="AC32" i="38"/>
  <c r="W32" i="38"/>
  <c r="AE32" i="38" s="1"/>
  <c r="AC31" i="38"/>
  <c r="W31" i="38"/>
  <c r="AE31" i="38" s="1"/>
  <c r="AC30" i="38"/>
  <c r="W30" i="38"/>
  <c r="AE30" i="38" s="1"/>
  <c r="AC29" i="38"/>
  <c r="W29" i="38"/>
  <c r="AE29" i="38" s="1"/>
  <c r="AC28" i="38"/>
  <c r="W28" i="38"/>
  <c r="AE28" i="38" s="1"/>
  <c r="AC27" i="38"/>
  <c r="W27" i="38"/>
  <c r="AE27" i="38" s="1"/>
  <c r="AC26" i="38"/>
  <c r="W26" i="38"/>
  <c r="AE26" i="38" s="1"/>
  <c r="AC25" i="38"/>
  <c r="W25" i="38"/>
  <c r="AE25" i="38" s="1"/>
  <c r="AC24" i="38"/>
  <c r="W24" i="38"/>
  <c r="AE24" i="38" s="1"/>
  <c r="AC23" i="38"/>
  <c r="W23" i="38"/>
  <c r="AE23" i="38" s="1"/>
  <c r="AC22" i="38"/>
  <c r="W22" i="38"/>
  <c r="AE22" i="38" s="1"/>
  <c r="AC21" i="38"/>
  <c r="W21" i="38"/>
  <c r="AE21" i="38" s="1"/>
  <c r="AC20" i="38"/>
  <c r="W20" i="38"/>
  <c r="AE20" i="38" s="1"/>
  <c r="AC19" i="38"/>
  <c r="W19" i="38"/>
  <c r="AE19" i="38" s="1"/>
  <c r="AC18" i="38"/>
  <c r="W18" i="38"/>
  <c r="AE18" i="38" s="1"/>
  <c r="AC17" i="38"/>
  <c r="W17" i="38"/>
  <c r="AE17" i="38" s="1"/>
  <c r="AC16" i="38"/>
  <c r="W16" i="38"/>
  <c r="AE16" i="38" s="1"/>
  <c r="AC15" i="38"/>
  <c r="W15" i="38"/>
  <c r="AE15" i="38" s="1"/>
  <c r="AC14" i="38"/>
  <c r="W14" i="38"/>
  <c r="AE14" i="38" s="1"/>
  <c r="AC13" i="38"/>
  <c r="W13" i="38"/>
  <c r="AE13" i="38" s="1"/>
  <c r="AC12" i="38"/>
  <c r="W12" i="38"/>
  <c r="AE12" i="38" s="1"/>
  <c r="AC11" i="38"/>
  <c r="W11" i="38"/>
  <c r="AE11" i="38" s="1"/>
  <c r="AC10" i="38"/>
  <c r="W10" i="38"/>
  <c r="AE10" i="38" s="1"/>
  <c r="AC9" i="38"/>
  <c r="W9" i="38"/>
  <c r="AE9" i="38" s="1"/>
  <c r="AC8" i="38"/>
  <c r="W8" i="38"/>
  <c r="AE8" i="38" s="1"/>
  <c r="AC7" i="38"/>
  <c r="W7" i="38"/>
  <c r="AE7" i="38" s="1"/>
  <c r="AC6" i="38"/>
  <c r="W6" i="38"/>
  <c r="AE6" i="38" s="1"/>
  <c r="AC5" i="38"/>
  <c r="W5" i="38"/>
  <c r="AE5" i="38" s="1"/>
  <c r="AC4" i="38"/>
  <c r="W4" i="38"/>
  <c r="AE4" i="38" s="1"/>
  <c r="AC3" i="38"/>
  <c r="W3" i="38"/>
  <c r="AE3" i="38" s="1"/>
  <c r="AC2" i="38"/>
  <c r="W2" i="38"/>
  <c r="AE2" i="38" s="1"/>
  <c r="Q1559" i="4" l="1"/>
  <c r="AG1559" i="4" s="1"/>
  <c r="Q1558" i="4"/>
  <c r="AG1558" i="4" s="1"/>
  <c r="AH1510" i="4"/>
  <c r="AL1508" i="4"/>
  <c r="Q1456" i="4"/>
  <c r="AG1456" i="4" s="1"/>
  <c r="Q1451" i="4"/>
  <c r="AG1451" i="4" s="1"/>
  <c r="AG1420" i="4"/>
  <c r="AA1558" i="4" l="1"/>
  <c r="AD1558" i="4" s="1"/>
  <c r="AC1559" i="4"/>
  <c r="AA1559" i="4"/>
  <c r="AD1559" i="4" s="1"/>
  <c r="AC1558" i="4"/>
  <c r="AL1510" i="4"/>
  <c r="Q1411" i="4" l="1"/>
  <c r="AG1411" i="4" s="1"/>
  <c r="Q1345" i="4"/>
  <c r="AG1345" i="4" s="1"/>
  <c r="AL790" i="4"/>
  <c r="Q790" i="4"/>
  <c r="AG790" i="4" s="1"/>
  <c r="AL789" i="4"/>
  <c r="Q789" i="4"/>
  <c r="AG789" i="4" s="1"/>
  <c r="AL787" i="4"/>
  <c r="Q787" i="4"/>
  <c r="AG787" i="4" s="1"/>
  <c r="Q1455" i="4" l="1"/>
  <c r="AG1455" i="4" s="1"/>
  <c r="Q1457" i="4"/>
  <c r="AG1457" i="4" s="1"/>
  <c r="Q1506" i="4"/>
  <c r="AG1506" i="4" s="1"/>
  <c r="Q1508" i="4"/>
  <c r="Q1390" i="4"/>
  <c r="Q1557" i="4"/>
  <c r="AA1557" i="4" s="1"/>
  <c r="AD1557" i="4" s="1"/>
  <c r="AG1557" i="4" l="1"/>
  <c r="AC1557" i="4"/>
  <c r="AG1508" i="4"/>
  <c r="AG1390" i="4"/>
  <c r="AA1508" i="4"/>
  <c r="Q1527" i="4" l="1"/>
  <c r="AG1527" i="4" s="1"/>
  <c r="Q1510" i="4"/>
  <c r="Q1516" i="4"/>
  <c r="AG1516" i="4" s="1"/>
  <c r="Q1511" i="4"/>
  <c r="AG1511" i="4" s="1"/>
  <c r="AG1510" i="4" l="1"/>
  <c r="AH1608" i="4"/>
  <c r="AH1252" i="4"/>
  <c r="AH66" i="4"/>
  <c r="AH65" i="4"/>
  <c r="Q1542" i="4" l="1"/>
  <c r="AG1542" i="4" l="1"/>
  <c r="AH57" i="4"/>
  <c r="AH1358" i="4" l="1"/>
  <c r="AH740" i="4"/>
  <c r="AL1272" i="4" l="1"/>
  <c r="AO90" i="4" l="1"/>
  <c r="AO89" i="4"/>
  <c r="AO88" i="4"/>
  <c r="AO87" i="4"/>
  <c r="AO41" i="4"/>
  <c r="AO40" i="4"/>
  <c r="AO22" i="4"/>
  <c r="AO27" i="4"/>
  <c r="AO26" i="4"/>
  <c r="AO21" i="4"/>
  <c r="AO5" i="4"/>
  <c r="AO7" i="4"/>
  <c r="AO11" i="4"/>
  <c r="AO10" i="4"/>
  <c r="Q5" i="4"/>
  <c r="AL2" i="4" l="1"/>
  <c r="AO1615" i="4" l="1"/>
  <c r="AL1615" i="4"/>
  <c r="Q1615" i="4"/>
  <c r="AO1614" i="4"/>
  <c r="AL1614" i="4"/>
  <c r="Q1614" i="4"/>
  <c r="Q1613" i="4"/>
  <c r="Q1612" i="4"/>
  <c r="Q1611" i="4"/>
  <c r="Q1610" i="4"/>
  <c r="Q1609" i="4"/>
  <c r="Q1608" i="4"/>
  <c r="Q1607" i="4"/>
  <c r="Q1606" i="4"/>
  <c r="Q1605" i="4"/>
  <c r="Q1604" i="4"/>
  <c r="Q1603" i="4"/>
  <c r="AO1602" i="4"/>
  <c r="AL1602" i="4"/>
  <c r="Q1602" i="4"/>
  <c r="AG1602" i="4" s="1"/>
  <c r="Q1599" i="4"/>
  <c r="AO1598" i="4"/>
  <c r="AL1598" i="4"/>
  <c r="Q1598" i="4"/>
  <c r="Q1597" i="4"/>
  <c r="Q1596" i="4"/>
  <c r="AO1595" i="4"/>
  <c r="AL1595" i="4"/>
  <c r="Q1595" i="4"/>
  <c r="AO1594" i="4"/>
  <c r="AL1594" i="4"/>
  <c r="Q1594" i="4"/>
  <c r="AO1593" i="4"/>
  <c r="AL1593" i="4"/>
  <c r="Q1593" i="4"/>
  <c r="AO1592" i="4"/>
  <c r="AL1592" i="4"/>
  <c r="Q1592" i="4"/>
  <c r="AG1592" i="4" s="1"/>
  <c r="AO1591" i="4"/>
  <c r="AL1591" i="4"/>
  <c r="Q1591" i="4"/>
  <c r="AO1590" i="4"/>
  <c r="AL1590" i="4"/>
  <c r="Q1590" i="4"/>
  <c r="AO1589" i="4"/>
  <c r="AL1589" i="4"/>
  <c r="Q1589" i="4"/>
  <c r="Q1588" i="4"/>
  <c r="AG1588" i="4" s="1"/>
  <c r="Q1586" i="4"/>
  <c r="AG1586" i="4" s="1"/>
  <c r="Q1585" i="4"/>
  <c r="AG1585" i="4" s="1"/>
  <c r="Q1584" i="4"/>
  <c r="AG1584" i="4" s="1"/>
  <c r="AO1583" i="4"/>
  <c r="AL1583" i="4"/>
  <c r="Q1583" i="4"/>
  <c r="AO1582" i="4"/>
  <c r="AL1582" i="4"/>
  <c r="Q1582" i="4"/>
  <c r="AG1582" i="4" s="1"/>
  <c r="AO1581" i="4"/>
  <c r="AL1581" i="4"/>
  <c r="Q1581" i="4"/>
  <c r="Q1580" i="4"/>
  <c r="Q1579" i="4"/>
  <c r="Q1578" i="4"/>
  <c r="Q1577" i="4"/>
  <c r="AO1576" i="4"/>
  <c r="AL1576" i="4"/>
  <c r="Q1576" i="4"/>
  <c r="AO1575" i="4"/>
  <c r="AL1575" i="4"/>
  <c r="Q1575" i="4"/>
  <c r="AO1574" i="4"/>
  <c r="AL1574" i="4"/>
  <c r="Q1574" i="4"/>
  <c r="AO1573" i="4"/>
  <c r="AL1573" i="4"/>
  <c r="Q1573" i="4"/>
  <c r="AO1572" i="4"/>
  <c r="AL1572" i="4"/>
  <c r="Q1572" i="4"/>
  <c r="AO1571" i="4"/>
  <c r="AL1571" i="4"/>
  <c r="Q1571" i="4"/>
  <c r="AO1570" i="4"/>
  <c r="AL1570" i="4"/>
  <c r="Q1570" i="4"/>
  <c r="AO1569" i="4"/>
  <c r="AL1569" i="4"/>
  <c r="Q1569" i="4"/>
  <c r="AO1568" i="4"/>
  <c r="AL1568" i="4"/>
  <c r="Q1568" i="4"/>
  <c r="AO1567" i="4"/>
  <c r="AL1567" i="4"/>
  <c r="Q1567" i="4"/>
  <c r="AO1566" i="4"/>
  <c r="AL1566" i="4"/>
  <c r="Q1566" i="4"/>
  <c r="AO1565" i="4"/>
  <c r="AL1565" i="4"/>
  <c r="Q1565" i="4"/>
  <c r="AO1564" i="4"/>
  <c r="AL1564" i="4"/>
  <c r="Q1564" i="4"/>
  <c r="AO1563" i="4"/>
  <c r="AL1563" i="4"/>
  <c r="Q1563" i="4"/>
  <c r="AO1562" i="4"/>
  <c r="AL1562" i="4"/>
  <c r="Q1562" i="4"/>
  <c r="AO1561" i="4"/>
  <c r="AL1561" i="4"/>
  <c r="Q1561" i="4"/>
  <c r="AO1560" i="4"/>
  <c r="AL1560" i="4"/>
  <c r="Q1560" i="4"/>
  <c r="AO1556" i="4"/>
  <c r="AL1556" i="4"/>
  <c r="Q1556" i="4"/>
  <c r="AO1555" i="4"/>
  <c r="AL1555" i="4"/>
  <c r="Q1555" i="4"/>
  <c r="AO1554" i="4"/>
  <c r="AL1554" i="4"/>
  <c r="Q1554" i="4"/>
  <c r="AO1553" i="4"/>
  <c r="AL1553" i="4"/>
  <c r="Q1553" i="4"/>
  <c r="AO1552" i="4"/>
  <c r="AL1552" i="4"/>
  <c r="Q1552" i="4"/>
  <c r="AO1551" i="4"/>
  <c r="AL1551" i="4"/>
  <c r="Q1551" i="4"/>
  <c r="AO1550" i="4"/>
  <c r="AL1550" i="4"/>
  <c r="Q1550" i="4"/>
  <c r="AO1549" i="4"/>
  <c r="AL1549" i="4"/>
  <c r="Q1549" i="4"/>
  <c r="AO1548" i="4"/>
  <c r="AL1548" i="4"/>
  <c r="Q1548" i="4"/>
  <c r="AO1547" i="4"/>
  <c r="AL1547" i="4"/>
  <c r="Q1547" i="4"/>
  <c r="AO1546" i="4"/>
  <c r="AL1546" i="4"/>
  <c r="Q1546" i="4"/>
  <c r="Q1545" i="4"/>
  <c r="AG1545" i="4" s="1"/>
  <c r="Q1544" i="4"/>
  <c r="AO1543" i="4"/>
  <c r="AL1543" i="4"/>
  <c r="Q1543" i="4"/>
  <c r="AO1541" i="4"/>
  <c r="AL1541" i="4"/>
  <c r="Q1541" i="4"/>
  <c r="AO1540" i="4"/>
  <c r="AL1540" i="4"/>
  <c r="Q1540" i="4"/>
  <c r="AO1539" i="4"/>
  <c r="AL1539" i="4"/>
  <c r="Q1539" i="4"/>
  <c r="AO1538" i="4"/>
  <c r="AL1538" i="4"/>
  <c r="Q1538" i="4"/>
  <c r="AO1536" i="4"/>
  <c r="AL1536" i="4"/>
  <c r="AG1536" i="4"/>
  <c r="AC1536" i="4"/>
  <c r="AA1536" i="4"/>
  <c r="AD1536" i="4" s="1"/>
  <c r="Q1535" i="4"/>
  <c r="Q1534" i="4"/>
  <c r="AO1533" i="4"/>
  <c r="AL1533" i="4"/>
  <c r="Q1533" i="4"/>
  <c r="AO1532" i="4"/>
  <c r="AL1532" i="4"/>
  <c r="Q1532" i="4"/>
  <c r="Q1531" i="4"/>
  <c r="Q1530" i="4"/>
  <c r="AO1529" i="4"/>
  <c r="AL1529" i="4"/>
  <c r="Q1529" i="4"/>
  <c r="AO1528" i="4"/>
  <c r="AL1528" i="4"/>
  <c r="Q1528" i="4"/>
  <c r="AO1526" i="4"/>
  <c r="AL1526" i="4"/>
  <c r="Q1526" i="4"/>
  <c r="AO1524" i="4"/>
  <c r="AL1524" i="4"/>
  <c r="AG1524" i="4"/>
  <c r="AC1524" i="4"/>
  <c r="AA1524" i="4"/>
  <c r="AD1524" i="4" s="1"/>
  <c r="AO1523" i="4"/>
  <c r="AL1523" i="4"/>
  <c r="Q1523" i="4"/>
  <c r="AG1523" i="4" s="1"/>
  <c r="AO1522" i="4"/>
  <c r="AL1522" i="4"/>
  <c r="Q1522" i="4"/>
  <c r="Q1521" i="4"/>
  <c r="AO1520" i="4"/>
  <c r="AL1520" i="4"/>
  <c r="Q1520" i="4"/>
  <c r="AO1519" i="4"/>
  <c r="AL1519" i="4"/>
  <c r="Q1519" i="4"/>
  <c r="AO1518" i="4"/>
  <c r="AL1518" i="4"/>
  <c r="Q1518" i="4"/>
  <c r="AO1517" i="4"/>
  <c r="AL1517" i="4"/>
  <c r="Q1517" i="4"/>
  <c r="AO1515" i="4"/>
  <c r="AL1515" i="4"/>
  <c r="Q1515" i="4"/>
  <c r="AO1514" i="4"/>
  <c r="AL1514" i="4"/>
  <c r="Q1514" i="4"/>
  <c r="AO1513" i="4"/>
  <c r="AL1513" i="4"/>
  <c r="Q1513" i="4"/>
  <c r="AO1512" i="4"/>
  <c r="AL1512" i="4"/>
  <c r="Q1512" i="4"/>
  <c r="AO1509" i="4"/>
  <c r="AL1509" i="4"/>
  <c r="Q1509" i="4"/>
  <c r="AO1507" i="4"/>
  <c r="AL1507" i="4"/>
  <c r="Q1507" i="4"/>
  <c r="AO1505" i="4"/>
  <c r="AL1505" i="4"/>
  <c r="Q1505" i="4"/>
  <c r="AO1504" i="4"/>
  <c r="AL1504" i="4"/>
  <c r="Q1504" i="4"/>
  <c r="AO1503" i="4"/>
  <c r="AL1503" i="4"/>
  <c r="Q1503" i="4"/>
  <c r="AO1502" i="4"/>
  <c r="AL1502" i="4"/>
  <c r="Q1502" i="4"/>
  <c r="AO1501" i="4"/>
  <c r="AL1501" i="4"/>
  <c r="Q1501" i="4"/>
  <c r="AO1500" i="4"/>
  <c r="AL1500" i="4"/>
  <c r="Q1500" i="4"/>
  <c r="AO1499" i="4"/>
  <c r="AL1499" i="4"/>
  <c r="Q1499" i="4"/>
  <c r="AO1498" i="4"/>
  <c r="AL1498" i="4"/>
  <c r="Q1498" i="4"/>
  <c r="AO1497" i="4"/>
  <c r="AL1497" i="4"/>
  <c r="Q1497" i="4"/>
  <c r="AO1496" i="4"/>
  <c r="AL1496" i="4"/>
  <c r="Q1496" i="4"/>
  <c r="AO1495" i="4"/>
  <c r="AL1495" i="4"/>
  <c r="Q1495" i="4"/>
  <c r="AO1494" i="4"/>
  <c r="AL1494" i="4"/>
  <c r="Q1494" i="4"/>
  <c r="AO1493" i="4"/>
  <c r="AL1493" i="4"/>
  <c r="Q1493" i="4"/>
  <c r="AO1492" i="4"/>
  <c r="AL1492" i="4"/>
  <c r="Q1492" i="4"/>
  <c r="AO1491" i="4"/>
  <c r="AL1491" i="4"/>
  <c r="Q1491" i="4"/>
  <c r="AO1490" i="4"/>
  <c r="AL1490" i="4"/>
  <c r="Q1490" i="4"/>
  <c r="AO1489" i="4"/>
  <c r="AL1489" i="4"/>
  <c r="Q1489" i="4"/>
  <c r="AO1488" i="4"/>
  <c r="AL1488" i="4"/>
  <c r="Q1488" i="4"/>
  <c r="AO1487" i="4"/>
  <c r="AL1487" i="4"/>
  <c r="Q1487" i="4"/>
  <c r="AO1486" i="4"/>
  <c r="AL1486" i="4"/>
  <c r="Q1486" i="4"/>
  <c r="AO1485" i="4"/>
  <c r="AL1485" i="4"/>
  <c r="Q1485" i="4"/>
  <c r="AO1484" i="4"/>
  <c r="AL1484" i="4"/>
  <c r="Q1484" i="4"/>
  <c r="AO1483" i="4"/>
  <c r="AL1483" i="4"/>
  <c r="Q1483" i="4"/>
  <c r="AA1483" i="4" s="1"/>
  <c r="AD1483" i="4" s="1"/>
  <c r="AO1482" i="4"/>
  <c r="AL1482" i="4"/>
  <c r="Q1482" i="4"/>
  <c r="AO1481" i="4"/>
  <c r="AL1481" i="4"/>
  <c r="Q1481" i="4"/>
  <c r="AO1480" i="4"/>
  <c r="AL1480" i="4"/>
  <c r="Q1480" i="4"/>
  <c r="AO1479" i="4"/>
  <c r="AL1479" i="4"/>
  <c r="Q1479" i="4"/>
  <c r="AO1478" i="4"/>
  <c r="AL1478" i="4"/>
  <c r="Q1478" i="4"/>
  <c r="AA1478" i="4" s="1"/>
  <c r="AD1478" i="4" s="1"/>
  <c r="AO1477" i="4"/>
  <c r="AL1477" i="4"/>
  <c r="Q1477" i="4"/>
  <c r="AO1476" i="4"/>
  <c r="AL1476" i="4"/>
  <c r="Q1476" i="4"/>
  <c r="AO1475" i="4"/>
  <c r="AL1475" i="4"/>
  <c r="Q1475" i="4"/>
  <c r="AO1474" i="4"/>
  <c r="AL1474" i="4"/>
  <c r="Q1474" i="4"/>
  <c r="AO1473" i="4"/>
  <c r="AL1473" i="4"/>
  <c r="Q1473" i="4"/>
  <c r="AO1472" i="4"/>
  <c r="AL1472" i="4"/>
  <c r="Q1472" i="4"/>
  <c r="AO1471" i="4"/>
  <c r="AL1471" i="4"/>
  <c r="Q1471" i="4"/>
  <c r="AO1470" i="4"/>
  <c r="AL1470" i="4"/>
  <c r="Q1470" i="4"/>
  <c r="AO1469" i="4"/>
  <c r="AL1469" i="4"/>
  <c r="Q1469" i="4"/>
  <c r="AO1468" i="4"/>
  <c r="AL1468" i="4"/>
  <c r="Q1468" i="4"/>
  <c r="AO1467" i="4"/>
  <c r="AL1467" i="4"/>
  <c r="Q1467" i="4"/>
  <c r="AO1466" i="4"/>
  <c r="AL1466" i="4"/>
  <c r="Q1466" i="4"/>
  <c r="AO1465" i="4"/>
  <c r="AL1465" i="4"/>
  <c r="Q1465" i="4"/>
  <c r="AO1464" i="4"/>
  <c r="AL1464" i="4"/>
  <c r="Q1464" i="4"/>
  <c r="AO1463" i="4"/>
  <c r="AL1463" i="4"/>
  <c r="Q1463" i="4"/>
  <c r="AA1463" i="4" s="1"/>
  <c r="AD1463" i="4" s="1"/>
  <c r="AO1462" i="4"/>
  <c r="AL1462" i="4"/>
  <c r="Q1462" i="4"/>
  <c r="AL1461" i="4"/>
  <c r="Q1461" i="4"/>
  <c r="AC1461" i="4" s="1"/>
  <c r="AL1460" i="4"/>
  <c r="Q1460" i="4"/>
  <c r="AO1459" i="4"/>
  <c r="AL1459" i="4"/>
  <c r="Q1459" i="4"/>
  <c r="AO1458" i="4"/>
  <c r="AL1458" i="4"/>
  <c r="Q1458" i="4"/>
  <c r="AO1454" i="4"/>
  <c r="AL1454" i="4"/>
  <c r="Q1454" i="4"/>
  <c r="AO1453" i="4"/>
  <c r="AL1453" i="4"/>
  <c r="Q1453" i="4"/>
  <c r="AO1452" i="4"/>
  <c r="AL1452" i="4"/>
  <c r="Q1452" i="4"/>
  <c r="AO1450" i="4"/>
  <c r="AL1450" i="4"/>
  <c r="Q1450" i="4"/>
  <c r="AO1449" i="4"/>
  <c r="AL1449" i="4"/>
  <c r="Q1449" i="4"/>
  <c r="AO1448" i="4"/>
  <c r="AL1448" i="4"/>
  <c r="Q1448" i="4"/>
  <c r="AA1448" i="4" s="1"/>
  <c r="AD1448" i="4" s="1"/>
  <c r="AO1447" i="4"/>
  <c r="AL1447" i="4"/>
  <c r="Q1447" i="4"/>
  <c r="AO1446" i="4"/>
  <c r="AL1446" i="4"/>
  <c r="Q1446" i="4"/>
  <c r="AA1446" i="4" s="1"/>
  <c r="AD1446" i="4" s="1"/>
  <c r="AO1445" i="4"/>
  <c r="AL1445" i="4"/>
  <c r="Q1445" i="4"/>
  <c r="AO1444" i="4"/>
  <c r="AL1444" i="4"/>
  <c r="Q1444" i="4"/>
  <c r="AO1443" i="4"/>
  <c r="AL1443" i="4"/>
  <c r="Q1443" i="4"/>
  <c r="AO1442" i="4"/>
  <c r="AL1442" i="4"/>
  <c r="Q1442" i="4"/>
  <c r="AO1441" i="4"/>
  <c r="AL1441" i="4"/>
  <c r="Q1441" i="4"/>
  <c r="AO1440" i="4"/>
  <c r="AL1440" i="4"/>
  <c r="Q1440" i="4"/>
  <c r="AO1439" i="4"/>
  <c r="AL1439" i="4"/>
  <c r="Q1439" i="4"/>
  <c r="AO1438" i="4"/>
  <c r="AL1438" i="4"/>
  <c r="Q1438" i="4"/>
  <c r="AO1437" i="4"/>
  <c r="AL1437" i="4"/>
  <c r="Q1437" i="4"/>
  <c r="AO1436" i="4"/>
  <c r="AL1436" i="4"/>
  <c r="Q1436" i="4"/>
  <c r="AO1435" i="4"/>
  <c r="AL1435" i="4"/>
  <c r="Q1435" i="4"/>
  <c r="AO1434" i="4"/>
  <c r="AL1434" i="4"/>
  <c r="Q1434" i="4"/>
  <c r="AO1433" i="4"/>
  <c r="AL1433" i="4"/>
  <c r="Q1433" i="4"/>
  <c r="AO1432" i="4"/>
  <c r="AL1432" i="4"/>
  <c r="Q1432" i="4"/>
  <c r="AL1431" i="4"/>
  <c r="Q1431" i="4"/>
  <c r="AL1430" i="4"/>
  <c r="Q1430" i="4"/>
  <c r="AL1429" i="4"/>
  <c r="Q1429" i="4"/>
  <c r="AG1429" i="4" s="1"/>
  <c r="AL1428" i="4"/>
  <c r="Q1428" i="4"/>
  <c r="AO1427" i="4"/>
  <c r="AL1427" i="4"/>
  <c r="Q1427" i="4"/>
  <c r="AO1426" i="4"/>
  <c r="AL1426" i="4"/>
  <c r="Q1426" i="4"/>
  <c r="AO1425" i="4"/>
  <c r="AL1425" i="4"/>
  <c r="Q1425" i="4"/>
  <c r="AO1424" i="4"/>
  <c r="AL1424" i="4"/>
  <c r="Q1424" i="4"/>
  <c r="AO1423" i="4"/>
  <c r="AL1423" i="4"/>
  <c r="Q1423" i="4"/>
  <c r="AO1422" i="4"/>
  <c r="AL1422" i="4"/>
  <c r="Q1422" i="4"/>
  <c r="AO1421" i="4"/>
  <c r="AL1421" i="4"/>
  <c r="Q1421" i="4"/>
  <c r="AO1419" i="4"/>
  <c r="AL1419" i="4"/>
  <c r="Q1419" i="4"/>
  <c r="AO1418" i="4"/>
  <c r="AL1418" i="4"/>
  <c r="Q1418" i="4"/>
  <c r="AO1417" i="4"/>
  <c r="AL1417" i="4"/>
  <c r="Q1417" i="4"/>
  <c r="AO1416" i="4"/>
  <c r="AL1416" i="4"/>
  <c r="Q1416" i="4"/>
  <c r="AO1415" i="4"/>
  <c r="AL1415" i="4"/>
  <c r="Q1415" i="4"/>
  <c r="AO1414" i="4"/>
  <c r="AL1414" i="4"/>
  <c r="Q1414" i="4"/>
  <c r="AG1414" i="4" s="1"/>
  <c r="AO1413" i="4"/>
  <c r="AL1413" i="4"/>
  <c r="Q1413" i="4"/>
  <c r="AO1412" i="4"/>
  <c r="AL1412" i="4"/>
  <c r="Q1412" i="4"/>
  <c r="AO1410" i="4"/>
  <c r="AL1410" i="4"/>
  <c r="Q1410" i="4"/>
  <c r="AO1409" i="4"/>
  <c r="AL1409" i="4"/>
  <c r="Q1409" i="4"/>
  <c r="AO1408" i="4"/>
  <c r="AL1408" i="4"/>
  <c r="Q1408" i="4"/>
  <c r="AO1407" i="4"/>
  <c r="AL1407" i="4"/>
  <c r="Q1407" i="4"/>
  <c r="AO1406" i="4"/>
  <c r="AL1406" i="4"/>
  <c r="Q1406" i="4"/>
  <c r="AO1405" i="4"/>
  <c r="AL1405" i="4"/>
  <c r="Q1405" i="4"/>
  <c r="AO1404" i="4"/>
  <c r="AL1404" i="4"/>
  <c r="Q1404" i="4"/>
  <c r="AO1403" i="4"/>
  <c r="AL1403" i="4"/>
  <c r="Q1403" i="4"/>
  <c r="AO1402" i="4"/>
  <c r="AL1402" i="4"/>
  <c r="Q1402" i="4"/>
  <c r="AO1401" i="4"/>
  <c r="AL1401" i="4"/>
  <c r="Q1401" i="4"/>
  <c r="AO1400" i="4"/>
  <c r="AL1400" i="4"/>
  <c r="Q1400" i="4"/>
  <c r="AO1399" i="4"/>
  <c r="AL1399" i="4"/>
  <c r="Q1399" i="4"/>
  <c r="AO1398" i="4"/>
  <c r="AL1398" i="4"/>
  <c r="Q1398" i="4"/>
  <c r="AO1397" i="4"/>
  <c r="AL1397" i="4"/>
  <c r="Q1397" i="4"/>
  <c r="AO1396" i="4"/>
  <c r="AL1396" i="4"/>
  <c r="Q1396" i="4"/>
  <c r="AO1395" i="4"/>
  <c r="AL1395" i="4"/>
  <c r="Q1395" i="4"/>
  <c r="AO1394" i="4"/>
  <c r="AL1394" i="4"/>
  <c r="Q1394" i="4"/>
  <c r="AL1393" i="4"/>
  <c r="Q1393" i="4"/>
  <c r="AL1392" i="4"/>
  <c r="Q1392" i="4"/>
  <c r="AO1391" i="4"/>
  <c r="AL1391" i="4"/>
  <c r="Q1391" i="4"/>
  <c r="AO1389" i="4"/>
  <c r="AL1389" i="4"/>
  <c r="Q1389" i="4"/>
  <c r="AO1388" i="4"/>
  <c r="AL1388" i="4"/>
  <c r="Q1388" i="4"/>
  <c r="AO1387" i="4"/>
  <c r="AL1387" i="4"/>
  <c r="Q1387" i="4"/>
  <c r="AO1386" i="4"/>
  <c r="AL1386" i="4"/>
  <c r="Q1386" i="4"/>
  <c r="AO1385" i="4"/>
  <c r="AL1385" i="4"/>
  <c r="Q1385" i="4"/>
  <c r="AO1384" i="4"/>
  <c r="AL1384" i="4"/>
  <c r="Q1384" i="4"/>
  <c r="AO1383" i="4"/>
  <c r="AL1383" i="4"/>
  <c r="Q1383" i="4"/>
  <c r="AO1382" i="4"/>
  <c r="AL1382" i="4"/>
  <c r="Q1382" i="4"/>
  <c r="AO1381" i="4"/>
  <c r="AL1381" i="4"/>
  <c r="Q1381" i="4"/>
  <c r="AO1380" i="4"/>
  <c r="AL1380" i="4"/>
  <c r="Q1380" i="4"/>
  <c r="AO1379" i="4"/>
  <c r="AL1379" i="4"/>
  <c r="Q1379" i="4"/>
  <c r="AO1378" i="4"/>
  <c r="AL1378" i="4"/>
  <c r="Q1378" i="4"/>
  <c r="AO1377" i="4"/>
  <c r="AL1377" i="4"/>
  <c r="Q1377" i="4"/>
  <c r="AO1376" i="4"/>
  <c r="AL1376" i="4"/>
  <c r="Q1376" i="4"/>
  <c r="AO1375" i="4"/>
  <c r="AL1375" i="4"/>
  <c r="Q1375" i="4"/>
  <c r="AO1374" i="4"/>
  <c r="AL1374" i="4"/>
  <c r="Q1374" i="4"/>
  <c r="AO1373" i="4"/>
  <c r="AL1373" i="4"/>
  <c r="Q1373" i="4"/>
  <c r="AO1372" i="4"/>
  <c r="AL1372" i="4"/>
  <c r="Q1372" i="4"/>
  <c r="AO1371" i="4"/>
  <c r="AL1371" i="4"/>
  <c r="Q1371" i="4"/>
  <c r="AO1370" i="4"/>
  <c r="AL1370" i="4"/>
  <c r="Q1370" i="4"/>
  <c r="AO1369" i="4"/>
  <c r="AL1369" i="4"/>
  <c r="Q1369" i="4"/>
  <c r="AO1368" i="4"/>
  <c r="AL1368" i="4"/>
  <c r="Q1368" i="4"/>
  <c r="AO1367" i="4"/>
  <c r="AL1367" i="4"/>
  <c r="Q1367" i="4"/>
  <c r="AO1366" i="4"/>
  <c r="AL1366" i="4"/>
  <c r="Q1366" i="4"/>
  <c r="AO1365" i="4"/>
  <c r="AL1365" i="4"/>
  <c r="Q1365" i="4"/>
  <c r="AO1364" i="4"/>
  <c r="AL1364" i="4"/>
  <c r="Q1364" i="4"/>
  <c r="AO1363" i="4"/>
  <c r="AL1363" i="4"/>
  <c r="Q1363" i="4"/>
  <c r="AO1362" i="4"/>
  <c r="AL1362" i="4"/>
  <c r="Q1362" i="4"/>
  <c r="AO1361" i="4"/>
  <c r="AL1361" i="4"/>
  <c r="Q1361" i="4"/>
  <c r="AO1360" i="4"/>
  <c r="AL1360" i="4"/>
  <c r="Q1360" i="4"/>
  <c r="AO1359" i="4"/>
  <c r="AL1359" i="4"/>
  <c r="Q1359" i="4"/>
  <c r="AO1358" i="4"/>
  <c r="AL1358" i="4"/>
  <c r="Q1358" i="4"/>
  <c r="AO1357" i="4"/>
  <c r="AL1357" i="4"/>
  <c r="Q1357" i="4"/>
  <c r="AO1356" i="4"/>
  <c r="AL1356" i="4"/>
  <c r="Q1356" i="4"/>
  <c r="AO1355" i="4"/>
  <c r="AL1355" i="4"/>
  <c r="Q1355" i="4"/>
  <c r="AO1354" i="4"/>
  <c r="AL1354" i="4"/>
  <c r="Q1354" i="4"/>
  <c r="AO1353" i="4"/>
  <c r="AL1353" i="4"/>
  <c r="Q1353" i="4"/>
  <c r="AO1352" i="4"/>
  <c r="AL1352" i="4"/>
  <c r="Q1352" i="4"/>
  <c r="AO1351" i="4"/>
  <c r="AL1351" i="4"/>
  <c r="Q1351" i="4"/>
  <c r="AO1350" i="4"/>
  <c r="AL1350" i="4"/>
  <c r="Q1350" i="4"/>
  <c r="AO1349" i="4"/>
  <c r="AL1349" i="4"/>
  <c r="Q1349" i="4"/>
  <c r="AO1348" i="4"/>
  <c r="AL1348" i="4"/>
  <c r="Q1348" i="4"/>
  <c r="AO1347" i="4"/>
  <c r="AL1347" i="4"/>
  <c r="Q1347" i="4"/>
  <c r="AO1346" i="4"/>
  <c r="AL1346" i="4"/>
  <c r="Q1346" i="4"/>
  <c r="AO1344" i="4"/>
  <c r="AL1344" i="4"/>
  <c r="Q1344" i="4"/>
  <c r="AO1343" i="4"/>
  <c r="AL1343" i="4"/>
  <c r="Q1343" i="4"/>
  <c r="AO1342" i="4"/>
  <c r="AL1342" i="4"/>
  <c r="Q1342" i="4"/>
  <c r="AO1341" i="4"/>
  <c r="AL1341" i="4"/>
  <c r="Q1341" i="4"/>
  <c r="AL1340" i="4"/>
  <c r="Q1340" i="4"/>
  <c r="AO1339" i="4"/>
  <c r="AL1339" i="4"/>
  <c r="Q1339" i="4"/>
  <c r="AO1338" i="4"/>
  <c r="AL1338" i="4"/>
  <c r="Q1338" i="4"/>
  <c r="AL1337" i="4"/>
  <c r="Q1337" i="4"/>
  <c r="AO1336" i="4"/>
  <c r="AL1336" i="4"/>
  <c r="Q1336" i="4"/>
  <c r="AO1335" i="4"/>
  <c r="AL1335" i="4"/>
  <c r="Q1335" i="4"/>
  <c r="AO1334" i="4"/>
  <c r="AL1334" i="4"/>
  <c r="Q1334" i="4"/>
  <c r="AO1333" i="4"/>
  <c r="AL1333" i="4"/>
  <c r="Q1333" i="4"/>
  <c r="AO1332" i="4"/>
  <c r="AL1332" i="4"/>
  <c r="Q1332" i="4"/>
  <c r="AO1331" i="4"/>
  <c r="AL1331" i="4"/>
  <c r="Q1331" i="4"/>
  <c r="AO1330" i="4"/>
  <c r="AL1330" i="4"/>
  <c r="Q1330" i="4"/>
  <c r="AO1329" i="4"/>
  <c r="AL1329" i="4"/>
  <c r="Q1329" i="4"/>
  <c r="AO1328" i="4"/>
  <c r="AL1328" i="4"/>
  <c r="Q1328" i="4"/>
  <c r="AO1327" i="4"/>
  <c r="AL1327" i="4"/>
  <c r="Q1327" i="4"/>
  <c r="AO1326" i="4"/>
  <c r="AL1326" i="4"/>
  <c r="Q1326" i="4"/>
  <c r="AO1325" i="4"/>
  <c r="AL1325" i="4"/>
  <c r="Q1325" i="4"/>
  <c r="AO1324" i="4"/>
  <c r="AL1324" i="4"/>
  <c r="Q1324" i="4"/>
  <c r="AO1323" i="4"/>
  <c r="AL1323" i="4"/>
  <c r="Q1323" i="4"/>
  <c r="AO1322" i="4"/>
  <c r="AL1322" i="4"/>
  <c r="Q1322" i="4"/>
  <c r="AO1321" i="4"/>
  <c r="AL1321" i="4"/>
  <c r="Q1321" i="4"/>
  <c r="AO1320" i="4"/>
  <c r="AL1320" i="4"/>
  <c r="Q1320" i="4"/>
  <c r="AO1319" i="4"/>
  <c r="AL1319" i="4"/>
  <c r="Q1319" i="4"/>
  <c r="AO1318" i="4"/>
  <c r="AL1318" i="4"/>
  <c r="Q1318" i="4"/>
  <c r="AO1317" i="4"/>
  <c r="AL1317" i="4"/>
  <c r="Q1317" i="4"/>
  <c r="AO1316" i="4"/>
  <c r="AL1316" i="4"/>
  <c r="Q1316" i="4"/>
  <c r="AO1315" i="4"/>
  <c r="AL1315" i="4"/>
  <c r="Q1315" i="4"/>
  <c r="AO1314" i="4"/>
  <c r="AL1314" i="4"/>
  <c r="Q1314" i="4"/>
  <c r="AO1313" i="4"/>
  <c r="AL1313" i="4"/>
  <c r="Q1313" i="4"/>
  <c r="AO1312" i="4"/>
  <c r="AL1312" i="4"/>
  <c r="Q1312" i="4"/>
  <c r="AO1311" i="4"/>
  <c r="AL1311" i="4"/>
  <c r="Q1311" i="4"/>
  <c r="AO1310" i="4"/>
  <c r="AL1310" i="4"/>
  <c r="Q1310" i="4"/>
  <c r="AO1309" i="4"/>
  <c r="AL1309" i="4"/>
  <c r="Q1309" i="4"/>
  <c r="AL1308" i="4"/>
  <c r="Q1308" i="4"/>
  <c r="AO1307" i="4"/>
  <c r="AL1307" i="4"/>
  <c r="Q1307" i="4"/>
  <c r="AO1306" i="4"/>
  <c r="AL1306" i="4"/>
  <c r="Q1306" i="4"/>
  <c r="AO1305" i="4"/>
  <c r="AL1305" i="4"/>
  <c r="Q1305" i="4"/>
  <c r="AO1304" i="4"/>
  <c r="AL1304" i="4"/>
  <c r="Q1304" i="4"/>
  <c r="AO1303" i="4"/>
  <c r="AL1303" i="4"/>
  <c r="Q1303" i="4"/>
  <c r="AO1302" i="4"/>
  <c r="AL1302" i="4"/>
  <c r="Q1302" i="4"/>
  <c r="AO1301" i="4"/>
  <c r="AL1301" i="4"/>
  <c r="Q1301" i="4"/>
  <c r="AO1300" i="4"/>
  <c r="AL1300" i="4"/>
  <c r="Q1300" i="4"/>
  <c r="AO1299" i="4"/>
  <c r="AL1299" i="4"/>
  <c r="Q1299" i="4"/>
  <c r="AO1298" i="4"/>
  <c r="AL1298" i="4"/>
  <c r="Q1298" i="4"/>
  <c r="AO1297" i="4"/>
  <c r="AL1297" i="4"/>
  <c r="Q1297" i="4"/>
  <c r="AO1296" i="4"/>
  <c r="AL1296" i="4"/>
  <c r="Q1296" i="4"/>
  <c r="AO1295" i="4"/>
  <c r="AL1295" i="4"/>
  <c r="Q1295" i="4"/>
  <c r="AO1294" i="4"/>
  <c r="AL1294" i="4"/>
  <c r="Q1294" i="4"/>
  <c r="AO1293" i="4"/>
  <c r="AL1293" i="4"/>
  <c r="Q1293" i="4"/>
  <c r="AO1292" i="4"/>
  <c r="AL1292" i="4"/>
  <c r="Q1292" i="4"/>
  <c r="AO1291" i="4"/>
  <c r="AL1291" i="4"/>
  <c r="Q1291" i="4"/>
  <c r="AO1290" i="4"/>
  <c r="AL1290" i="4"/>
  <c r="Q1290" i="4"/>
  <c r="AO1289" i="4"/>
  <c r="AL1289" i="4"/>
  <c r="Q1289" i="4"/>
  <c r="AO1288" i="4"/>
  <c r="AL1288" i="4"/>
  <c r="Q1288" i="4"/>
  <c r="AO1287" i="4"/>
  <c r="AL1287" i="4"/>
  <c r="Q1287" i="4"/>
  <c r="AO1286" i="4"/>
  <c r="AL1286" i="4"/>
  <c r="Q1286" i="4"/>
  <c r="AO1285" i="4"/>
  <c r="AL1285" i="4"/>
  <c r="Q1285" i="4"/>
  <c r="AO1284" i="4"/>
  <c r="AL1284" i="4"/>
  <c r="Q1284" i="4"/>
  <c r="AO1283" i="4"/>
  <c r="AL1283" i="4"/>
  <c r="Q1283" i="4"/>
  <c r="AO1282" i="4"/>
  <c r="AL1282" i="4"/>
  <c r="Q1282" i="4"/>
  <c r="AO1281" i="4"/>
  <c r="AL1281" i="4"/>
  <c r="Q1281" i="4"/>
  <c r="AO1280" i="4"/>
  <c r="AL1280" i="4"/>
  <c r="Q1280" i="4"/>
  <c r="AO1279" i="4"/>
  <c r="AL1279" i="4"/>
  <c r="Q1279" i="4"/>
  <c r="AO1278" i="4"/>
  <c r="AL1278" i="4"/>
  <c r="Q1278" i="4"/>
  <c r="AO1277" i="4"/>
  <c r="AL1277" i="4"/>
  <c r="Q1277" i="4"/>
  <c r="AO1276" i="4"/>
  <c r="AL1276" i="4"/>
  <c r="Q1276" i="4"/>
  <c r="AO1275" i="4"/>
  <c r="AL1275" i="4"/>
  <c r="Q1275" i="4"/>
  <c r="AO1274" i="4"/>
  <c r="AL1274" i="4"/>
  <c r="Q1274" i="4"/>
  <c r="AO1273" i="4"/>
  <c r="AL1273" i="4"/>
  <c r="Q1273" i="4"/>
  <c r="AO1272" i="4"/>
  <c r="Q1272" i="4"/>
  <c r="AO1271" i="4"/>
  <c r="AL1271" i="4"/>
  <c r="Q1271" i="4"/>
  <c r="AO1270" i="4"/>
  <c r="AL1270" i="4"/>
  <c r="Q1270" i="4"/>
  <c r="AO1269" i="4"/>
  <c r="AL1269" i="4"/>
  <c r="Q1269" i="4"/>
  <c r="AO1268" i="4"/>
  <c r="AL1268" i="4"/>
  <c r="Q1268" i="4"/>
  <c r="AO1267" i="4"/>
  <c r="AL1267" i="4"/>
  <c r="Q1267" i="4"/>
  <c r="AO1266" i="4"/>
  <c r="AI1266" i="4"/>
  <c r="AL1266" i="4" s="1"/>
  <c r="Q1266" i="4"/>
  <c r="AO1265" i="4"/>
  <c r="AL1265" i="4"/>
  <c r="Q1265" i="4"/>
  <c r="AO1264" i="4"/>
  <c r="AL1264" i="4"/>
  <c r="Q1264" i="4"/>
  <c r="AO1263" i="4"/>
  <c r="AL1263" i="4"/>
  <c r="Q1263" i="4"/>
  <c r="AO1262" i="4"/>
  <c r="AL1262" i="4"/>
  <c r="Q1262" i="4"/>
  <c r="AO1261" i="4"/>
  <c r="AL1261" i="4"/>
  <c r="Q1261" i="4"/>
  <c r="AO1260" i="4"/>
  <c r="AL1260" i="4"/>
  <c r="Q1260" i="4"/>
  <c r="AO1259" i="4"/>
  <c r="AL1259" i="4"/>
  <c r="Q1259" i="4"/>
  <c r="AO1258" i="4"/>
  <c r="AL1258" i="4"/>
  <c r="Q1258" i="4"/>
  <c r="AO1257" i="4"/>
  <c r="AL1257" i="4"/>
  <c r="Q1257" i="4"/>
  <c r="AO1256" i="4"/>
  <c r="AL1256" i="4"/>
  <c r="Q1256" i="4"/>
  <c r="AO1255" i="4"/>
  <c r="AL1255" i="4"/>
  <c r="Q1255" i="4"/>
  <c r="AO1254" i="4"/>
  <c r="AL1254" i="4"/>
  <c r="Q1254" i="4"/>
  <c r="AO1253" i="4"/>
  <c r="AL1253" i="4"/>
  <c r="Q1253" i="4"/>
  <c r="AO1252" i="4"/>
  <c r="AL1252" i="4"/>
  <c r="Q1252" i="4"/>
  <c r="AO1251" i="4"/>
  <c r="AL1251" i="4"/>
  <c r="Q1251" i="4"/>
  <c r="AO1250" i="4"/>
  <c r="AL1250" i="4"/>
  <c r="Q1250" i="4"/>
  <c r="AO1249" i="4"/>
  <c r="AL1249" i="4"/>
  <c r="Q1249" i="4"/>
  <c r="AO1248" i="4"/>
  <c r="AL1248" i="4"/>
  <c r="Q1248" i="4"/>
  <c r="AO1247" i="4"/>
  <c r="AL1247" i="4"/>
  <c r="Q1247" i="4"/>
  <c r="AO1246" i="4"/>
  <c r="AL1246" i="4"/>
  <c r="Q1246" i="4"/>
  <c r="AO1245" i="4"/>
  <c r="AL1245" i="4"/>
  <c r="Q1245" i="4"/>
  <c r="AO1244" i="4"/>
  <c r="AL1244" i="4"/>
  <c r="Q1244" i="4"/>
  <c r="AO1243" i="4"/>
  <c r="AL1243" i="4"/>
  <c r="R1243" i="4"/>
  <c r="Q1243" i="4"/>
  <c r="AO1242" i="4"/>
  <c r="AL1242" i="4"/>
  <c r="R1242" i="4"/>
  <c r="Q1242" i="4"/>
  <c r="AO1241" i="4"/>
  <c r="AL1241" i="4"/>
  <c r="R1241" i="4"/>
  <c r="Q1241" i="4"/>
  <c r="AO1240" i="4"/>
  <c r="AL1240" i="4"/>
  <c r="R1240" i="4"/>
  <c r="Q1240" i="4"/>
  <c r="AO1239" i="4"/>
  <c r="AL1239" i="4"/>
  <c r="Q1239" i="4"/>
  <c r="AO1238" i="4"/>
  <c r="AL1238" i="4"/>
  <c r="Q1238" i="4"/>
  <c r="AO1237" i="4"/>
  <c r="AL1237" i="4"/>
  <c r="Q1237" i="4"/>
  <c r="AO1236" i="4"/>
  <c r="AL1236" i="4"/>
  <c r="Q1236" i="4"/>
  <c r="AO1235" i="4"/>
  <c r="AL1235" i="4"/>
  <c r="Q1235" i="4"/>
  <c r="AO1234" i="4"/>
  <c r="AJ1234" i="4"/>
  <c r="AI1234" i="4"/>
  <c r="Q1234" i="4"/>
  <c r="AO1233" i="4"/>
  <c r="AL1233" i="4"/>
  <c r="Q1233" i="4"/>
  <c r="AO1232" i="4"/>
  <c r="AL1232" i="4"/>
  <c r="Q1232" i="4"/>
  <c r="AO1231" i="4"/>
  <c r="AL1231" i="4"/>
  <c r="Q1231" i="4"/>
  <c r="AO1230" i="4"/>
  <c r="AL1230" i="4"/>
  <c r="Q1230" i="4"/>
  <c r="AO1229" i="4"/>
  <c r="AL1229" i="4"/>
  <c r="S1229" i="4"/>
  <c r="R1229" i="4"/>
  <c r="Q1229" i="4"/>
  <c r="AO1228" i="4"/>
  <c r="AL1228" i="4"/>
  <c r="R1228" i="4"/>
  <c r="Q1228" i="4"/>
  <c r="AO1227" i="4"/>
  <c r="AL1227" i="4"/>
  <c r="Q1227" i="4"/>
  <c r="AO1226" i="4"/>
  <c r="AL1226" i="4"/>
  <c r="Q1226" i="4"/>
  <c r="AO1225" i="4"/>
  <c r="AL1225" i="4"/>
  <c r="Q1225" i="4"/>
  <c r="AO1224" i="4"/>
  <c r="AL1224" i="4"/>
  <c r="Q1224" i="4"/>
  <c r="AO1223" i="4"/>
  <c r="AL1223" i="4"/>
  <c r="Q1223" i="4"/>
  <c r="AO1222" i="4"/>
  <c r="AL1222" i="4"/>
  <c r="Q1222" i="4"/>
  <c r="AO1221" i="4"/>
  <c r="AL1221" i="4"/>
  <c r="Q1221" i="4"/>
  <c r="AO1220" i="4"/>
  <c r="AL1220" i="4"/>
  <c r="Q1220" i="4"/>
  <c r="AO1219" i="4"/>
  <c r="AL1219" i="4"/>
  <c r="S1219" i="4"/>
  <c r="R1219" i="4"/>
  <c r="Q1219" i="4"/>
  <c r="AO1218" i="4"/>
  <c r="AL1218" i="4"/>
  <c r="S1218" i="4"/>
  <c r="R1218" i="4"/>
  <c r="Q1218" i="4"/>
  <c r="AO1217" i="4"/>
  <c r="AL1217" i="4"/>
  <c r="Q1217" i="4"/>
  <c r="AO1216" i="4"/>
  <c r="AL1216" i="4"/>
  <c r="Q1216" i="4"/>
  <c r="AO1215" i="4"/>
  <c r="AL1215" i="4"/>
  <c r="Q1215" i="4"/>
  <c r="AO1214" i="4"/>
  <c r="AL1214" i="4"/>
  <c r="Q1214" i="4"/>
  <c r="AO1213" i="4"/>
  <c r="AL1213" i="4"/>
  <c r="Q1213" i="4"/>
  <c r="AO1212" i="4"/>
  <c r="AL1212" i="4"/>
  <c r="Q1212" i="4"/>
  <c r="AO1211" i="4"/>
  <c r="AL1211" i="4"/>
  <c r="Q1211" i="4"/>
  <c r="AO1210" i="4"/>
  <c r="AL1210" i="4"/>
  <c r="Q1210" i="4"/>
  <c r="AO1209" i="4"/>
  <c r="AL1209" i="4"/>
  <c r="Q1209" i="4"/>
  <c r="AO1208" i="4"/>
  <c r="AL1208" i="4"/>
  <c r="Q1208" i="4"/>
  <c r="AO1207" i="4"/>
  <c r="AL1207" i="4"/>
  <c r="Q1207" i="4"/>
  <c r="AO1206" i="4"/>
  <c r="AL1206" i="4"/>
  <c r="Q1206" i="4"/>
  <c r="AO1205" i="4"/>
  <c r="AL1205" i="4"/>
  <c r="Q1205" i="4"/>
  <c r="AO1204" i="4"/>
  <c r="AL1204" i="4"/>
  <c r="Q1204" i="4"/>
  <c r="AO1203" i="4"/>
  <c r="AL1203" i="4"/>
  <c r="Q1203" i="4"/>
  <c r="AO1202" i="4"/>
  <c r="AL1202" i="4"/>
  <c r="Q1202" i="4"/>
  <c r="AO1201" i="4"/>
  <c r="AL1201" i="4"/>
  <c r="Q1201" i="4"/>
  <c r="AO1200" i="4"/>
  <c r="AL1200" i="4"/>
  <c r="Q1200" i="4"/>
  <c r="AO1199" i="4"/>
  <c r="AL1199" i="4"/>
  <c r="Q1199" i="4"/>
  <c r="AO1198" i="4"/>
  <c r="AL1198" i="4"/>
  <c r="Q1198" i="4"/>
  <c r="AO1197" i="4"/>
  <c r="AL1197" i="4"/>
  <c r="Q1197" i="4"/>
  <c r="AO1196" i="4"/>
  <c r="AL1196" i="4"/>
  <c r="Q1196" i="4"/>
  <c r="AO1195" i="4"/>
  <c r="AL1195" i="4"/>
  <c r="Q1195" i="4"/>
  <c r="AO1194" i="4"/>
  <c r="AL1194" i="4"/>
  <c r="Q1194" i="4"/>
  <c r="AO1193" i="4"/>
  <c r="AL1193" i="4"/>
  <c r="Q1193" i="4"/>
  <c r="AO1192" i="4"/>
  <c r="AL1192" i="4"/>
  <c r="Q1192" i="4"/>
  <c r="AO1191" i="4"/>
  <c r="AL1191" i="4"/>
  <c r="Q1191" i="4"/>
  <c r="AO1190" i="4"/>
  <c r="AL1190" i="4"/>
  <c r="Q1190" i="4"/>
  <c r="AO1189" i="4"/>
  <c r="AL1189" i="4"/>
  <c r="Q1189" i="4"/>
  <c r="AO1188" i="4"/>
  <c r="AL1188" i="4"/>
  <c r="Q1188" i="4"/>
  <c r="AO1187" i="4"/>
  <c r="AL1187" i="4"/>
  <c r="Q1187" i="4"/>
  <c r="AO1186" i="4"/>
  <c r="AL1186" i="4"/>
  <c r="Q1186" i="4"/>
  <c r="AO1185" i="4"/>
  <c r="AL1185" i="4"/>
  <c r="Q1185" i="4"/>
  <c r="AO1184" i="4"/>
  <c r="AL1184" i="4"/>
  <c r="Q1184" i="4"/>
  <c r="AO1183" i="4"/>
  <c r="AL1183" i="4"/>
  <c r="Q1183" i="4"/>
  <c r="AO1182" i="4"/>
  <c r="AL1182" i="4"/>
  <c r="Q1182" i="4"/>
  <c r="AO1181" i="4"/>
  <c r="AL1181" i="4"/>
  <c r="Q1181" i="4"/>
  <c r="AO1180" i="4"/>
  <c r="AL1180" i="4"/>
  <c r="Q1180" i="4"/>
  <c r="AO1179" i="4"/>
  <c r="AL1179" i="4"/>
  <c r="Q1179" i="4"/>
  <c r="AO1178" i="4"/>
  <c r="AL1178" i="4"/>
  <c r="Q1178" i="4"/>
  <c r="AO1177" i="4"/>
  <c r="AL1177" i="4"/>
  <c r="Q1177" i="4"/>
  <c r="AO1176" i="4"/>
  <c r="AL1176" i="4"/>
  <c r="Q1176" i="4"/>
  <c r="AO1175" i="4"/>
  <c r="AL1175" i="4"/>
  <c r="Q1175" i="4"/>
  <c r="AO1174" i="4"/>
  <c r="AL1174" i="4"/>
  <c r="Q1174" i="4"/>
  <c r="AO1173" i="4"/>
  <c r="AL1173" i="4"/>
  <c r="Q1173" i="4"/>
  <c r="AO1172" i="4"/>
  <c r="AL1172" i="4"/>
  <c r="Q1172" i="4"/>
  <c r="AO1171" i="4"/>
  <c r="AL1171" i="4"/>
  <c r="Q1171" i="4"/>
  <c r="AO1170" i="4"/>
  <c r="AL1170" i="4"/>
  <c r="Q1170" i="4"/>
  <c r="AO1169" i="4"/>
  <c r="AL1169" i="4"/>
  <c r="Q1169" i="4"/>
  <c r="AO1168" i="4"/>
  <c r="AL1168" i="4"/>
  <c r="Q1168" i="4"/>
  <c r="AO1167" i="4"/>
  <c r="AL1167" i="4"/>
  <c r="Q1167" i="4"/>
  <c r="AO1166" i="4"/>
  <c r="AL1166" i="4"/>
  <c r="Q1166" i="4"/>
  <c r="AO1165" i="4"/>
  <c r="AL1165" i="4"/>
  <c r="Q1165" i="4"/>
  <c r="AO1164" i="4"/>
  <c r="AL1164" i="4"/>
  <c r="Q1164" i="4"/>
  <c r="AO1163" i="4"/>
  <c r="AL1163" i="4"/>
  <c r="Q1163" i="4"/>
  <c r="AO1162" i="4"/>
  <c r="AL1162" i="4"/>
  <c r="Q1162" i="4"/>
  <c r="AO1161" i="4"/>
  <c r="AL1161" i="4"/>
  <c r="Q1161" i="4"/>
  <c r="AO1160" i="4"/>
  <c r="AL1160" i="4"/>
  <c r="Q1160" i="4"/>
  <c r="AO1159" i="4"/>
  <c r="AL1159" i="4"/>
  <c r="Q1159" i="4"/>
  <c r="AO1158" i="4"/>
  <c r="AL1158" i="4"/>
  <c r="S1158" i="4"/>
  <c r="R1158" i="4"/>
  <c r="Q1158" i="4"/>
  <c r="AO1157" i="4"/>
  <c r="AL1157" i="4"/>
  <c r="S1157" i="4"/>
  <c r="R1157" i="4"/>
  <c r="Q1157" i="4"/>
  <c r="AO1156" i="4"/>
  <c r="AL1156" i="4"/>
  <c r="Q1156" i="4"/>
  <c r="AO1155" i="4"/>
  <c r="AL1155" i="4"/>
  <c r="Q1155" i="4"/>
  <c r="AO1154" i="4"/>
  <c r="AL1154" i="4"/>
  <c r="Q1154" i="4"/>
  <c r="AO1153" i="4"/>
  <c r="AL1153" i="4"/>
  <c r="Q1153" i="4"/>
  <c r="AO1152" i="4"/>
  <c r="AL1152" i="4"/>
  <c r="Q1152" i="4"/>
  <c r="AO1151" i="4"/>
  <c r="AL1151" i="4"/>
  <c r="Q1151" i="4"/>
  <c r="AO1150" i="4"/>
  <c r="AL1150" i="4"/>
  <c r="S1150" i="4"/>
  <c r="R1150" i="4"/>
  <c r="Q1150" i="4"/>
  <c r="AO1149" i="4"/>
  <c r="AL1149" i="4"/>
  <c r="S1149" i="4"/>
  <c r="R1149" i="4"/>
  <c r="Q1149" i="4"/>
  <c r="AO1148" i="4"/>
  <c r="AL1148" i="4"/>
  <c r="S1148" i="4"/>
  <c r="R1148" i="4"/>
  <c r="Q1148" i="4"/>
  <c r="AO1147" i="4"/>
  <c r="AL1147" i="4"/>
  <c r="Q1147" i="4"/>
  <c r="AO1146" i="4"/>
  <c r="AL1146" i="4"/>
  <c r="Q1146" i="4"/>
  <c r="AL1145" i="4"/>
  <c r="U1145" i="4"/>
  <c r="Q1145" i="4"/>
  <c r="AO1144" i="4"/>
  <c r="AL1144" i="4"/>
  <c r="R1144" i="4"/>
  <c r="Q1144" i="4"/>
  <c r="AO1143" i="4"/>
  <c r="AL1143" i="4"/>
  <c r="R1143" i="4"/>
  <c r="Q1143" i="4"/>
  <c r="AO1142" i="4"/>
  <c r="AL1142" i="4"/>
  <c r="Q1142" i="4"/>
  <c r="AO1141" i="4"/>
  <c r="AL1141" i="4"/>
  <c r="Q1141" i="4"/>
  <c r="AO1140" i="4"/>
  <c r="AL1140" i="4"/>
  <c r="Q1140" i="4"/>
  <c r="AO1139" i="4"/>
  <c r="AL1139" i="4"/>
  <c r="Q1139" i="4"/>
  <c r="AO1138" i="4"/>
  <c r="AL1138" i="4"/>
  <c r="S1138" i="4"/>
  <c r="R1138" i="4"/>
  <c r="Q1138" i="4"/>
  <c r="AO1137" i="4"/>
  <c r="AL1137" i="4"/>
  <c r="S1137" i="4"/>
  <c r="R1137" i="4"/>
  <c r="Q1137" i="4"/>
  <c r="AO1136" i="4"/>
  <c r="AL1136" i="4"/>
  <c r="Q1136" i="4"/>
  <c r="AO1135" i="4"/>
  <c r="AL1135" i="4"/>
  <c r="Q1135" i="4"/>
  <c r="AO1134" i="4"/>
  <c r="AL1134" i="4"/>
  <c r="Q1134" i="4"/>
  <c r="AO1133" i="4"/>
  <c r="AL1133" i="4"/>
  <c r="Q1133" i="4"/>
  <c r="AO1132" i="4"/>
  <c r="AL1132" i="4"/>
  <c r="S1132" i="4"/>
  <c r="R1132" i="4"/>
  <c r="Q1132" i="4"/>
  <c r="AO1131" i="4"/>
  <c r="AL1131" i="4"/>
  <c r="S1131" i="4"/>
  <c r="R1131" i="4"/>
  <c r="Q1131" i="4"/>
  <c r="AO1130" i="4"/>
  <c r="AL1130" i="4"/>
  <c r="S1130" i="4"/>
  <c r="R1130" i="4"/>
  <c r="Q1130" i="4"/>
  <c r="AO1129" i="4"/>
  <c r="AL1129" i="4"/>
  <c r="Q1129" i="4"/>
  <c r="AO1128" i="4"/>
  <c r="AL1128" i="4"/>
  <c r="Q1128" i="4"/>
  <c r="AO1127" i="4"/>
  <c r="AL1127" i="4"/>
  <c r="R1127" i="4"/>
  <c r="Q1127" i="4"/>
  <c r="AO1126" i="4"/>
  <c r="AL1126" i="4"/>
  <c r="R1126" i="4"/>
  <c r="Q1126" i="4"/>
  <c r="AO1125" i="4"/>
  <c r="AL1125" i="4"/>
  <c r="R1125" i="4"/>
  <c r="Q1125" i="4"/>
  <c r="AO1124" i="4"/>
  <c r="AL1124" i="4"/>
  <c r="R1124" i="4"/>
  <c r="Q1124" i="4"/>
  <c r="AO1123" i="4"/>
  <c r="AL1123" i="4"/>
  <c r="Q1123" i="4"/>
  <c r="AO1122" i="4"/>
  <c r="AL1122" i="4"/>
  <c r="Q1122" i="4"/>
  <c r="AO1121" i="4"/>
  <c r="AL1121" i="4"/>
  <c r="Q1121" i="4"/>
  <c r="AL1120" i="4"/>
  <c r="T1120" i="4"/>
  <c r="Q1120" i="4"/>
  <c r="AO1119" i="4"/>
  <c r="AL1119" i="4"/>
  <c r="Q1119" i="4"/>
  <c r="AO1118" i="4"/>
  <c r="AL1118" i="4"/>
  <c r="Q1118" i="4"/>
  <c r="AO1117" i="4"/>
  <c r="AL1117" i="4"/>
  <c r="S1117" i="4"/>
  <c r="R1117" i="4"/>
  <c r="Q1117" i="4"/>
  <c r="AO1116" i="4"/>
  <c r="AL1116" i="4"/>
  <c r="S1116" i="4"/>
  <c r="R1116" i="4"/>
  <c r="Q1116" i="4"/>
  <c r="AO1115" i="4"/>
  <c r="AL1115" i="4"/>
  <c r="Q1115" i="4"/>
  <c r="AL1114" i="4"/>
  <c r="Q1114" i="4"/>
  <c r="AL1113" i="4"/>
  <c r="Q1113" i="4"/>
  <c r="AL1112" i="4"/>
  <c r="Q1112" i="4"/>
  <c r="AL1111" i="4"/>
  <c r="Q1111" i="4"/>
  <c r="AO1110" i="4"/>
  <c r="AL1110" i="4"/>
  <c r="Q1110" i="4"/>
  <c r="AO1109" i="4"/>
  <c r="AL1109" i="4"/>
  <c r="Q1109" i="4"/>
  <c r="AO1108" i="4"/>
  <c r="AL1108" i="4"/>
  <c r="Q1108" i="4"/>
  <c r="AO1107" i="4"/>
  <c r="AL1107" i="4"/>
  <c r="Q1107" i="4"/>
  <c r="AO1106" i="4"/>
  <c r="AL1106" i="4"/>
  <c r="Q1106" i="4"/>
  <c r="AO1105" i="4"/>
  <c r="AL1105" i="4"/>
  <c r="Q1105" i="4"/>
  <c r="AO1104" i="4"/>
  <c r="AL1104" i="4"/>
  <c r="Q1104" i="4"/>
  <c r="AO1103" i="4"/>
  <c r="AL1103" i="4"/>
  <c r="Q1103" i="4"/>
  <c r="AO1102" i="4"/>
  <c r="AL1102" i="4"/>
  <c r="Q1102" i="4"/>
  <c r="AO1101" i="4"/>
  <c r="AL1101" i="4"/>
  <c r="Q1101" i="4"/>
  <c r="AO1100" i="4"/>
  <c r="AL1100" i="4"/>
  <c r="Q1100" i="4"/>
  <c r="AO1099" i="4"/>
  <c r="AL1099" i="4"/>
  <c r="Q1099" i="4"/>
  <c r="AO1098" i="4"/>
  <c r="AL1098" i="4"/>
  <c r="Q1098" i="4"/>
  <c r="AO1097" i="4"/>
  <c r="AL1097" i="4"/>
  <c r="Q1097" i="4"/>
  <c r="AO1096" i="4"/>
  <c r="AL1096" i="4"/>
  <c r="Q1096" i="4"/>
  <c r="AO1095" i="4"/>
  <c r="AL1095" i="4"/>
  <c r="Q1095" i="4"/>
  <c r="AO1094" i="4"/>
  <c r="AL1094" i="4"/>
  <c r="Q1094" i="4"/>
  <c r="AO1093" i="4"/>
  <c r="AL1093" i="4"/>
  <c r="Q1093" i="4"/>
  <c r="AO1092" i="4"/>
  <c r="AL1092" i="4"/>
  <c r="Q1092" i="4"/>
  <c r="AO1091" i="4"/>
  <c r="AL1091" i="4"/>
  <c r="Q1091" i="4"/>
  <c r="AO1090" i="4"/>
  <c r="AL1090" i="4"/>
  <c r="Q1090" i="4"/>
  <c r="AO1089" i="4"/>
  <c r="AL1089" i="4"/>
  <c r="Q1089" i="4"/>
  <c r="AO1088" i="4"/>
  <c r="AL1088" i="4"/>
  <c r="Q1088" i="4"/>
  <c r="AO1087" i="4"/>
  <c r="AJ1087" i="4"/>
  <c r="AL1087" i="4" s="1"/>
  <c r="S1087" i="4"/>
  <c r="R1087" i="4"/>
  <c r="Q1087" i="4"/>
  <c r="AO1086" i="4"/>
  <c r="AJ1086" i="4"/>
  <c r="AL1086" i="4" s="1"/>
  <c r="S1086" i="4"/>
  <c r="R1086" i="4"/>
  <c r="Q1086" i="4"/>
  <c r="AO1085" i="4"/>
  <c r="AL1085" i="4"/>
  <c r="Q1085" i="4"/>
  <c r="AO1084" i="4"/>
  <c r="AL1084" i="4"/>
  <c r="Q1084" i="4"/>
  <c r="AO1083" i="4"/>
  <c r="AL1083" i="4"/>
  <c r="Q1083" i="4"/>
  <c r="AO1082" i="4"/>
  <c r="AL1082" i="4"/>
  <c r="S1082" i="4"/>
  <c r="R1082" i="4"/>
  <c r="Q1082" i="4"/>
  <c r="AO1081" i="4"/>
  <c r="AL1081" i="4"/>
  <c r="S1081" i="4"/>
  <c r="R1081" i="4"/>
  <c r="Q1081" i="4"/>
  <c r="AO1080" i="4"/>
  <c r="AL1080" i="4"/>
  <c r="S1080" i="4"/>
  <c r="R1080" i="4"/>
  <c r="Q1080" i="4"/>
  <c r="AO1079" i="4"/>
  <c r="AL1079" i="4"/>
  <c r="Q1079" i="4"/>
  <c r="AO1078" i="4"/>
  <c r="AL1078" i="4"/>
  <c r="Q1078" i="4"/>
  <c r="AO1077" i="4"/>
  <c r="AL1077" i="4"/>
  <c r="Q1077" i="4"/>
  <c r="AO1076" i="4"/>
  <c r="AL1076" i="4"/>
  <c r="Q1076" i="4"/>
  <c r="AO1075" i="4"/>
  <c r="AL1075" i="4"/>
  <c r="Q1075" i="4"/>
  <c r="AO1074" i="4"/>
  <c r="AL1074" i="4"/>
  <c r="Q1074" i="4"/>
  <c r="AO1073" i="4"/>
  <c r="AL1073" i="4"/>
  <c r="Q1073" i="4"/>
  <c r="AL1039" i="4"/>
  <c r="T1039" i="4"/>
  <c r="Q1039" i="4"/>
  <c r="AO1072" i="4"/>
  <c r="AL1072" i="4"/>
  <c r="Q1072" i="4"/>
  <c r="AO1071" i="4"/>
  <c r="AL1071" i="4"/>
  <c r="Q1071" i="4"/>
  <c r="AO1070" i="4"/>
  <c r="AL1070" i="4"/>
  <c r="S1070" i="4"/>
  <c r="R1070" i="4"/>
  <c r="Q1070" i="4"/>
  <c r="AO1069" i="4"/>
  <c r="AL1069" i="4"/>
  <c r="S1069" i="4"/>
  <c r="R1069" i="4"/>
  <c r="Q1069" i="4"/>
  <c r="AO1068" i="4"/>
  <c r="AL1068" i="4"/>
  <c r="Q1068" i="4"/>
  <c r="AO1067" i="4"/>
  <c r="AL1067" i="4"/>
  <c r="Q1067" i="4"/>
  <c r="AO1066" i="4"/>
  <c r="AL1066" i="4"/>
  <c r="Q1066" i="4"/>
  <c r="AO1065" i="4"/>
  <c r="AL1065" i="4"/>
  <c r="Q1065" i="4"/>
  <c r="AO1064" i="4"/>
  <c r="AL1064" i="4"/>
  <c r="Q1064" i="4"/>
  <c r="AO1063" i="4"/>
  <c r="AL1063" i="4"/>
  <c r="Q1063" i="4"/>
  <c r="AO1062" i="4"/>
  <c r="AL1062" i="4"/>
  <c r="Q1062" i="4"/>
  <c r="AO1061" i="4"/>
  <c r="AL1061" i="4"/>
  <c r="Q1061" i="4"/>
  <c r="AO1060" i="4"/>
  <c r="AL1060" i="4"/>
  <c r="Q1060" i="4"/>
  <c r="AO1059" i="4"/>
  <c r="AL1059" i="4"/>
  <c r="Q1059" i="4"/>
  <c r="AO1058" i="4"/>
  <c r="AL1058" i="4"/>
  <c r="Q1058" i="4"/>
  <c r="AO1057" i="4"/>
  <c r="AL1057" i="4"/>
  <c r="Q1057" i="4"/>
  <c r="AO1056" i="4"/>
  <c r="AL1056" i="4"/>
  <c r="Q1056" i="4"/>
  <c r="AO1055" i="4"/>
  <c r="AL1055" i="4"/>
  <c r="Q1055" i="4"/>
  <c r="AO1054" i="4"/>
  <c r="AL1054" i="4"/>
  <c r="Q1054" i="4"/>
  <c r="AO1053" i="4"/>
  <c r="AL1053" i="4"/>
  <c r="Q1053" i="4"/>
  <c r="AO1052" i="4"/>
  <c r="AL1052" i="4"/>
  <c r="Q1052" i="4"/>
  <c r="AO1051" i="4"/>
  <c r="AL1051" i="4"/>
  <c r="S1051" i="4"/>
  <c r="R1051" i="4"/>
  <c r="Q1051" i="4"/>
  <c r="AO1050" i="4"/>
  <c r="AL1050" i="4"/>
  <c r="S1050" i="4"/>
  <c r="R1050" i="4"/>
  <c r="Q1050" i="4"/>
  <c r="AO1049" i="4"/>
  <c r="AL1049" i="4"/>
  <c r="Q1049" i="4"/>
  <c r="AO1048" i="4"/>
  <c r="AL1048" i="4"/>
  <c r="Q1048" i="4"/>
  <c r="AO1047" i="4"/>
  <c r="AL1047" i="4"/>
  <c r="Q1047" i="4"/>
  <c r="AO1046" i="4"/>
  <c r="AL1046" i="4"/>
  <c r="S1046" i="4"/>
  <c r="R1046" i="4"/>
  <c r="Q1046" i="4"/>
  <c r="AO1045" i="4"/>
  <c r="AL1045" i="4"/>
  <c r="S1045" i="4"/>
  <c r="R1045" i="4"/>
  <c r="Q1045" i="4"/>
  <c r="AO1044" i="4"/>
  <c r="AL1044" i="4"/>
  <c r="Q1044" i="4"/>
  <c r="AO1043" i="4"/>
  <c r="AJ1043" i="4"/>
  <c r="AL1043" i="4" s="1"/>
  <c r="S1043" i="4"/>
  <c r="R1043" i="4"/>
  <c r="Q1043" i="4"/>
  <c r="AO1042" i="4"/>
  <c r="AL1042" i="4"/>
  <c r="R1042" i="4"/>
  <c r="Q1042" i="4"/>
  <c r="AO1041" i="4"/>
  <c r="AL1041" i="4"/>
  <c r="Q1041" i="4"/>
  <c r="AO1040" i="4"/>
  <c r="AL1040" i="4"/>
  <c r="Q1040" i="4"/>
  <c r="AL1038" i="4"/>
  <c r="T1038" i="4"/>
  <c r="Q1038" i="4"/>
  <c r="AL1037" i="4"/>
  <c r="T1037" i="4"/>
  <c r="Q1037" i="4"/>
  <c r="AO1036" i="4"/>
  <c r="AL1036" i="4"/>
  <c r="Q1036" i="4"/>
  <c r="AO1035" i="4"/>
  <c r="AL1035" i="4"/>
  <c r="Q1035" i="4"/>
  <c r="AO1034" i="4"/>
  <c r="AL1034" i="4"/>
  <c r="Q1034" i="4"/>
  <c r="AO1033" i="4"/>
  <c r="AL1033" i="4"/>
  <c r="Q1033" i="4"/>
  <c r="AO1032" i="4"/>
  <c r="AL1032" i="4"/>
  <c r="Q1032" i="4"/>
  <c r="AO1031" i="4"/>
  <c r="AL1031" i="4"/>
  <c r="Q1031" i="4"/>
  <c r="AO1030" i="4"/>
  <c r="AL1030" i="4"/>
  <c r="Q1030" i="4"/>
  <c r="AO1029" i="4"/>
  <c r="AL1029" i="4"/>
  <c r="Q1029" i="4"/>
  <c r="AO1028" i="4"/>
  <c r="AL1028" i="4"/>
  <c r="Q1028" i="4"/>
  <c r="AO1027" i="4"/>
  <c r="AL1027" i="4"/>
  <c r="R1027" i="4"/>
  <c r="Q1027" i="4"/>
  <c r="AO1026" i="4"/>
  <c r="AL1026" i="4"/>
  <c r="R1026" i="4"/>
  <c r="Q1026" i="4"/>
  <c r="AO1025" i="4"/>
  <c r="AL1025" i="4"/>
  <c r="R1025" i="4"/>
  <c r="Q1025" i="4"/>
  <c r="AO1024" i="4"/>
  <c r="AL1024" i="4"/>
  <c r="Q1024" i="4"/>
  <c r="AO1023" i="4"/>
  <c r="AL1023" i="4"/>
  <c r="Q1023" i="4"/>
  <c r="AO1022" i="4"/>
  <c r="AL1022" i="4"/>
  <c r="Q1022" i="4"/>
  <c r="AO1021" i="4"/>
  <c r="AL1021" i="4"/>
  <c r="Q1021" i="4"/>
  <c r="AO1020" i="4"/>
  <c r="AL1020" i="4"/>
  <c r="Q1020" i="4"/>
  <c r="AO1019" i="4"/>
  <c r="AL1019" i="4"/>
  <c r="Q1019" i="4"/>
  <c r="AO1018" i="4"/>
  <c r="AL1018" i="4"/>
  <c r="Q1018" i="4"/>
  <c r="AO1017" i="4"/>
  <c r="AL1017" i="4"/>
  <c r="Q1017" i="4"/>
  <c r="AO1016" i="4"/>
  <c r="AL1016" i="4"/>
  <c r="Q1016" i="4"/>
  <c r="AO1015" i="4"/>
  <c r="AL1015" i="4"/>
  <c r="Q1015" i="4"/>
  <c r="AO1014" i="4"/>
  <c r="AL1014" i="4"/>
  <c r="Q1014" i="4"/>
  <c r="AO1013" i="4"/>
  <c r="AL1013" i="4"/>
  <c r="Q1013" i="4"/>
  <c r="AO1012" i="4"/>
  <c r="AL1012" i="4"/>
  <c r="Q1012" i="4"/>
  <c r="AO1011" i="4"/>
  <c r="AL1011" i="4"/>
  <c r="Q1011" i="4"/>
  <c r="AO1010" i="4"/>
  <c r="AL1010" i="4"/>
  <c r="Q1010" i="4"/>
  <c r="AO1009" i="4"/>
  <c r="AL1009" i="4"/>
  <c r="Q1009" i="4"/>
  <c r="AO1008" i="4"/>
  <c r="AL1008" i="4"/>
  <c r="Q1008" i="4"/>
  <c r="AG1008" i="4" s="1"/>
  <c r="AO1007" i="4"/>
  <c r="AL1007" i="4"/>
  <c r="Q1007" i="4"/>
  <c r="AO1006" i="4"/>
  <c r="AL1006" i="4"/>
  <c r="Q1006" i="4"/>
  <c r="AO1005" i="4"/>
  <c r="AL1005" i="4"/>
  <c r="Q1005" i="4"/>
  <c r="AL1004" i="4"/>
  <c r="Q1004" i="4"/>
  <c r="AL1003" i="4"/>
  <c r="Q1003" i="4"/>
  <c r="AO1002" i="4"/>
  <c r="AL1002" i="4"/>
  <c r="Q1002" i="4"/>
  <c r="AO1001" i="4"/>
  <c r="AL1001" i="4"/>
  <c r="Q1001" i="4"/>
  <c r="AO1000" i="4"/>
  <c r="AL1000" i="4"/>
  <c r="Q1000" i="4"/>
  <c r="AO999" i="4"/>
  <c r="AL999" i="4"/>
  <c r="Q999" i="4"/>
  <c r="AO998" i="4"/>
  <c r="AL998" i="4"/>
  <c r="Q998" i="4"/>
  <c r="AO997" i="4"/>
  <c r="AL997" i="4"/>
  <c r="Q997" i="4"/>
  <c r="AO996" i="4"/>
  <c r="AL996" i="4"/>
  <c r="Q996" i="4"/>
  <c r="AO995" i="4"/>
  <c r="AL995" i="4"/>
  <c r="Q995" i="4"/>
  <c r="AO994" i="4"/>
  <c r="AL994" i="4"/>
  <c r="Q994" i="4"/>
  <c r="AO993" i="4"/>
  <c r="AL993" i="4"/>
  <c r="S993" i="4"/>
  <c r="R993" i="4"/>
  <c r="Q993" i="4"/>
  <c r="AO992" i="4"/>
  <c r="AL992" i="4"/>
  <c r="R992" i="4"/>
  <c r="Q992" i="4"/>
  <c r="AO991" i="4"/>
  <c r="AL991" i="4"/>
  <c r="Q991" i="4"/>
  <c r="AO990" i="4"/>
  <c r="AL990" i="4"/>
  <c r="Q990" i="4"/>
  <c r="AO989" i="4"/>
  <c r="AL989" i="4"/>
  <c r="Q989" i="4"/>
  <c r="AO988" i="4"/>
  <c r="AL988" i="4"/>
  <c r="Q988" i="4"/>
  <c r="AO987" i="4"/>
  <c r="AL987" i="4"/>
  <c r="Q987" i="4"/>
  <c r="AO986" i="4"/>
  <c r="AL986" i="4"/>
  <c r="Q986" i="4"/>
  <c r="AO985" i="4"/>
  <c r="AL985" i="4"/>
  <c r="Q985" i="4"/>
  <c r="AL984" i="4"/>
  <c r="Q984" i="4"/>
  <c r="AL983" i="4"/>
  <c r="Q983" i="4"/>
  <c r="AO982" i="4"/>
  <c r="AL982" i="4"/>
  <c r="Q982" i="4"/>
  <c r="AC982" i="4" s="1"/>
  <c r="AO981" i="4"/>
  <c r="AL981" i="4"/>
  <c r="Q981" i="4"/>
  <c r="AO980" i="4"/>
  <c r="AL980" i="4"/>
  <c r="Q980" i="4"/>
  <c r="AL979" i="4"/>
  <c r="Q979" i="4"/>
  <c r="AL978" i="4"/>
  <c r="Q978" i="4"/>
  <c r="AL977" i="4"/>
  <c r="Q977" i="4"/>
  <c r="AO976" i="4"/>
  <c r="AL976" i="4"/>
  <c r="Q976" i="4"/>
  <c r="AO975" i="4"/>
  <c r="AL975" i="4"/>
  <c r="Q975" i="4"/>
  <c r="AO974" i="4"/>
  <c r="AL974" i="4"/>
  <c r="Q974" i="4"/>
  <c r="AL973" i="4"/>
  <c r="Q973" i="4"/>
  <c r="AO972" i="4"/>
  <c r="AL972" i="4"/>
  <c r="Q972" i="4"/>
  <c r="AO971" i="4"/>
  <c r="AL971" i="4"/>
  <c r="Q971" i="4"/>
  <c r="AO970" i="4"/>
  <c r="AL970" i="4"/>
  <c r="Q970" i="4"/>
  <c r="AO969" i="4"/>
  <c r="AL969" i="4"/>
  <c r="Q969" i="4"/>
  <c r="AO968" i="4"/>
  <c r="AL968" i="4"/>
  <c r="Q968" i="4"/>
  <c r="AO967" i="4"/>
  <c r="AL967" i="4"/>
  <c r="Q967" i="4"/>
  <c r="AO966" i="4"/>
  <c r="AL966" i="4"/>
  <c r="Q966" i="4"/>
  <c r="AO965" i="4"/>
  <c r="AL965" i="4"/>
  <c r="Q965" i="4"/>
  <c r="AO964" i="4"/>
  <c r="AL964" i="4"/>
  <c r="Q964" i="4"/>
  <c r="AO963" i="4"/>
  <c r="AL963" i="4"/>
  <c r="Q963" i="4"/>
  <c r="AO962" i="4"/>
  <c r="AL962" i="4"/>
  <c r="Q962" i="4"/>
  <c r="AO961" i="4"/>
  <c r="AL961" i="4"/>
  <c r="Q961" i="4"/>
  <c r="AO960" i="4"/>
  <c r="AL960" i="4"/>
  <c r="Q960" i="4"/>
  <c r="AO959" i="4"/>
  <c r="AL959" i="4"/>
  <c r="Q959" i="4"/>
  <c r="AO958" i="4"/>
  <c r="AL958" i="4"/>
  <c r="Q958" i="4"/>
  <c r="AO957" i="4"/>
  <c r="AL957" i="4"/>
  <c r="Q957" i="4"/>
  <c r="AL956" i="4"/>
  <c r="Q956" i="4"/>
  <c r="AL955" i="4"/>
  <c r="Q955" i="4"/>
  <c r="AO954" i="4"/>
  <c r="AL954" i="4"/>
  <c r="Q954" i="4"/>
  <c r="AO953" i="4"/>
  <c r="AL953" i="4"/>
  <c r="Q953" i="4"/>
  <c r="AO952" i="4"/>
  <c r="AL952" i="4"/>
  <c r="Q952" i="4"/>
  <c r="AO951" i="4"/>
  <c r="AL951" i="4"/>
  <c r="Q951" i="4"/>
  <c r="AO950" i="4"/>
  <c r="AL950" i="4"/>
  <c r="Q950" i="4"/>
  <c r="AO949" i="4"/>
  <c r="AL949" i="4"/>
  <c r="Q949" i="4"/>
  <c r="AO948" i="4"/>
  <c r="AL948" i="4"/>
  <c r="Q948" i="4"/>
  <c r="AO947" i="4"/>
  <c r="AL947" i="4"/>
  <c r="Q947" i="4"/>
  <c r="AA947" i="4" s="1"/>
  <c r="AD947" i="4" s="1"/>
  <c r="AO946" i="4"/>
  <c r="AL946" i="4"/>
  <c r="Q946" i="4"/>
  <c r="AO945" i="4"/>
  <c r="AL945" i="4"/>
  <c r="Q945" i="4"/>
  <c r="AO944" i="4"/>
  <c r="AL944" i="4"/>
  <c r="Q944" i="4"/>
  <c r="AO943" i="4"/>
  <c r="AL943" i="4"/>
  <c r="Q943" i="4"/>
  <c r="AO942" i="4"/>
  <c r="AL942" i="4"/>
  <c r="Q942" i="4"/>
  <c r="AO941" i="4"/>
  <c r="AL941" i="4"/>
  <c r="Q941" i="4"/>
  <c r="AO940" i="4"/>
  <c r="AL940" i="4"/>
  <c r="Q940" i="4"/>
  <c r="AO939" i="4"/>
  <c r="AL939" i="4"/>
  <c r="Q939" i="4"/>
  <c r="AO938" i="4"/>
  <c r="AL938" i="4"/>
  <c r="Q938" i="4"/>
  <c r="AO937" i="4"/>
  <c r="AL937" i="4"/>
  <c r="Q937" i="4"/>
  <c r="AO936" i="4"/>
  <c r="AL936" i="4"/>
  <c r="Q936" i="4"/>
  <c r="AO935" i="4"/>
  <c r="AL935" i="4"/>
  <c r="Q935" i="4"/>
  <c r="AO934" i="4"/>
  <c r="AL934" i="4"/>
  <c r="Q934" i="4"/>
  <c r="AO933" i="4"/>
  <c r="AL933" i="4"/>
  <c r="Q933" i="4"/>
  <c r="AO932" i="4"/>
  <c r="AL932" i="4"/>
  <c r="Q932" i="4"/>
  <c r="AO931" i="4"/>
  <c r="AL931" i="4"/>
  <c r="Q931" i="4"/>
  <c r="AO930" i="4"/>
  <c r="AL930" i="4"/>
  <c r="Q930" i="4"/>
  <c r="AO929" i="4"/>
  <c r="AL929" i="4"/>
  <c r="Q929" i="4"/>
  <c r="AO928" i="4"/>
  <c r="AL928" i="4"/>
  <c r="Q928" i="4"/>
  <c r="AA928" i="4" s="1"/>
  <c r="AD928" i="4" s="1"/>
  <c r="AO927" i="4"/>
  <c r="AL927" i="4"/>
  <c r="Q927" i="4"/>
  <c r="AO926" i="4"/>
  <c r="AL926" i="4"/>
  <c r="Q926" i="4"/>
  <c r="AO925" i="4"/>
  <c r="AL925" i="4"/>
  <c r="Q925" i="4"/>
  <c r="AO924" i="4"/>
  <c r="AL924" i="4"/>
  <c r="Q924" i="4"/>
  <c r="AO923" i="4"/>
  <c r="AL923" i="4"/>
  <c r="Q923" i="4"/>
  <c r="AO922" i="4"/>
  <c r="AL922" i="4"/>
  <c r="Q922" i="4"/>
  <c r="AO921" i="4"/>
  <c r="AL921" i="4"/>
  <c r="Q921" i="4"/>
  <c r="AO920" i="4"/>
  <c r="AL920" i="4"/>
  <c r="Q920" i="4"/>
  <c r="AO919" i="4"/>
  <c r="AL919" i="4"/>
  <c r="Q919" i="4"/>
  <c r="AO918" i="4"/>
  <c r="AL918" i="4"/>
  <c r="Q918" i="4"/>
  <c r="AO917" i="4"/>
  <c r="AL917" i="4"/>
  <c r="Q917" i="4"/>
  <c r="AO916" i="4"/>
  <c r="AL916" i="4"/>
  <c r="Q916" i="4"/>
  <c r="AO915" i="4"/>
  <c r="AL915" i="4"/>
  <c r="Q915" i="4"/>
  <c r="AO914" i="4"/>
  <c r="AJ914" i="4"/>
  <c r="AI914" i="4"/>
  <c r="Q914" i="4"/>
  <c r="AO913" i="4"/>
  <c r="AL913" i="4"/>
  <c r="Q913" i="4"/>
  <c r="AO912" i="4"/>
  <c r="AL912" i="4"/>
  <c r="Q912" i="4"/>
  <c r="AO911" i="4"/>
  <c r="AL911" i="4"/>
  <c r="Q911" i="4"/>
  <c r="AO910" i="4"/>
  <c r="AL910" i="4"/>
  <c r="Q910" i="4"/>
  <c r="AO909" i="4"/>
  <c r="AL909" i="4"/>
  <c r="Q909" i="4"/>
  <c r="AO908" i="4"/>
  <c r="AL908" i="4"/>
  <c r="Q908" i="4"/>
  <c r="AO907" i="4"/>
  <c r="AL907" i="4"/>
  <c r="Q907" i="4"/>
  <c r="AO906" i="4"/>
  <c r="AL906" i="4"/>
  <c r="Q906" i="4"/>
  <c r="AO905" i="4"/>
  <c r="AL905" i="4"/>
  <c r="Q905" i="4"/>
  <c r="AO904" i="4"/>
  <c r="AL904" i="4"/>
  <c r="Q904" i="4"/>
  <c r="AO903" i="4"/>
  <c r="AL903" i="4"/>
  <c r="Q903" i="4"/>
  <c r="AO902" i="4"/>
  <c r="AL902" i="4"/>
  <c r="Q902" i="4"/>
  <c r="AO901" i="4"/>
  <c r="AL901" i="4"/>
  <c r="Q901" i="4"/>
  <c r="AO900" i="4"/>
  <c r="AL900" i="4"/>
  <c r="Q900" i="4"/>
  <c r="AL899" i="4"/>
  <c r="Q899" i="4"/>
  <c r="AO898" i="4"/>
  <c r="AL898" i="4"/>
  <c r="Q898" i="4"/>
  <c r="AO897" i="4"/>
  <c r="AL897" i="4"/>
  <c r="Q897" i="4"/>
  <c r="AO896" i="4"/>
  <c r="AL896" i="4"/>
  <c r="Q896" i="4"/>
  <c r="AO895" i="4"/>
  <c r="AL895" i="4"/>
  <c r="Q895" i="4"/>
  <c r="AO894" i="4"/>
  <c r="AL894" i="4"/>
  <c r="Q894" i="4"/>
  <c r="AA894" i="4" s="1"/>
  <c r="AD894" i="4" s="1"/>
  <c r="AO893" i="4"/>
  <c r="AL893" i="4"/>
  <c r="Q893" i="4"/>
  <c r="AO892" i="4"/>
  <c r="AL892" i="4"/>
  <c r="Q892" i="4"/>
  <c r="AO891" i="4"/>
  <c r="AL891" i="4"/>
  <c r="Q891" i="4"/>
  <c r="AO890" i="4"/>
  <c r="AL890" i="4"/>
  <c r="Q890" i="4"/>
  <c r="AO889" i="4"/>
  <c r="AL889" i="4"/>
  <c r="Q889" i="4"/>
  <c r="AO888" i="4"/>
  <c r="AL888" i="4"/>
  <c r="Q888" i="4"/>
  <c r="AO887" i="4"/>
  <c r="AL887" i="4"/>
  <c r="Q887" i="4"/>
  <c r="AO886" i="4"/>
  <c r="AL886" i="4"/>
  <c r="Q886" i="4"/>
  <c r="AO885" i="4"/>
  <c r="AL885" i="4"/>
  <c r="Q885" i="4"/>
  <c r="AO884" i="4"/>
  <c r="AL884" i="4"/>
  <c r="Q884" i="4"/>
  <c r="AO883" i="4"/>
  <c r="AL883" i="4"/>
  <c r="Q883" i="4"/>
  <c r="AA883" i="4" s="1"/>
  <c r="AD883" i="4" s="1"/>
  <c r="AO882" i="4"/>
  <c r="AL882" i="4"/>
  <c r="Q882" i="4"/>
  <c r="AA882" i="4" s="1"/>
  <c r="AD882" i="4" s="1"/>
  <c r="AO881" i="4"/>
  <c r="AL881" i="4"/>
  <c r="Q881" i="4"/>
  <c r="AO880" i="4"/>
  <c r="AL880" i="4"/>
  <c r="Q880" i="4"/>
  <c r="AO879" i="4"/>
  <c r="AL879" i="4"/>
  <c r="Q879" i="4"/>
  <c r="AO878" i="4"/>
  <c r="AL878" i="4"/>
  <c r="Q878" i="4"/>
  <c r="AA878" i="4" s="1"/>
  <c r="AD878" i="4" s="1"/>
  <c r="AO877" i="4"/>
  <c r="AL877" i="4"/>
  <c r="Q877" i="4"/>
  <c r="AO876" i="4"/>
  <c r="AL876" i="4"/>
  <c r="Q876" i="4"/>
  <c r="AO874" i="4"/>
  <c r="AL874" i="4"/>
  <c r="Q874" i="4"/>
  <c r="AA874" i="4" s="1"/>
  <c r="AD874" i="4" s="1"/>
  <c r="AO873" i="4"/>
  <c r="AL873" i="4"/>
  <c r="Q873" i="4"/>
  <c r="AO872" i="4"/>
  <c r="AL872" i="4"/>
  <c r="Q872" i="4"/>
  <c r="AO871" i="4"/>
  <c r="AL871" i="4"/>
  <c r="Q871" i="4"/>
  <c r="AO870" i="4"/>
  <c r="AL870" i="4"/>
  <c r="Q870" i="4"/>
  <c r="AO869" i="4"/>
  <c r="AL869" i="4"/>
  <c r="Q869" i="4"/>
  <c r="AO868" i="4"/>
  <c r="AL868" i="4"/>
  <c r="Q868" i="4"/>
  <c r="AO867" i="4"/>
  <c r="AL867" i="4"/>
  <c r="Q867" i="4"/>
  <c r="AO866" i="4"/>
  <c r="AL866" i="4"/>
  <c r="Q866" i="4"/>
  <c r="AO865" i="4"/>
  <c r="AL865" i="4"/>
  <c r="Q865" i="4"/>
  <c r="AO864" i="4"/>
  <c r="AL864" i="4"/>
  <c r="Q864" i="4"/>
  <c r="AO863" i="4"/>
  <c r="AL863" i="4"/>
  <c r="Q863" i="4"/>
  <c r="AO862" i="4"/>
  <c r="AL862" i="4"/>
  <c r="Q862" i="4"/>
  <c r="AO861" i="4"/>
  <c r="AL861" i="4"/>
  <c r="Q861" i="4"/>
  <c r="AO860" i="4"/>
  <c r="AL860" i="4"/>
  <c r="Q860" i="4"/>
  <c r="AO859" i="4"/>
  <c r="AL859" i="4"/>
  <c r="Q859" i="4"/>
  <c r="AO858" i="4"/>
  <c r="AL858" i="4"/>
  <c r="Q858" i="4"/>
  <c r="AO857" i="4"/>
  <c r="AL857" i="4"/>
  <c r="Q857" i="4"/>
  <c r="AO856" i="4"/>
  <c r="AL856" i="4"/>
  <c r="Q856" i="4"/>
  <c r="AO855" i="4"/>
  <c r="AL855" i="4"/>
  <c r="Q855" i="4"/>
  <c r="AO854" i="4"/>
  <c r="AL854" i="4"/>
  <c r="Q854" i="4"/>
  <c r="AO853" i="4"/>
  <c r="AL853" i="4"/>
  <c r="Q853" i="4"/>
  <c r="AO852" i="4"/>
  <c r="AL852" i="4"/>
  <c r="Q852" i="4"/>
  <c r="AO851" i="4"/>
  <c r="AL851" i="4"/>
  <c r="Q851" i="4"/>
  <c r="AO850" i="4"/>
  <c r="AL850" i="4"/>
  <c r="Q850" i="4"/>
  <c r="AO849" i="4"/>
  <c r="AL849" i="4"/>
  <c r="Q849" i="4"/>
  <c r="AO848" i="4"/>
  <c r="AL848" i="4"/>
  <c r="Q848" i="4"/>
  <c r="AO847" i="4"/>
  <c r="AL847" i="4"/>
  <c r="Q847" i="4"/>
  <c r="AO846" i="4"/>
  <c r="AL846" i="4"/>
  <c r="Q846" i="4"/>
  <c r="AO845" i="4"/>
  <c r="AL845" i="4"/>
  <c r="Q845" i="4"/>
  <c r="AO844" i="4"/>
  <c r="AL844" i="4"/>
  <c r="Q844" i="4"/>
  <c r="AO843" i="4"/>
  <c r="AL843" i="4"/>
  <c r="Q843" i="4"/>
  <c r="AO842" i="4"/>
  <c r="AL842" i="4"/>
  <c r="Q842" i="4"/>
  <c r="AO841" i="4"/>
  <c r="AL841" i="4"/>
  <c r="Q841" i="4"/>
  <c r="AO840" i="4"/>
  <c r="AL840" i="4"/>
  <c r="Q840" i="4"/>
  <c r="AO839" i="4"/>
  <c r="AL839" i="4"/>
  <c r="Q839" i="4"/>
  <c r="AO838" i="4"/>
  <c r="AL838" i="4"/>
  <c r="Q838" i="4"/>
  <c r="AO837" i="4"/>
  <c r="AL837" i="4"/>
  <c r="Q837" i="4"/>
  <c r="AO836" i="4"/>
  <c r="AL836" i="4"/>
  <c r="Q836" i="4"/>
  <c r="AO835" i="4"/>
  <c r="AL835" i="4"/>
  <c r="Q835" i="4"/>
  <c r="AO834" i="4"/>
  <c r="AL834" i="4"/>
  <c r="Q834" i="4"/>
  <c r="AO833" i="4"/>
  <c r="AL833" i="4"/>
  <c r="Q833" i="4"/>
  <c r="AO832" i="4"/>
  <c r="AL832" i="4"/>
  <c r="Q832" i="4"/>
  <c r="AO831" i="4"/>
  <c r="AL831" i="4"/>
  <c r="Q831" i="4"/>
  <c r="AL830" i="4"/>
  <c r="Q830" i="4"/>
  <c r="AO829" i="4"/>
  <c r="AL829" i="4"/>
  <c r="Q829" i="4"/>
  <c r="AO828" i="4"/>
  <c r="AL828" i="4"/>
  <c r="Q828" i="4"/>
  <c r="AO827" i="4"/>
  <c r="AL827" i="4"/>
  <c r="Q827" i="4"/>
  <c r="AL826" i="4"/>
  <c r="Q826" i="4"/>
  <c r="AO825" i="4"/>
  <c r="AL825" i="4"/>
  <c r="Q825" i="4"/>
  <c r="AO824" i="4"/>
  <c r="AL824" i="4"/>
  <c r="Q824" i="4"/>
  <c r="AO823" i="4"/>
  <c r="AL823" i="4"/>
  <c r="Q823" i="4"/>
  <c r="AO822" i="4"/>
  <c r="AL822" i="4"/>
  <c r="Q822" i="4"/>
  <c r="AO821" i="4"/>
  <c r="AL821" i="4"/>
  <c r="Q821" i="4"/>
  <c r="AO820" i="4"/>
  <c r="AL820" i="4"/>
  <c r="Q820" i="4"/>
  <c r="AL819" i="4"/>
  <c r="Q819" i="4"/>
  <c r="AG819" i="4" s="1"/>
  <c r="AL818" i="4"/>
  <c r="Q818" i="4"/>
  <c r="AL817" i="4"/>
  <c r="Q817" i="4"/>
  <c r="AO816" i="4"/>
  <c r="AL816" i="4"/>
  <c r="Q816" i="4"/>
  <c r="AO815" i="4"/>
  <c r="AL815" i="4"/>
  <c r="Q815" i="4"/>
  <c r="AO814" i="4"/>
  <c r="AL814" i="4"/>
  <c r="Q814" i="4"/>
  <c r="AO813" i="4"/>
  <c r="AL813" i="4"/>
  <c r="Q813" i="4"/>
  <c r="AO812" i="4"/>
  <c r="AL812" i="4"/>
  <c r="Q812" i="4"/>
  <c r="AO811" i="4"/>
  <c r="AL811" i="4"/>
  <c r="Q811" i="4"/>
  <c r="AO810" i="4"/>
  <c r="AL810" i="4"/>
  <c r="Q810" i="4"/>
  <c r="AO809" i="4"/>
  <c r="AL809" i="4"/>
  <c r="Q809" i="4"/>
  <c r="AO808" i="4"/>
  <c r="AL808" i="4"/>
  <c r="Q808" i="4"/>
  <c r="AO807" i="4"/>
  <c r="AL807" i="4"/>
  <c r="Q807" i="4"/>
  <c r="AL806" i="4"/>
  <c r="Q806" i="4"/>
  <c r="AL805" i="4"/>
  <c r="Q805" i="4"/>
  <c r="AO804" i="4"/>
  <c r="AL804" i="4"/>
  <c r="Q804" i="4"/>
  <c r="AO803" i="4"/>
  <c r="AL803" i="4"/>
  <c r="Q803" i="4"/>
  <c r="AG803" i="4" s="1"/>
  <c r="AO802" i="4"/>
  <c r="AL802" i="4"/>
  <c r="Q802" i="4"/>
  <c r="AO801" i="4"/>
  <c r="AL801" i="4"/>
  <c r="Q801" i="4"/>
  <c r="AO800" i="4"/>
  <c r="AL800" i="4"/>
  <c r="Q800" i="4"/>
  <c r="AO799" i="4"/>
  <c r="AL799" i="4"/>
  <c r="Q799" i="4"/>
  <c r="AO798" i="4"/>
  <c r="AL798" i="4"/>
  <c r="Q798" i="4"/>
  <c r="AG798" i="4" s="1"/>
  <c r="AO797" i="4"/>
  <c r="AL797" i="4"/>
  <c r="Q797" i="4"/>
  <c r="AO796" i="4"/>
  <c r="AL796" i="4"/>
  <c r="Q796" i="4"/>
  <c r="AO795" i="4"/>
  <c r="AL795" i="4"/>
  <c r="Q795" i="4"/>
  <c r="AA795" i="4" s="1"/>
  <c r="AD795" i="4" s="1"/>
  <c r="AO794" i="4"/>
  <c r="AL794" i="4"/>
  <c r="Q794" i="4"/>
  <c r="AO793" i="4"/>
  <c r="AL793" i="4"/>
  <c r="Q793" i="4"/>
  <c r="AO792" i="4"/>
  <c r="AL792" i="4"/>
  <c r="Q792" i="4"/>
  <c r="AO791" i="4"/>
  <c r="AL791" i="4"/>
  <c r="Q791" i="4"/>
  <c r="AO788" i="4"/>
  <c r="AL788" i="4"/>
  <c r="Q788" i="4"/>
  <c r="AO786" i="4"/>
  <c r="AL786" i="4"/>
  <c r="Q786" i="4"/>
  <c r="AO785" i="4"/>
  <c r="AL785" i="4"/>
  <c r="Q785" i="4"/>
  <c r="AO784" i="4"/>
  <c r="AL784" i="4"/>
  <c r="Q784" i="4"/>
  <c r="AO783" i="4"/>
  <c r="AL783" i="4"/>
  <c r="Q783" i="4"/>
  <c r="AA783" i="4" s="1"/>
  <c r="AD783" i="4" s="1"/>
  <c r="AO782" i="4"/>
  <c r="AL782" i="4"/>
  <c r="Q782" i="4"/>
  <c r="AO781" i="4"/>
  <c r="AL781" i="4"/>
  <c r="Q781" i="4"/>
  <c r="AO780" i="4"/>
  <c r="AL780" i="4"/>
  <c r="Q780" i="4"/>
  <c r="AO779" i="4"/>
  <c r="AL779" i="4"/>
  <c r="Q779" i="4"/>
  <c r="AO778" i="4"/>
  <c r="AL778" i="4"/>
  <c r="Q778" i="4"/>
  <c r="AO777" i="4"/>
  <c r="AL777" i="4"/>
  <c r="Q777" i="4"/>
  <c r="AO776" i="4"/>
  <c r="AL776" i="4"/>
  <c r="Q776" i="4"/>
  <c r="AO775" i="4"/>
  <c r="AL775" i="4"/>
  <c r="Q775" i="4"/>
  <c r="AO774" i="4"/>
  <c r="AL774" i="4"/>
  <c r="Q774" i="4"/>
  <c r="AO773" i="4"/>
  <c r="AL773" i="4"/>
  <c r="Q773" i="4"/>
  <c r="AO772" i="4"/>
  <c r="AL772" i="4"/>
  <c r="Q772" i="4"/>
  <c r="AO771" i="4"/>
  <c r="AL771" i="4"/>
  <c r="Q771" i="4"/>
  <c r="AO770" i="4"/>
  <c r="AL770" i="4"/>
  <c r="Q770" i="4"/>
  <c r="AO769" i="4"/>
  <c r="AL769" i="4"/>
  <c r="Q769" i="4"/>
  <c r="AO768" i="4"/>
  <c r="AL768" i="4"/>
  <c r="Q768" i="4"/>
  <c r="AO767" i="4"/>
  <c r="AL767" i="4"/>
  <c r="Q767" i="4"/>
  <c r="AO766" i="4"/>
  <c r="AL766" i="4"/>
  <c r="Q766" i="4"/>
  <c r="AO765" i="4"/>
  <c r="AL765" i="4"/>
  <c r="Q765" i="4"/>
  <c r="AO764" i="4"/>
  <c r="AL764" i="4"/>
  <c r="Q764" i="4"/>
  <c r="AO763" i="4"/>
  <c r="AL763" i="4"/>
  <c r="Q763" i="4"/>
  <c r="AO762" i="4"/>
  <c r="AL762" i="4"/>
  <c r="Q762" i="4"/>
  <c r="AO761" i="4"/>
  <c r="AL761" i="4"/>
  <c r="Q761" i="4"/>
  <c r="AO760" i="4"/>
  <c r="AL760" i="4"/>
  <c r="Q760" i="4"/>
  <c r="AO759" i="4"/>
  <c r="AL759" i="4"/>
  <c r="Q759" i="4"/>
  <c r="AO758" i="4"/>
  <c r="AL758" i="4"/>
  <c r="Q758" i="4"/>
  <c r="AO757" i="4"/>
  <c r="AL757" i="4"/>
  <c r="Q757" i="4"/>
  <c r="AO756" i="4"/>
  <c r="AL756" i="4"/>
  <c r="Q756" i="4"/>
  <c r="AO755" i="4"/>
  <c r="AL755" i="4"/>
  <c r="Q755" i="4"/>
  <c r="AO754" i="4"/>
  <c r="AL754" i="4"/>
  <c r="Q754" i="4"/>
  <c r="AO753" i="4"/>
  <c r="AL753" i="4"/>
  <c r="Q753" i="4"/>
  <c r="AO752" i="4"/>
  <c r="AL752" i="4"/>
  <c r="Q752" i="4"/>
  <c r="AO751" i="4"/>
  <c r="AL751" i="4"/>
  <c r="Q751" i="4"/>
  <c r="AO750" i="4"/>
  <c r="AL750" i="4"/>
  <c r="Q750" i="4"/>
  <c r="AO749" i="4"/>
  <c r="AL749" i="4"/>
  <c r="Q749" i="4"/>
  <c r="AO748" i="4"/>
  <c r="AL748" i="4"/>
  <c r="Q748" i="4"/>
  <c r="AO747" i="4"/>
  <c r="AL747" i="4"/>
  <c r="Q747" i="4"/>
  <c r="AO746" i="4"/>
  <c r="AL746" i="4"/>
  <c r="Q746" i="4"/>
  <c r="AO745" i="4"/>
  <c r="AL745" i="4"/>
  <c r="Q745" i="4"/>
  <c r="AO744" i="4"/>
  <c r="AL744" i="4"/>
  <c r="Q744" i="4"/>
  <c r="AO743" i="4"/>
  <c r="AL743" i="4"/>
  <c r="Q743" i="4"/>
  <c r="AO742" i="4"/>
  <c r="AL742" i="4"/>
  <c r="Q742" i="4"/>
  <c r="AO741" i="4"/>
  <c r="AL741" i="4"/>
  <c r="Q741" i="4"/>
  <c r="AO740" i="4"/>
  <c r="AL740" i="4"/>
  <c r="Q740" i="4"/>
  <c r="AO739" i="4"/>
  <c r="AL739" i="4"/>
  <c r="Q739" i="4"/>
  <c r="AO738" i="4"/>
  <c r="AL738" i="4"/>
  <c r="Q738" i="4"/>
  <c r="AG738" i="4" s="1"/>
  <c r="AO737" i="4"/>
  <c r="AL737" i="4"/>
  <c r="Q737" i="4"/>
  <c r="AO736" i="4"/>
  <c r="AL736" i="4"/>
  <c r="Q736" i="4"/>
  <c r="AO735" i="4"/>
  <c r="AL735" i="4"/>
  <c r="Q735" i="4"/>
  <c r="AO734" i="4"/>
  <c r="AL734" i="4"/>
  <c r="Q734" i="4"/>
  <c r="AO733" i="4"/>
  <c r="AL733" i="4"/>
  <c r="Q733" i="4"/>
  <c r="AO732" i="4"/>
  <c r="AL732" i="4"/>
  <c r="Q732" i="4"/>
  <c r="AO731" i="4"/>
  <c r="AL731" i="4"/>
  <c r="Q731" i="4"/>
  <c r="AO730" i="4"/>
  <c r="AL730" i="4"/>
  <c r="Q730" i="4"/>
  <c r="AO729" i="4"/>
  <c r="AL729" i="4"/>
  <c r="Q729" i="4"/>
  <c r="AO728" i="4"/>
  <c r="AL728" i="4"/>
  <c r="Q728" i="4"/>
  <c r="AO727" i="4"/>
  <c r="AL727" i="4"/>
  <c r="Q727" i="4"/>
  <c r="AO726" i="4"/>
  <c r="AL726" i="4"/>
  <c r="Q726" i="4"/>
  <c r="AO725" i="4"/>
  <c r="AL725" i="4"/>
  <c r="Q725" i="4"/>
  <c r="AO724" i="4"/>
  <c r="AL724" i="4"/>
  <c r="Q724" i="4"/>
  <c r="AO723" i="4"/>
  <c r="AL723" i="4"/>
  <c r="Q723" i="4"/>
  <c r="AO722" i="4"/>
  <c r="AL722" i="4"/>
  <c r="Q722" i="4"/>
  <c r="AO721" i="4"/>
  <c r="AL721" i="4"/>
  <c r="Q721" i="4"/>
  <c r="AO720" i="4"/>
  <c r="AL720" i="4"/>
  <c r="Q720" i="4"/>
  <c r="AO719" i="4"/>
  <c r="AL719" i="4"/>
  <c r="Q719" i="4"/>
  <c r="AO718" i="4"/>
  <c r="AL718" i="4"/>
  <c r="Q718" i="4"/>
  <c r="AL717" i="4"/>
  <c r="Q717" i="4"/>
  <c r="AG717" i="4" s="1"/>
  <c r="AL716" i="4"/>
  <c r="Q716" i="4"/>
  <c r="AO715" i="4"/>
  <c r="AL715" i="4"/>
  <c r="Q715" i="4"/>
  <c r="AO714" i="4"/>
  <c r="AL714" i="4"/>
  <c r="Q714" i="4"/>
  <c r="AO713" i="4"/>
  <c r="AJ713" i="4"/>
  <c r="AI713" i="4"/>
  <c r="Q713" i="4"/>
  <c r="AO712" i="4"/>
  <c r="AL712" i="4"/>
  <c r="Q712" i="4"/>
  <c r="AA712" i="4" s="1"/>
  <c r="AD712" i="4" s="1"/>
  <c r="AO711" i="4"/>
  <c r="AL711" i="4"/>
  <c r="Q711" i="4"/>
  <c r="AL710" i="4"/>
  <c r="Q710" i="4"/>
  <c r="AO709" i="4"/>
  <c r="AL709" i="4"/>
  <c r="Q709" i="4"/>
  <c r="AL708" i="4"/>
  <c r="Q708" i="4"/>
  <c r="AL707" i="4"/>
  <c r="Q707" i="4"/>
  <c r="AO706" i="4"/>
  <c r="AL706" i="4"/>
  <c r="Q706" i="4"/>
  <c r="AO705" i="4"/>
  <c r="AL705" i="4"/>
  <c r="Q705" i="4"/>
  <c r="AO704" i="4"/>
  <c r="AL704" i="4"/>
  <c r="Q704" i="4"/>
  <c r="AO703" i="4"/>
  <c r="AL703" i="4"/>
  <c r="Q703" i="4"/>
  <c r="AO702" i="4"/>
  <c r="AL702" i="4"/>
  <c r="Q702" i="4"/>
  <c r="AO701" i="4"/>
  <c r="AL701" i="4"/>
  <c r="Q701" i="4"/>
  <c r="AO700" i="4"/>
  <c r="AL700" i="4"/>
  <c r="Q700" i="4"/>
  <c r="AO699" i="4"/>
  <c r="AL699" i="4"/>
  <c r="Q699" i="4"/>
  <c r="AO698" i="4"/>
  <c r="AL698" i="4"/>
  <c r="Q698" i="4"/>
  <c r="AO697" i="4"/>
  <c r="AL697" i="4"/>
  <c r="Q697" i="4"/>
  <c r="AO696" i="4"/>
  <c r="AL696" i="4"/>
  <c r="Q696" i="4"/>
  <c r="AO695" i="4"/>
  <c r="AL695" i="4"/>
  <c r="Q695" i="4"/>
  <c r="AO694" i="4"/>
  <c r="AL694" i="4"/>
  <c r="Q694" i="4"/>
  <c r="AO693" i="4"/>
  <c r="AL693" i="4"/>
  <c r="Q693" i="4"/>
  <c r="AO692" i="4"/>
  <c r="AL692" i="4"/>
  <c r="Q692" i="4"/>
  <c r="AO691" i="4"/>
  <c r="AL691" i="4"/>
  <c r="Q691" i="4"/>
  <c r="AO690" i="4"/>
  <c r="AL690" i="4"/>
  <c r="Q690" i="4"/>
  <c r="AO689" i="4"/>
  <c r="AL689" i="4"/>
  <c r="Q689" i="4"/>
  <c r="AO688" i="4"/>
  <c r="AL688" i="4"/>
  <c r="Q688" i="4"/>
  <c r="AO687" i="4"/>
  <c r="AL687" i="4"/>
  <c r="Q687" i="4"/>
  <c r="AO686" i="4"/>
  <c r="AL686" i="4"/>
  <c r="Q686" i="4"/>
  <c r="AO685" i="4"/>
  <c r="AL685" i="4"/>
  <c r="Q685" i="4"/>
  <c r="AO684" i="4"/>
  <c r="AL684" i="4"/>
  <c r="Q684" i="4"/>
  <c r="AO683" i="4"/>
  <c r="AL683" i="4"/>
  <c r="Q683" i="4"/>
  <c r="AO682" i="4"/>
  <c r="AL682" i="4"/>
  <c r="Q682" i="4"/>
  <c r="AO681" i="4"/>
  <c r="AL681" i="4"/>
  <c r="Q681" i="4"/>
  <c r="AO680" i="4"/>
  <c r="AL680" i="4"/>
  <c r="Q680" i="4"/>
  <c r="AO679" i="4"/>
  <c r="AL679" i="4"/>
  <c r="Q679" i="4"/>
  <c r="AO678" i="4"/>
  <c r="AL678" i="4"/>
  <c r="Q678" i="4"/>
  <c r="AO677" i="4"/>
  <c r="AL677" i="4"/>
  <c r="Q677" i="4"/>
  <c r="AO676" i="4"/>
  <c r="AL676" i="4"/>
  <c r="Q676" i="4"/>
  <c r="AO675" i="4"/>
  <c r="AL675" i="4"/>
  <c r="Q675" i="4"/>
  <c r="AO674" i="4"/>
  <c r="AL674" i="4"/>
  <c r="Q674" i="4"/>
  <c r="AO673" i="4"/>
  <c r="AL673" i="4"/>
  <c r="Q673" i="4"/>
  <c r="AO672" i="4"/>
  <c r="AL672" i="4"/>
  <c r="Q672" i="4"/>
  <c r="AO671" i="4"/>
  <c r="AL671" i="4"/>
  <c r="Q671" i="4"/>
  <c r="AO670" i="4"/>
  <c r="AL670" i="4"/>
  <c r="Q670" i="4"/>
  <c r="AO669" i="4"/>
  <c r="AL669" i="4"/>
  <c r="Q669" i="4"/>
  <c r="AO668" i="4"/>
  <c r="AL668" i="4"/>
  <c r="Q668" i="4"/>
  <c r="AO667" i="4"/>
  <c r="AL667" i="4"/>
  <c r="Q667" i="4"/>
  <c r="AO666" i="4"/>
  <c r="AL666" i="4"/>
  <c r="Q666" i="4"/>
  <c r="AO665" i="4"/>
  <c r="AL665" i="4"/>
  <c r="Q665" i="4"/>
  <c r="AO664" i="4"/>
  <c r="AL664" i="4"/>
  <c r="Q664" i="4"/>
  <c r="AO663" i="4"/>
  <c r="AL663" i="4"/>
  <c r="Q663" i="4"/>
  <c r="AO662" i="4"/>
  <c r="AL662" i="4"/>
  <c r="Q662" i="4"/>
  <c r="AL661" i="4"/>
  <c r="Q661" i="4"/>
  <c r="AG661" i="4" s="1"/>
  <c r="AL660" i="4"/>
  <c r="Q660" i="4"/>
  <c r="AO659" i="4"/>
  <c r="AL659" i="4"/>
  <c r="Q659" i="4"/>
  <c r="AO658" i="4"/>
  <c r="AL658" i="4"/>
  <c r="Q658" i="4"/>
  <c r="AO657" i="4"/>
  <c r="AL657" i="4"/>
  <c r="Q657" i="4"/>
  <c r="AO656" i="4"/>
  <c r="AL656" i="4"/>
  <c r="Q656" i="4"/>
  <c r="AO655" i="4"/>
  <c r="AL655" i="4"/>
  <c r="Q655" i="4"/>
  <c r="AO654" i="4"/>
  <c r="AL654" i="4"/>
  <c r="Q654" i="4"/>
  <c r="AO653" i="4"/>
  <c r="AL653" i="4"/>
  <c r="Q653" i="4"/>
  <c r="AO652" i="4"/>
  <c r="AL652" i="4"/>
  <c r="Q652" i="4"/>
  <c r="AO651" i="4"/>
  <c r="AL651" i="4"/>
  <c r="Q651" i="4"/>
  <c r="AO650" i="4"/>
  <c r="AL650" i="4"/>
  <c r="Q650" i="4"/>
  <c r="AO649" i="4"/>
  <c r="AL649" i="4"/>
  <c r="Q649" i="4"/>
  <c r="AO648" i="4"/>
  <c r="AL648" i="4"/>
  <c r="Q648" i="4"/>
  <c r="AO647" i="4"/>
  <c r="AL647" i="4"/>
  <c r="Q647" i="4"/>
  <c r="AO646" i="4"/>
  <c r="AL646" i="4"/>
  <c r="Q646" i="4"/>
  <c r="AO645" i="4"/>
  <c r="AL645" i="4"/>
  <c r="Q645" i="4"/>
  <c r="AO644" i="4"/>
  <c r="AL644" i="4"/>
  <c r="Q644" i="4"/>
  <c r="AO643" i="4"/>
  <c r="AL643" i="4"/>
  <c r="Q643" i="4"/>
  <c r="AO642" i="4"/>
  <c r="AL642" i="4"/>
  <c r="Q642" i="4"/>
  <c r="AO641" i="4"/>
  <c r="AL641" i="4"/>
  <c r="Q641" i="4"/>
  <c r="AO640" i="4"/>
  <c r="AL640" i="4"/>
  <c r="Q640" i="4"/>
  <c r="AO639" i="4"/>
  <c r="AL639" i="4"/>
  <c r="Q639" i="4"/>
  <c r="AO638" i="4"/>
  <c r="AL638" i="4"/>
  <c r="Q638" i="4"/>
  <c r="AC638" i="4" s="1"/>
  <c r="AO637" i="4"/>
  <c r="AL637" i="4"/>
  <c r="Q637" i="4"/>
  <c r="AO636" i="4"/>
  <c r="AL636" i="4"/>
  <c r="Q636" i="4"/>
  <c r="AO635" i="4"/>
  <c r="AL635" i="4"/>
  <c r="Q635" i="4"/>
  <c r="AO634" i="4"/>
  <c r="AL634" i="4"/>
  <c r="Q634" i="4"/>
  <c r="AO633" i="4"/>
  <c r="AL633" i="4"/>
  <c r="Q633" i="4"/>
  <c r="AO632" i="4"/>
  <c r="AL632" i="4"/>
  <c r="Q632" i="4"/>
  <c r="AO631" i="4"/>
  <c r="AL631" i="4"/>
  <c r="Q631" i="4"/>
  <c r="AO630" i="4"/>
  <c r="AL630" i="4"/>
  <c r="Q630" i="4"/>
  <c r="AO629" i="4"/>
  <c r="AL629" i="4"/>
  <c r="Q629" i="4"/>
  <c r="AO628" i="4"/>
  <c r="AL628" i="4"/>
  <c r="Q628" i="4"/>
  <c r="AO627" i="4"/>
  <c r="AL627" i="4"/>
  <c r="Q627" i="4"/>
  <c r="AO626" i="4"/>
  <c r="AL626" i="4"/>
  <c r="Q626" i="4"/>
  <c r="AO625" i="4"/>
  <c r="AL625" i="4"/>
  <c r="Q625" i="4"/>
  <c r="AL624" i="4"/>
  <c r="Q624" i="4"/>
  <c r="AA624" i="4" s="1"/>
  <c r="AD624" i="4" s="1"/>
  <c r="AL623" i="4"/>
  <c r="Q623" i="4"/>
  <c r="AO622" i="4"/>
  <c r="AL622" i="4"/>
  <c r="Q622" i="4"/>
  <c r="AC622" i="4" s="1"/>
  <c r="AO621" i="4"/>
  <c r="AL621" i="4"/>
  <c r="Q621" i="4"/>
  <c r="AO620" i="4"/>
  <c r="AL620" i="4"/>
  <c r="Q620" i="4"/>
  <c r="AO619" i="4"/>
  <c r="AL619" i="4"/>
  <c r="Q619" i="4"/>
  <c r="AO618" i="4"/>
  <c r="AK618" i="4"/>
  <c r="AK1616" i="4" s="1"/>
  <c r="AJ618" i="4"/>
  <c r="AI618" i="4"/>
  <c r="Q618" i="4"/>
  <c r="AO617" i="4"/>
  <c r="AL617" i="4"/>
  <c r="Q617" i="4"/>
  <c r="AC617" i="4" s="1"/>
  <c r="AO616" i="4"/>
  <c r="AL616" i="4"/>
  <c r="Q616" i="4"/>
  <c r="AL615" i="4"/>
  <c r="Q615" i="4"/>
  <c r="AO614" i="4"/>
  <c r="AL614" i="4"/>
  <c r="Q614" i="4"/>
  <c r="AO613" i="4"/>
  <c r="AL613" i="4"/>
  <c r="Q613" i="4"/>
  <c r="AO612" i="4"/>
  <c r="AL612" i="4"/>
  <c r="Q612" i="4"/>
  <c r="AO611" i="4"/>
  <c r="AL611" i="4"/>
  <c r="Q611" i="4"/>
  <c r="AO610" i="4"/>
  <c r="AL610" i="4"/>
  <c r="Q610" i="4"/>
  <c r="AO609" i="4"/>
  <c r="AL609" i="4"/>
  <c r="Q609" i="4"/>
  <c r="AO608" i="4"/>
  <c r="AJ608" i="4"/>
  <c r="AI608" i="4"/>
  <c r="Q608" i="4"/>
  <c r="AO607" i="4"/>
  <c r="AL607" i="4"/>
  <c r="Q607" i="4"/>
  <c r="AO606" i="4"/>
  <c r="AL606" i="4"/>
  <c r="Q606" i="4"/>
  <c r="AO605" i="4"/>
  <c r="AL605" i="4"/>
  <c r="Q605" i="4"/>
  <c r="AO604" i="4"/>
  <c r="AL604" i="4"/>
  <c r="Q604" i="4"/>
  <c r="AO603" i="4"/>
  <c r="AL603" i="4"/>
  <c r="Q603" i="4"/>
  <c r="AO602" i="4"/>
  <c r="AL602" i="4"/>
  <c r="Q602" i="4"/>
  <c r="AO601" i="4"/>
  <c r="AL601" i="4"/>
  <c r="Q601" i="4"/>
  <c r="AO600" i="4"/>
  <c r="AL600" i="4"/>
  <c r="Q600" i="4"/>
  <c r="AO599" i="4"/>
  <c r="AL599" i="4"/>
  <c r="Q599" i="4"/>
  <c r="AO598" i="4"/>
  <c r="AL598" i="4"/>
  <c r="Q598" i="4"/>
  <c r="AO597" i="4"/>
  <c r="AL597" i="4"/>
  <c r="Q597" i="4"/>
  <c r="AO596" i="4"/>
  <c r="AL596" i="4"/>
  <c r="Q596" i="4"/>
  <c r="AO595" i="4"/>
  <c r="AL595" i="4"/>
  <c r="Q595" i="4"/>
  <c r="AO594" i="4"/>
  <c r="AL594" i="4"/>
  <c r="Q594" i="4"/>
  <c r="AO593" i="4"/>
  <c r="AL593" i="4"/>
  <c r="Q593" i="4"/>
  <c r="AO592" i="4"/>
  <c r="AL592" i="4"/>
  <c r="Q592" i="4"/>
  <c r="AO591" i="4"/>
  <c r="AL591" i="4"/>
  <c r="Q591" i="4"/>
  <c r="AO590" i="4"/>
  <c r="AL590" i="4"/>
  <c r="Q590" i="4"/>
  <c r="AO589" i="4"/>
  <c r="AL589" i="4"/>
  <c r="Q589" i="4"/>
  <c r="AO588" i="4"/>
  <c r="AL588" i="4"/>
  <c r="Q588" i="4"/>
  <c r="AO587" i="4"/>
  <c r="AL587" i="4"/>
  <c r="Q587" i="4"/>
  <c r="AO586" i="4"/>
  <c r="AL586" i="4"/>
  <c r="Q586" i="4"/>
  <c r="AO585" i="4"/>
  <c r="AL585" i="4"/>
  <c r="Q585" i="4"/>
  <c r="AO584" i="4"/>
  <c r="AL584" i="4"/>
  <c r="Q584" i="4"/>
  <c r="AO583" i="4"/>
  <c r="AL583" i="4"/>
  <c r="Q583" i="4"/>
  <c r="AO582" i="4"/>
  <c r="AL582" i="4"/>
  <c r="Q582" i="4"/>
  <c r="AO581" i="4"/>
  <c r="AL581" i="4"/>
  <c r="Q581" i="4"/>
  <c r="AO580" i="4"/>
  <c r="AL580" i="4"/>
  <c r="Q580" i="4"/>
  <c r="AO579" i="4"/>
  <c r="AL579" i="4"/>
  <c r="Q579" i="4"/>
  <c r="AO578" i="4"/>
  <c r="AL578" i="4"/>
  <c r="Q578" i="4"/>
  <c r="AO577" i="4"/>
  <c r="AL577" i="4"/>
  <c r="Q577" i="4"/>
  <c r="AO576" i="4"/>
  <c r="AL576" i="4"/>
  <c r="Q576" i="4"/>
  <c r="AO575" i="4"/>
  <c r="AI575" i="4"/>
  <c r="AL575" i="4" s="1"/>
  <c r="Q575" i="4"/>
  <c r="AO574" i="4"/>
  <c r="AI574" i="4"/>
  <c r="AL574" i="4" s="1"/>
  <c r="Q574" i="4"/>
  <c r="AO573" i="4"/>
  <c r="AL573" i="4"/>
  <c r="Q573" i="4"/>
  <c r="AA573" i="4" s="1"/>
  <c r="AD573" i="4" s="1"/>
  <c r="AO572" i="4"/>
  <c r="AL572" i="4"/>
  <c r="Q572" i="4"/>
  <c r="AO571" i="4"/>
  <c r="AL571" i="4"/>
  <c r="Q571" i="4"/>
  <c r="AO570" i="4"/>
  <c r="AL570" i="4"/>
  <c r="Q570" i="4"/>
  <c r="AO569" i="4"/>
  <c r="AL569" i="4"/>
  <c r="Q569" i="4"/>
  <c r="AO568" i="4"/>
  <c r="AL568" i="4"/>
  <c r="Q568" i="4"/>
  <c r="AO567" i="4"/>
  <c r="AL567" i="4"/>
  <c r="Q567" i="4"/>
  <c r="AO566" i="4"/>
  <c r="AL566" i="4"/>
  <c r="Q566" i="4"/>
  <c r="AO565" i="4"/>
  <c r="AL565" i="4"/>
  <c r="Q565" i="4"/>
  <c r="AO564" i="4"/>
  <c r="AL564" i="4"/>
  <c r="Q564" i="4"/>
  <c r="AO563" i="4"/>
  <c r="AL563" i="4"/>
  <c r="Q563" i="4"/>
  <c r="AO562" i="4"/>
  <c r="AL562" i="4"/>
  <c r="Q562" i="4"/>
  <c r="AO561" i="4"/>
  <c r="AL561" i="4"/>
  <c r="Q561" i="4"/>
  <c r="AO560" i="4"/>
  <c r="AL560" i="4"/>
  <c r="Q560" i="4"/>
  <c r="AO559" i="4"/>
  <c r="AL559" i="4"/>
  <c r="Q559" i="4"/>
  <c r="AO558" i="4"/>
  <c r="AL558" i="4"/>
  <c r="Q558" i="4"/>
  <c r="AO557" i="4"/>
  <c r="AL557" i="4"/>
  <c r="Q557" i="4"/>
  <c r="AO556" i="4"/>
  <c r="AL556" i="4"/>
  <c r="Q556" i="4"/>
  <c r="AO555" i="4"/>
  <c r="AL555" i="4"/>
  <c r="Q555" i="4"/>
  <c r="AO554" i="4"/>
  <c r="AL554" i="4"/>
  <c r="Q554" i="4"/>
  <c r="AO553" i="4"/>
  <c r="AL553" i="4"/>
  <c r="Q553" i="4"/>
  <c r="AO552" i="4"/>
  <c r="AL552" i="4"/>
  <c r="Q552" i="4"/>
  <c r="AA552" i="4" s="1"/>
  <c r="AD552" i="4" s="1"/>
  <c r="AO551" i="4"/>
  <c r="AL551" i="4"/>
  <c r="Q551" i="4"/>
  <c r="AO550" i="4"/>
  <c r="AL550" i="4"/>
  <c r="Q550" i="4"/>
  <c r="AO549" i="4"/>
  <c r="AL549" i="4"/>
  <c r="Q549" i="4"/>
  <c r="AO548" i="4"/>
  <c r="AL548" i="4"/>
  <c r="Q548" i="4"/>
  <c r="AO547" i="4"/>
  <c r="AL547" i="4"/>
  <c r="Q547" i="4"/>
  <c r="AO546" i="4"/>
  <c r="AL546" i="4"/>
  <c r="Q546" i="4"/>
  <c r="AO545" i="4"/>
  <c r="AL545" i="4"/>
  <c r="Q545" i="4"/>
  <c r="AO544" i="4"/>
  <c r="AL544" i="4"/>
  <c r="Q544" i="4"/>
  <c r="AO543" i="4"/>
  <c r="AL543" i="4"/>
  <c r="Q543" i="4"/>
  <c r="AO542" i="4"/>
  <c r="AL542" i="4"/>
  <c r="Q542" i="4"/>
  <c r="AO541" i="4"/>
  <c r="AL541" i="4"/>
  <c r="Q541" i="4"/>
  <c r="AA541" i="4" s="1"/>
  <c r="AD541" i="4" s="1"/>
  <c r="AO540" i="4"/>
  <c r="AL540" i="4"/>
  <c r="Q540" i="4"/>
  <c r="AO539" i="4"/>
  <c r="AL539" i="4"/>
  <c r="Q539" i="4"/>
  <c r="AO538" i="4"/>
  <c r="AL538" i="4"/>
  <c r="Q538" i="4"/>
  <c r="AO537" i="4"/>
  <c r="AL537" i="4"/>
  <c r="Q537" i="4"/>
  <c r="AO536" i="4"/>
  <c r="AL536" i="4"/>
  <c r="Q536" i="4"/>
  <c r="AO535" i="4"/>
  <c r="AL535" i="4"/>
  <c r="Q535" i="4"/>
  <c r="AO534" i="4"/>
  <c r="AL534" i="4"/>
  <c r="Q534" i="4"/>
  <c r="AA534" i="4" s="1"/>
  <c r="AD534" i="4" s="1"/>
  <c r="AO533" i="4"/>
  <c r="AL533" i="4"/>
  <c r="Q533" i="4"/>
  <c r="AO532" i="4"/>
  <c r="AL532" i="4"/>
  <c r="Q532" i="4"/>
  <c r="AO531" i="4"/>
  <c r="AL531" i="4"/>
  <c r="Q531" i="4"/>
  <c r="AO530" i="4"/>
  <c r="AL530" i="4"/>
  <c r="Q530" i="4"/>
  <c r="AO529" i="4"/>
  <c r="AL529" i="4"/>
  <c r="Q529" i="4"/>
  <c r="AO528" i="4"/>
  <c r="AL528" i="4"/>
  <c r="Q528" i="4"/>
  <c r="AO527" i="4"/>
  <c r="AL527" i="4"/>
  <c r="Q527" i="4"/>
  <c r="AO526" i="4"/>
  <c r="AL526" i="4"/>
  <c r="Q526" i="4"/>
  <c r="AO525" i="4"/>
  <c r="AL525" i="4"/>
  <c r="Q525" i="4"/>
  <c r="AO524" i="4"/>
  <c r="AL524" i="4"/>
  <c r="Q524" i="4"/>
  <c r="AO523" i="4"/>
  <c r="AL523" i="4"/>
  <c r="Q523" i="4"/>
  <c r="AA523" i="4" s="1"/>
  <c r="AD523" i="4" s="1"/>
  <c r="AO522" i="4"/>
  <c r="AL522" i="4"/>
  <c r="Q522" i="4"/>
  <c r="AO521" i="4"/>
  <c r="AL521" i="4"/>
  <c r="Q521" i="4"/>
  <c r="AO520" i="4"/>
  <c r="AL520" i="4"/>
  <c r="Q520" i="4"/>
  <c r="AA520" i="4" s="1"/>
  <c r="AD520" i="4" s="1"/>
  <c r="AO519" i="4"/>
  <c r="AL519" i="4"/>
  <c r="Q519" i="4"/>
  <c r="AO518" i="4"/>
  <c r="AL518" i="4"/>
  <c r="Q518" i="4"/>
  <c r="AA518" i="4" s="1"/>
  <c r="AD518" i="4" s="1"/>
  <c r="AO517" i="4"/>
  <c r="AL517" i="4"/>
  <c r="Q517" i="4"/>
  <c r="AO516" i="4"/>
  <c r="AL516" i="4"/>
  <c r="Q516" i="4"/>
  <c r="AO515" i="4"/>
  <c r="AL515" i="4"/>
  <c r="Q515" i="4"/>
  <c r="AO514" i="4"/>
  <c r="AL514" i="4"/>
  <c r="Q514" i="4"/>
  <c r="AO513" i="4"/>
  <c r="AL513" i="4"/>
  <c r="Q513" i="4"/>
  <c r="AO512" i="4"/>
  <c r="AL512" i="4"/>
  <c r="Q512" i="4"/>
  <c r="AO511" i="4"/>
  <c r="AL511" i="4"/>
  <c r="Q511" i="4"/>
  <c r="AO510" i="4"/>
  <c r="AI510" i="4"/>
  <c r="AL510" i="4" s="1"/>
  <c r="Q510" i="4"/>
  <c r="AO509" i="4"/>
  <c r="AL509" i="4"/>
  <c r="Q509" i="4"/>
  <c r="AO508" i="4"/>
  <c r="AL508" i="4"/>
  <c r="Q508" i="4"/>
  <c r="AO507" i="4"/>
  <c r="AL507" i="4"/>
  <c r="Q507" i="4"/>
  <c r="AO506" i="4"/>
  <c r="AL506" i="4"/>
  <c r="Q506" i="4"/>
  <c r="AO505" i="4"/>
  <c r="AL505" i="4"/>
  <c r="Q505" i="4"/>
  <c r="AO504" i="4"/>
  <c r="AL504" i="4"/>
  <c r="Q504" i="4"/>
  <c r="AO503" i="4"/>
  <c r="AL503" i="4"/>
  <c r="Q503" i="4"/>
  <c r="AO502" i="4"/>
  <c r="AL502" i="4"/>
  <c r="Q502" i="4"/>
  <c r="AO501" i="4"/>
  <c r="AL501" i="4"/>
  <c r="Q501" i="4"/>
  <c r="AO500" i="4"/>
  <c r="AL500" i="4"/>
  <c r="Q500" i="4"/>
  <c r="AO499" i="4"/>
  <c r="AL499" i="4"/>
  <c r="Q499" i="4"/>
  <c r="AO498" i="4"/>
  <c r="AL498" i="4"/>
  <c r="Q498" i="4"/>
  <c r="AO497" i="4"/>
  <c r="AL497" i="4"/>
  <c r="Q497" i="4"/>
  <c r="AO496" i="4"/>
  <c r="AL496" i="4"/>
  <c r="Q496" i="4"/>
  <c r="AC496" i="4" s="1"/>
  <c r="AO495" i="4"/>
  <c r="AL495" i="4"/>
  <c r="Q495" i="4"/>
  <c r="AO494" i="4"/>
  <c r="AL494" i="4"/>
  <c r="Q494" i="4"/>
  <c r="AO493" i="4"/>
  <c r="AL493" i="4"/>
  <c r="Q493" i="4"/>
  <c r="AO492" i="4"/>
  <c r="AL492" i="4"/>
  <c r="Q492" i="4"/>
  <c r="AO491" i="4"/>
  <c r="AL491" i="4"/>
  <c r="Q491" i="4"/>
  <c r="AO490" i="4"/>
  <c r="AL490" i="4"/>
  <c r="Q490" i="4"/>
  <c r="AO489" i="4"/>
  <c r="AL489" i="4"/>
  <c r="Q489" i="4"/>
  <c r="AO488" i="4"/>
  <c r="AL488" i="4"/>
  <c r="Q488" i="4"/>
  <c r="AO487" i="4"/>
  <c r="AL487" i="4"/>
  <c r="Q487" i="4"/>
  <c r="AO486" i="4"/>
  <c r="AL486" i="4"/>
  <c r="Q486" i="4"/>
  <c r="AO485" i="4"/>
  <c r="AL485" i="4"/>
  <c r="Q485" i="4"/>
  <c r="AO484" i="4"/>
  <c r="AL484" i="4"/>
  <c r="Q484" i="4"/>
  <c r="AO483" i="4"/>
  <c r="AL483" i="4"/>
  <c r="Q483" i="4"/>
  <c r="AO482" i="4"/>
  <c r="AL482" i="4"/>
  <c r="Q482" i="4"/>
  <c r="AO481" i="4"/>
  <c r="AL481" i="4"/>
  <c r="Q481" i="4"/>
  <c r="AO480" i="4"/>
  <c r="AL480" i="4"/>
  <c r="Q480" i="4"/>
  <c r="AO479" i="4"/>
  <c r="AL479" i="4"/>
  <c r="Q479" i="4"/>
  <c r="AO478" i="4"/>
  <c r="AL478" i="4"/>
  <c r="Q478" i="4"/>
  <c r="AO477" i="4"/>
  <c r="AL477" i="4"/>
  <c r="Q477" i="4"/>
  <c r="AO476" i="4"/>
  <c r="AL476" i="4"/>
  <c r="Q476" i="4"/>
  <c r="AO475" i="4"/>
  <c r="AL475" i="4"/>
  <c r="Q475" i="4"/>
  <c r="AO474" i="4"/>
  <c r="AJ474" i="4"/>
  <c r="AL474" i="4" s="1"/>
  <c r="Q474" i="4"/>
  <c r="AO473" i="4"/>
  <c r="AL473" i="4"/>
  <c r="Q473" i="4"/>
  <c r="AO472" i="4"/>
  <c r="AL472" i="4"/>
  <c r="Q472" i="4"/>
  <c r="AO471" i="4"/>
  <c r="AL471" i="4"/>
  <c r="Q471" i="4"/>
  <c r="AO470" i="4"/>
  <c r="AL470" i="4"/>
  <c r="Q470" i="4"/>
  <c r="AO469" i="4"/>
  <c r="AL469" i="4"/>
  <c r="Q469" i="4"/>
  <c r="AO468" i="4"/>
  <c r="AL468" i="4"/>
  <c r="Q468" i="4"/>
  <c r="AO467" i="4"/>
  <c r="AL467" i="4"/>
  <c r="Q467" i="4"/>
  <c r="AO466" i="4"/>
  <c r="AL466" i="4"/>
  <c r="Q466" i="4"/>
  <c r="AO465" i="4"/>
  <c r="AL465" i="4"/>
  <c r="Q465" i="4"/>
  <c r="AG465" i="4" s="1"/>
  <c r="AO464" i="4"/>
  <c r="AL464" i="4"/>
  <c r="Q464" i="4"/>
  <c r="AO463" i="4"/>
  <c r="AL463" i="4"/>
  <c r="Q463" i="4"/>
  <c r="AC463" i="4" s="1"/>
  <c r="AO462" i="4"/>
  <c r="AL462" i="4"/>
  <c r="Q462" i="4"/>
  <c r="AO461" i="4"/>
  <c r="AL461" i="4"/>
  <c r="Q461" i="4"/>
  <c r="AO460" i="4"/>
  <c r="AL460" i="4"/>
  <c r="Q460" i="4"/>
  <c r="AO459" i="4"/>
  <c r="AL459" i="4"/>
  <c r="Q459" i="4"/>
  <c r="AA459" i="4" s="1"/>
  <c r="AD459" i="4" s="1"/>
  <c r="AO458" i="4"/>
  <c r="AL458" i="4"/>
  <c r="Q458" i="4"/>
  <c r="AO457" i="4"/>
  <c r="AL457" i="4"/>
  <c r="Q457" i="4"/>
  <c r="AA457" i="4" s="1"/>
  <c r="AD457" i="4" s="1"/>
  <c r="AO456" i="4"/>
  <c r="AL456" i="4"/>
  <c r="Q456" i="4"/>
  <c r="AO455" i="4"/>
  <c r="AL455" i="4"/>
  <c r="Q455" i="4"/>
  <c r="AO454" i="4"/>
  <c r="AL454" i="4"/>
  <c r="Q454" i="4"/>
  <c r="AG454" i="4" s="1"/>
  <c r="AO453" i="4"/>
  <c r="AL453" i="4"/>
  <c r="Q453" i="4"/>
  <c r="AO452" i="4"/>
  <c r="AL452" i="4"/>
  <c r="Q452" i="4"/>
  <c r="AO451" i="4"/>
  <c r="AL451" i="4"/>
  <c r="Q451" i="4"/>
  <c r="AO450" i="4"/>
  <c r="AL450" i="4"/>
  <c r="Q450" i="4"/>
  <c r="AO449" i="4"/>
  <c r="AL449" i="4"/>
  <c r="Q449" i="4"/>
  <c r="AO448" i="4"/>
  <c r="AL448" i="4"/>
  <c r="Q448" i="4"/>
  <c r="AO447" i="4"/>
  <c r="AL447" i="4"/>
  <c r="Q447" i="4"/>
  <c r="AO446" i="4"/>
  <c r="AL446" i="4"/>
  <c r="Q446" i="4"/>
  <c r="AO445" i="4"/>
  <c r="AL445" i="4"/>
  <c r="Q445" i="4"/>
  <c r="AO444" i="4"/>
  <c r="AL444" i="4"/>
  <c r="Q444" i="4"/>
  <c r="AO443" i="4"/>
  <c r="AL443" i="4"/>
  <c r="Q443" i="4"/>
  <c r="AO442" i="4"/>
  <c r="AL442" i="4"/>
  <c r="Q442" i="4"/>
  <c r="AO441" i="4"/>
  <c r="AL441" i="4"/>
  <c r="Q441" i="4"/>
  <c r="AO440" i="4"/>
  <c r="AL440" i="4"/>
  <c r="Q440" i="4"/>
  <c r="AG440" i="4" s="1"/>
  <c r="AO439" i="4"/>
  <c r="AL439" i="4"/>
  <c r="Q439" i="4"/>
  <c r="AO438" i="4"/>
  <c r="AL438" i="4"/>
  <c r="Q438" i="4"/>
  <c r="AO437" i="4"/>
  <c r="AL437" i="4"/>
  <c r="Q437" i="4"/>
  <c r="AO436" i="4"/>
  <c r="AL436" i="4"/>
  <c r="Q436" i="4"/>
  <c r="AO435" i="4"/>
  <c r="AL435" i="4"/>
  <c r="Q435" i="4"/>
  <c r="AO434" i="4"/>
  <c r="AL434" i="4"/>
  <c r="Q434" i="4"/>
  <c r="AO433" i="4"/>
  <c r="AL433" i="4"/>
  <c r="Q433" i="4"/>
  <c r="AO432" i="4"/>
  <c r="AL432" i="4"/>
  <c r="Q432" i="4"/>
  <c r="AO431" i="4"/>
  <c r="AL431" i="4"/>
  <c r="Q431" i="4"/>
  <c r="AO430" i="4"/>
  <c r="AL430" i="4"/>
  <c r="Q430" i="4"/>
  <c r="AO429" i="4"/>
  <c r="AL429" i="4"/>
  <c r="Q429" i="4"/>
  <c r="AO428" i="4"/>
  <c r="AL428" i="4"/>
  <c r="Q428" i="4"/>
  <c r="AO427" i="4"/>
  <c r="AL427" i="4"/>
  <c r="Q427" i="4"/>
  <c r="AO426" i="4"/>
  <c r="AL426" i="4"/>
  <c r="Q426" i="4"/>
  <c r="AO425" i="4"/>
  <c r="AL425" i="4"/>
  <c r="Q425" i="4"/>
  <c r="AO424" i="4"/>
  <c r="AL424" i="4"/>
  <c r="Q424" i="4"/>
  <c r="AO423" i="4"/>
  <c r="AL423" i="4"/>
  <c r="Q423" i="4"/>
  <c r="AO422" i="4"/>
  <c r="AL422" i="4"/>
  <c r="Q422" i="4"/>
  <c r="AO421" i="4"/>
  <c r="AL421" i="4"/>
  <c r="Q421" i="4"/>
  <c r="AO420" i="4"/>
  <c r="AL420" i="4"/>
  <c r="Q420" i="4"/>
  <c r="AO419" i="4"/>
  <c r="AL419" i="4"/>
  <c r="Q419" i="4"/>
  <c r="AO418" i="4"/>
  <c r="AL418" i="4"/>
  <c r="Q418" i="4"/>
  <c r="AO417" i="4"/>
  <c r="AL417" i="4"/>
  <c r="Q417" i="4"/>
  <c r="AO416" i="4"/>
  <c r="AL416" i="4"/>
  <c r="Q416" i="4"/>
  <c r="AO415" i="4"/>
  <c r="AL415" i="4"/>
  <c r="Q415" i="4"/>
  <c r="AO414" i="4"/>
  <c r="AL414" i="4"/>
  <c r="Q414" i="4"/>
  <c r="AO413" i="4"/>
  <c r="AL413" i="4"/>
  <c r="Q413" i="4"/>
  <c r="AO412" i="4"/>
  <c r="AL412" i="4"/>
  <c r="Q412" i="4"/>
  <c r="AO411" i="4"/>
  <c r="AL411" i="4"/>
  <c r="Q411" i="4"/>
  <c r="AO410" i="4"/>
  <c r="AL410" i="4"/>
  <c r="Q410" i="4"/>
  <c r="AO409" i="4"/>
  <c r="AL409" i="4"/>
  <c r="Q409" i="4"/>
  <c r="AO408" i="4"/>
  <c r="AL408" i="4"/>
  <c r="Q408" i="4"/>
  <c r="AO407" i="4"/>
  <c r="AL407" i="4"/>
  <c r="Q407" i="4"/>
  <c r="AO406" i="4"/>
  <c r="AL406" i="4"/>
  <c r="Q406" i="4"/>
  <c r="AO405" i="4"/>
  <c r="AL405" i="4"/>
  <c r="Q405" i="4"/>
  <c r="AA405" i="4" s="1"/>
  <c r="AD405" i="4" s="1"/>
  <c r="AO404" i="4"/>
  <c r="AL404" i="4"/>
  <c r="Q404" i="4"/>
  <c r="AO403" i="4"/>
  <c r="AL403" i="4"/>
  <c r="Q403" i="4"/>
  <c r="AA403" i="4" s="1"/>
  <c r="AD403" i="4" s="1"/>
  <c r="AO402" i="4"/>
  <c r="AL402" i="4"/>
  <c r="Q402" i="4"/>
  <c r="AO401" i="4"/>
  <c r="AL401" i="4"/>
  <c r="Q401" i="4"/>
  <c r="AO400" i="4"/>
  <c r="AL400" i="4"/>
  <c r="Q400" i="4"/>
  <c r="AO399" i="4"/>
  <c r="AL399" i="4"/>
  <c r="Q399" i="4"/>
  <c r="AA399" i="4" s="1"/>
  <c r="AD399" i="4" s="1"/>
  <c r="AO398" i="4"/>
  <c r="AL398" i="4"/>
  <c r="Q398" i="4"/>
  <c r="AO397" i="4"/>
  <c r="AL397" i="4"/>
  <c r="Q397" i="4"/>
  <c r="AO396" i="4"/>
  <c r="AL396" i="4"/>
  <c r="Q396" i="4"/>
  <c r="AO395" i="4"/>
  <c r="AL395" i="4"/>
  <c r="Q395" i="4"/>
  <c r="AO394" i="4"/>
  <c r="AL394" i="4"/>
  <c r="Q394" i="4"/>
  <c r="AO393" i="4"/>
  <c r="AL393" i="4"/>
  <c r="Q393" i="4"/>
  <c r="AO392" i="4"/>
  <c r="AL392" i="4"/>
  <c r="Q392" i="4"/>
  <c r="AO391" i="4"/>
  <c r="AL391" i="4"/>
  <c r="Q391" i="4"/>
  <c r="AO390" i="4"/>
  <c r="AL390" i="4"/>
  <c r="Q390" i="4"/>
  <c r="AO389" i="4"/>
  <c r="AL389" i="4"/>
  <c r="Q389" i="4"/>
  <c r="AG389" i="4" s="1"/>
  <c r="AO388" i="4"/>
  <c r="AL388" i="4"/>
  <c r="Q388" i="4"/>
  <c r="AO387" i="4"/>
  <c r="AL387" i="4"/>
  <c r="Q387" i="4"/>
  <c r="AO386" i="4"/>
  <c r="AL386" i="4"/>
  <c r="Q386" i="4"/>
  <c r="AO385" i="4"/>
  <c r="AL385" i="4"/>
  <c r="Q385" i="4"/>
  <c r="AO384" i="4"/>
  <c r="AL384" i="4"/>
  <c r="Q384" i="4"/>
  <c r="AO383" i="4"/>
  <c r="AL383" i="4"/>
  <c r="Q383" i="4"/>
  <c r="AO382" i="4"/>
  <c r="AL382" i="4"/>
  <c r="Q382" i="4"/>
  <c r="AO381" i="4"/>
  <c r="AL381" i="4"/>
  <c r="Q381" i="4"/>
  <c r="AO380" i="4"/>
  <c r="AL380" i="4"/>
  <c r="Q380" i="4"/>
  <c r="AO379" i="4"/>
  <c r="AL379" i="4"/>
  <c r="Q379" i="4"/>
  <c r="AO378" i="4"/>
  <c r="AL378" i="4"/>
  <c r="Q378" i="4"/>
  <c r="AO377" i="4"/>
  <c r="AL377" i="4"/>
  <c r="Q377" i="4"/>
  <c r="AO376" i="4"/>
  <c r="AL376" i="4"/>
  <c r="Q376" i="4"/>
  <c r="AO375" i="4"/>
  <c r="AL375" i="4"/>
  <c r="Q375" i="4"/>
  <c r="AO374" i="4"/>
  <c r="AL374" i="4"/>
  <c r="Q374" i="4"/>
  <c r="AO373" i="4"/>
  <c r="AL373" i="4"/>
  <c r="Q373" i="4"/>
  <c r="AO372" i="4"/>
  <c r="AL372" i="4"/>
  <c r="Q372" i="4"/>
  <c r="AC372" i="4" s="1"/>
  <c r="AO371" i="4"/>
  <c r="AL371" i="4"/>
  <c r="Q371" i="4"/>
  <c r="AO370" i="4"/>
  <c r="AL370" i="4"/>
  <c r="Q370" i="4"/>
  <c r="AO369" i="4"/>
  <c r="AL369" i="4"/>
  <c r="Q369" i="4"/>
  <c r="AO368" i="4"/>
  <c r="AL368" i="4"/>
  <c r="Q368" i="4"/>
  <c r="AO367" i="4"/>
  <c r="AL367" i="4"/>
  <c r="Q367" i="4"/>
  <c r="AO366" i="4"/>
  <c r="AL366" i="4"/>
  <c r="Q366" i="4"/>
  <c r="AO365" i="4"/>
  <c r="AL365" i="4"/>
  <c r="Q365" i="4"/>
  <c r="AO364" i="4"/>
  <c r="AL364" i="4"/>
  <c r="Q364" i="4"/>
  <c r="AO363" i="4"/>
  <c r="AL363" i="4"/>
  <c r="Q363" i="4"/>
  <c r="AO362" i="4"/>
  <c r="AL362" i="4"/>
  <c r="Q362" i="4"/>
  <c r="AO361" i="4"/>
  <c r="AL361" i="4"/>
  <c r="Q361" i="4"/>
  <c r="AO360" i="4"/>
  <c r="AL360" i="4"/>
  <c r="Q360" i="4"/>
  <c r="AO359" i="4"/>
  <c r="AL359" i="4"/>
  <c r="Q359" i="4"/>
  <c r="AO358" i="4"/>
  <c r="AL358" i="4"/>
  <c r="Q358" i="4"/>
  <c r="AO357" i="4"/>
  <c r="AL357" i="4"/>
  <c r="Q357" i="4"/>
  <c r="AO356" i="4"/>
  <c r="AL356" i="4"/>
  <c r="Q356" i="4"/>
  <c r="AO355" i="4"/>
  <c r="AL355" i="4"/>
  <c r="Q355" i="4"/>
  <c r="AO354" i="4"/>
  <c r="AL354" i="4"/>
  <c r="Q354" i="4"/>
  <c r="AO353" i="4"/>
  <c r="AL353" i="4"/>
  <c r="AG353" i="4"/>
  <c r="AC353" i="4"/>
  <c r="AA353" i="4"/>
  <c r="AD353" i="4" s="1"/>
  <c r="AO352" i="4"/>
  <c r="AL352" i="4"/>
  <c r="Q352" i="4"/>
  <c r="AO351" i="4"/>
  <c r="AL351" i="4"/>
  <c r="Q351" i="4"/>
  <c r="AO350" i="4"/>
  <c r="AL350" i="4"/>
  <c r="Q350" i="4"/>
  <c r="AO349" i="4"/>
  <c r="AL349" i="4"/>
  <c r="Q349" i="4"/>
  <c r="AO348" i="4"/>
  <c r="AL348" i="4"/>
  <c r="Q348" i="4"/>
  <c r="AO347" i="4"/>
  <c r="AL347" i="4"/>
  <c r="Q347" i="4"/>
  <c r="AO346" i="4"/>
  <c r="AL346" i="4"/>
  <c r="Q346" i="4"/>
  <c r="AO345" i="4"/>
  <c r="AL345" i="4"/>
  <c r="Q345" i="4"/>
  <c r="AO344" i="4"/>
  <c r="AL344" i="4"/>
  <c r="Q344" i="4"/>
  <c r="AO343" i="4"/>
  <c r="AL343" i="4"/>
  <c r="Q343" i="4"/>
  <c r="AO342" i="4"/>
  <c r="AL342" i="4"/>
  <c r="Q342" i="4"/>
  <c r="AO341" i="4"/>
  <c r="AL341" i="4"/>
  <c r="Q341" i="4"/>
  <c r="AO340" i="4"/>
  <c r="AL340" i="4"/>
  <c r="Q340" i="4"/>
  <c r="AO339" i="4"/>
  <c r="AL339" i="4"/>
  <c r="Q339" i="4"/>
  <c r="AO338" i="4"/>
  <c r="AL338" i="4"/>
  <c r="Q338" i="4"/>
  <c r="AO337" i="4"/>
  <c r="AL337" i="4"/>
  <c r="Q337" i="4"/>
  <c r="AO336" i="4"/>
  <c r="AL336" i="4"/>
  <c r="Q336" i="4"/>
  <c r="AO335" i="4"/>
  <c r="AL335" i="4"/>
  <c r="Q335" i="4"/>
  <c r="AO334" i="4"/>
  <c r="AL334" i="4"/>
  <c r="Q334" i="4"/>
  <c r="AO333" i="4"/>
  <c r="AL333" i="4"/>
  <c r="Q333" i="4"/>
  <c r="AO332" i="4"/>
  <c r="AL332" i="4"/>
  <c r="Q332" i="4"/>
  <c r="AO331" i="4"/>
  <c r="AL331" i="4"/>
  <c r="Q331" i="4"/>
  <c r="AO330" i="4"/>
  <c r="AL330" i="4"/>
  <c r="Q330" i="4"/>
  <c r="AO329" i="4"/>
  <c r="AL329" i="4"/>
  <c r="Q329" i="4"/>
  <c r="AO328" i="4"/>
  <c r="AL328" i="4"/>
  <c r="Q328" i="4"/>
  <c r="AO327" i="4"/>
  <c r="AL327" i="4"/>
  <c r="Q327" i="4"/>
  <c r="AO326" i="4"/>
  <c r="AL326" i="4"/>
  <c r="Q326" i="4"/>
  <c r="AO325" i="4"/>
  <c r="AL325" i="4"/>
  <c r="Q325" i="4"/>
  <c r="AO324" i="4"/>
  <c r="AL324" i="4"/>
  <c r="Q324" i="4"/>
  <c r="AO323" i="4"/>
  <c r="AL323" i="4"/>
  <c r="Q323" i="4"/>
  <c r="AO322" i="4"/>
  <c r="AL322" i="4"/>
  <c r="Q322" i="4"/>
  <c r="AO321" i="4"/>
  <c r="AL321" i="4"/>
  <c r="Q321" i="4"/>
  <c r="AO320" i="4"/>
  <c r="AL320" i="4"/>
  <c r="Q320" i="4"/>
  <c r="AO319" i="4"/>
  <c r="AL319" i="4"/>
  <c r="Q319" i="4"/>
  <c r="AO318" i="4"/>
  <c r="AL318" i="4"/>
  <c r="Q318" i="4"/>
  <c r="AO317" i="4"/>
  <c r="AL317" i="4"/>
  <c r="Q317" i="4"/>
  <c r="AO316" i="4"/>
  <c r="AL316" i="4"/>
  <c r="Q316" i="4"/>
  <c r="AO315" i="4"/>
  <c r="AL315" i="4"/>
  <c r="Q315" i="4"/>
  <c r="AO314" i="4"/>
  <c r="AL314" i="4"/>
  <c r="Q314" i="4"/>
  <c r="AO313" i="4"/>
  <c r="AL313" i="4"/>
  <c r="Q313" i="4"/>
  <c r="AO312" i="4"/>
  <c r="AL312" i="4"/>
  <c r="Q312" i="4"/>
  <c r="AO311" i="4"/>
  <c r="AL311" i="4"/>
  <c r="Q311" i="4"/>
  <c r="AO310" i="4"/>
  <c r="AL310" i="4"/>
  <c r="Q310" i="4"/>
  <c r="AO309" i="4"/>
  <c r="AL309" i="4"/>
  <c r="Q309" i="4"/>
  <c r="AL308" i="4"/>
  <c r="Q308" i="4"/>
  <c r="AL307" i="4"/>
  <c r="Q307" i="4"/>
  <c r="AO306" i="4"/>
  <c r="AL306" i="4"/>
  <c r="Q306" i="4"/>
  <c r="AO305" i="4"/>
  <c r="AL305" i="4"/>
  <c r="Q305" i="4"/>
  <c r="AO304" i="4"/>
  <c r="AL304" i="4"/>
  <c r="Q304" i="4"/>
  <c r="AO303" i="4"/>
  <c r="AL303" i="4"/>
  <c r="Q303" i="4"/>
  <c r="AO302" i="4"/>
  <c r="AL302" i="4"/>
  <c r="Q302" i="4"/>
  <c r="AO301" i="4"/>
  <c r="AL301" i="4"/>
  <c r="Q301" i="4"/>
  <c r="AC301" i="4" s="1"/>
  <c r="AO300" i="4"/>
  <c r="AL300" i="4"/>
  <c r="Q300" i="4"/>
  <c r="AL299" i="4"/>
  <c r="Q299" i="4"/>
  <c r="AO298" i="4"/>
  <c r="AL298" i="4"/>
  <c r="Q298" i="4"/>
  <c r="AO297" i="4"/>
  <c r="AL297" i="4"/>
  <c r="Q297" i="4"/>
  <c r="AO296" i="4"/>
  <c r="AL296" i="4"/>
  <c r="Q296" i="4"/>
  <c r="AO295" i="4"/>
  <c r="AL295" i="4"/>
  <c r="Q295" i="4"/>
  <c r="AO294" i="4"/>
  <c r="AL294" i="4"/>
  <c r="Q294" i="4"/>
  <c r="AO293" i="4"/>
  <c r="AL293" i="4"/>
  <c r="Q293" i="4"/>
  <c r="AO292" i="4"/>
  <c r="AL292" i="4"/>
  <c r="Q292" i="4"/>
  <c r="AO291" i="4"/>
  <c r="AL291" i="4"/>
  <c r="Q291" i="4"/>
  <c r="AO290" i="4"/>
  <c r="AL290" i="4"/>
  <c r="Q290" i="4"/>
  <c r="AO289" i="4"/>
  <c r="AL289" i="4"/>
  <c r="Q289" i="4"/>
  <c r="AO288" i="4"/>
  <c r="AL288" i="4"/>
  <c r="Q288" i="4"/>
  <c r="AO287" i="4"/>
  <c r="AL287" i="4"/>
  <c r="Q287" i="4"/>
  <c r="AO286" i="4"/>
  <c r="AL286" i="4"/>
  <c r="Q286" i="4"/>
  <c r="AL285" i="4"/>
  <c r="Q285" i="4"/>
  <c r="AA285" i="4" s="1"/>
  <c r="AD285" i="4" s="1"/>
  <c r="AL284" i="4"/>
  <c r="Q284" i="4"/>
  <c r="AO283" i="4"/>
  <c r="AL283" i="4"/>
  <c r="Q283" i="4"/>
  <c r="AG283" i="4" s="1"/>
  <c r="AO282" i="4"/>
  <c r="AL282" i="4"/>
  <c r="Q282" i="4"/>
  <c r="AL281" i="4"/>
  <c r="Q281" i="4"/>
  <c r="AL280" i="4"/>
  <c r="Q280" i="4"/>
  <c r="AO279" i="4"/>
  <c r="AI279" i="4"/>
  <c r="AL279" i="4" s="1"/>
  <c r="Q279" i="4"/>
  <c r="AO278" i="4"/>
  <c r="AL278" i="4"/>
  <c r="Q278" i="4"/>
  <c r="AO277" i="4"/>
  <c r="AL277" i="4"/>
  <c r="Q277" i="4"/>
  <c r="AG277" i="4" s="1"/>
  <c r="AO276" i="4"/>
  <c r="AL276" i="4"/>
  <c r="Q276" i="4"/>
  <c r="AO275" i="4"/>
  <c r="AI275" i="4"/>
  <c r="AL275" i="4" s="1"/>
  <c r="Q275" i="4"/>
  <c r="AA275" i="4" s="1"/>
  <c r="AD275" i="4" s="1"/>
  <c r="AO274" i="4"/>
  <c r="AL274" i="4"/>
  <c r="Q274" i="4"/>
  <c r="AL273" i="4"/>
  <c r="Q273" i="4"/>
  <c r="AL272" i="4"/>
  <c r="Q272" i="4"/>
  <c r="AA272" i="4" s="1"/>
  <c r="AD272" i="4" s="1"/>
  <c r="AL271" i="4"/>
  <c r="Q271" i="4"/>
  <c r="AL270" i="4"/>
  <c r="Q270" i="4"/>
  <c r="AL269" i="4"/>
  <c r="Q269" i="4"/>
  <c r="AO268" i="4"/>
  <c r="AL268" i="4"/>
  <c r="Q268" i="4"/>
  <c r="AO267" i="4"/>
  <c r="AL267" i="4"/>
  <c r="Q267" i="4"/>
  <c r="AO266" i="4"/>
  <c r="AL266" i="4"/>
  <c r="Q266" i="4"/>
  <c r="AO265" i="4"/>
  <c r="AL265" i="4"/>
  <c r="Q265" i="4"/>
  <c r="AO264" i="4"/>
  <c r="AL264" i="4"/>
  <c r="Q264" i="4"/>
  <c r="AO263" i="4"/>
  <c r="AL263" i="4"/>
  <c r="Q263" i="4"/>
  <c r="AO262" i="4"/>
  <c r="AL262" i="4"/>
  <c r="Q262" i="4"/>
  <c r="AO261" i="4"/>
  <c r="AL261" i="4"/>
  <c r="Q261" i="4"/>
  <c r="AO260" i="4"/>
  <c r="AL260" i="4"/>
  <c r="Q260" i="4"/>
  <c r="AO259" i="4"/>
  <c r="AL259" i="4"/>
  <c r="Q259" i="4"/>
  <c r="AO258" i="4"/>
  <c r="AL258" i="4"/>
  <c r="Q258" i="4"/>
  <c r="AO257" i="4"/>
  <c r="AL257" i="4"/>
  <c r="Q257" i="4"/>
  <c r="AO256" i="4"/>
  <c r="AL256" i="4"/>
  <c r="Q256" i="4"/>
  <c r="AO255" i="4"/>
  <c r="AL255" i="4"/>
  <c r="Q255" i="4"/>
  <c r="AO254" i="4"/>
  <c r="AL254" i="4"/>
  <c r="Q254" i="4"/>
  <c r="AO253" i="4"/>
  <c r="AL253" i="4"/>
  <c r="Q253" i="4"/>
  <c r="AO252" i="4"/>
  <c r="AL252" i="4"/>
  <c r="Q252" i="4"/>
  <c r="AO251" i="4"/>
  <c r="AL251" i="4"/>
  <c r="Q251" i="4"/>
  <c r="AO250" i="4"/>
  <c r="AL250" i="4"/>
  <c r="Q250" i="4"/>
  <c r="AO249" i="4"/>
  <c r="AL249" i="4"/>
  <c r="Q249" i="4"/>
  <c r="AO248" i="4"/>
  <c r="AL248" i="4"/>
  <c r="Q248" i="4"/>
  <c r="AO247" i="4"/>
  <c r="AL247" i="4"/>
  <c r="Q247" i="4"/>
  <c r="AO246" i="4"/>
  <c r="AL246" i="4"/>
  <c r="Q246" i="4"/>
  <c r="AO245" i="4"/>
  <c r="AL245" i="4"/>
  <c r="Q245" i="4"/>
  <c r="AO244" i="4"/>
  <c r="AL244" i="4"/>
  <c r="Q244" i="4"/>
  <c r="AO243" i="4"/>
  <c r="AL243" i="4"/>
  <c r="Q243" i="4"/>
  <c r="AA243" i="4" s="1"/>
  <c r="AD243" i="4" s="1"/>
  <c r="AO242" i="4"/>
  <c r="AL242" i="4"/>
  <c r="Q242" i="4"/>
  <c r="AO241" i="4"/>
  <c r="AL241" i="4"/>
  <c r="Q241" i="4"/>
  <c r="AG241" i="4" s="1"/>
  <c r="AO240" i="4"/>
  <c r="AL240" i="4"/>
  <c r="Q240" i="4"/>
  <c r="AO239" i="4"/>
  <c r="AL239" i="4"/>
  <c r="Q239" i="4"/>
  <c r="AO238" i="4"/>
  <c r="AL238" i="4"/>
  <c r="Q238" i="4"/>
  <c r="AC238" i="4" s="1"/>
  <c r="AO237" i="4"/>
  <c r="AL237" i="4"/>
  <c r="Q237" i="4"/>
  <c r="AO236" i="4"/>
  <c r="AL236" i="4"/>
  <c r="Q236" i="4"/>
  <c r="AO235" i="4"/>
  <c r="AL235" i="4"/>
  <c r="Q235" i="4"/>
  <c r="AA235" i="4" s="1"/>
  <c r="AD235" i="4" s="1"/>
  <c r="AO234" i="4"/>
  <c r="AL234" i="4"/>
  <c r="Q234" i="4"/>
  <c r="AC234" i="4" s="1"/>
  <c r="AO233" i="4"/>
  <c r="AL233" i="4"/>
  <c r="Q233" i="4"/>
  <c r="AO232" i="4"/>
  <c r="AL232" i="4"/>
  <c r="Q232" i="4"/>
  <c r="AO231" i="4"/>
  <c r="AL231" i="4"/>
  <c r="Q231" i="4"/>
  <c r="AO230" i="4"/>
  <c r="AL230" i="4"/>
  <c r="Q230" i="4"/>
  <c r="AO229" i="4"/>
  <c r="AL229" i="4"/>
  <c r="Q229" i="4"/>
  <c r="AO228" i="4"/>
  <c r="AL228" i="4"/>
  <c r="Q228" i="4"/>
  <c r="AO227" i="4"/>
  <c r="AL227" i="4"/>
  <c r="Q227" i="4"/>
  <c r="AO226" i="4"/>
  <c r="AL226" i="4"/>
  <c r="Q226" i="4"/>
  <c r="AO225" i="4"/>
  <c r="AL225" i="4"/>
  <c r="Q225" i="4"/>
  <c r="AO224" i="4"/>
  <c r="AL224" i="4"/>
  <c r="Q224" i="4"/>
  <c r="AO223" i="4"/>
  <c r="AL223" i="4"/>
  <c r="Q223" i="4"/>
  <c r="AA223" i="4" s="1"/>
  <c r="AD223" i="4" s="1"/>
  <c r="AO222" i="4"/>
  <c r="AL222" i="4"/>
  <c r="Q222" i="4"/>
  <c r="AO221" i="4"/>
  <c r="AL221" i="4"/>
  <c r="Q221" i="4"/>
  <c r="AO220" i="4"/>
  <c r="AL220" i="4"/>
  <c r="Q220" i="4"/>
  <c r="AO219" i="4"/>
  <c r="AL219" i="4"/>
  <c r="Q219" i="4"/>
  <c r="AA219" i="4" s="1"/>
  <c r="AD219" i="4" s="1"/>
  <c r="AO218" i="4"/>
  <c r="AL218" i="4"/>
  <c r="Q218" i="4"/>
  <c r="AC218" i="4" s="1"/>
  <c r="AO217" i="4"/>
  <c r="AL217" i="4"/>
  <c r="Q217" i="4"/>
  <c r="AG217" i="4" s="1"/>
  <c r="AO216" i="4"/>
  <c r="AL216" i="4"/>
  <c r="Q216" i="4"/>
  <c r="AO215" i="4"/>
  <c r="AL215" i="4"/>
  <c r="Q215" i="4"/>
  <c r="AO214" i="4"/>
  <c r="AJ214" i="4"/>
  <c r="Q214" i="4"/>
  <c r="AC214" i="4" s="1"/>
  <c r="AO213" i="4"/>
  <c r="AL213" i="4"/>
  <c r="Q213" i="4"/>
  <c r="AO212" i="4"/>
  <c r="AL212" i="4"/>
  <c r="Q212" i="4"/>
  <c r="AO211" i="4"/>
  <c r="AL211" i="4"/>
  <c r="Q211" i="4"/>
  <c r="AO210" i="4"/>
  <c r="AL210" i="4"/>
  <c r="Q210" i="4"/>
  <c r="AO209" i="4"/>
  <c r="AL209" i="4"/>
  <c r="Q209" i="4"/>
  <c r="AO208" i="4"/>
  <c r="AL208" i="4"/>
  <c r="Q208" i="4"/>
  <c r="AC208" i="4" s="1"/>
  <c r="AO207" i="4"/>
  <c r="AL207" i="4"/>
  <c r="Q207" i="4"/>
  <c r="AO206" i="4"/>
  <c r="AL206" i="4"/>
  <c r="Q206" i="4"/>
  <c r="AO205" i="4"/>
  <c r="AL205" i="4"/>
  <c r="Q205" i="4"/>
  <c r="AG205" i="4" s="1"/>
  <c r="AO204" i="4"/>
  <c r="AL204" i="4"/>
  <c r="Q204" i="4"/>
  <c r="AO203" i="4"/>
  <c r="AL203" i="4"/>
  <c r="Q203" i="4"/>
  <c r="AO202" i="4"/>
  <c r="AL202" i="4"/>
  <c r="Q202" i="4"/>
  <c r="AO201" i="4"/>
  <c r="AL201" i="4"/>
  <c r="Q201" i="4"/>
  <c r="AO200" i="4"/>
  <c r="AL200" i="4"/>
  <c r="Q200" i="4"/>
  <c r="AO199" i="4"/>
  <c r="AL199" i="4"/>
  <c r="Q199" i="4"/>
  <c r="AO198" i="4"/>
  <c r="AL198" i="4"/>
  <c r="Q198" i="4"/>
  <c r="AO197" i="4"/>
  <c r="AL197" i="4"/>
  <c r="Q197" i="4"/>
  <c r="AO196" i="4"/>
  <c r="AL196" i="4"/>
  <c r="Q196" i="4"/>
  <c r="AC196" i="4" s="1"/>
  <c r="AO195" i="4"/>
  <c r="AL195" i="4"/>
  <c r="Q195" i="4"/>
  <c r="AO194" i="4"/>
  <c r="AL194" i="4"/>
  <c r="Q194" i="4"/>
  <c r="AO193" i="4"/>
  <c r="AL193" i="4"/>
  <c r="Q193" i="4"/>
  <c r="AO192" i="4"/>
  <c r="AL192" i="4"/>
  <c r="Q192" i="4"/>
  <c r="AO191" i="4"/>
  <c r="AL191" i="4"/>
  <c r="Q191" i="4"/>
  <c r="AO190" i="4"/>
  <c r="AL190" i="4"/>
  <c r="Q190" i="4"/>
  <c r="AO189" i="4"/>
  <c r="AL189" i="4"/>
  <c r="Q189" i="4"/>
  <c r="AG189" i="4" s="1"/>
  <c r="AO188" i="4"/>
  <c r="AL188" i="4"/>
  <c r="Q188" i="4"/>
  <c r="AO187" i="4"/>
  <c r="AL187" i="4"/>
  <c r="Q187" i="4"/>
  <c r="AO186" i="4"/>
  <c r="AL186" i="4"/>
  <c r="Q186" i="4"/>
  <c r="AO185" i="4"/>
  <c r="AL185" i="4"/>
  <c r="Q185" i="4"/>
  <c r="AO184" i="4"/>
  <c r="AL184" i="4"/>
  <c r="Q184" i="4"/>
  <c r="AG184" i="4" s="1"/>
  <c r="AO183" i="4"/>
  <c r="AL183" i="4"/>
  <c r="Q183" i="4"/>
  <c r="AO182" i="4"/>
  <c r="AL182" i="4"/>
  <c r="Q182" i="4"/>
  <c r="AO181" i="4"/>
  <c r="AL181" i="4"/>
  <c r="Q181" i="4"/>
  <c r="AO180" i="4"/>
  <c r="AL180" i="4"/>
  <c r="Q180" i="4"/>
  <c r="AO179" i="4"/>
  <c r="AL179" i="4"/>
  <c r="Q179" i="4"/>
  <c r="AO178" i="4"/>
  <c r="AL178" i="4"/>
  <c r="Q178" i="4"/>
  <c r="AO177" i="4"/>
  <c r="AL177" i="4"/>
  <c r="Q177" i="4"/>
  <c r="AO176" i="4"/>
  <c r="AL176" i="4"/>
  <c r="Q176" i="4"/>
  <c r="AO175" i="4"/>
  <c r="AL175" i="4"/>
  <c r="Q175" i="4"/>
  <c r="AO174" i="4"/>
  <c r="AL174" i="4"/>
  <c r="Q174" i="4"/>
  <c r="AO173" i="4"/>
  <c r="AL173" i="4"/>
  <c r="Q173" i="4"/>
  <c r="AO172" i="4"/>
  <c r="AL172" i="4"/>
  <c r="Q172" i="4"/>
  <c r="AO171" i="4"/>
  <c r="AL171" i="4"/>
  <c r="Q171" i="4"/>
  <c r="AO170" i="4"/>
  <c r="AL170" i="4"/>
  <c r="Q170" i="4"/>
  <c r="AO169" i="4"/>
  <c r="AL169" i="4"/>
  <c r="Q169" i="4"/>
  <c r="AO168" i="4"/>
  <c r="AL168" i="4"/>
  <c r="Q168" i="4"/>
  <c r="AO167" i="4"/>
  <c r="AL167" i="4"/>
  <c r="Q167" i="4"/>
  <c r="AO166" i="4"/>
  <c r="AL166" i="4"/>
  <c r="Q166" i="4"/>
  <c r="AO165" i="4"/>
  <c r="AL165" i="4"/>
  <c r="Q165" i="4"/>
  <c r="AC165" i="4" s="1"/>
  <c r="AO164" i="4"/>
  <c r="AL164" i="4"/>
  <c r="Q164" i="4"/>
  <c r="AO163" i="4"/>
  <c r="AL163" i="4"/>
  <c r="Q163" i="4"/>
  <c r="AO162" i="4"/>
  <c r="AL162" i="4"/>
  <c r="Q162" i="4"/>
  <c r="AC162" i="4" s="1"/>
  <c r="AO161" i="4"/>
  <c r="AL161" i="4"/>
  <c r="Q161" i="4"/>
  <c r="AO160" i="4"/>
  <c r="AL160" i="4"/>
  <c r="Q160" i="4"/>
  <c r="AO159" i="4"/>
  <c r="AL159" i="4"/>
  <c r="Q159" i="4"/>
  <c r="AO158" i="4"/>
  <c r="AL158" i="4"/>
  <c r="Q158" i="4"/>
  <c r="AO157" i="4"/>
  <c r="AL157" i="4"/>
  <c r="Q157" i="4"/>
  <c r="AO156" i="4"/>
  <c r="AL156" i="4"/>
  <c r="Q156" i="4"/>
  <c r="AO155" i="4"/>
  <c r="AL155" i="4"/>
  <c r="Q155" i="4"/>
  <c r="AO154" i="4"/>
  <c r="AL154" i="4"/>
  <c r="Q154" i="4"/>
  <c r="AO153" i="4"/>
  <c r="AL153" i="4"/>
  <c r="Q153" i="4"/>
  <c r="AO152" i="4"/>
  <c r="AL152" i="4"/>
  <c r="Q152" i="4"/>
  <c r="AC152" i="4" s="1"/>
  <c r="AO151" i="4"/>
  <c r="AI151" i="4"/>
  <c r="AL151" i="4" s="1"/>
  <c r="Q151" i="4"/>
  <c r="AO150" i="4"/>
  <c r="AL150" i="4"/>
  <c r="Q150" i="4"/>
  <c r="AO149" i="4"/>
  <c r="AL149" i="4"/>
  <c r="Q149" i="4"/>
  <c r="AO148" i="4"/>
  <c r="AL148" i="4"/>
  <c r="Q148" i="4"/>
  <c r="AO147" i="4"/>
  <c r="AL147" i="4"/>
  <c r="Q147" i="4"/>
  <c r="AO146" i="4"/>
  <c r="AL146" i="4"/>
  <c r="Q146" i="4"/>
  <c r="AO145" i="4"/>
  <c r="AL145" i="4"/>
  <c r="Q145" i="4"/>
  <c r="AO144" i="4"/>
  <c r="AL144" i="4"/>
  <c r="Q144" i="4"/>
  <c r="AO143" i="4"/>
  <c r="AL143" i="4"/>
  <c r="Q143" i="4"/>
  <c r="AO142" i="4"/>
  <c r="AL142" i="4"/>
  <c r="Q142" i="4"/>
  <c r="AO141" i="4"/>
  <c r="AL141" i="4"/>
  <c r="Q141" i="4"/>
  <c r="AO140" i="4"/>
  <c r="AL140" i="4"/>
  <c r="Q140" i="4"/>
  <c r="AO139" i="4"/>
  <c r="AL139" i="4"/>
  <c r="Q139" i="4"/>
  <c r="AO138" i="4"/>
  <c r="AL138" i="4"/>
  <c r="Q138" i="4"/>
  <c r="AL137" i="4"/>
  <c r="Q137" i="4"/>
  <c r="AL136" i="4"/>
  <c r="Q136" i="4"/>
  <c r="AL135" i="4"/>
  <c r="Q135" i="4"/>
  <c r="AL134" i="4"/>
  <c r="Q134" i="4"/>
  <c r="AL133" i="4"/>
  <c r="Q133" i="4"/>
  <c r="AL132" i="4"/>
  <c r="Q132" i="4"/>
  <c r="AL131" i="4"/>
  <c r="Q131" i="4"/>
  <c r="AL130" i="4"/>
  <c r="Q130" i="4"/>
  <c r="AL129" i="4"/>
  <c r="Q129" i="4"/>
  <c r="AL128" i="4"/>
  <c r="Q128" i="4"/>
  <c r="AL127" i="4"/>
  <c r="Q127" i="4"/>
  <c r="AL126" i="4"/>
  <c r="Q126" i="4"/>
  <c r="AL125" i="4"/>
  <c r="Q125" i="4"/>
  <c r="AL124" i="4"/>
  <c r="Q124" i="4"/>
  <c r="AL123" i="4"/>
  <c r="Q123" i="4"/>
  <c r="AL122" i="4"/>
  <c r="Q122" i="4"/>
  <c r="AL121" i="4"/>
  <c r="Q121" i="4"/>
  <c r="AL120" i="4"/>
  <c r="Q120" i="4"/>
  <c r="AL119" i="4"/>
  <c r="Q119" i="4"/>
  <c r="AL118" i="4"/>
  <c r="Q118" i="4"/>
  <c r="AL117" i="4"/>
  <c r="Q117" i="4"/>
  <c r="AL116" i="4"/>
  <c r="Q116" i="4"/>
  <c r="AL115" i="4"/>
  <c r="Q115" i="4"/>
  <c r="AL114" i="4"/>
  <c r="Q114" i="4"/>
  <c r="AC114" i="4" s="1"/>
  <c r="AL113" i="4"/>
  <c r="Q113" i="4"/>
  <c r="AL112" i="4"/>
  <c r="Q112" i="4"/>
  <c r="AL111" i="4"/>
  <c r="Q111" i="4"/>
  <c r="AL110" i="4"/>
  <c r="Q110" i="4"/>
  <c r="AL109" i="4"/>
  <c r="Q109" i="4"/>
  <c r="AL108" i="4"/>
  <c r="Q108" i="4"/>
  <c r="AL107" i="4"/>
  <c r="Q107" i="4"/>
  <c r="AL106" i="4"/>
  <c r="Q106" i="4"/>
  <c r="AL105" i="4"/>
  <c r="Q105" i="4"/>
  <c r="AL104" i="4"/>
  <c r="Q104" i="4"/>
  <c r="AL103" i="4"/>
  <c r="Q103" i="4"/>
  <c r="AL102" i="4"/>
  <c r="Q102" i="4"/>
  <c r="AL101" i="4"/>
  <c r="Q101" i="4"/>
  <c r="AL100" i="4"/>
  <c r="Q100" i="4"/>
  <c r="AL99" i="4"/>
  <c r="Q99" i="4"/>
  <c r="AL98" i="4"/>
  <c r="Q98" i="4"/>
  <c r="AL97" i="4"/>
  <c r="Q97" i="4"/>
  <c r="AL96" i="4"/>
  <c r="Q96" i="4"/>
  <c r="AL95" i="4"/>
  <c r="Q95" i="4"/>
  <c r="AL94" i="4"/>
  <c r="Q94" i="4"/>
  <c r="AL93" i="4"/>
  <c r="Q93" i="4"/>
  <c r="AL92" i="4"/>
  <c r="Q92" i="4"/>
  <c r="AL91" i="4"/>
  <c r="Q91" i="4"/>
  <c r="AL90" i="4"/>
  <c r="Q90" i="4"/>
  <c r="AL89" i="4"/>
  <c r="Q89" i="4"/>
  <c r="AL88" i="4"/>
  <c r="Q88" i="4"/>
  <c r="AL87" i="4"/>
  <c r="Q87" i="4"/>
  <c r="AO86" i="4"/>
  <c r="AL86" i="4"/>
  <c r="Q86" i="4"/>
  <c r="AO85" i="4"/>
  <c r="AL85" i="4"/>
  <c r="Q85" i="4"/>
  <c r="AO84" i="4"/>
  <c r="AL84" i="4"/>
  <c r="Q84" i="4"/>
  <c r="AG84" i="4" s="1"/>
  <c r="AO83" i="4"/>
  <c r="AL83" i="4"/>
  <c r="Q83" i="4"/>
  <c r="AO82" i="4"/>
  <c r="AL82" i="4"/>
  <c r="Q82" i="4"/>
  <c r="AO81" i="4"/>
  <c r="AL81" i="4"/>
  <c r="Q81" i="4"/>
  <c r="AC81" i="4" s="1"/>
  <c r="AO80" i="4"/>
  <c r="AL80" i="4"/>
  <c r="Q80" i="4"/>
  <c r="AA80" i="4" s="1"/>
  <c r="AD80" i="4" s="1"/>
  <c r="AO79" i="4"/>
  <c r="AL79" i="4"/>
  <c r="Q79" i="4"/>
  <c r="AO78" i="4"/>
  <c r="AL78" i="4"/>
  <c r="Q78" i="4"/>
  <c r="AO77" i="4"/>
  <c r="AL77" i="4"/>
  <c r="Q77" i="4"/>
  <c r="AO76" i="4"/>
  <c r="AL76" i="4"/>
  <c r="Q76" i="4"/>
  <c r="AC76" i="4" s="1"/>
  <c r="AO75" i="4"/>
  <c r="AL75" i="4"/>
  <c r="Q75" i="4"/>
  <c r="AO74" i="4"/>
  <c r="AL74" i="4"/>
  <c r="Q74" i="4"/>
  <c r="AO73" i="4"/>
  <c r="AL73" i="4"/>
  <c r="Q73" i="4"/>
  <c r="AO72" i="4"/>
  <c r="AL72" i="4"/>
  <c r="Q72" i="4"/>
  <c r="AG72" i="4" s="1"/>
  <c r="AO71" i="4"/>
  <c r="AL71" i="4"/>
  <c r="Q71" i="4"/>
  <c r="AO70" i="4"/>
  <c r="AL70" i="4"/>
  <c r="Q70" i="4"/>
  <c r="AO69" i="4"/>
  <c r="AL69" i="4"/>
  <c r="Q69" i="4"/>
  <c r="AO68" i="4"/>
  <c r="AL68" i="4"/>
  <c r="Q68" i="4"/>
  <c r="AG68" i="4" s="1"/>
  <c r="AO67" i="4"/>
  <c r="AL67" i="4"/>
  <c r="Q67" i="4"/>
  <c r="AO66" i="4"/>
  <c r="AL66" i="4"/>
  <c r="Q66" i="4"/>
  <c r="AC66" i="4" s="1"/>
  <c r="AO65" i="4"/>
  <c r="AL65" i="4"/>
  <c r="Q65" i="4"/>
  <c r="AO64" i="4"/>
  <c r="AL64" i="4"/>
  <c r="Q64" i="4"/>
  <c r="AG64" i="4" s="1"/>
  <c r="AO63" i="4"/>
  <c r="AL63" i="4"/>
  <c r="Q63" i="4"/>
  <c r="AO62" i="4"/>
  <c r="AL62" i="4"/>
  <c r="Q62" i="4"/>
  <c r="AC62" i="4" s="1"/>
  <c r="AO61" i="4"/>
  <c r="AL61" i="4"/>
  <c r="Q61" i="4"/>
  <c r="AO60" i="4"/>
  <c r="AL60" i="4"/>
  <c r="Q60" i="4"/>
  <c r="AO59" i="4"/>
  <c r="AL59" i="4"/>
  <c r="Q59" i="4"/>
  <c r="AO58" i="4"/>
  <c r="AL58" i="4"/>
  <c r="Q58" i="4"/>
  <c r="AO57" i="4"/>
  <c r="AL57" i="4"/>
  <c r="Q57" i="4"/>
  <c r="AO56" i="4"/>
  <c r="AL56" i="4"/>
  <c r="Q56" i="4"/>
  <c r="AO55" i="4"/>
  <c r="AL55" i="4"/>
  <c r="Q55" i="4"/>
  <c r="AO54" i="4"/>
  <c r="AL54" i="4"/>
  <c r="Q54" i="4"/>
  <c r="AO53" i="4"/>
  <c r="AL53" i="4"/>
  <c r="AD53" i="4"/>
  <c r="Q53" i="4"/>
  <c r="AO52" i="4"/>
  <c r="AL52" i="4"/>
  <c r="Q52" i="4"/>
  <c r="AO51" i="4"/>
  <c r="AL51" i="4"/>
  <c r="Q51" i="4"/>
  <c r="AO50" i="4"/>
  <c r="AL50" i="4"/>
  <c r="Q50" i="4"/>
  <c r="AO49" i="4"/>
  <c r="AL49" i="4"/>
  <c r="AD49" i="4"/>
  <c r="Q49" i="4"/>
  <c r="AO48" i="4"/>
  <c r="AL48" i="4"/>
  <c r="Q48" i="4"/>
  <c r="AO47" i="4"/>
  <c r="AL47" i="4"/>
  <c r="Q47" i="4"/>
  <c r="AO46" i="4"/>
  <c r="AL46" i="4"/>
  <c r="Q46" i="4"/>
  <c r="AO45" i="4"/>
  <c r="AL45" i="4"/>
  <c r="Q45" i="4"/>
  <c r="AO44" i="4"/>
  <c r="AL44" i="4"/>
  <c r="Q44" i="4"/>
  <c r="AO43" i="4"/>
  <c r="AL43" i="4"/>
  <c r="Q43" i="4"/>
  <c r="AO42" i="4"/>
  <c r="AL42" i="4"/>
  <c r="Q42" i="4"/>
  <c r="AL41" i="4"/>
  <c r="Q41" i="4"/>
  <c r="AL40" i="4"/>
  <c r="Q40" i="4"/>
  <c r="AO39" i="4"/>
  <c r="AL39" i="4"/>
  <c r="Q39" i="4"/>
  <c r="AO38" i="4"/>
  <c r="AL38" i="4"/>
  <c r="Q38" i="4"/>
  <c r="AO37" i="4"/>
  <c r="AL37" i="4"/>
  <c r="Q37" i="4"/>
  <c r="AO36" i="4"/>
  <c r="AL36" i="4"/>
  <c r="Q36" i="4"/>
  <c r="AO35" i="4"/>
  <c r="AL35" i="4"/>
  <c r="Q35" i="4"/>
  <c r="AO34" i="4"/>
  <c r="AL34" i="4"/>
  <c r="Q34" i="4"/>
  <c r="AO33" i="4"/>
  <c r="AL33" i="4"/>
  <c r="Q33" i="4"/>
  <c r="AO32" i="4"/>
  <c r="AL32" i="4"/>
  <c r="Q32" i="4"/>
  <c r="AO31" i="4"/>
  <c r="AL31" i="4"/>
  <c r="Q31" i="4"/>
  <c r="AO30" i="4"/>
  <c r="AL30" i="4"/>
  <c r="Q30" i="4"/>
  <c r="AO29" i="4"/>
  <c r="AL29" i="4"/>
  <c r="Q29" i="4"/>
  <c r="AO28" i="4"/>
  <c r="AL28" i="4"/>
  <c r="Q28" i="4"/>
  <c r="AL27" i="4"/>
  <c r="Q27" i="4"/>
  <c r="AL26" i="4"/>
  <c r="Q26" i="4"/>
  <c r="AO25" i="4"/>
  <c r="AL25" i="4"/>
  <c r="Q25" i="4"/>
  <c r="AO24" i="4"/>
  <c r="AL24" i="4"/>
  <c r="Q24" i="4"/>
  <c r="AC24" i="4" s="1"/>
  <c r="AO23" i="4"/>
  <c r="AL23" i="4"/>
  <c r="Q23" i="4"/>
  <c r="AL22" i="4"/>
  <c r="Q22" i="4"/>
  <c r="AL21" i="4"/>
  <c r="Q21" i="4"/>
  <c r="AO20" i="4"/>
  <c r="AL20" i="4"/>
  <c r="Q20" i="4"/>
  <c r="AO19" i="4"/>
  <c r="AL19" i="4"/>
  <c r="Q19" i="4"/>
  <c r="AO18" i="4"/>
  <c r="AL18" i="4"/>
  <c r="Q18" i="4"/>
  <c r="AO17" i="4"/>
  <c r="AL17" i="4"/>
  <c r="Q17" i="4"/>
  <c r="AO16" i="4"/>
  <c r="AL16" i="4"/>
  <c r="Q16" i="4"/>
  <c r="AO15" i="4"/>
  <c r="AL15" i="4"/>
  <c r="Q15" i="4"/>
  <c r="AO14" i="4"/>
  <c r="AL14" i="4"/>
  <c r="Q14" i="4"/>
  <c r="AO13" i="4"/>
  <c r="AL13" i="4"/>
  <c r="Q13" i="4"/>
  <c r="AO12" i="4"/>
  <c r="AL12" i="4"/>
  <c r="Q12" i="4"/>
  <c r="AL11" i="4"/>
  <c r="Q11" i="4"/>
  <c r="AC11" i="4" s="1"/>
  <c r="AL10" i="4"/>
  <c r="Q10" i="4"/>
  <c r="AO9" i="4"/>
  <c r="AL9" i="4"/>
  <c r="Q9" i="4"/>
  <c r="AO8" i="4"/>
  <c r="AL8" i="4"/>
  <c r="Q8" i="4"/>
  <c r="AL7" i="4"/>
  <c r="Q7" i="4"/>
  <c r="AO6" i="4"/>
  <c r="AL6" i="4"/>
  <c r="Q6" i="4"/>
  <c r="AL5" i="4"/>
  <c r="AO4" i="4"/>
  <c r="AL4" i="4"/>
  <c r="Q4" i="4"/>
  <c r="AO3" i="4"/>
  <c r="AI3" i="4"/>
  <c r="AL3" i="4" s="1"/>
  <c r="Q3" i="4"/>
  <c r="AO2" i="4"/>
  <c r="Q2" i="4"/>
  <c r="AG1577" i="4" l="1"/>
  <c r="AG1578" i="4"/>
  <c r="AG1544" i="4"/>
  <c r="AG1579" i="4"/>
  <c r="AG1596" i="4"/>
  <c r="AG1580" i="4"/>
  <c r="AG1597" i="4"/>
  <c r="Q1616" i="4"/>
  <c r="AA1545" i="4"/>
  <c r="AD1545" i="4" s="1"/>
  <c r="AL608" i="4"/>
  <c r="AG1604" i="4"/>
  <c r="AG1603" i="4"/>
  <c r="AL713" i="4"/>
  <c r="AC74" i="4"/>
  <c r="AG1608" i="4"/>
  <c r="AG1612" i="4"/>
  <c r="AG1605" i="4"/>
  <c r="AG1609" i="4"/>
  <c r="AG1613" i="4"/>
  <c r="AG1610" i="4"/>
  <c r="AG1606" i="4"/>
  <c r="AG1607" i="4"/>
  <c r="AG1611" i="4"/>
  <c r="AG1117" i="4"/>
  <c r="AG1149" i="4"/>
  <c r="AC1177" i="4"/>
  <c r="AG1197" i="4"/>
  <c r="AC1293" i="4"/>
  <c r="AA1138" i="4"/>
  <c r="AD1138" i="4" s="1"/>
  <c r="AA1216" i="4"/>
  <c r="AD1216" i="4" s="1"/>
  <c r="AG1243" i="4"/>
  <c r="AG1534" i="4"/>
  <c r="AG1079" i="4"/>
  <c r="AG1535" i="4"/>
  <c r="AC1294" i="4"/>
  <c r="AG1599" i="4"/>
  <c r="AA1125" i="4"/>
  <c r="AD1125" i="4" s="1"/>
  <c r="AA1127" i="4"/>
  <c r="AD1127" i="4" s="1"/>
  <c r="AA1531" i="4"/>
  <c r="AD1531" i="4" s="1"/>
  <c r="AG1531" i="4"/>
  <c r="AI1616" i="4"/>
  <c r="AA139" i="4"/>
  <c r="AD139" i="4" s="1"/>
  <c r="AC154" i="4"/>
  <c r="AC170" i="4"/>
  <c r="AC178" i="4"/>
  <c r="AG182" i="4"/>
  <c r="AC190" i="4"/>
  <c r="AC222" i="4"/>
  <c r="AC226" i="4"/>
  <c r="AC230" i="4"/>
  <c r="AC242" i="4"/>
  <c r="AA274" i="4"/>
  <c r="AD274" i="4" s="1"/>
  <c r="AC278" i="4"/>
  <c r="AC300" i="4"/>
  <c r="AC359" i="4"/>
  <c r="AC367" i="4"/>
  <c r="AC416" i="4"/>
  <c r="AC456" i="4"/>
  <c r="AC472" i="4"/>
  <c r="AA512" i="4"/>
  <c r="AD512" i="4" s="1"/>
  <c r="AA544" i="4"/>
  <c r="AD544" i="4" s="1"/>
  <c r="AA560" i="4"/>
  <c r="AD560" i="4" s="1"/>
  <c r="AA609" i="4"/>
  <c r="AD609" i="4" s="1"/>
  <c r="AG734" i="4"/>
  <c r="AG791" i="4"/>
  <c r="AG799" i="4"/>
  <c r="AG829" i="4"/>
  <c r="AA866" i="4"/>
  <c r="AD866" i="4" s="1"/>
  <c r="AG879" i="4"/>
  <c r="AA891" i="4"/>
  <c r="AD891" i="4" s="1"/>
  <c r="AC914" i="4"/>
  <c r="AA916" i="4"/>
  <c r="AD916" i="4" s="1"/>
  <c r="AG946" i="4"/>
  <c r="AG952" i="4"/>
  <c r="AG958" i="4"/>
  <c r="AA994" i="4"/>
  <c r="AD994" i="4" s="1"/>
  <c r="AC1002" i="4"/>
  <c r="AC1009" i="4"/>
  <c r="AC1045" i="4"/>
  <c r="AG1053" i="4"/>
  <c r="AC1153" i="4"/>
  <c r="AG1166" i="4"/>
  <c r="AG1222" i="4"/>
  <c r="AC1233" i="4"/>
  <c r="AA1302" i="4"/>
  <c r="AD1302" i="4" s="1"/>
  <c r="AC1378" i="4"/>
  <c r="AC1397" i="4"/>
  <c r="AC1405" i="4"/>
  <c r="AA1447" i="4"/>
  <c r="AD1447" i="4" s="1"/>
  <c r="AG1469" i="4"/>
  <c r="AA1573" i="4"/>
  <c r="AD1573" i="4" s="1"/>
  <c r="AA8" i="4"/>
  <c r="AD8" i="4" s="1"/>
  <c r="AC102" i="4"/>
  <c r="AC110" i="4"/>
  <c r="AC126" i="4"/>
  <c r="AC130" i="4"/>
  <c r="AC134" i="4"/>
  <c r="AC138" i="4"/>
  <c r="AC151" i="4"/>
  <c r="AG185" i="4"/>
  <c r="AG197" i="4"/>
  <c r="AG201" i="4"/>
  <c r="AG209" i="4"/>
  <c r="AG229" i="4"/>
  <c r="AG233" i="4"/>
  <c r="AA245" i="4"/>
  <c r="AD245" i="4" s="1"/>
  <c r="AG366" i="4"/>
  <c r="AA370" i="4"/>
  <c r="AD370" i="4" s="1"/>
  <c r="AG23" i="4"/>
  <c r="AC30" i="4"/>
  <c r="AC38" i="4"/>
  <c r="AG60" i="4"/>
  <c r="AG186" i="4"/>
  <c r="AC198" i="4"/>
  <c r="AC206" i="4"/>
  <c r="AA396" i="4"/>
  <c r="AD396" i="4" s="1"/>
  <c r="AC428" i="4"/>
  <c r="AG448" i="4"/>
  <c r="AA464" i="4"/>
  <c r="AD464" i="4" s="1"/>
  <c r="AA528" i="4"/>
  <c r="AD528" i="4" s="1"/>
  <c r="AA536" i="4"/>
  <c r="AD536" i="4" s="1"/>
  <c r="AA568" i="4"/>
  <c r="AD568" i="4" s="1"/>
  <c r="AG784" i="4"/>
  <c r="AG817" i="4"/>
  <c r="AA1123" i="4"/>
  <c r="AD1123" i="4" s="1"/>
  <c r="AG1193" i="4"/>
  <c r="AG1201" i="4"/>
  <c r="AG1205" i="4"/>
  <c r="AG1206" i="4"/>
  <c r="AG1255" i="4"/>
  <c r="AA1259" i="4"/>
  <c r="AD1259" i="4" s="1"/>
  <c r="AG1278" i="4"/>
  <c r="AA1282" i="4"/>
  <c r="AD1282" i="4" s="1"/>
  <c r="AG1286" i="4"/>
  <c r="AG1307" i="4"/>
  <c r="AA1344" i="4"/>
  <c r="AD1344" i="4" s="1"/>
  <c r="AA1349" i="4"/>
  <c r="AD1349" i="4" s="1"/>
  <c r="AA1353" i="4"/>
  <c r="AD1353" i="4" s="1"/>
  <c r="AC1370" i="4"/>
  <c r="AG1452" i="4"/>
  <c r="AA1465" i="4"/>
  <c r="AD1465" i="4" s="1"/>
  <c r="AG1554" i="4"/>
  <c r="AC1602" i="4"/>
  <c r="AC35" i="4"/>
  <c r="AC49" i="4"/>
  <c r="AC118" i="4"/>
  <c r="AC169" i="4"/>
  <c r="AG181" i="4"/>
  <c r="AG193" i="4"/>
  <c r="AG213" i="4"/>
  <c r="AG221" i="4"/>
  <c r="AG225" i="4"/>
  <c r="AG237" i="4"/>
  <c r="AC292" i="4"/>
  <c r="AA407" i="4"/>
  <c r="AD407" i="4" s="1"/>
  <c r="AA411" i="4"/>
  <c r="AD411" i="4" s="1"/>
  <c r="AA419" i="4"/>
  <c r="AD419" i="4" s="1"/>
  <c r="AA427" i="4"/>
  <c r="AD427" i="4" s="1"/>
  <c r="AC455" i="4"/>
  <c r="AG535" i="4"/>
  <c r="AG547" i="4"/>
  <c r="AG551" i="4"/>
  <c r="AA555" i="4"/>
  <c r="AD555" i="4" s="1"/>
  <c r="AA563" i="4"/>
  <c r="AD563" i="4" s="1"/>
  <c r="AA612" i="4"/>
  <c r="AD612" i="4" s="1"/>
  <c r="AG628" i="4"/>
  <c r="AC632" i="4"/>
  <c r="AC696" i="4"/>
  <c r="AG794" i="4"/>
  <c r="AG847" i="4"/>
  <c r="AA861" i="4"/>
  <c r="AD861" i="4" s="1"/>
  <c r="AA865" i="4"/>
  <c r="AD865" i="4" s="1"/>
  <c r="AA869" i="4"/>
  <c r="AD869" i="4" s="1"/>
  <c r="AA873" i="4"/>
  <c r="AD873" i="4" s="1"/>
  <c r="AA886" i="4"/>
  <c r="AD886" i="4" s="1"/>
  <c r="AA890" i="4"/>
  <c r="AD890" i="4" s="1"/>
  <c r="AA898" i="4"/>
  <c r="AD898" i="4" s="1"/>
  <c r="AA915" i="4"/>
  <c r="AD915" i="4" s="1"/>
  <c r="AG942" i="4"/>
  <c r="AA945" i="4"/>
  <c r="AD945" i="4" s="1"/>
  <c r="AG961" i="4"/>
  <c r="AG966" i="4"/>
  <c r="AC1023" i="4"/>
  <c r="AG1069" i="4"/>
  <c r="AA1078" i="4"/>
  <c r="AD1078" i="4" s="1"/>
  <c r="AC1152" i="4"/>
  <c r="AA1262" i="4"/>
  <c r="AD1262" i="4" s="1"/>
  <c r="AG1273" i="4"/>
  <c r="AC1377" i="4"/>
  <c r="AC1408" i="4"/>
  <c r="AG1549" i="4"/>
  <c r="AG1560" i="4"/>
  <c r="AC1564" i="4"/>
  <c r="AC1568" i="4"/>
  <c r="AC1572" i="4"/>
  <c r="AG3" i="4"/>
  <c r="AC47" i="4"/>
  <c r="AC188" i="4"/>
  <c r="AC200" i="4"/>
  <c r="AC204" i="4"/>
  <c r="AG271" i="4"/>
  <c r="AC276" i="4"/>
  <c r="AC284" i="4"/>
  <c r="AC373" i="4"/>
  <c r="AG390" i="4"/>
  <c r="AG430" i="4"/>
  <c r="AG434" i="4"/>
  <c r="AG438" i="4"/>
  <c r="AC442" i="4"/>
  <c r="AG450" i="4"/>
  <c r="AG466" i="4"/>
  <c r="AC498" i="4"/>
  <c r="AA526" i="4"/>
  <c r="AD526" i="4" s="1"/>
  <c r="AA542" i="4"/>
  <c r="AD542" i="4" s="1"/>
  <c r="AA550" i="4"/>
  <c r="AD550" i="4" s="1"/>
  <c r="AA558" i="4"/>
  <c r="AD558" i="4" s="1"/>
  <c r="AA566" i="4"/>
  <c r="AD566" i="4" s="1"/>
  <c r="AA574" i="4"/>
  <c r="AD574" i="4" s="1"/>
  <c r="AC618" i="4"/>
  <c r="AC683" i="4"/>
  <c r="AG720" i="4"/>
  <c r="AG724" i="4"/>
  <c r="AC732" i="4"/>
  <c r="AA793" i="4"/>
  <c r="AD793" i="4" s="1"/>
  <c r="AC797" i="4"/>
  <c r="AC801" i="4"/>
  <c r="AG811" i="4"/>
  <c r="AG815" i="4"/>
  <c r="AG827" i="4"/>
  <c r="AG838" i="4"/>
  <c r="AG858" i="4"/>
  <c r="AC932" i="4"/>
  <c r="AG941" i="4"/>
  <c r="AA996" i="4"/>
  <c r="AD996" i="4" s="1"/>
  <c r="AA1007" i="4"/>
  <c r="AD1007" i="4" s="1"/>
  <c r="AG1088" i="4"/>
  <c r="AG1105" i="4"/>
  <c r="AA1135" i="4"/>
  <c r="AD1135" i="4" s="1"/>
  <c r="AG1139" i="4"/>
  <c r="AG1151" i="4"/>
  <c r="AA1155" i="4"/>
  <c r="AD1155" i="4" s="1"/>
  <c r="AG1159" i="4"/>
  <c r="AG1168" i="4"/>
  <c r="AG1179" i="4"/>
  <c r="AG1195" i="4"/>
  <c r="AG1203" i="4"/>
  <c r="AG1220" i="4"/>
  <c r="AG1237" i="4"/>
  <c r="AA1249" i="4"/>
  <c r="AD1249" i="4" s="1"/>
  <c r="AG1253" i="4"/>
  <c r="AG1276" i="4"/>
  <c r="AG1280" i="4"/>
  <c r="AA1284" i="4"/>
  <c r="AD1284" i="4" s="1"/>
  <c r="AA1305" i="4"/>
  <c r="AD1305" i="4" s="1"/>
  <c r="AG1336" i="4"/>
  <c r="AC1368" i="4"/>
  <c r="AC1380" i="4"/>
  <c r="AC1399" i="4"/>
  <c r="AG1416" i="4"/>
  <c r="AG1425" i="4"/>
  <c r="AC1454" i="4"/>
  <c r="AG1467" i="4"/>
  <c r="AA1475" i="4"/>
  <c r="AD1475" i="4" s="1"/>
  <c r="AA1479" i="4"/>
  <c r="AD1479" i="4" s="1"/>
  <c r="AC1491" i="4"/>
  <c r="AC1503" i="4"/>
  <c r="AG1521" i="4"/>
  <c r="AC1548" i="4"/>
  <c r="AC1552" i="4"/>
  <c r="AC1556" i="4"/>
  <c r="AG1575" i="4"/>
  <c r="AC1614" i="4"/>
  <c r="AA559" i="4"/>
  <c r="AD559" i="4" s="1"/>
  <c r="AG713" i="4"/>
  <c r="AC725" i="4"/>
  <c r="AC762" i="4"/>
  <c r="AC788" i="4"/>
  <c r="AA1122" i="4"/>
  <c r="AD1122" i="4" s="1"/>
  <c r="AG1213" i="4"/>
  <c r="AG1221" i="4"/>
  <c r="AG1281" i="4"/>
  <c r="AG1289" i="4"/>
  <c r="AC1396" i="4"/>
  <c r="AG1438" i="4"/>
  <c r="AA1442" i="4"/>
  <c r="AD1442" i="4" s="1"/>
  <c r="AA1450" i="4"/>
  <c r="AD1450" i="4" s="1"/>
  <c r="AG1480" i="4"/>
  <c r="AC1512" i="4"/>
  <c r="AA1584" i="4"/>
  <c r="AD1584" i="4" s="1"/>
  <c r="AC1605" i="4"/>
  <c r="AC160" i="4"/>
  <c r="AG180" i="4"/>
  <c r="AC192" i="4"/>
  <c r="AC212" i="4"/>
  <c r="AG25" i="4"/>
  <c r="AC58" i="4"/>
  <c r="AC70" i="4"/>
  <c r="AC79" i="4"/>
  <c r="AC117" i="4"/>
  <c r="AC137" i="4"/>
  <c r="AC144" i="4"/>
  <c r="AC149" i="4"/>
  <c r="AG183" i="4"/>
  <c r="AG187" i="4"/>
  <c r="AG191" i="4"/>
  <c r="AG195" i="4"/>
  <c r="AG199" i="4"/>
  <c r="AG203" i="4"/>
  <c r="AG207" i="4"/>
  <c r="AG211" i="4"/>
  <c r="AA215" i="4"/>
  <c r="AD215" i="4" s="1"/>
  <c r="AA227" i="4"/>
  <c r="AD227" i="4" s="1"/>
  <c r="AA231" i="4"/>
  <c r="AD231" i="4" s="1"/>
  <c r="AA239" i="4"/>
  <c r="AD239" i="4" s="1"/>
  <c r="AC381" i="4"/>
  <c r="AA401" i="4"/>
  <c r="AD401" i="4" s="1"/>
  <c r="AA409" i="4"/>
  <c r="AD409" i="4" s="1"/>
  <c r="AA413" i="4"/>
  <c r="AD413" i="4" s="1"/>
  <c r="AG417" i="4"/>
  <c r="AG429" i="4"/>
  <c r="AA441" i="4"/>
  <c r="AD441" i="4" s="1"/>
  <c r="AG449" i="4"/>
  <c r="AG473" i="4"/>
  <c r="AG537" i="4"/>
  <c r="AA545" i="4"/>
  <c r="AD545" i="4" s="1"/>
  <c r="AG549" i="4"/>
  <c r="AA557" i="4"/>
  <c r="AD557" i="4" s="1"/>
  <c r="AG565" i="4"/>
  <c r="AC626" i="4"/>
  <c r="AG719" i="4"/>
  <c r="AG727" i="4"/>
  <c r="AC744" i="4"/>
  <c r="AC752" i="4"/>
  <c r="AC760" i="4"/>
  <c r="AA785" i="4"/>
  <c r="AD785" i="4" s="1"/>
  <c r="AG792" i="4"/>
  <c r="AG796" i="4"/>
  <c r="AG804" i="4"/>
  <c r="AC911" i="4"/>
  <c r="AG929" i="4"/>
  <c r="AG953" i="4"/>
  <c r="AG1032" i="4"/>
  <c r="AC1037" i="4"/>
  <c r="AG1039" i="4"/>
  <c r="AC1080" i="4"/>
  <c r="AG1116" i="4"/>
  <c r="AC1120" i="4"/>
  <c r="AG1126" i="4"/>
  <c r="AG1134" i="4"/>
  <c r="AG1148" i="4"/>
  <c r="AG1236" i="4"/>
  <c r="AC1242" i="4"/>
  <c r="AC1244" i="4"/>
  <c r="AC1248" i="4"/>
  <c r="AA1270" i="4"/>
  <c r="AD1270" i="4" s="1"/>
  <c r="AG1275" i="4"/>
  <c r="AG1279" i="4"/>
  <c r="AG1283" i="4"/>
  <c r="AA1291" i="4"/>
  <c r="AD1291" i="4" s="1"/>
  <c r="AC1335" i="4"/>
  <c r="AA1346" i="4"/>
  <c r="AD1346" i="4" s="1"/>
  <c r="AA1430" i="4"/>
  <c r="AD1430" i="4" s="1"/>
  <c r="AA1432" i="4"/>
  <c r="AD1432" i="4" s="1"/>
  <c r="AA1444" i="4"/>
  <c r="AD1444" i="4" s="1"/>
  <c r="AG1470" i="4"/>
  <c r="AC1490" i="4"/>
  <c r="AC1507" i="4"/>
  <c r="AG1570" i="4"/>
  <c r="AG1574" i="4"/>
  <c r="AG1591" i="4"/>
  <c r="AG1595" i="4"/>
  <c r="AC1607" i="4"/>
  <c r="AG1082" i="4"/>
  <c r="AC1266" i="4"/>
  <c r="AG994" i="4"/>
  <c r="AC484" i="4"/>
  <c r="AA531" i="4"/>
  <c r="AD531" i="4" s="1"/>
  <c r="AG732" i="4"/>
  <c r="AC1039" i="4"/>
  <c r="AA1088" i="4"/>
  <c r="AD1088" i="4" s="1"/>
  <c r="AG16" i="4"/>
  <c r="AG553" i="4"/>
  <c r="AC912" i="4"/>
  <c r="AG915" i="4"/>
  <c r="AG916" i="4"/>
  <c r="AC417" i="4"/>
  <c r="AC461" i="4"/>
  <c r="AC953" i="4"/>
  <c r="AC305" i="4"/>
  <c r="AA372" i="4"/>
  <c r="AD372" i="4" s="1"/>
  <c r="AA1203" i="4"/>
  <c r="AD1203" i="4" s="1"/>
  <c r="AG1204" i="4"/>
  <c r="AA1206" i="4"/>
  <c r="AD1206" i="4" s="1"/>
  <c r="AC1211" i="4"/>
  <c r="AC1212" i="4"/>
  <c r="AA1213" i="4"/>
  <c r="AD1213" i="4" s="1"/>
  <c r="AC1400" i="4"/>
  <c r="AC1425" i="4"/>
  <c r="AA1427" i="4"/>
  <c r="AD1427" i="4" s="1"/>
  <c r="AG1433" i="4"/>
  <c r="AA1439" i="4"/>
  <c r="AD1439" i="4" s="1"/>
  <c r="AC449" i="4"/>
  <c r="AC450" i="4"/>
  <c r="AG561" i="4"/>
  <c r="AG567" i="4"/>
  <c r="AG584" i="4"/>
  <c r="AG82" i="4"/>
  <c r="AA571" i="4"/>
  <c r="AD571" i="4" s="1"/>
  <c r="AG600" i="4"/>
  <c r="AG718" i="4"/>
  <c r="AA1222" i="4"/>
  <c r="AD1222" i="4" s="1"/>
  <c r="AA1289" i="4"/>
  <c r="AD1289" i="4" s="1"/>
  <c r="AA1307" i="4"/>
  <c r="AD1307" i="4" s="1"/>
  <c r="AA1337" i="4"/>
  <c r="AD1337" i="4" s="1"/>
  <c r="AC1395" i="4"/>
  <c r="AC1412" i="4"/>
  <c r="AC1429" i="4"/>
  <c r="AA1470" i="4"/>
  <c r="AD1470" i="4" s="1"/>
  <c r="AC429" i="4"/>
  <c r="AC430" i="4"/>
  <c r="AG521" i="4"/>
  <c r="AA539" i="4"/>
  <c r="AD539" i="4" s="1"/>
  <c r="AG592" i="4"/>
  <c r="AC650" i="4"/>
  <c r="AC741" i="4"/>
  <c r="AC838" i="4"/>
  <c r="AG928" i="4"/>
  <c r="AA929" i="4"/>
  <c r="AD929" i="4" s="1"/>
  <c r="AA932" i="4"/>
  <c r="AD932" i="4" s="1"/>
  <c r="AG982" i="4"/>
  <c r="AG1023" i="4"/>
  <c r="AA1105" i="4"/>
  <c r="AD1105" i="4" s="1"/>
  <c r="AA1116" i="4"/>
  <c r="AD1116" i="4" s="1"/>
  <c r="AA1278" i="4"/>
  <c r="AD1278" i="4" s="1"/>
  <c r="AC1545" i="4"/>
  <c r="AG539" i="4"/>
  <c r="AC1139" i="4"/>
  <c r="AG71" i="4"/>
  <c r="AA16" i="4"/>
  <c r="AD16" i="4" s="1"/>
  <c r="AC25" i="4"/>
  <c r="AC492" i="4"/>
  <c r="AA553" i="4"/>
  <c r="AD553" i="4" s="1"/>
  <c r="AA561" i="4"/>
  <c r="AD561" i="4" s="1"/>
  <c r="AA567" i="4"/>
  <c r="AD567" i="4" s="1"/>
  <c r="AG571" i="4"/>
  <c r="AC623" i="4"/>
  <c r="AC634" i="4"/>
  <c r="AA683" i="4"/>
  <c r="AD683" i="4" s="1"/>
  <c r="AA1039" i="4"/>
  <c r="AD1039" i="4" s="1"/>
  <c r="AC1118" i="4"/>
  <c r="AG1125" i="4"/>
  <c r="AC1259" i="4"/>
  <c r="AA1266" i="4"/>
  <c r="AD1266" i="4" s="1"/>
  <c r="AC1554" i="4"/>
  <c r="AC1566" i="4"/>
  <c r="AG525" i="4"/>
  <c r="AA525" i="4"/>
  <c r="AD525" i="4" s="1"/>
  <c r="AG529" i="4"/>
  <c r="AA529" i="4"/>
  <c r="AD529" i="4" s="1"/>
  <c r="AG575" i="4"/>
  <c r="AC575" i="4"/>
  <c r="AG802" i="4"/>
  <c r="AC802" i="4"/>
  <c r="AG944" i="4"/>
  <c r="AA1239" i="4"/>
  <c r="AD1239" i="4" s="1"/>
  <c r="AC307" i="4"/>
  <c r="AC390" i="4"/>
  <c r="AG543" i="4"/>
  <c r="AA802" i="4"/>
  <c r="AD802" i="4" s="1"/>
  <c r="AC851" i="4"/>
  <c r="AA851" i="4"/>
  <c r="AD851" i="4" s="1"/>
  <c r="AG939" i="4"/>
  <c r="AG1103" i="4"/>
  <c r="AC1103" i="4"/>
  <c r="AC1167" i="4"/>
  <c r="AC1238" i="4"/>
  <c r="AA1251" i="4"/>
  <c r="AD1251" i="4" s="1"/>
  <c r="AA1359" i="4"/>
  <c r="AD1359" i="4" s="1"/>
  <c r="AG1589" i="4"/>
  <c r="AA1589" i="4"/>
  <c r="AD1589" i="4" s="1"/>
  <c r="AA71" i="4"/>
  <c r="AD71" i="4" s="1"/>
  <c r="AJ1616" i="4"/>
  <c r="AC232" i="4"/>
  <c r="AG234" i="4"/>
  <c r="AG270" i="4"/>
  <c r="AC283" i="4"/>
  <c r="AG293" i="4"/>
  <c r="AA295" i="4"/>
  <c r="AD295" i="4" s="1"/>
  <c r="AG362" i="4"/>
  <c r="AG368" i="4"/>
  <c r="AG374" i="4"/>
  <c r="AC374" i="4"/>
  <c r="AC480" i="4"/>
  <c r="AA543" i="4"/>
  <c r="AD543" i="4" s="1"/>
  <c r="AG557" i="4"/>
  <c r="AA703" i="4"/>
  <c r="AD703" i="4" s="1"/>
  <c r="AC799" i="4"/>
  <c r="AC908" i="4"/>
  <c r="AC979" i="4"/>
  <c r="AA1144" i="4"/>
  <c r="AD1144" i="4" s="1"/>
  <c r="AG1144" i="4"/>
  <c r="AA1161" i="4"/>
  <c r="AD1161" i="4" s="1"/>
  <c r="AG1161" i="4"/>
  <c r="AG1185" i="4"/>
  <c r="AC1185" i="4"/>
  <c r="AA1201" i="4"/>
  <c r="AD1201" i="4" s="1"/>
  <c r="AC1246" i="4"/>
  <c r="AA1585" i="4"/>
  <c r="AD1585" i="4" s="1"/>
  <c r="AC1585" i="4"/>
  <c r="AA1606" i="4"/>
  <c r="AD1606" i="4" s="1"/>
  <c r="AC1606" i="4"/>
  <c r="AG395" i="4"/>
  <c r="AC395" i="4"/>
  <c r="AG436" i="4"/>
  <c r="AG511" i="4"/>
  <c r="AA511" i="4"/>
  <c r="AD511" i="4" s="1"/>
  <c r="AG1109" i="4"/>
  <c r="AA1109" i="4"/>
  <c r="AD1109" i="4" s="1"/>
  <c r="AG1260" i="4"/>
  <c r="AC1376" i="4"/>
  <c r="AA1532" i="4"/>
  <c r="AD1532" i="4" s="1"/>
  <c r="AC65" i="4"/>
  <c r="AC211" i="4"/>
  <c r="AG228" i="4"/>
  <c r="AG236" i="4"/>
  <c r="AC241" i="4"/>
  <c r="AA270" i="4"/>
  <c r="AD270" i="4" s="1"/>
  <c r="AC303" i="4"/>
  <c r="AG358" i="4"/>
  <c r="AG394" i="4"/>
  <c r="AC394" i="4"/>
  <c r="AG472" i="4"/>
  <c r="AC482" i="4"/>
  <c r="AC621" i="4"/>
  <c r="AG1163" i="4"/>
  <c r="AC1163" i="4"/>
  <c r="AG1192" i="4"/>
  <c r="AA1260" i="4"/>
  <c r="AD1260" i="4" s="1"/>
  <c r="AC71" i="4"/>
  <c r="AG232" i="4"/>
  <c r="AA354" i="4"/>
  <c r="AD354" i="4" s="1"/>
  <c r="AG381" i="4"/>
  <c r="AG382" i="4"/>
  <c r="AC382" i="4"/>
  <c r="AA663" i="4"/>
  <c r="AD663" i="4" s="1"/>
  <c r="AA948" i="4"/>
  <c r="AD948" i="4" s="1"/>
  <c r="AG948" i="4"/>
  <c r="AA1050" i="4"/>
  <c r="AD1050" i="4" s="1"/>
  <c r="AA1184" i="4"/>
  <c r="AD1184" i="4" s="1"/>
  <c r="AC1256" i="4"/>
  <c r="AG1262" i="4"/>
  <c r="AC1499" i="4"/>
  <c r="AG1529" i="4"/>
  <c r="AA1529" i="4"/>
  <c r="AD1529" i="4" s="1"/>
  <c r="AG1439" i="4"/>
  <c r="AA1218" i="4"/>
  <c r="AD1218" i="4" s="1"/>
  <c r="AC642" i="4"/>
  <c r="AA695" i="4"/>
  <c r="AD695" i="4" s="1"/>
  <c r="AA718" i="4"/>
  <c r="AD718" i="4" s="1"/>
  <c r="AC1032" i="4"/>
  <c r="AA1053" i="4"/>
  <c r="AD1053" i="4" s="1"/>
  <c r="AG1152" i="4"/>
  <c r="AA1153" i="4"/>
  <c r="AD1153" i="4" s="1"/>
  <c r="AA1195" i="4"/>
  <c r="AD1195" i="4" s="1"/>
  <c r="AC1196" i="4"/>
  <c r="AA1197" i="4"/>
  <c r="AD1197" i="4" s="1"/>
  <c r="AA1286" i="4"/>
  <c r="AD1286" i="4" s="1"/>
  <c r="AG1432" i="4"/>
  <c r="AA1433" i="4"/>
  <c r="AD1433" i="4" s="1"/>
  <c r="AA1480" i="4"/>
  <c r="AD1480" i="4" s="1"/>
  <c r="AC1502" i="4"/>
  <c r="AC1531" i="4"/>
  <c r="AA1605" i="4"/>
  <c r="AD1605" i="4" s="1"/>
  <c r="AA1607" i="4"/>
  <c r="AD1607" i="4" s="1"/>
  <c r="AA366" i="4"/>
  <c r="AD366" i="4" s="1"/>
  <c r="AG379" i="4"/>
  <c r="AC379" i="4"/>
  <c r="AG387" i="4"/>
  <c r="AC387" i="4"/>
  <c r="AC424" i="4"/>
  <c r="AG441" i="4"/>
  <c r="AC441" i="4"/>
  <c r="AC500" i="4"/>
  <c r="AA535" i="4"/>
  <c r="AD535" i="4" s="1"/>
  <c r="AA549" i="4"/>
  <c r="AD549" i="4" s="1"/>
  <c r="AG555" i="4"/>
  <c r="AG563" i="4"/>
  <c r="AG588" i="4"/>
  <c r="AC672" i="4"/>
  <c r="AC785" i="4"/>
  <c r="AG785" i="4"/>
  <c r="AC804" i="4"/>
  <c r="AA804" i="4"/>
  <c r="AD804" i="4" s="1"/>
  <c r="AC910" i="4"/>
  <c r="AA923" i="4"/>
  <c r="AD923" i="4" s="1"/>
  <c r="AG923" i="4"/>
  <c r="AC934" i="4"/>
  <c r="AG934" i="4"/>
  <c r="AG1030" i="4"/>
  <c r="AC1030" i="4"/>
  <c r="AG18" i="4"/>
  <c r="AC59" i="4"/>
  <c r="AG63" i="4"/>
  <c r="AA70" i="4"/>
  <c r="AD70" i="4" s="1"/>
  <c r="AC180" i="4"/>
  <c r="AC185" i="4"/>
  <c r="AC216" i="4"/>
  <c r="AG218" i="4"/>
  <c r="AG220" i="4"/>
  <c r="AG421" i="4"/>
  <c r="AC421" i="4"/>
  <c r="AG922" i="4"/>
  <c r="AA922" i="4"/>
  <c r="AD922" i="4" s="1"/>
  <c r="AG926" i="4"/>
  <c r="AA926" i="4"/>
  <c r="AD926" i="4" s="1"/>
  <c r="AG1593" i="4"/>
  <c r="AA1593" i="4"/>
  <c r="AD1593" i="4" s="1"/>
  <c r="AA13" i="4"/>
  <c r="AD13" i="4" s="1"/>
  <c r="AG59" i="4"/>
  <c r="AC199" i="4"/>
  <c r="AG216" i="4"/>
  <c r="AA228" i="4"/>
  <c r="AD228" i="4" s="1"/>
  <c r="AC244" i="4"/>
  <c r="AG295" i="4"/>
  <c r="AG354" i="4"/>
  <c r="AG364" i="4"/>
  <c r="AC420" i="4"/>
  <c r="AG513" i="4"/>
  <c r="AA515" i="4"/>
  <c r="AD515" i="4" s="1"/>
  <c r="AA517" i="4"/>
  <c r="AD517" i="4" s="1"/>
  <c r="AA519" i="4"/>
  <c r="AD519" i="4" s="1"/>
  <c r="AG527" i="4"/>
  <c r="AG531" i="4"/>
  <c r="AA533" i="4"/>
  <c r="AD533" i="4" s="1"/>
  <c r="AG533" i="4"/>
  <c r="AA569" i="4"/>
  <c r="AD569" i="4" s="1"/>
  <c r="AA699" i="4"/>
  <c r="AD699" i="4" s="1"/>
  <c r="AA719" i="4"/>
  <c r="AD719" i="4" s="1"/>
  <c r="AC720" i="4"/>
  <c r="AA726" i="4"/>
  <c r="AD726" i="4" s="1"/>
  <c r="AC745" i="4"/>
  <c r="AC753" i="4"/>
  <c r="AA791" i="4"/>
  <c r="AD791" i="4" s="1"/>
  <c r="AA815" i="4"/>
  <c r="AD815" i="4" s="1"/>
  <c r="AA817" i="4"/>
  <c r="AD817" i="4" s="1"/>
  <c r="AG864" i="4"/>
  <c r="AC1124" i="4"/>
  <c r="AG1124" i="4"/>
  <c r="AC1160" i="4"/>
  <c r="AG1172" i="4"/>
  <c r="AC1172" i="4"/>
  <c r="AC1232" i="4"/>
  <c r="AG1551" i="4"/>
  <c r="AA1551" i="4"/>
  <c r="AD1551" i="4" s="1"/>
  <c r="AC32" i="4"/>
  <c r="AC181" i="4"/>
  <c r="AC184" i="4"/>
  <c r="AC195" i="4"/>
  <c r="AC225" i="4"/>
  <c r="AA244" i="4"/>
  <c r="AD244" i="4" s="1"/>
  <c r="AG378" i="4"/>
  <c r="AC378" i="4"/>
  <c r="AG386" i="4"/>
  <c r="AC386" i="4"/>
  <c r="AG596" i="4"/>
  <c r="AG895" i="4"/>
  <c r="AA895" i="4"/>
  <c r="AD895" i="4" s="1"/>
  <c r="AG4" i="4"/>
  <c r="AG146" i="4"/>
  <c r="AA21" i="4"/>
  <c r="AD21" i="4" s="1"/>
  <c r="AA25" i="4"/>
  <c r="AD25" i="4" s="1"/>
  <c r="AC26" i="4"/>
  <c r="AG78" i="4"/>
  <c r="AC228" i="4"/>
  <c r="AG244" i="4"/>
  <c r="AG425" i="4"/>
  <c r="AC425" i="4"/>
  <c r="AA440" i="4"/>
  <c r="AD440" i="4" s="1"/>
  <c r="AA448" i="4"/>
  <c r="AD448" i="4" s="1"/>
  <c r="AA461" i="4"/>
  <c r="AD461" i="4" s="1"/>
  <c r="AC462" i="4"/>
  <c r="AG462" i="4"/>
  <c r="AC508" i="4"/>
  <c r="AA513" i="4"/>
  <c r="AD513" i="4" s="1"/>
  <c r="AG515" i="4"/>
  <c r="AG517" i="4"/>
  <c r="AG519" i="4"/>
  <c r="AA521" i="4"/>
  <c r="AD521" i="4" s="1"/>
  <c r="AG523" i="4"/>
  <c r="AA527" i="4"/>
  <c r="AD527" i="4" s="1"/>
  <c r="AG541" i="4"/>
  <c r="AG569" i="4"/>
  <c r="AG573" i="4"/>
  <c r="AG576" i="4"/>
  <c r="AG580" i="4"/>
  <c r="AG604" i="4"/>
  <c r="AC619" i="4"/>
  <c r="AC658" i="4"/>
  <c r="AG726" i="4"/>
  <c r="AA727" i="4"/>
  <c r="AD727" i="4" s="1"/>
  <c r="AC791" i="4"/>
  <c r="AG793" i="4"/>
  <c r="AC793" i="4"/>
  <c r="AA796" i="4"/>
  <c r="AD796" i="4" s="1"/>
  <c r="AC796" i="4"/>
  <c r="AA799" i="4"/>
  <c r="AD799" i="4" s="1"/>
  <c r="AC855" i="4"/>
  <c r="AG888" i="4"/>
  <c r="AA888" i="4"/>
  <c r="AD888" i="4" s="1"/>
  <c r="AA920" i="4"/>
  <c r="AD920" i="4" s="1"/>
  <c r="AG920" i="4"/>
  <c r="AG924" i="4"/>
  <c r="AA924" i="4"/>
  <c r="AD924" i="4" s="1"/>
  <c r="AC1062" i="4"/>
  <c r="AC1021" i="4"/>
  <c r="AG1021" i="4"/>
  <c r="AA1057" i="4"/>
  <c r="AD1057" i="4" s="1"/>
  <c r="AG1057" i="4"/>
  <c r="AG1061" i="4"/>
  <c r="AA1061" i="4"/>
  <c r="AD1061" i="4" s="1"/>
  <c r="AC1539" i="4"/>
  <c r="AC1613" i="4"/>
  <c r="AA1613" i="4"/>
  <c r="AD1613" i="4" s="1"/>
  <c r="AA1021" i="4"/>
  <c r="AD1021" i="4" s="1"/>
  <c r="AA1070" i="4"/>
  <c r="AD1070" i="4" s="1"/>
  <c r="AC1093" i="4"/>
  <c r="AG1354" i="4"/>
  <c r="AA1354" i="4"/>
  <c r="AD1354" i="4" s="1"/>
  <c r="AC1372" i="4"/>
  <c r="AA1440" i="4"/>
  <c r="AD1440" i="4" s="1"/>
  <c r="AC1440" i="4"/>
  <c r="AA537" i="4"/>
  <c r="AD537" i="4" s="1"/>
  <c r="AG545" i="4"/>
  <c r="AA547" i="4"/>
  <c r="AD547" i="4" s="1"/>
  <c r="AA551" i="4"/>
  <c r="AD551" i="4" s="1"/>
  <c r="AG559" i="4"/>
  <c r="AA565" i="4"/>
  <c r="AD565" i="4" s="1"/>
  <c r="AG712" i="4"/>
  <c r="AC712" i="4"/>
  <c r="AC713" i="4"/>
  <c r="AA921" i="4"/>
  <c r="AD921" i="4" s="1"/>
  <c r="AG921" i="4"/>
  <c r="AA998" i="4"/>
  <c r="AD998" i="4" s="1"/>
  <c r="AG998" i="4"/>
  <c r="AC998" i="4"/>
  <c r="AA1002" i="4"/>
  <c r="AD1002" i="4" s="1"/>
  <c r="AG1002" i="4"/>
  <c r="AA1180" i="4"/>
  <c r="AD1180" i="4" s="1"/>
  <c r="AA1233" i="4"/>
  <c r="AD1233" i="4" s="1"/>
  <c r="AG1257" i="4"/>
  <c r="AA1257" i="4"/>
  <c r="AD1257" i="4" s="1"/>
  <c r="AA1263" i="4"/>
  <c r="AD1263" i="4" s="1"/>
  <c r="AG1263" i="4"/>
  <c r="AG1274" i="4"/>
  <c r="AA1274" i="4"/>
  <c r="AD1274" i="4" s="1"/>
  <c r="AA1288" i="4"/>
  <c r="AD1288" i="4" s="1"/>
  <c r="AA1308" i="4"/>
  <c r="AD1308" i="4" s="1"/>
  <c r="AG1426" i="4"/>
  <c r="AA1426" i="4"/>
  <c r="AD1426" i="4" s="1"/>
  <c r="AA1428" i="4"/>
  <c r="AD1428" i="4" s="1"/>
  <c r="AC994" i="4"/>
  <c r="AG1009" i="4"/>
  <c r="AA1023" i="4"/>
  <c r="AD1023" i="4" s="1"/>
  <c r="AG1092" i="4"/>
  <c r="AA1092" i="4"/>
  <c r="AD1092" i="4" s="1"/>
  <c r="AC1137" i="4"/>
  <c r="AA1207" i="4"/>
  <c r="AD1207" i="4" s="1"/>
  <c r="AA1224" i="4"/>
  <c r="AD1224" i="4" s="1"/>
  <c r="AA1352" i="4"/>
  <c r="AD1352" i="4" s="1"/>
  <c r="AG1352" i="4"/>
  <c r="AC1404" i="4"/>
  <c r="AC1513" i="4"/>
  <c r="AC1576" i="4"/>
  <c r="AG1576" i="4"/>
  <c r="AG918" i="4"/>
  <c r="AA918" i="4"/>
  <c r="AD918" i="4" s="1"/>
  <c r="AG932" i="4"/>
  <c r="AG936" i="4"/>
  <c r="AC936" i="4"/>
  <c r="AC1142" i="4"/>
  <c r="AG1142" i="4"/>
  <c r="AC1156" i="4"/>
  <c r="AG1170" i="4"/>
  <c r="AA1170" i="4"/>
  <c r="AD1170" i="4" s="1"/>
  <c r="AC1223" i="4"/>
  <c r="AC1369" i="4"/>
  <c r="AC1407" i="4"/>
  <c r="AC1486" i="4"/>
  <c r="AA1570" i="4"/>
  <c r="AD1570" i="4" s="1"/>
  <c r="AA1571" i="4"/>
  <c r="AD1571" i="4" s="1"/>
  <c r="AG1305" i="4"/>
  <c r="AC1439" i="4"/>
  <c r="AC1615" i="4"/>
  <c r="AA66" i="4"/>
  <c r="AD66" i="4" s="1"/>
  <c r="AA67" i="4"/>
  <c r="AD67" i="4" s="1"/>
  <c r="AA76" i="4"/>
  <c r="AD76" i="4" s="1"/>
  <c r="AA84" i="4"/>
  <c r="AD84" i="4" s="1"/>
  <c r="AC139" i="4"/>
  <c r="AA143" i="4"/>
  <c r="AD143" i="4" s="1"/>
  <c r="AC189" i="4"/>
  <c r="AC201" i="4"/>
  <c r="AA217" i="4"/>
  <c r="AD217" i="4" s="1"/>
  <c r="AG219" i="4"/>
  <c r="AA221" i="4"/>
  <c r="AD221" i="4" s="1"/>
  <c r="AA240" i="4"/>
  <c r="AD240" i="4" s="1"/>
  <c r="AA304" i="4"/>
  <c r="AD304" i="4" s="1"/>
  <c r="AA356" i="4"/>
  <c r="AD356" i="4" s="1"/>
  <c r="AA360" i="4"/>
  <c r="AD360" i="4" s="1"/>
  <c r="AG375" i="4"/>
  <c r="AG376" i="4"/>
  <c r="AC376" i="4"/>
  <c r="AG380" i="4"/>
  <c r="AC380" i="4"/>
  <c r="AG385" i="4"/>
  <c r="AC385" i="4"/>
  <c r="AG393" i="4"/>
  <c r="AC393" i="4"/>
  <c r="AG422" i="4"/>
  <c r="AC422" i="4"/>
  <c r="AA422" i="4"/>
  <c r="AD422" i="4" s="1"/>
  <c r="AG423" i="4"/>
  <c r="AG437" i="4"/>
  <c r="AC437" i="4"/>
  <c r="AA437" i="4"/>
  <c r="AD437" i="4" s="1"/>
  <c r="AG444" i="4"/>
  <c r="AA444" i="4"/>
  <c r="AD444" i="4" s="1"/>
  <c r="AA445" i="4"/>
  <c r="AD445" i="4" s="1"/>
  <c r="AC468" i="4"/>
  <c r="AC470" i="4"/>
  <c r="AG470" i="4"/>
  <c r="AG471" i="4"/>
  <c r="AA471" i="4"/>
  <c r="AD471" i="4" s="1"/>
  <c r="AC502" i="4"/>
  <c r="AC506" i="4"/>
  <c r="AG516" i="4"/>
  <c r="AA516" i="4"/>
  <c r="AD516" i="4" s="1"/>
  <c r="AG524" i="4"/>
  <c r="AA524" i="4"/>
  <c r="AD524" i="4" s="1"/>
  <c r="AG532" i="4"/>
  <c r="AA532" i="4"/>
  <c r="AD532" i="4" s="1"/>
  <c r="AG540" i="4"/>
  <c r="AA540" i="4"/>
  <c r="AD540" i="4" s="1"/>
  <c r="AG548" i="4"/>
  <c r="AA548" i="4"/>
  <c r="AD548" i="4" s="1"/>
  <c r="AG556" i="4"/>
  <c r="AA556" i="4"/>
  <c r="AD556" i="4" s="1"/>
  <c r="AG564" i="4"/>
  <c r="AA564" i="4"/>
  <c r="AD564" i="4" s="1"/>
  <c r="AG572" i="4"/>
  <c r="AA572" i="4"/>
  <c r="AD572" i="4" s="1"/>
  <c r="AA577" i="4"/>
  <c r="AD577" i="4" s="1"/>
  <c r="AG578" i="4"/>
  <c r="AA581" i="4"/>
  <c r="AD581" i="4" s="1"/>
  <c r="AG582" i="4"/>
  <c r="AA585" i="4"/>
  <c r="AD585" i="4" s="1"/>
  <c r="AG586" i="4"/>
  <c r="AA589" i="4"/>
  <c r="AD589" i="4" s="1"/>
  <c r="AG590" i="4"/>
  <c r="AA593" i="4"/>
  <c r="AD593" i="4" s="1"/>
  <c r="AG594" i="4"/>
  <c r="AA597" i="4"/>
  <c r="AD597" i="4" s="1"/>
  <c r="AG598" i="4"/>
  <c r="AA601" i="4"/>
  <c r="AD601" i="4" s="1"/>
  <c r="AG602" i="4"/>
  <c r="AA605" i="4"/>
  <c r="AD605" i="4" s="1"/>
  <c r="AA671" i="4"/>
  <c r="AD671" i="4" s="1"/>
  <c r="AC805" i="4"/>
  <c r="AG805" i="4"/>
  <c r="AA805" i="4"/>
  <c r="AD805" i="4" s="1"/>
  <c r="AA807" i="4"/>
  <c r="AD807" i="4" s="1"/>
  <c r="AG807" i="4"/>
  <c r="AG808" i="4"/>
  <c r="AC808" i="4"/>
  <c r="AA808" i="4"/>
  <c r="AD808" i="4" s="1"/>
  <c r="AA829" i="4"/>
  <c r="AD829" i="4" s="1"/>
  <c r="AG832" i="4"/>
  <c r="AA832" i="4"/>
  <c r="AD832" i="4" s="1"/>
  <c r="AA848" i="4"/>
  <c r="AD848" i="4" s="1"/>
  <c r="AG848" i="4"/>
  <c r="AA862" i="4"/>
  <c r="AD862" i="4" s="1"/>
  <c r="AG1025" i="4"/>
  <c r="AC1038" i="4"/>
  <c r="AA1038" i="4"/>
  <c r="AD1038" i="4" s="1"/>
  <c r="AG1038" i="4"/>
  <c r="AC1200" i="4"/>
  <c r="AA1200" i="4"/>
  <c r="AD1200" i="4" s="1"/>
  <c r="AC1219" i="4"/>
  <c r="AC1342" i="4"/>
  <c r="AC1413" i="4"/>
  <c r="AA1423" i="4"/>
  <c r="AD1423" i="4" s="1"/>
  <c r="AG1423" i="4"/>
  <c r="AG1472" i="4"/>
  <c r="AA1472" i="4"/>
  <c r="AD1472" i="4" s="1"/>
  <c r="AC1472" i="4"/>
  <c r="AC1493" i="4"/>
  <c r="AG377" i="4"/>
  <c r="AC377" i="4"/>
  <c r="AA398" i="4"/>
  <c r="AD398" i="4" s="1"/>
  <c r="AG457" i="4"/>
  <c r="AC457" i="4"/>
  <c r="AG459" i="4"/>
  <c r="AC459" i="4"/>
  <c r="AC510" i="4"/>
  <c r="AC608" i="4"/>
  <c r="AG608" i="4"/>
  <c r="AA608" i="4"/>
  <c r="AD608" i="4" s="1"/>
  <c r="AA708" i="4"/>
  <c r="AD708" i="4" s="1"/>
  <c r="AG723" i="4"/>
  <c r="AA723" i="4"/>
  <c r="AD723" i="4" s="1"/>
  <c r="AC728" i="4"/>
  <c r="AG728" i="4"/>
  <c r="AC786" i="4"/>
  <c r="AG786" i="4"/>
  <c r="AA786" i="4"/>
  <c r="AD786" i="4" s="1"/>
  <c r="AC795" i="4"/>
  <c r="AG795" i="4"/>
  <c r="AC849" i="4"/>
  <c r="AC906" i="4"/>
  <c r="AC1130" i="4"/>
  <c r="AG1130" i="4"/>
  <c r="AC1175" i="4"/>
  <c r="AG1264" i="4"/>
  <c r="AC1264" i="4"/>
  <c r="AA1264" i="4"/>
  <c r="AD1264" i="4" s="1"/>
  <c r="AC1292" i="4"/>
  <c r="AG1292" i="4"/>
  <c r="AA1292" i="4"/>
  <c r="AD1292" i="4" s="1"/>
  <c r="AA1415" i="4"/>
  <c r="AD1415" i="4" s="1"/>
  <c r="AG1415" i="4"/>
  <c r="AG1424" i="4"/>
  <c r="AA1424" i="4"/>
  <c r="AD1424" i="4" s="1"/>
  <c r="AC1424" i="4"/>
  <c r="AA1462" i="4"/>
  <c r="AD1462" i="4" s="1"/>
  <c r="AG1462" i="4"/>
  <c r="AC1514" i="4"/>
  <c r="AC1611" i="4"/>
  <c r="AA1611" i="4"/>
  <c r="AD1611" i="4" s="1"/>
  <c r="AC8" i="4"/>
  <c r="AC9" i="4"/>
  <c r="AA14" i="4"/>
  <c r="AD14" i="4" s="1"/>
  <c r="AA19" i="4"/>
  <c r="AD19" i="4" s="1"/>
  <c r="AA24" i="4"/>
  <c r="AD24" i="4" s="1"/>
  <c r="AA28" i="4"/>
  <c r="AD28" i="4" s="1"/>
  <c r="AC36" i="4"/>
  <c r="AG52" i="4"/>
  <c r="AA54" i="4"/>
  <c r="AD54" i="4" s="1"/>
  <c r="AC61" i="4"/>
  <c r="AA293" i="4"/>
  <c r="AD293" i="4" s="1"/>
  <c r="AC360" i="4"/>
  <c r="AA364" i="4"/>
  <c r="AD364" i="4" s="1"/>
  <c r="AC375" i="4"/>
  <c r="AG383" i="4"/>
  <c r="AG392" i="4"/>
  <c r="AC392" i="4"/>
  <c r="AC800" i="4"/>
  <c r="AG800" i="4"/>
  <c r="AA800" i="4"/>
  <c r="AD800" i="4" s="1"/>
  <c r="AC807" i="4"/>
  <c r="AA827" i="4"/>
  <c r="AD827" i="4" s="1"/>
  <c r="AG852" i="4"/>
  <c r="AA852" i="4"/>
  <c r="AD852" i="4" s="1"/>
  <c r="AG862" i="4"/>
  <c r="AG871" i="4"/>
  <c r="AA871" i="4"/>
  <c r="AD871" i="4" s="1"/>
  <c r="AG957" i="4"/>
  <c r="AA957" i="4"/>
  <c r="AD957" i="4" s="1"/>
  <c r="AG962" i="4"/>
  <c r="AA962" i="4"/>
  <c r="AD962" i="4" s="1"/>
  <c r="AC1000" i="4"/>
  <c r="AG1000" i="4"/>
  <c r="AA1000" i="4"/>
  <c r="AD1000" i="4" s="1"/>
  <c r="AG1006" i="4"/>
  <c r="AA1006" i="4"/>
  <c r="AD1006" i="4" s="1"/>
  <c r="AG445" i="4"/>
  <c r="AC445" i="4"/>
  <c r="AG833" i="4"/>
  <c r="AA833" i="4"/>
  <c r="AD833" i="4" s="1"/>
  <c r="AG931" i="4"/>
  <c r="AC931" i="4"/>
  <c r="AA931" i="4"/>
  <c r="AD931" i="4" s="1"/>
  <c r="AG1029" i="4"/>
  <c r="AC1029" i="4"/>
  <c r="AC1063" i="4"/>
  <c r="AA1143" i="4"/>
  <c r="AD1143" i="4" s="1"/>
  <c r="AC1143" i="4"/>
  <c r="AG1254" i="4"/>
  <c r="AC1254" i="4"/>
  <c r="AA1254" i="4"/>
  <c r="AD1254" i="4" s="1"/>
  <c r="AG1265" i="4"/>
  <c r="AA1265" i="4"/>
  <c r="AD1265" i="4" s="1"/>
  <c r="AC83" i="4"/>
  <c r="AA90" i="4"/>
  <c r="AD90" i="4" s="1"/>
  <c r="AA94" i="4"/>
  <c r="AD94" i="4" s="1"/>
  <c r="AA98" i="4"/>
  <c r="AD98" i="4" s="1"/>
  <c r="AA141" i="4"/>
  <c r="AD141" i="4" s="1"/>
  <c r="AC147" i="4"/>
  <c r="AC205" i="4"/>
  <c r="AA224" i="4"/>
  <c r="AD224" i="4" s="1"/>
  <c r="AA233" i="4"/>
  <c r="AD233" i="4" s="1"/>
  <c r="AG235" i="4"/>
  <c r="AA237" i="4"/>
  <c r="AD237" i="4" s="1"/>
  <c r="AC277" i="4"/>
  <c r="AC2" i="4"/>
  <c r="AC6" i="4"/>
  <c r="AA12" i="4"/>
  <c r="AD12" i="4" s="1"/>
  <c r="AG14" i="4"/>
  <c r="AA17" i="4"/>
  <c r="AD17" i="4" s="1"/>
  <c r="AA20" i="4"/>
  <c r="AD20" i="4" s="1"/>
  <c r="AG24" i="4"/>
  <c r="AG28" i="4"/>
  <c r="AG54" i="4"/>
  <c r="AA62" i="4"/>
  <c r="AD62" i="4" s="1"/>
  <c r="AA63" i="4"/>
  <c r="AD63" i="4" s="1"/>
  <c r="AC67" i="4"/>
  <c r="AC73" i="4"/>
  <c r="AG76" i="4"/>
  <c r="AC84" i="4"/>
  <c r="AC90" i="4"/>
  <c r="AC94" i="4"/>
  <c r="AC98" i="4"/>
  <c r="AG141" i="4"/>
  <c r="AC143" i="4"/>
  <c r="AC182" i="4"/>
  <c r="AC183" i="4"/>
  <c r="AC186" i="4"/>
  <c r="AC187" i="4"/>
  <c r="AC191" i="4"/>
  <c r="AC203" i="4"/>
  <c r="AC207" i="4"/>
  <c r="AC217" i="4"/>
  <c r="AA220" i="4"/>
  <c r="AD220" i="4" s="1"/>
  <c r="AC224" i="4"/>
  <c r="AG226" i="4"/>
  <c r="AC233" i="4"/>
  <c r="AA236" i="4"/>
  <c r="AD236" i="4" s="1"/>
  <c r="AC240" i="4"/>
  <c r="AG242" i="4"/>
  <c r="AC279" i="4"/>
  <c r="AC304" i="4"/>
  <c r="AA306" i="4"/>
  <c r="AD306" i="4" s="1"/>
  <c r="AC356" i="4"/>
  <c r="AA368" i="4"/>
  <c r="AD368" i="4" s="1"/>
  <c r="AG384" i="4"/>
  <c r="AC384" i="4"/>
  <c r="AG388" i="4"/>
  <c r="AC388" i="4"/>
  <c r="AG391" i="4"/>
  <c r="AA423" i="4"/>
  <c r="AD423" i="4" s="1"/>
  <c r="AC431" i="4"/>
  <c r="AG432" i="4"/>
  <c r="AA432" i="4"/>
  <c r="AD432" i="4" s="1"/>
  <c r="AC438" i="4"/>
  <c r="AC439" i="4"/>
  <c r="AG446" i="4"/>
  <c r="AC446" i="4"/>
  <c r="AC451" i="4"/>
  <c r="AG452" i="4"/>
  <c r="AA452" i="4"/>
  <c r="AD452" i="4" s="1"/>
  <c r="AA470" i="4"/>
  <c r="AD470" i="4" s="1"/>
  <c r="AC494" i="4"/>
  <c r="AG577" i="4"/>
  <c r="AA578" i="4"/>
  <c r="AD578" i="4" s="1"/>
  <c r="AG581" i="4"/>
  <c r="AA582" i="4"/>
  <c r="AD582" i="4" s="1"/>
  <c r="AG585" i="4"/>
  <c r="AA586" i="4"/>
  <c r="AD586" i="4" s="1"/>
  <c r="AG589" i="4"/>
  <c r="AA590" i="4"/>
  <c r="AD590" i="4" s="1"/>
  <c r="AG593" i="4"/>
  <c r="AA594" i="4"/>
  <c r="AD594" i="4" s="1"/>
  <c r="AG597" i="4"/>
  <c r="AA598" i="4"/>
  <c r="AD598" i="4" s="1"/>
  <c r="AG601" i="4"/>
  <c r="AA602" i="4"/>
  <c r="AD602" i="4" s="1"/>
  <c r="AG605" i="4"/>
  <c r="AA606" i="4"/>
  <c r="AD606" i="4" s="1"/>
  <c r="AC646" i="4"/>
  <c r="AC707" i="4"/>
  <c r="AG731" i="4"/>
  <c r="AA731" i="4"/>
  <c r="AD731" i="4" s="1"/>
  <c r="AA733" i="4"/>
  <c r="AD733" i="4" s="1"/>
  <c r="AC748" i="4"/>
  <c r="AC749" i="4"/>
  <c r="AA4" i="4"/>
  <c r="AD4" i="4" s="1"/>
  <c r="AG12" i="4"/>
  <c r="AA15" i="4"/>
  <c r="AD15" i="4" s="1"/>
  <c r="AA18" i="4"/>
  <c r="AD18" i="4" s="1"/>
  <c r="AG20" i="4"/>
  <c r="AC40" i="4"/>
  <c r="AA55" i="4"/>
  <c r="AD55" i="4" s="1"/>
  <c r="AA58" i="4"/>
  <c r="AD58" i="4" s="1"/>
  <c r="AA59" i="4"/>
  <c r="AD59" i="4" s="1"/>
  <c r="AC63" i="4"/>
  <c r="AG67" i="4"/>
  <c r="AC69" i="4"/>
  <c r="AA74" i="4"/>
  <c r="AD74" i="4" s="1"/>
  <c r="AC80" i="4"/>
  <c r="AA82" i="4"/>
  <c r="AD82" i="4" s="1"/>
  <c r="AG90" i="4"/>
  <c r="AG94" i="4"/>
  <c r="AG98" i="4"/>
  <c r="AG143" i="4"/>
  <c r="AA146" i="4"/>
  <c r="AD146" i="4" s="1"/>
  <c r="AC193" i="4"/>
  <c r="AC197" i="4"/>
  <c r="AC209" i="4"/>
  <c r="AC213" i="4"/>
  <c r="AA216" i="4"/>
  <c r="AD216" i="4" s="1"/>
  <c r="AC220" i="4"/>
  <c r="AG224" i="4"/>
  <c r="AA225" i="4"/>
  <c r="AD225" i="4" s="1"/>
  <c r="AG227" i="4"/>
  <c r="AA229" i="4"/>
  <c r="AD229" i="4" s="1"/>
  <c r="AA232" i="4"/>
  <c r="AD232" i="4" s="1"/>
  <c r="AC236" i="4"/>
  <c r="AG240" i="4"/>
  <c r="AA241" i="4"/>
  <c r="AD241" i="4" s="1"/>
  <c r="AG243" i="4"/>
  <c r="AC293" i="4"/>
  <c r="AG304" i="4"/>
  <c r="AG306" i="4"/>
  <c r="AG356" i="4"/>
  <c r="AA358" i="4"/>
  <c r="AD358" i="4" s="1"/>
  <c r="AG360" i="4"/>
  <c r="AA362" i="4"/>
  <c r="AD362" i="4" s="1"/>
  <c r="AC364" i="4"/>
  <c r="AC368" i="4"/>
  <c r="AG370" i="4"/>
  <c r="AG372" i="4"/>
  <c r="AC383" i="4"/>
  <c r="AC391" i="4"/>
  <c r="AG399" i="4"/>
  <c r="AG418" i="4"/>
  <c r="AC418" i="4"/>
  <c r="AA418" i="4"/>
  <c r="AD418" i="4" s="1"/>
  <c r="AG419" i="4"/>
  <c r="AG426" i="4"/>
  <c r="AC426" i="4"/>
  <c r="AA426" i="4"/>
  <c r="AD426" i="4" s="1"/>
  <c r="AG427" i="4"/>
  <c r="AG433" i="4"/>
  <c r="AC433" i="4"/>
  <c r="AA433" i="4"/>
  <c r="AD433" i="4" s="1"/>
  <c r="AG453" i="4"/>
  <c r="AC453" i="4"/>
  <c r="AA453" i="4"/>
  <c r="AD453" i="4" s="1"/>
  <c r="AC465" i="4"/>
  <c r="AC474" i="4"/>
  <c r="AG474" i="4"/>
  <c r="AA474" i="4"/>
  <c r="AD474" i="4" s="1"/>
  <c r="AC486" i="4"/>
  <c r="AC490" i="4"/>
  <c r="AG518" i="4"/>
  <c r="AG526" i="4"/>
  <c r="AG534" i="4"/>
  <c r="AG542" i="4"/>
  <c r="AG550" i="4"/>
  <c r="AG558" i="4"/>
  <c r="AG566" i="4"/>
  <c r="AG574" i="4"/>
  <c r="AC644" i="4"/>
  <c r="AC654" i="4"/>
  <c r="AC675" i="4"/>
  <c r="AG711" i="4"/>
  <c r="AA711" i="4"/>
  <c r="AD711" i="4" s="1"/>
  <c r="AA737" i="4"/>
  <c r="AD737" i="4" s="1"/>
  <c r="AC747" i="4"/>
  <c r="AC757" i="4"/>
  <c r="AA797" i="4"/>
  <c r="AD797" i="4" s="1"/>
  <c r="AG797" i="4"/>
  <c r="AA806" i="4"/>
  <c r="AD806" i="4" s="1"/>
  <c r="AG806" i="4"/>
  <c r="AA811" i="4"/>
  <c r="AD811" i="4" s="1"/>
  <c r="AA819" i="4"/>
  <c r="AD819" i="4" s="1"/>
  <c r="AC907" i="4"/>
  <c r="AC941" i="4"/>
  <c r="AA961" i="4"/>
  <c r="AD961" i="4" s="1"/>
  <c r="AG965" i="4"/>
  <c r="AA965" i="4"/>
  <c r="AD965" i="4" s="1"/>
  <c r="AA466" i="4"/>
  <c r="AD466" i="4" s="1"/>
  <c r="AA469" i="4"/>
  <c r="AD469" i="4" s="1"/>
  <c r="AG469" i="4"/>
  <c r="AG514" i="4"/>
  <c r="AG522" i="4"/>
  <c r="AG530" i="4"/>
  <c r="AG538" i="4"/>
  <c r="AG546" i="4"/>
  <c r="AG554" i="4"/>
  <c r="AG562" i="4"/>
  <c r="AG570" i="4"/>
  <c r="AA579" i="4"/>
  <c r="AD579" i="4" s="1"/>
  <c r="AA583" i="4"/>
  <c r="AD583" i="4" s="1"/>
  <c r="AA587" i="4"/>
  <c r="AD587" i="4" s="1"/>
  <c r="AA591" i="4"/>
  <c r="AD591" i="4" s="1"/>
  <c r="AA595" i="4"/>
  <c r="AD595" i="4" s="1"/>
  <c r="AA599" i="4"/>
  <c r="AD599" i="4" s="1"/>
  <c r="AA603" i="4"/>
  <c r="AD603" i="4" s="1"/>
  <c r="AC628" i="4"/>
  <c r="AC636" i="4"/>
  <c r="AC660" i="4"/>
  <c r="AA679" i="4"/>
  <c r="AD679" i="4" s="1"/>
  <c r="AA739" i="4"/>
  <c r="AD739" i="4" s="1"/>
  <c r="AC784" i="4"/>
  <c r="AG788" i="4"/>
  <c r="AC792" i="4"/>
  <c r="AA794" i="4"/>
  <c r="AD794" i="4" s="1"/>
  <c r="AC798" i="4"/>
  <c r="AG801" i="4"/>
  <c r="AC803" i="4"/>
  <c r="AG850" i="4"/>
  <c r="AA856" i="4"/>
  <c r="AD856" i="4" s="1"/>
  <c r="AG881" i="4"/>
  <c r="AC904" i="4"/>
  <c r="AG956" i="4"/>
  <c r="AA956" i="4"/>
  <c r="AD956" i="4" s="1"/>
  <c r="AG981" i="4"/>
  <c r="AA981" i="4"/>
  <c r="AD981" i="4" s="1"/>
  <c r="AG1066" i="4"/>
  <c r="AA1066" i="4"/>
  <c r="AD1066" i="4" s="1"/>
  <c r="AG1087" i="4"/>
  <c r="AG1099" i="4"/>
  <c r="AA1099" i="4"/>
  <c r="AD1099" i="4" s="1"/>
  <c r="AG1162" i="4"/>
  <c r="AA1162" i="4"/>
  <c r="AD1162" i="4" s="1"/>
  <c r="AC389" i="4"/>
  <c r="AA415" i="4"/>
  <c r="AD415" i="4" s="1"/>
  <c r="AA436" i="4"/>
  <c r="AD436" i="4" s="1"/>
  <c r="AC447" i="4"/>
  <c r="AA449" i="4"/>
  <c r="AD449" i="4" s="1"/>
  <c r="AA456" i="4"/>
  <c r="AD456" i="4" s="1"/>
  <c r="AG461" i="4"/>
  <c r="AC464" i="4"/>
  <c r="AG464" i="4"/>
  <c r="AC466" i="4"/>
  <c r="AC469" i="4"/>
  <c r="AA472" i="4"/>
  <c r="AD472" i="4" s="1"/>
  <c r="AC476" i="4"/>
  <c r="AC488" i="4"/>
  <c r="AC504" i="4"/>
  <c r="AG512" i="4"/>
  <c r="AA514" i="4"/>
  <c r="AD514" i="4" s="1"/>
  <c r="AG520" i="4"/>
  <c r="AA522" i="4"/>
  <c r="AD522" i="4" s="1"/>
  <c r="AG528" i="4"/>
  <c r="AA530" i="4"/>
  <c r="AD530" i="4" s="1"/>
  <c r="AG536" i="4"/>
  <c r="AA538" i="4"/>
  <c r="AD538" i="4" s="1"/>
  <c r="AG544" i="4"/>
  <c r="AA546" i="4"/>
  <c r="AD546" i="4" s="1"/>
  <c r="AG552" i="4"/>
  <c r="AA554" i="4"/>
  <c r="AD554" i="4" s="1"/>
  <c r="AG560" i="4"/>
  <c r="AA562" i="4"/>
  <c r="AD562" i="4" s="1"/>
  <c r="AG568" i="4"/>
  <c r="AA570" i="4"/>
  <c r="AD570" i="4" s="1"/>
  <c r="AA576" i="4"/>
  <c r="AD576" i="4" s="1"/>
  <c r="AG579" i="4"/>
  <c r="AA580" i="4"/>
  <c r="AD580" i="4" s="1"/>
  <c r="AG583" i="4"/>
  <c r="AA584" i="4"/>
  <c r="AD584" i="4" s="1"/>
  <c r="AG587" i="4"/>
  <c r="AA588" i="4"/>
  <c r="AD588" i="4" s="1"/>
  <c r="AG591" i="4"/>
  <c r="AA592" i="4"/>
  <c r="AD592" i="4" s="1"/>
  <c r="AG595" i="4"/>
  <c r="AA596" i="4"/>
  <c r="AD596" i="4" s="1"/>
  <c r="AG599" i="4"/>
  <c r="AA600" i="4"/>
  <c r="AD600" i="4" s="1"/>
  <c r="AG603" i="4"/>
  <c r="AA604" i="4"/>
  <c r="AD604" i="4" s="1"/>
  <c r="AG626" i="4"/>
  <c r="AC627" i="4"/>
  <c r="AA628" i="4"/>
  <c r="AD628" i="4" s="1"/>
  <c r="AC652" i="4"/>
  <c r="AC676" i="4"/>
  <c r="AA687" i="4"/>
  <c r="AD687" i="4" s="1"/>
  <c r="AC724" i="4"/>
  <c r="AC738" i="4"/>
  <c r="AC751" i="4"/>
  <c r="AC756" i="4"/>
  <c r="AC761" i="4"/>
  <c r="AG783" i="4"/>
  <c r="AA784" i="4"/>
  <c r="AD784" i="4" s="1"/>
  <c r="AA788" i="4"/>
  <c r="AD788" i="4" s="1"/>
  <c r="AA792" i="4"/>
  <c r="AD792" i="4" s="1"/>
  <c r="AC794" i="4"/>
  <c r="AA798" i="4"/>
  <c r="AD798" i="4" s="1"/>
  <c r="AA801" i="4"/>
  <c r="AD801" i="4" s="1"/>
  <c r="AA803" i="4"/>
  <c r="AD803" i="4" s="1"/>
  <c r="AA838" i="4"/>
  <c r="AD838" i="4" s="1"/>
  <c r="AC850" i="4"/>
  <c r="AG851" i="4"/>
  <c r="AG855" i="4"/>
  <c r="AA855" i="4"/>
  <c r="AD855" i="4" s="1"/>
  <c r="AG856" i="4"/>
  <c r="AA879" i="4"/>
  <c r="AD879" i="4" s="1"/>
  <c r="AG897" i="4"/>
  <c r="AC901" i="4"/>
  <c r="AC902" i="4"/>
  <c r="AA980" i="4"/>
  <c r="AD980" i="4" s="1"/>
  <c r="AG980" i="4"/>
  <c r="AC996" i="4"/>
  <c r="AG996" i="4"/>
  <c r="AG1011" i="4"/>
  <c r="AC1011" i="4"/>
  <c r="AA1157" i="4"/>
  <c r="AD1157" i="4" s="1"/>
  <c r="AG1157" i="4"/>
  <c r="AG1164" i="4"/>
  <c r="AC1164" i="4"/>
  <c r="AA1164" i="4"/>
  <c r="AD1164" i="4" s="1"/>
  <c r="AG968" i="4"/>
  <c r="AC968" i="4"/>
  <c r="AA1117" i="4"/>
  <c r="AD1117" i="4" s="1"/>
  <c r="AG1123" i="4"/>
  <c r="AC1123" i="4"/>
  <c r="AG1145" i="4"/>
  <c r="AC1145" i="4"/>
  <c r="AA1145" i="4"/>
  <c r="AD1145" i="4" s="1"/>
  <c r="AA1341" i="4"/>
  <c r="AD1341" i="4" s="1"/>
  <c r="AG1341" i="4"/>
  <c r="AC1341" i="4"/>
  <c r="AC1373" i="4"/>
  <c r="AA1422" i="4"/>
  <c r="AD1422" i="4" s="1"/>
  <c r="AG1422" i="4"/>
  <c r="AA1542" i="4"/>
  <c r="AD1542" i="4" s="1"/>
  <c r="AC1542" i="4"/>
  <c r="AC1078" i="4"/>
  <c r="AG1078" i="4"/>
  <c r="AA1132" i="4"/>
  <c r="AD1132" i="4" s="1"/>
  <c r="AC1134" i="4"/>
  <c r="AA1134" i="4"/>
  <c r="AD1134" i="4" s="1"/>
  <c r="AG1135" i="4"/>
  <c r="AC1135" i="4"/>
  <c r="AG1181" i="4"/>
  <c r="AC1181" i="4"/>
  <c r="AA1181" i="4"/>
  <c r="AD1181" i="4" s="1"/>
  <c r="AG1261" i="4"/>
  <c r="AA1261" i="4"/>
  <c r="AD1261" i="4" s="1"/>
  <c r="AC1403" i="4"/>
  <c r="AA1421" i="4"/>
  <c r="AD1421" i="4" s="1"/>
  <c r="AG1421" i="4"/>
  <c r="AA1541" i="4"/>
  <c r="AD1541" i="4" s="1"/>
  <c r="AG1541" i="4"/>
  <c r="AG1567" i="4"/>
  <c r="AA1567" i="4"/>
  <c r="AD1567" i="4" s="1"/>
  <c r="AC1567" i="4"/>
  <c r="AC1180" i="4"/>
  <c r="AC1197" i="4"/>
  <c r="AC1213" i="4"/>
  <c r="AC1222" i="4"/>
  <c r="AC1239" i="4"/>
  <c r="AG1256" i="4"/>
  <c r="AC1262" i="4"/>
  <c r="AG1284" i="4"/>
  <c r="AG1288" i="4"/>
  <c r="AA1335" i="4"/>
  <c r="AD1335" i="4" s="1"/>
  <c r="AA1393" i="4"/>
  <c r="AD1393" i="4" s="1"/>
  <c r="AC1417" i="4"/>
  <c r="AA1417" i="4"/>
  <c r="AD1417" i="4" s="1"/>
  <c r="AG1445" i="4"/>
  <c r="AA1445" i="4"/>
  <c r="AD1445" i="4" s="1"/>
  <c r="AA1474" i="4"/>
  <c r="AD1474" i="4" s="1"/>
  <c r="AA1491" i="4"/>
  <c r="AD1491" i="4" s="1"/>
  <c r="AC1492" i="4"/>
  <c r="AA1534" i="4"/>
  <c r="AD1534" i="4" s="1"/>
  <c r="AC1534" i="4"/>
  <c r="AC1603" i="4"/>
  <c r="AA1603" i="4"/>
  <c r="AD1603" i="4" s="1"/>
  <c r="AG1435" i="4"/>
  <c r="AG1458" i="4"/>
  <c r="AA1458" i="4"/>
  <c r="AD1458" i="4" s="1"/>
  <c r="AG1468" i="4"/>
  <c r="AA1468" i="4"/>
  <c r="AD1468" i="4" s="1"/>
  <c r="AA1526" i="4"/>
  <c r="AD1526" i="4" s="1"/>
  <c r="AC1533" i="4"/>
  <c r="AG1547" i="4"/>
  <c r="AA1547" i="4"/>
  <c r="AD1547" i="4" s="1"/>
  <c r="AA1562" i="4"/>
  <c r="AD1562" i="4" s="1"/>
  <c r="AG1562" i="4"/>
  <c r="AA1563" i="4"/>
  <c r="AD1563" i="4" s="1"/>
  <c r="AA1578" i="4"/>
  <c r="AD1578" i="4" s="1"/>
  <c r="AC1578" i="4"/>
  <c r="AC1609" i="4"/>
  <c r="AA1609" i="4"/>
  <c r="AD1609" i="4" s="1"/>
  <c r="AA934" i="4"/>
  <c r="AD934" i="4" s="1"/>
  <c r="AC939" i="4"/>
  <c r="AC942" i="4"/>
  <c r="AC944" i="4"/>
  <c r="AG945" i="4"/>
  <c r="AA946" i="4"/>
  <c r="AD946" i="4" s="1"/>
  <c r="AG947" i="4"/>
  <c r="AC952" i="4"/>
  <c r="AA958" i="4"/>
  <c r="AD958" i="4" s="1"/>
  <c r="AC966" i="4"/>
  <c r="AA982" i="4"/>
  <c r="AD982" i="4" s="1"/>
  <c r="AG1007" i="4"/>
  <c r="AA1008" i="4"/>
  <c r="AD1008" i="4" s="1"/>
  <c r="AC1067" i="4"/>
  <c r="AC1079" i="4"/>
  <c r="AA1087" i="4"/>
  <c r="AD1087" i="4" s="1"/>
  <c r="AC1096" i="4"/>
  <c r="AA1139" i="4"/>
  <c r="AD1139" i="4" s="1"/>
  <c r="AA1142" i="4"/>
  <c r="AD1142" i="4" s="1"/>
  <c r="AA1152" i="4"/>
  <c r="AD1152" i="4" s="1"/>
  <c r="AA1163" i="4"/>
  <c r="AD1163" i="4" s="1"/>
  <c r="AA1179" i="4"/>
  <c r="AD1179" i="4" s="1"/>
  <c r="AC1184" i="4"/>
  <c r="AA1185" i="4"/>
  <c r="AD1185" i="4" s="1"/>
  <c r="AA1196" i="4"/>
  <c r="AD1196" i="4" s="1"/>
  <c r="AC1201" i="4"/>
  <c r="AA1211" i="4"/>
  <c r="AD1211" i="4" s="1"/>
  <c r="AC1224" i="4"/>
  <c r="AC1227" i="4"/>
  <c r="AC1251" i="4"/>
  <c r="AA1253" i="4"/>
  <c r="AD1253" i="4" s="1"/>
  <c r="AA1256" i="4"/>
  <c r="AD1256" i="4" s="1"/>
  <c r="AG1259" i="4"/>
  <c r="AC1260" i="4"/>
  <c r="AC1263" i="4"/>
  <c r="AA1276" i="4"/>
  <c r="AD1276" i="4" s="1"/>
  <c r="AA1280" i="4"/>
  <c r="AD1280" i="4" s="1"/>
  <c r="AG1282" i="4"/>
  <c r="AC1339" i="4"/>
  <c r="AG1346" i="4"/>
  <c r="AG1434" i="4"/>
  <c r="AA1434" i="4"/>
  <c r="AD1434" i="4" s="1"/>
  <c r="AC1458" i="4"/>
  <c r="AC1468" i="4"/>
  <c r="AG1478" i="4"/>
  <c r="AC1494" i="4"/>
  <c r="AC1495" i="4"/>
  <c r="AA1523" i="4"/>
  <c r="AD1523" i="4" s="1"/>
  <c r="AG1526" i="4"/>
  <c r="AC1547" i="4"/>
  <c r="AC1562" i="4"/>
  <c r="AG1563" i="4"/>
  <c r="AC1584" i="4"/>
  <c r="AC1586" i="4"/>
  <c r="AA1586" i="4"/>
  <c r="AD1586" i="4" s="1"/>
  <c r="AA1610" i="4"/>
  <c r="AD1610" i="4" s="1"/>
  <c r="AC1610" i="4"/>
  <c r="AG1359" i="4"/>
  <c r="AG1427" i="4"/>
  <c r="AG1532" i="4"/>
  <c r="AG1571" i="4"/>
  <c r="AC1428" i="4"/>
  <c r="AC1433" i="4"/>
  <c r="AC1551" i="4"/>
  <c r="AC1593" i="4"/>
  <c r="AG1208" i="4"/>
  <c r="AC1208" i="4"/>
  <c r="AC1214" i="4"/>
  <c r="AA1214" i="4"/>
  <c r="AD1214" i="4" s="1"/>
  <c r="AG1214" i="4"/>
  <c r="AC1241" i="4"/>
  <c r="AC1287" i="4"/>
  <c r="AG1287" i="4"/>
  <c r="AA1287" i="4"/>
  <c r="AD1287" i="4" s="1"/>
  <c r="AG1295" i="4"/>
  <c r="AC1295" i="4"/>
  <c r="AA1394" i="4"/>
  <c r="AD1394" i="4" s="1"/>
  <c r="AG1394" i="4"/>
  <c r="AC1394" i="4"/>
  <c r="AA1436" i="4"/>
  <c r="AD1436" i="4" s="1"/>
  <c r="AG1436" i="4"/>
  <c r="AC1436" i="4"/>
  <c r="AC1501" i="4"/>
  <c r="AC1509" i="4"/>
  <c r="AA1565" i="4"/>
  <c r="AD1565" i="4" s="1"/>
  <c r="AG1565" i="4"/>
  <c r="AA3" i="4"/>
  <c r="AD3" i="4" s="1"/>
  <c r="AA5" i="4"/>
  <c r="AD5" i="4" s="1"/>
  <c r="AG8" i="4"/>
  <c r="AA10" i="4"/>
  <c r="AD10" i="4" s="1"/>
  <c r="AA23" i="4"/>
  <c r="AD23" i="4" s="1"/>
  <c r="AG29" i="4"/>
  <c r="AA41" i="4"/>
  <c r="AD41" i="4" s="1"/>
  <c r="AC45" i="4"/>
  <c r="AA51" i="4"/>
  <c r="AD51" i="4" s="1"/>
  <c r="AA53" i="4"/>
  <c r="AG58" i="4"/>
  <c r="AA60" i="4"/>
  <c r="AD60" i="4" s="1"/>
  <c r="AG62" i="4"/>
  <c r="AA64" i="4"/>
  <c r="AD64" i="4" s="1"/>
  <c r="AG66" i="4"/>
  <c r="AA68" i="4"/>
  <c r="AD68" i="4" s="1"/>
  <c r="AG70" i="4"/>
  <c r="AA72" i="4"/>
  <c r="AD72" i="4" s="1"/>
  <c r="AG74" i="4"/>
  <c r="AG80" i="4"/>
  <c r="AA86" i="4"/>
  <c r="AD86" i="4" s="1"/>
  <c r="AA88" i="4"/>
  <c r="AD88" i="4" s="1"/>
  <c r="AA92" i="4"/>
  <c r="AD92" i="4" s="1"/>
  <c r="AA96" i="4"/>
  <c r="AD96" i="4" s="1"/>
  <c r="AC100" i="4"/>
  <c r="AC104" i="4"/>
  <c r="AC108" i="4"/>
  <c r="AC112" i="4"/>
  <c r="AC116" i="4"/>
  <c r="AC120" i="4"/>
  <c r="AC124" i="4"/>
  <c r="AC128" i="4"/>
  <c r="AC132" i="4"/>
  <c r="AC136" i="4"/>
  <c r="AG139" i="4"/>
  <c r="AA145" i="4"/>
  <c r="AD145" i="4" s="1"/>
  <c r="AC158" i="4"/>
  <c r="AC166" i="4"/>
  <c r="AC174" i="4"/>
  <c r="AG188" i="4"/>
  <c r="AG196" i="4"/>
  <c r="AG204" i="4"/>
  <c r="AG212" i="4"/>
  <c r="AC215" i="4"/>
  <c r="AA222" i="4"/>
  <c r="AD222" i="4" s="1"/>
  <c r="AC223" i="4"/>
  <c r="AA230" i="4"/>
  <c r="AD230" i="4" s="1"/>
  <c r="AC231" i="4"/>
  <c r="AA238" i="4"/>
  <c r="AD238" i="4" s="1"/>
  <c r="AC239" i="4"/>
  <c r="AG245" i="4"/>
  <c r="AC271" i="4"/>
  <c r="AG275" i="4"/>
  <c r="AG276" i="4"/>
  <c r="AG284" i="4"/>
  <c r="AG299" i="4"/>
  <c r="AC299" i="4"/>
  <c r="AG301" i="4"/>
  <c r="AA301" i="4"/>
  <c r="AD301" i="4" s="1"/>
  <c r="AA305" i="4"/>
  <c r="AD305" i="4" s="1"/>
  <c r="AG305" i="4"/>
  <c r="AG307" i="4"/>
  <c r="AA307" i="4"/>
  <c r="AD307" i="4" s="1"/>
  <c r="AG311" i="4"/>
  <c r="AA311" i="4"/>
  <c r="AD311" i="4" s="1"/>
  <c r="AG315" i="4"/>
  <c r="AA315" i="4"/>
  <c r="AD315" i="4" s="1"/>
  <c r="AG319" i="4"/>
  <c r="AA319" i="4"/>
  <c r="AD319" i="4" s="1"/>
  <c r="AG323" i="4"/>
  <c r="AA323" i="4"/>
  <c r="AD323" i="4" s="1"/>
  <c r="AG327" i="4"/>
  <c r="AA327" i="4"/>
  <c r="AD327" i="4" s="1"/>
  <c r="AG331" i="4"/>
  <c r="AA331" i="4"/>
  <c r="AD331" i="4" s="1"/>
  <c r="AG335" i="4"/>
  <c r="AA335" i="4"/>
  <c r="AD335" i="4" s="1"/>
  <c r="AG340" i="4"/>
  <c r="AC340" i="4"/>
  <c r="AG341" i="4"/>
  <c r="AC341" i="4"/>
  <c r="AG348" i="4"/>
  <c r="AC348" i="4"/>
  <c r="AG349" i="4"/>
  <c r="AC349" i="4"/>
  <c r="AC357" i="4"/>
  <c r="AC365" i="4"/>
  <c r="AG416" i="4"/>
  <c r="AA416" i="4"/>
  <c r="AD416" i="4" s="1"/>
  <c r="AG420" i="4"/>
  <c r="AA420" i="4"/>
  <c r="AD420" i="4" s="1"/>
  <c r="AG424" i="4"/>
  <c r="AA424" i="4"/>
  <c r="AD424" i="4" s="1"/>
  <c r="AG428" i="4"/>
  <c r="AA428" i="4"/>
  <c r="AD428" i="4" s="1"/>
  <c r="AA430" i="4"/>
  <c r="AD430" i="4" s="1"/>
  <c r="AC435" i="4"/>
  <c r="AA439" i="4"/>
  <c r="AD439" i="4" s="1"/>
  <c r="AG439" i="4"/>
  <c r="AA446" i="4"/>
  <c r="AD446" i="4" s="1"/>
  <c r="AA450" i="4"/>
  <c r="AD450" i="4" s="1"/>
  <c r="AG460" i="4"/>
  <c r="AG463" i="4"/>
  <c r="AA463" i="4"/>
  <c r="AD463" i="4" s="1"/>
  <c r="AG468" i="4"/>
  <c r="AA468" i="4"/>
  <c r="AD468" i="4" s="1"/>
  <c r="AC478" i="4"/>
  <c r="AC648" i="4"/>
  <c r="AA661" i="4"/>
  <c r="AD661" i="4" s="1"/>
  <c r="AC661" i="4"/>
  <c r="AA667" i="4"/>
  <c r="AD667" i="4" s="1"/>
  <c r="AC667" i="4"/>
  <c r="AC692" i="4"/>
  <c r="AA717" i="4"/>
  <c r="AD717" i="4" s="1"/>
  <c r="AC717" i="4"/>
  <c r="AG730" i="4"/>
  <c r="AA730" i="4"/>
  <c r="AD730" i="4" s="1"/>
  <c r="AC730" i="4"/>
  <c r="AA735" i="4"/>
  <c r="AD735" i="4" s="1"/>
  <c r="AG735" i="4"/>
  <c r="AG812" i="4"/>
  <c r="AA812" i="4"/>
  <c r="AD812" i="4" s="1"/>
  <c r="AC812" i="4"/>
  <c r="AG853" i="4"/>
  <c r="AA853" i="4"/>
  <c r="AD853" i="4" s="1"/>
  <c r="AC853" i="4"/>
  <c r="AA858" i="4"/>
  <c r="AD858" i="4" s="1"/>
  <c r="AC858" i="4"/>
  <c r="AC900" i="4"/>
  <c r="AA917" i="4"/>
  <c r="AD917" i="4" s="1"/>
  <c r="AG917" i="4"/>
  <c r="AA925" i="4"/>
  <c r="AD925" i="4" s="1"/>
  <c r="AG925" i="4"/>
  <c r="AG935" i="4"/>
  <c r="AC935" i="4"/>
  <c r="AG943" i="4"/>
  <c r="AC943" i="4"/>
  <c r="AA960" i="4"/>
  <c r="AD960" i="4" s="1"/>
  <c r="AG960" i="4"/>
  <c r="AA964" i="4"/>
  <c r="AD964" i="4" s="1"/>
  <c r="AG964" i="4"/>
  <c r="AG995" i="4"/>
  <c r="AA995" i="4"/>
  <c r="AD995" i="4" s="1"/>
  <c r="AC995" i="4"/>
  <c r="AG1003" i="4"/>
  <c r="AA1003" i="4"/>
  <c r="AD1003" i="4" s="1"/>
  <c r="AC1003" i="4"/>
  <c r="AA1043" i="4"/>
  <c r="AD1043" i="4" s="1"/>
  <c r="AG1043" i="4"/>
  <c r="AG1046" i="4"/>
  <c r="AA1083" i="4"/>
  <c r="AD1083" i="4" s="1"/>
  <c r="AG1083" i="4"/>
  <c r="AA1100" i="4"/>
  <c r="AD1100" i="4" s="1"/>
  <c r="AG1100" i="4"/>
  <c r="AC1100" i="4"/>
  <c r="AA1149" i="4"/>
  <c r="AD1149" i="4" s="1"/>
  <c r="AG198" i="4"/>
  <c r="AG206" i="4"/>
  <c r="AG214" i="4"/>
  <c r="AA357" i="4"/>
  <c r="AD357" i="4" s="1"/>
  <c r="AG357" i="4"/>
  <c r="AG359" i="4"/>
  <c r="AA359" i="4"/>
  <c r="AD359" i="4" s="1"/>
  <c r="AA365" i="4"/>
  <c r="AD365" i="4" s="1"/>
  <c r="AG365" i="4"/>
  <c r="AG367" i="4"/>
  <c r="AA367" i="4"/>
  <c r="AD367" i="4" s="1"/>
  <c r="AA373" i="4"/>
  <c r="AD373" i="4" s="1"/>
  <c r="AG373" i="4"/>
  <c r="AA435" i="4"/>
  <c r="AD435" i="4" s="1"/>
  <c r="AG435" i="4"/>
  <c r="AA442" i="4"/>
  <c r="AD442" i="4" s="1"/>
  <c r="AG455" i="4"/>
  <c r="AA455" i="4"/>
  <c r="AD455" i="4" s="1"/>
  <c r="AA473" i="4"/>
  <c r="AD473" i="4" s="1"/>
  <c r="AC473" i="4"/>
  <c r="AA625" i="4"/>
  <c r="AD625" i="4" s="1"/>
  <c r="AG625" i="4"/>
  <c r="AC640" i="4"/>
  <c r="AC656" i="4"/>
  <c r="AC715" i="4"/>
  <c r="AA721" i="4"/>
  <c r="AD721" i="4" s="1"/>
  <c r="AC721" i="4"/>
  <c r="AC736" i="4"/>
  <c r="AG736" i="4"/>
  <c r="AA837" i="4"/>
  <c r="AD837" i="4" s="1"/>
  <c r="AG837" i="4"/>
  <c r="AC837" i="4"/>
  <c r="AG857" i="4"/>
  <c r="AA857" i="4"/>
  <c r="AD857" i="4" s="1"/>
  <c r="AC857" i="4"/>
  <c r="AG889" i="4"/>
  <c r="AC913" i="4"/>
  <c r="AA919" i="4"/>
  <c r="AD919" i="4" s="1"/>
  <c r="AG919" i="4"/>
  <c r="AA927" i="4"/>
  <c r="AD927" i="4" s="1"/>
  <c r="AG927" i="4"/>
  <c r="AG1055" i="4"/>
  <c r="AC1055" i="4"/>
  <c r="AG1104" i="4"/>
  <c r="AA1104" i="4"/>
  <c r="AD1104" i="4" s="1"/>
  <c r="AC1104" i="4"/>
  <c r="AG2" i="4"/>
  <c r="AC3" i="4"/>
  <c r="AC630" i="4"/>
  <c r="AA691" i="4"/>
  <c r="AD691" i="4" s="1"/>
  <c r="AC691" i="4"/>
  <c r="AA729" i="4"/>
  <c r="AD729" i="4" s="1"/>
  <c r="AC729" i="4"/>
  <c r="AC754" i="4"/>
  <c r="AC755" i="4"/>
  <c r="AC759" i="4"/>
  <c r="AA810" i="4"/>
  <c r="AD810" i="4" s="1"/>
  <c r="AG810" i="4"/>
  <c r="AA813" i="4"/>
  <c r="AD813" i="4" s="1"/>
  <c r="AC813" i="4"/>
  <c r="AA816" i="4"/>
  <c r="AD816" i="4" s="1"/>
  <c r="AG816" i="4"/>
  <c r="AA830" i="4"/>
  <c r="AD830" i="4" s="1"/>
  <c r="AG830" i="4"/>
  <c r="AA854" i="4"/>
  <c r="AD854" i="4" s="1"/>
  <c r="AC854" i="4"/>
  <c r="AA870" i="4"/>
  <c r="AD870" i="4" s="1"/>
  <c r="AG870" i="4"/>
  <c r="AG880" i="4"/>
  <c r="AA880" i="4"/>
  <c r="AD880" i="4" s="1"/>
  <c r="AG937" i="4"/>
  <c r="AC937" i="4"/>
  <c r="AG949" i="4"/>
  <c r="AA949" i="4"/>
  <c r="AD949" i="4" s="1"/>
  <c r="AC949" i="4"/>
  <c r="AG999" i="4"/>
  <c r="AA999" i="4"/>
  <c r="AD999" i="4" s="1"/>
  <c r="AC999" i="4"/>
  <c r="AG1028" i="4"/>
  <c r="AC1028" i="4"/>
  <c r="AG1068" i="4"/>
  <c r="AC1068" i="4"/>
  <c r="AG1074" i="4"/>
  <c r="AA1074" i="4"/>
  <c r="AD1074" i="4" s="1"/>
  <c r="AC1074" i="4"/>
  <c r="AA1128" i="4"/>
  <c r="AD1128" i="4" s="1"/>
  <c r="AG1128" i="4"/>
  <c r="AC1128" i="4"/>
  <c r="AA1141" i="4"/>
  <c r="AD1141" i="4" s="1"/>
  <c r="AG1141" i="4"/>
  <c r="AA1147" i="4"/>
  <c r="AD1147" i="4" s="1"/>
  <c r="AC1147" i="4"/>
  <c r="AG1147" i="4"/>
  <c r="AG1229" i="4"/>
  <c r="AC1250" i="4"/>
  <c r="AG1250" i="4"/>
  <c r="AA1250" i="4"/>
  <c r="AD1250" i="4" s="1"/>
  <c r="AA1375" i="4"/>
  <c r="AD1375" i="4" s="1"/>
  <c r="AG1375" i="4"/>
  <c r="AC1375" i="4"/>
  <c r="AA1401" i="4"/>
  <c r="AD1401" i="4" s="1"/>
  <c r="AG1401" i="4"/>
  <c r="AC1401" i="4"/>
  <c r="AA1410" i="4"/>
  <c r="AD1410" i="4" s="1"/>
  <c r="AG1410" i="4"/>
  <c r="AC1410" i="4"/>
  <c r="AG190" i="4"/>
  <c r="AG272" i="4"/>
  <c r="AG278" i="4"/>
  <c r="AC285" i="4"/>
  <c r="AG292" i="4"/>
  <c r="AA292" i="4"/>
  <c r="AD292" i="4" s="1"/>
  <c r="AG297" i="4"/>
  <c r="AC297" i="4"/>
  <c r="AG298" i="4"/>
  <c r="AC298" i="4"/>
  <c r="AG300" i="4"/>
  <c r="AA300" i="4"/>
  <c r="AD300" i="4" s="1"/>
  <c r="AG310" i="4"/>
  <c r="AA310" i="4"/>
  <c r="AD310" i="4" s="1"/>
  <c r="AG314" i="4"/>
  <c r="AA314" i="4"/>
  <c r="AD314" i="4" s="1"/>
  <c r="AG318" i="4"/>
  <c r="AA318" i="4"/>
  <c r="AD318" i="4" s="1"/>
  <c r="AG322" i="4"/>
  <c r="AA322" i="4"/>
  <c r="AD322" i="4" s="1"/>
  <c r="AG326" i="4"/>
  <c r="AA326" i="4"/>
  <c r="AD326" i="4" s="1"/>
  <c r="AG330" i="4"/>
  <c r="AA330" i="4"/>
  <c r="AD330" i="4" s="1"/>
  <c r="AG334" i="4"/>
  <c r="AA334" i="4"/>
  <c r="AD334" i="4" s="1"/>
  <c r="AG338" i="4"/>
  <c r="AA338" i="4"/>
  <c r="AD338" i="4" s="1"/>
  <c r="AG339" i="4"/>
  <c r="AC339" i="4"/>
  <c r="AG346" i="4"/>
  <c r="AC346" i="4"/>
  <c r="AG347" i="4"/>
  <c r="AC347" i="4"/>
  <c r="AA458" i="4"/>
  <c r="AD458" i="4" s="1"/>
  <c r="AC458" i="4"/>
  <c r="AG458" i="4"/>
  <c r="AC460" i="4"/>
  <c r="AA460" i="4"/>
  <c r="AD460" i="4" s="1"/>
  <c r="AC668" i="4"/>
  <c r="AG9" i="4"/>
  <c r="AC10" i="4"/>
  <c r="AC23" i="4"/>
  <c r="AG26" i="4"/>
  <c r="AG41" i="4"/>
  <c r="AG51" i="4"/>
  <c r="AC60" i="4"/>
  <c r="AG61" i="4"/>
  <c r="AC64" i="4"/>
  <c r="AG65" i="4"/>
  <c r="AC68" i="4"/>
  <c r="AG69" i="4"/>
  <c r="AC72" i="4"/>
  <c r="AG73" i="4"/>
  <c r="AG86" i="4"/>
  <c r="AG88" i="4"/>
  <c r="AG92" i="4"/>
  <c r="AG96" i="4"/>
  <c r="AG145" i="4"/>
  <c r="AG194" i="4"/>
  <c r="AG202" i="4"/>
  <c r="AG210" i="4"/>
  <c r="AG215" i="4"/>
  <c r="AG222" i="4"/>
  <c r="AG223" i="4"/>
  <c r="AG230" i="4"/>
  <c r="AG231" i="4"/>
  <c r="AG238" i="4"/>
  <c r="AG239" i="4"/>
  <c r="AC272" i="4"/>
  <c r="AG281" i="4"/>
  <c r="AG282" i="4"/>
  <c r="AG285" i="4"/>
  <c r="AA294" i="4"/>
  <c r="AD294" i="4" s="1"/>
  <c r="AG294" i="4"/>
  <c r="AG296" i="4"/>
  <c r="AA296" i="4"/>
  <c r="AD296" i="4" s="1"/>
  <c r="AG302" i="4"/>
  <c r="AA302" i="4"/>
  <c r="AD302" i="4" s="1"/>
  <c r="AG312" i="4"/>
  <c r="AA312" i="4"/>
  <c r="AD312" i="4" s="1"/>
  <c r="AG316" i="4"/>
  <c r="AA316" i="4"/>
  <c r="AD316" i="4" s="1"/>
  <c r="AG320" i="4"/>
  <c r="AA320" i="4"/>
  <c r="AD320" i="4" s="1"/>
  <c r="AG324" i="4"/>
  <c r="AA324" i="4"/>
  <c r="AD324" i="4" s="1"/>
  <c r="AG328" i="4"/>
  <c r="AA328" i="4"/>
  <c r="AD328" i="4" s="1"/>
  <c r="AG332" i="4"/>
  <c r="AA332" i="4"/>
  <c r="AD332" i="4" s="1"/>
  <c r="AG336" i="4"/>
  <c r="AA336" i="4"/>
  <c r="AD336" i="4" s="1"/>
  <c r="AG342" i="4"/>
  <c r="AC342" i="4"/>
  <c r="AG343" i="4"/>
  <c r="AC343" i="4"/>
  <c r="AG350" i="4"/>
  <c r="AC350" i="4"/>
  <c r="AG351" i="4"/>
  <c r="AC351" i="4"/>
  <c r="AA361" i="4"/>
  <c r="AD361" i="4" s="1"/>
  <c r="AG361" i="4"/>
  <c r="AG363" i="4"/>
  <c r="AA363" i="4"/>
  <c r="AD363" i="4" s="1"/>
  <c r="AA369" i="4"/>
  <c r="AD369" i="4" s="1"/>
  <c r="AG369" i="4"/>
  <c r="AG371" i="4"/>
  <c r="AA371" i="4"/>
  <c r="AD371" i="4" s="1"/>
  <c r="AA434" i="4"/>
  <c r="AD434" i="4" s="1"/>
  <c r="AG442" i="4"/>
  <c r="AA443" i="4"/>
  <c r="AD443" i="4" s="1"/>
  <c r="AG443" i="4"/>
  <c r="AA454" i="4"/>
  <c r="AD454" i="4" s="1"/>
  <c r="AA2" i="4"/>
  <c r="AD2" i="4" s="1"/>
  <c r="AG5" i="4"/>
  <c r="AA9" i="4"/>
  <c r="AD9" i="4" s="1"/>
  <c r="AG10" i="4"/>
  <c r="AG13" i="4"/>
  <c r="AG15" i="4"/>
  <c r="AG17" i="4"/>
  <c r="AG19" i="4"/>
  <c r="AG21" i="4"/>
  <c r="AA26" i="4"/>
  <c r="AD26" i="4" s="1"/>
  <c r="AA29" i="4"/>
  <c r="AD29" i="4" s="1"/>
  <c r="AA52" i="4"/>
  <c r="AD52" i="4" s="1"/>
  <c r="AG53" i="4"/>
  <c r="AG55" i="4"/>
  <c r="AA61" i="4"/>
  <c r="AD61" i="4" s="1"/>
  <c r="AA65" i="4"/>
  <c r="AD65" i="4" s="1"/>
  <c r="AA69" i="4"/>
  <c r="AD69" i="4" s="1"/>
  <c r="AA73" i="4"/>
  <c r="AD73" i="4" s="1"/>
  <c r="AA78" i="4"/>
  <c r="AD78" i="4" s="1"/>
  <c r="AG192" i="4"/>
  <c r="AC194" i="4"/>
  <c r="AG200" i="4"/>
  <c r="AC202" i="4"/>
  <c r="AG208" i="4"/>
  <c r="AC210" i="4"/>
  <c r="AA218" i="4"/>
  <c r="AD218" i="4" s="1"/>
  <c r="AC219" i="4"/>
  <c r="AC221" i="4"/>
  <c r="AA226" i="4"/>
  <c r="AD226" i="4" s="1"/>
  <c r="AC227" i="4"/>
  <c r="AC229" i="4"/>
  <c r="AA234" i="4"/>
  <c r="AD234" i="4" s="1"/>
  <c r="AC235" i="4"/>
  <c r="AC237" i="4"/>
  <c r="AA242" i="4"/>
  <c r="AD242" i="4" s="1"/>
  <c r="AC243" i="4"/>
  <c r="AC245" i="4"/>
  <c r="AG274" i="4"/>
  <c r="AA281" i="4"/>
  <c r="AD281" i="4" s="1"/>
  <c r="AC282" i="4"/>
  <c r="AC294" i="4"/>
  <c r="AC296" i="4"/>
  <c r="AC302" i="4"/>
  <c r="AG303" i="4"/>
  <c r="AA303" i="4"/>
  <c r="AD303" i="4" s="1"/>
  <c r="AG309" i="4"/>
  <c r="AA309" i="4"/>
  <c r="AD309" i="4" s="1"/>
  <c r="AG313" i="4"/>
  <c r="AA313" i="4"/>
  <c r="AD313" i="4" s="1"/>
  <c r="AG317" i="4"/>
  <c r="AA317" i="4"/>
  <c r="AD317" i="4" s="1"/>
  <c r="AG321" i="4"/>
  <c r="AA321" i="4"/>
  <c r="AD321" i="4" s="1"/>
  <c r="AG325" i="4"/>
  <c r="AA325" i="4"/>
  <c r="AD325" i="4" s="1"/>
  <c r="AG329" i="4"/>
  <c r="AA329" i="4"/>
  <c r="AD329" i="4" s="1"/>
  <c r="AG333" i="4"/>
  <c r="AA333" i="4"/>
  <c r="AD333" i="4" s="1"/>
  <c r="AG337" i="4"/>
  <c r="AA337" i="4"/>
  <c r="AD337" i="4" s="1"/>
  <c r="AG344" i="4"/>
  <c r="AC344" i="4"/>
  <c r="AG345" i="4"/>
  <c r="AC345" i="4"/>
  <c r="AG352" i="4"/>
  <c r="AC352" i="4"/>
  <c r="AC361" i="4"/>
  <c r="AC363" i="4"/>
  <c r="AC369" i="4"/>
  <c r="AC371" i="4"/>
  <c r="AA417" i="4"/>
  <c r="AD417" i="4" s="1"/>
  <c r="AA421" i="4"/>
  <c r="AD421" i="4" s="1"/>
  <c r="AA425" i="4"/>
  <c r="AD425" i="4" s="1"/>
  <c r="AA429" i="4"/>
  <c r="AD429" i="4" s="1"/>
  <c r="AA431" i="4"/>
  <c r="AD431" i="4" s="1"/>
  <c r="AG431" i="4"/>
  <c r="AC434" i="4"/>
  <c r="AA438" i="4"/>
  <c r="AD438" i="4" s="1"/>
  <c r="AC443" i="4"/>
  <c r="AA447" i="4"/>
  <c r="AD447" i="4" s="1"/>
  <c r="AG447" i="4"/>
  <c r="AA451" i="4"/>
  <c r="AD451" i="4" s="1"/>
  <c r="AG451" i="4"/>
  <c r="AC454" i="4"/>
  <c r="AC467" i="4"/>
  <c r="AG467" i="4"/>
  <c r="AA467" i="4"/>
  <c r="AD467" i="4" s="1"/>
  <c r="AA607" i="4"/>
  <c r="AD607" i="4" s="1"/>
  <c r="AG607" i="4"/>
  <c r="AC607" i="4"/>
  <c r="AA633" i="4"/>
  <c r="AD633" i="4" s="1"/>
  <c r="AG633" i="4"/>
  <c r="AC710" i="4"/>
  <c r="AG722" i="4"/>
  <c r="AA722" i="4"/>
  <c r="AD722" i="4" s="1"/>
  <c r="AC722" i="4"/>
  <c r="AC742" i="4"/>
  <c r="AC743" i="4"/>
  <c r="AC758" i="4"/>
  <c r="AG813" i="4"/>
  <c r="AA828" i="4"/>
  <c r="AD828" i="4" s="1"/>
  <c r="AG828" i="4"/>
  <c r="AG854" i="4"/>
  <c r="AG872" i="4"/>
  <c r="AA899" i="4"/>
  <c r="AD899" i="4" s="1"/>
  <c r="AG933" i="4"/>
  <c r="AA933" i="4"/>
  <c r="AD933" i="4" s="1"/>
  <c r="AC933" i="4"/>
  <c r="AG940" i="4"/>
  <c r="AC940" i="4"/>
  <c r="AA984" i="4"/>
  <c r="AD984" i="4" s="1"/>
  <c r="AG984" i="4"/>
  <c r="AC984" i="4"/>
  <c r="AA1001" i="4"/>
  <c r="AD1001" i="4" s="1"/>
  <c r="AG1001" i="4"/>
  <c r="AC1001" i="4"/>
  <c r="AG1031" i="4"/>
  <c r="AC1031" i="4"/>
  <c r="AA1110" i="4"/>
  <c r="AD1110" i="4" s="1"/>
  <c r="AG1110" i="4"/>
  <c r="AC1110" i="4"/>
  <c r="AC295" i="4"/>
  <c r="AC306" i="4"/>
  <c r="AC358" i="4"/>
  <c r="AC362" i="4"/>
  <c r="AC366" i="4"/>
  <c r="AC370" i="4"/>
  <c r="AC399" i="4"/>
  <c r="AC419" i="4"/>
  <c r="AC423" i="4"/>
  <c r="AC427" i="4"/>
  <c r="AC432" i="4"/>
  <c r="AC436" i="4"/>
  <c r="AC440" i="4"/>
  <c r="AC444" i="4"/>
  <c r="AC448" i="4"/>
  <c r="AC452" i="4"/>
  <c r="AG456" i="4"/>
  <c r="AA465" i="4"/>
  <c r="AD465" i="4" s="1"/>
  <c r="AC471" i="4"/>
  <c r="AC680" i="4"/>
  <c r="AG707" i="4"/>
  <c r="AA707" i="4"/>
  <c r="AD707" i="4" s="1"/>
  <c r="AA713" i="4"/>
  <c r="AD713" i="4" s="1"/>
  <c r="AA725" i="4"/>
  <c r="AD725" i="4" s="1"/>
  <c r="AC746" i="4"/>
  <c r="AA850" i="4"/>
  <c r="AD850" i="4" s="1"/>
  <c r="AC909" i="4"/>
  <c r="AG938" i="4"/>
  <c r="AC938" i="4"/>
  <c r="AA997" i="4"/>
  <c r="AD997" i="4" s="1"/>
  <c r="AG997" i="4"/>
  <c r="AC997" i="4"/>
  <c r="AG1020" i="4"/>
  <c r="AA1020" i="4"/>
  <c r="AD1020" i="4" s="1"/>
  <c r="AC1020" i="4"/>
  <c r="AG1034" i="4"/>
  <c r="AC1034" i="4"/>
  <c r="AA1081" i="4"/>
  <c r="AD1081" i="4" s="1"/>
  <c r="AG1089" i="4"/>
  <c r="AA1089" i="4"/>
  <c r="AD1089" i="4" s="1"/>
  <c r="AC1089" i="4"/>
  <c r="AC1127" i="4"/>
  <c r="AG1127" i="4"/>
  <c r="AA462" i="4"/>
  <c r="AD462" i="4" s="1"/>
  <c r="AA575" i="4"/>
  <c r="AD575" i="4" s="1"/>
  <c r="AG627" i="4"/>
  <c r="AA627" i="4"/>
  <c r="AD627" i="4" s="1"/>
  <c r="AC664" i="4"/>
  <c r="AA675" i="4"/>
  <c r="AD675" i="4" s="1"/>
  <c r="AA734" i="4"/>
  <c r="AD734" i="4" s="1"/>
  <c r="AC750" i="4"/>
  <c r="AG849" i="4"/>
  <c r="AA849" i="4"/>
  <c r="AD849" i="4" s="1"/>
  <c r="AA863" i="4"/>
  <c r="AD863" i="4" s="1"/>
  <c r="AG863" i="4"/>
  <c r="AG887" i="4"/>
  <c r="AA887" i="4"/>
  <c r="AD887" i="4" s="1"/>
  <c r="AA896" i="4"/>
  <c r="AD896" i="4" s="1"/>
  <c r="AG896" i="4"/>
  <c r="AC903" i="4"/>
  <c r="AC905" i="4"/>
  <c r="AG950" i="4"/>
  <c r="AC950" i="4"/>
  <c r="AG955" i="4"/>
  <c r="AC955" i="4"/>
  <c r="AG959" i="4"/>
  <c r="AA959" i="4"/>
  <c r="AD959" i="4" s="1"/>
  <c r="AG963" i="4"/>
  <c r="AA963" i="4"/>
  <c r="AD963" i="4" s="1"/>
  <c r="AG978" i="4"/>
  <c r="AC978" i="4"/>
  <c r="AA1004" i="4"/>
  <c r="AD1004" i="4" s="1"/>
  <c r="AG1004" i="4"/>
  <c r="AA1022" i="4"/>
  <c r="AD1022" i="4" s="1"/>
  <c r="AG1022" i="4"/>
  <c r="AC1022" i="4"/>
  <c r="AG1024" i="4"/>
  <c r="AA1024" i="4"/>
  <c r="AD1024" i="4" s="1"/>
  <c r="AC1024" i="4"/>
  <c r="AA1054" i="4"/>
  <c r="AD1054" i="4" s="1"/>
  <c r="AG1054" i="4"/>
  <c r="AC1054" i="4"/>
  <c r="AG1058" i="4"/>
  <c r="AA1058" i="4"/>
  <c r="AD1058" i="4" s="1"/>
  <c r="AC1058" i="4"/>
  <c r="AA1072" i="4"/>
  <c r="AD1072" i="4" s="1"/>
  <c r="AG1072" i="4"/>
  <c r="AG1081" i="4"/>
  <c r="AG1097" i="4"/>
  <c r="AC1097" i="4"/>
  <c r="AG1101" i="4"/>
  <c r="AC1101" i="4"/>
  <c r="AG1106" i="4"/>
  <c r="AA1106" i="4"/>
  <c r="AD1106" i="4" s="1"/>
  <c r="AC1106" i="4"/>
  <c r="AA1146" i="4"/>
  <c r="AD1146" i="4" s="1"/>
  <c r="AG1146" i="4"/>
  <c r="AC1146" i="4"/>
  <c r="AA1168" i="4"/>
  <c r="AD1168" i="4" s="1"/>
  <c r="AC1168" i="4"/>
  <c r="AA1171" i="4"/>
  <c r="AD1171" i="4" s="1"/>
  <c r="AG1171" i="4"/>
  <c r="AC1171" i="4"/>
  <c r="AG1187" i="4"/>
  <c r="AA1187" i="4"/>
  <c r="AD1187" i="4" s="1"/>
  <c r="AC1189" i="4"/>
  <c r="AA1189" i="4"/>
  <c r="AD1189" i="4" s="1"/>
  <c r="AG1189" i="4"/>
  <c r="AC624" i="4"/>
  <c r="AC663" i="4"/>
  <c r="AC671" i="4"/>
  <c r="AC679" i="4"/>
  <c r="AC687" i="4"/>
  <c r="AC695" i="4"/>
  <c r="AC699" i="4"/>
  <c r="AC703" i="4"/>
  <c r="AC711" i="4"/>
  <c r="AC733" i="4"/>
  <c r="AC737" i="4"/>
  <c r="AC806" i="4"/>
  <c r="AC832" i="4"/>
  <c r="AC833" i="4"/>
  <c r="AC848" i="4"/>
  <c r="AC852" i="4"/>
  <c r="AC856" i="4"/>
  <c r="AG979" i="4"/>
  <c r="AA979" i="4"/>
  <c r="AD979" i="4" s="1"/>
  <c r="AG983" i="4"/>
  <c r="AC983" i="4"/>
  <c r="AG1012" i="4"/>
  <c r="AC1012" i="4"/>
  <c r="AA1063" i="4"/>
  <c r="AD1063" i="4" s="1"/>
  <c r="AG1063" i="4"/>
  <c r="AC1069" i="4"/>
  <c r="AA1069" i="4"/>
  <c r="AD1069" i="4" s="1"/>
  <c r="AG1084" i="4"/>
  <c r="AC1084" i="4"/>
  <c r="AG1090" i="4"/>
  <c r="AC1090" i="4"/>
  <c r="AA1093" i="4"/>
  <c r="AD1093" i="4" s="1"/>
  <c r="AG1093" i="4"/>
  <c r="AG1107" i="4"/>
  <c r="AC1107" i="4"/>
  <c r="AG1111" i="4"/>
  <c r="AC1111" i="4"/>
  <c r="AC1125" i="4"/>
  <c r="AC1126" i="4"/>
  <c r="AC1131" i="4"/>
  <c r="AG1131" i="4"/>
  <c r="AG1167" i="4"/>
  <c r="AA1167" i="4"/>
  <c r="AD1167" i="4" s="1"/>
  <c r="AA1172" i="4"/>
  <c r="AD1172" i="4" s="1"/>
  <c r="AA1175" i="4"/>
  <c r="AD1175" i="4" s="1"/>
  <c r="AG1175" i="4"/>
  <c r="AC1188" i="4"/>
  <c r="AA1188" i="4"/>
  <c r="AD1188" i="4" s="1"/>
  <c r="AG1188" i="4"/>
  <c r="AA1210" i="4"/>
  <c r="AD1210" i="4" s="1"/>
  <c r="AG1210" i="4"/>
  <c r="AA1402" i="4"/>
  <c r="AD1402" i="4" s="1"/>
  <c r="AG1402" i="4"/>
  <c r="AC1402" i="4"/>
  <c r="AG624" i="4"/>
  <c r="AG954" i="4"/>
  <c r="AC954" i="4"/>
  <c r="AC956" i="4"/>
  <c r="AG967" i="4"/>
  <c r="AC967" i="4"/>
  <c r="AG1010" i="4"/>
  <c r="AC1010" i="4"/>
  <c r="AG1033" i="4"/>
  <c r="AC1033" i="4"/>
  <c r="AG1051" i="4"/>
  <c r="AG1059" i="4"/>
  <c r="AC1059" i="4"/>
  <c r="AA1062" i="4"/>
  <c r="AD1062" i="4" s="1"/>
  <c r="AG1062" i="4"/>
  <c r="AG1064" i="4"/>
  <c r="AC1064" i="4"/>
  <c r="AG1067" i="4"/>
  <c r="AA1067" i="4"/>
  <c r="AD1067" i="4" s="1"/>
  <c r="AG1075" i="4"/>
  <c r="AC1075" i="4"/>
  <c r="AG1094" i="4"/>
  <c r="AC1094" i="4"/>
  <c r="AG1096" i="4"/>
  <c r="AA1096" i="4"/>
  <c r="AD1096" i="4" s="1"/>
  <c r="AG1118" i="4"/>
  <c r="AA1118" i="4"/>
  <c r="AD1118" i="4" s="1"/>
  <c r="AC1144" i="4"/>
  <c r="AA1156" i="4"/>
  <c r="AD1156" i="4" s="1"/>
  <c r="AG1156" i="4"/>
  <c r="AA1160" i="4"/>
  <c r="AD1160" i="4" s="1"/>
  <c r="AG1160" i="4"/>
  <c r="AA1177" i="4"/>
  <c r="AD1177" i="4" s="1"/>
  <c r="AG1177" i="4"/>
  <c r="AC1235" i="4"/>
  <c r="AC1258" i="4"/>
  <c r="AA1258" i="4"/>
  <c r="AD1258" i="4" s="1"/>
  <c r="AG1258" i="4"/>
  <c r="AA1374" i="4"/>
  <c r="AD1374" i="4" s="1"/>
  <c r="AG1374" i="4"/>
  <c r="AC1374" i="4"/>
  <c r="AA1409" i="4"/>
  <c r="AD1409" i="4" s="1"/>
  <c r="AG1409" i="4"/>
  <c r="AC1409" i="4"/>
  <c r="AC1437" i="4"/>
  <c r="AA1437" i="4"/>
  <c r="AD1437" i="4" s="1"/>
  <c r="AG1437" i="4"/>
  <c r="AA1443" i="4"/>
  <c r="AD1443" i="4" s="1"/>
  <c r="AG1443" i="4"/>
  <c r="AA1466" i="4"/>
  <c r="AD1466" i="4" s="1"/>
  <c r="AC1466" i="4"/>
  <c r="AG1466" i="4"/>
  <c r="AA1471" i="4"/>
  <c r="AD1471" i="4" s="1"/>
  <c r="AG1471" i="4"/>
  <c r="AC1471" i="4"/>
  <c r="AG1050" i="4"/>
  <c r="AG1143" i="4"/>
  <c r="AG1153" i="4"/>
  <c r="AC1192" i="4"/>
  <c r="AA1192" i="4"/>
  <c r="AD1192" i="4" s="1"/>
  <c r="AC1205" i="4"/>
  <c r="AA1205" i="4"/>
  <c r="AD1205" i="4" s="1"/>
  <c r="AG1207" i="4"/>
  <c r="AC1207" i="4"/>
  <c r="AG1217" i="4"/>
  <c r="AC1217" i="4"/>
  <c r="AA1217" i="4"/>
  <c r="AD1217" i="4" s="1"/>
  <c r="AG1228" i="4"/>
  <c r="AA1228" i="4"/>
  <c r="AD1228" i="4" s="1"/>
  <c r="AC1255" i="4"/>
  <c r="AA1255" i="4"/>
  <c r="AD1255" i="4" s="1"/>
  <c r="AC1290" i="4"/>
  <c r="AG1290" i="4"/>
  <c r="AA1290" i="4"/>
  <c r="AD1290" i="4" s="1"/>
  <c r="AC1291" i="4"/>
  <c r="AG1291" i="4"/>
  <c r="AG1294" i="4"/>
  <c r="AA1370" i="4"/>
  <c r="AD1370" i="4" s="1"/>
  <c r="AG1370" i="4"/>
  <c r="AA1371" i="4"/>
  <c r="AD1371" i="4" s="1"/>
  <c r="AG1371" i="4"/>
  <c r="AC1371" i="4"/>
  <c r="AA1397" i="4"/>
  <c r="AD1397" i="4" s="1"/>
  <c r="AG1397" i="4"/>
  <c r="AA1398" i="4"/>
  <c r="AD1398" i="4" s="1"/>
  <c r="AG1398" i="4"/>
  <c r="AC1398" i="4"/>
  <c r="AC1414" i="4"/>
  <c r="AA1414" i="4"/>
  <c r="AD1414" i="4" s="1"/>
  <c r="AC1416" i="4"/>
  <c r="AA1416" i="4"/>
  <c r="AD1416" i="4" s="1"/>
  <c r="AC1489" i="4"/>
  <c r="AC1500" i="4"/>
  <c r="AC1546" i="4"/>
  <c r="AG1546" i="4"/>
  <c r="AC1025" i="4"/>
  <c r="AC1042" i="4"/>
  <c r="AA1051" i="4"/>
  <c r="AD1051" i="4" s="1"/>
  <c r="AG1070" i="4"/>
  <c r="AG1132" i="4"/>
  <c r="AC1193" i="4"/>
  <c r="AA1193" i="4"/>
  <c r="AD1193" i="4" s="1"/>
  <c r="AC1204" i="4"/>
  <c r="AA1204" i="4"/>
  <c r="AD1204" i="4" s="1"/>
  <c r="AC1234" i="4"/>
  <c r="AG1234" i="4"/>
  <c r="AA1234" i="4"/>
  <c r="AD1234" i="4" s="1"/>
  <c r="AC1253" i="4"/>
  <c r="AC1257" i="4"/>
  <c r="AA1378" i="4"/>
  <c r="AD1378" i="4" s="1"/>
  <c r="AG1378" i="4"/>
  <c r="AA1379" i="4"/>
  <c r="AD1379" i="4" s="1"/>
  <c r="AG1379" i="4"/>
  <c r="AC1379" i="4"/>
  <c r="AA1405" i="4"/>
  <c r="AD1405" i="4" s="1"/>
  <c r="AG1405" i="4"/>
  <c r="AA1406" i="4"/>
  <c r="AD1406" i="4" s="1"/>
  <c r="AG1406" i="4"/>
  <c r="AC1406" i="4"/>
  <c r="AG1180" i="4"/>
  <c r="AG1184" i="4"/>
  <c r="AG1196" i="4"/>
  <c r="AG1200" i="4"/>
  <c r="AG1211" i="4"/>
  <c r="AG1224" i="4"/>
  <c r="AC1261" i="4"/>
  <c r="AG1266" i="4"/>
  <c r="AC1289" i="4"/>
  <c r="AG1293" i="4"/>
  <c r="AG1350" i="4"/>
  <c r="AA1350" i="4"/>
  <c r="AD1350" i="4" s="1"/>
  <c r="AG1356" i="4"/>
  <c r="AA1356" i="4"/>
  <c r="AD1356" i="4" s="1"/>
  <c r="AA1357" i="4"/>
  <c r="AD1357" i="4" s="1"/>
  <c r="AA1368" i="4"/>
  <c r="AD1368" i="4" s="1"/>
  <c r="AG1368" i="4"/>
  <c r="AA1372" i="4"/>
  <c r="AD1372" i="4" s="1"/>
  <c r="AG1372" i="4"/>
  <c r="AA1376" i="4"/>
  <c r="AD1376" i="4" s="1"/>
  <c r="AG1376" i="4"/>
  <c r="AA1380" i="4"/>
  <c r="AD1380" i="4" s="1"/>
  <c r="AG1380" i="4"/>
  <c r="AA1395" i="4"/>
  <c r="AD1395" i="4" s="1"/>
  <c r="AG1395" i="4"/>
  <c r="AA1399" i="4"/>
  <c r="AD1399" i="4" s="1"/>
  <c r="AG1399" i="4"/>
  <c r="AA1403" i="4"/>
  <c r="AD1403" i="4" s="1"/>
  <c r="AG1403" i="4"/>
  <c r="AA1407" i="4"/>
  <c r="AD1407" i="4" s="1"/>
  <c r="AG1407" i="4"/>
  <c r="AA1412" i="4"/>
  <c r="AD1412" i="4" s="1"/>
  <c r="AG1412" i="4"/>
  <c r="AC1418" i="4"/>
  <c r="AA1418" i="4"/>
  <c r="AD1418" i="4" s="1"/>
  <c r="AG1418" i="4"/>
  <c r="AA1438" i="4"/>
  <c r="AD1438" i="4" s="1"/>
  <c r="AC1438" i="4"/>
  <c r="AG1441" i="4"/>
  <c r="AA1441" i="4"/>
  <c r="AD1441" i="4" s="1"/>
  <c r="AA1452" i="4"/>
  <c r="AD1452" i="4" s="1"/>
  <c r="AC1453" i="4"/>
  <c r="AA1453" i="4"/>
  <c r="AD1453" i="4" s="1"/>
  <c r="AG1453" i="4"/>
  <c r="AA1459" i="4"/>
  <c r="AD1459" i="4" s="1"/>
  <c r="AC1459" i="4"/>
  <c r="AG1459" i="4"/>
  <c r="AG1464" i="4"/>
  <c r="AA1464" i="4"/>
  <c r="AD1464" i="4" s="1"/>
  <c r="AC1467" i="4"/>
  <c r="AA1467" i="4"/>
  <c r="AD1467" i="4" s="1"/>
  <c r="AA1469" i="4"/>
  <c r="AD1469" i="4" s="1"/>
  <c r="AC1469" i="4"/>
  <c r="AC1518" i="4"/>
  <c r="AA1543" i="4"/>
  <c r="AD1543" i="4" s="1"/>
  <c r="AG1543" i="4"/>
  <c r="AA1555" i="4"/>
  <c r="AD1555" i="4" s="1"/>
  <c r="AG1555" i="4"/>
  <c r="AC1555" i="4"/>
  <c r="AG1218" i="4"/>
  <c r="AG1251" i="4"/>
  <c r="AC1265" i="4"/>
  <c r="AC1288" i="4"/>
  <c r="AG1335" i="4"/>
  <c r="AA1342" i="4"/>
  <c r="AD1342" i="4" s="1"/>
  <c r="AG1342" i="4"/>
  <c r="AA1348" i="4"/>
  <c r="AD1348" i="4" s="1"/>
  <c r="AG1348" i="4"/>
  <c r="AA1369" i="4"/>
  <c r="AD1369" i="4" s="1"/>
  <c r="AG1369" i="4"/>
  <c r="AA1373" i="4"/>
  <c r="AD1373" i="4" s="1"/>
  <c r="AG1373" i="4"/>
  <c r="AA1377" i="4"/>
  <c r="AD1377" i="4" s="1"/>
  <c r="AG1377" i="4"/>
  <c r="AA1396" i="4"/>
  <c r="AD1396" i="4" s="1"/>
  <c r="AG1396" i="4"/>
  <c r="AA1400" i="4"/>
  <c r="AD1400" i="4" s="1"/>
  <c r="AG1400" i="4"/>
  <c r="AA1404" i="4"/>
  <c r="AD1404" i="4" s="1"/>
  <c r="AG1404" i="4"/>
  <c r="AA1408" i="4"/>
  <c r="AD1408" i="4" s="1"/>
  <c r="AG1408" i="4"/>
  <c r="AA1413" i="4"/>
  <c r="AD1413" i="4" s="1"/>
  <c r="AG1413" i="4"/>
  <c r="AG1449" i="4"/>
  <c r="AA1449" i="4"/>
  <c r="AD1449" i="4" s="1"/>
  <c r="AA1454" i="4"/>
  <c r="AD1454" i="4" s="1"/>
  <c r="AG1454" i="4"/>
  <c r="AC1460" i="4"/>
  <c r="AA1460" i="4"/>
  <c r="AD1460" i="4" s="1"/>
  <c r="AG1460" i="4"/>
  <c r="AG1461" i="4"/>
  <c r="AA1461" i="4"/>
  <c r="AD1461" i="4" s="1"/>
  <c r="AA1473" i="4"/>
  <c r="AD1473" i="4" s="1"/>
  <c r="AC1473" i="4"/>
  <c r="AG1473" i="4"/>
  <c r="AG1476" i="4"/>
  <c r="AA1476" i="4"/>
  <c r="AD1476" i="4" s="1"/>
  <c r="AC1487" i="4"/>
  <c r="AC1497" i="4"/>
  <c r="AC1359" i="4"/>
  <c r="AC1393" i="4"/>
  <c r="AC1415" i="4"/>
  <c r="AG1417" i="4"/>
  <c r="AC1423" i="4"/>
  <c r="AC1427" i="4"/>
  <c r="AC1432" i="4"/>
  <c r="AG1447" i="4"/>
  <c r="AA1484" i="4"/>
  <c r="AD1484" i="4" s="1"/>
  <c r="AG1484" i="4"/>
  <c r="AA1577" i="4"/>
  <c r="AD1577" i="4" s="1"/>
  <c r="AC1577" i="4"/>
  <c r="AG1393" i="4"/>
  <c r="AC1422" i="4"/>
  <c r="AA1425" i="4"/>
  <c r="AD1425" i="4" s="1"/>
  <c r="AC1426" i="4"/>
  <c r="AA1429" i="4"/>
  <c r="AD1429" i="4" s="1"/>
  <c r="AC1470" i="4"/>
  <c r="AG1482" i="4"/>
  <c r="AA1482" i="4"/>
  <c r="AD1482" i="4" s="1"/>
  <c r="AG1428" i="4"/>
  <c r="AG1440" i="4"/>
  <c r="AC1520" i="4"/>
  <c r="AA1588" i="4"/>
  <c r="AD1588" i="4" s="1"/>
  <c r="AC1588" i="4"/>
  <c r="AA1539" i="4"/>
  <c r="AD1539" i="4" s="1"/>
  <c r="AG1539" i="4"/>
  <c r="AA1576" i="4"/>
  <c r="AD1576" i="4" s="1"/>
  <c r="AC1599" i="4"/>
  <c r="AA1599" i="4"/>
  <c r="AD1599" i="4" s="1"/>
  <c r="AA1604" i="4"/>
  <c r="AD1604" i="4" s="1"/>
  <c r="AC1604" i="4"/>
  <c r="AA1608" i="4"/>
  <c r="AD1608" i="4" s="1"/>
  <c r="AC1608" i="4"/>
  <c r="AA1612" i="4"/>
  <c r="AD1612" i="4" s="1"/>
  <c r="AC1612" i="4"/>
  <c r="AG1614" i="4"/>
  <c r="AA1614" i="4"/>
  <c r="AD1614" i="4" s="1"/>
  <c r="AG1615" i="4"/>
  <c r="AA1615" i="4"/>
  <c r="AD1615" i="4" s="1"/>
  <c r="AC1474" i="4"/>
  <c r="AC1523" i="4"/>
  <c r="AC1529" i="4"/>
  <c r="AC1563" i="4"/>
  <c r="AC1571" i="4"/>
  <c r="AC1589" i="4"/>
  <c r="AG1474" i="4"/>
  <c r="AG27" i="4"/>
  <c r="AA27" i="4"/>
  <c r="AD27" i="4" s="1"/>
  <c r="AG39" i="4"/>
  <c r="AA39" i="4"/>
  <c r="AD39" i="4" s="1"/>
  <c r="AG44" i="4"/>
  <c r="AA44" i="4"/>
  <c r="AD44" i="4" s="1"/>
  <c r="AG48" i="4"/>
  <c r="AA48" i="4"/>
  <c r="AD48" i="4" s="1"/>
  <c r="AG85" i="4"/>
  <c r="AA85" i="4"/>
  <c r="AD85" i="4" s="1"/>
  <c r="AG101" i="4"/>
  <c r="AA101" i="4"/>
  <c r="AD101" i="4" s="1"/>
  <c r="AG105" i="4"/>
  <c r="AA105" i="4"/>
  <c r="AD105" i="4" s="1"/>
  <c r="AG113" i="4"/>
  <c r="AA113" i="4"/>
  <c r="AD113" i="4" s="1"/>
  <c r="AG121" i="4"/>
  <c r="AA121" i="4"/>
  <c r="AD121" i="4" s="1"/>
  <c r="AG129" i="4"/>
  <c r="AA129" i="4"/>
  <c r="AD129" i="4" s="1"/>
  <c r="AG133" i="4"/>
  <c r="AA133" i="4"/>
  <c r="AD133" i="4" s="1"/>
  <c r="AG153" i="4"/>
  <c r="AA153" i="4"/>
  <c r="AD153" i="4" s="1"/>
  <c r="AG157" i="4"/>
  <c r="AA157" i="4"/>
  <c r="AD157" i="4" s="1"/>
  <c r="AG161" i="4"/>
  <c r="AA161" i="4"/>
  <c r="AD161" i="4" s="1"/>
  <c r="AG173" i="4"/>
  <c r="AA173" i="4"/>
  <c r="AD173" i="4" s="1"/>
  <c r="AG34" i="4"/>
  <c r="AA34" i="4"/>
  <c r="AD34" i="4" s="1"/>
  <c r="AC39" i="4"/>
  <c r="AG43" i="4"/>
  <c r="AA43" i="4"/>
  <c r="AD43" i="4" s="1"/>
  <c r="AC44" i="4"/>
  <c r="AG75" i="4"/>
  <c r="AA75" i="4"/>
  <c r="AD75" i="4" s="1"/>
  <c r="AC85" i="4"/>
  <c r="AC101" i="4"/>
  <c r="AG106" i="4"/>
  <c r="AA106" i="4"/>
  <c r="AD106" i="4" s="1"/>
  <c r="AC113" i="4"/>
  <c r="AC121" i="4"/>
  <c r="AG122" i="4"/>
  <c r="AA122" i="4"/>
  <c r="AD122" i="4" s="1"/>
  <c r="AC129" i="4"/>
  <c r="AC133" i="4"/>
  <c r="AG156" i="4"/>
  <c r="AA156" i="4"/>
  <c r="AD156" i="4" s="1"/>
  <c r="AC157" i="4"/>
  <c r="AG164" i="4"/>
  <c r="AA164" i="4"/>
  <c r="AD164" i="4" s="1"/>
  <c r="AG168" i="4"/>
  <c r="AA168" i="4"/>
  <c r="AD168" i="4" s="1"/>
  <c r="AG172" i="4"/>
  <c r="AA172" i="4"/>
  <c r="AD172" i="4" s="1"/>
  <c r="AC173" i="4"/>
  <c r="AG176" i="4"/>
  <c r="AA176" i="4"/>
  <c r="AD176" i="4" s="1"/>
  <c r="AG7" i="4"/>
  <c r="AA7" i="4"/>
  <c r="AD7" i="4" s="1"/>
  <c r="AG22" i="4"/>
  <c r="AA22" i="4"/>
  <c r="AD22" i="4" s="1"/>
  <c r="AG33" i="4"/>
  <c r="AA33" i="4"/>
  <c r="AD33" i="4" s="1"/>
  <c r="AC34" i="4"/>
  <c r="AG37" i="4"/>
  <c r="AA37" i="4"/>
  <c r="AD37" i="4" s="1"/>
  <c r="AG42" i="4"/>
  <c r="AA42" i="4"/>
  <c r="AD42" i="4" s="1"/>
  <c r="AC43" i="4"/>
  <c r="AG46" i="4"/>
  <c r="AA46" i="4"/>
  <c r="AD46" i="4" s="1"/>
  <c r="AG56" i="4"/>
  <c r="AA56" i="4"/>
  <c r="AD56" i="4" s="1"/>
  <c r="AG57" i="4"/>
  <c r="AA57" i="4"/>
  <c r="AD57" i="4" s="1"/>
  <c r="AC75" i="4"/>
  <c r="AG77" i="4"/>
  <c r="AA77" i="4"/>
  <c r="AD77" i="4" s="1"/>
  <c r="AG87" i="4"/>
  <c r="AA87" i="4"/>
  <c r="AD87" i="4" s="1"/>
  <c r="AC89" i="4"/>
  <c r="AG91" i="4"/>
  <c r="AA91" i="4"/>
  <c r="AD91" i="4" s="1"/>
  <c r="AC93" i="4"/>
  <c r="AG95" i="4"/>
  <c r="AA95" i="4"/>
  <c r="AD95" i="4" s="1"/>
  <c r="AC97" i="4"/>
  <c r="AG99" i="4"/>
  <c r="AA99" i="4"/>
  <c r="AD99" i="4" s="1"/>
  <c r="AG103" i="4"/>
  <c r="AA103" i="4"/>
  <c r="AD103" i="4" s="1"/>
  <c r="AC106" i="4"/>
  <c r="AG107" i="4"/>
  <c r="AA107" i="4"/>
  <c r="AD107" i="4" s="1"/>
  <c r="AG111" i="4"/>
  <c r="AA111" i="4"/>
  <c r="AD111" i="4" s="1"/>
  <c r="AG115" i="4"/>
  <c r="AA115" i="4"/>
  <c r="AD115" i="4" s="1"/>
  <c r="AG119" i="4"/>
  <c r="AA119" i="4"/>
  <c r="AD119" i="4" s="1"/>
  <c r="AC122" i="4"/>
  <c r="AG123" i="4"/>
  <c r="AA123" i="4"/>
  <c r="AD123" i="4" s="1"/>
  <c r="AG127" i="4"/>
  <c r="AA127" i="4"/>
  <c r="AD127" i="4" s="1"/>
  <c r="AG131" i="4"/>
  <c r="AA131" i="4"/>
  <c r="AD131" i="4" s="1"/>
  <c r="AG135" i="4"/>
  <c r="AA135" i="4"/>
  <c r="AD135" i="4" s="1"/>
  <c r="AG140" i="4"/>
  <c r="AA140" i="4"/>
  <c r="AD140" i="4" s="1"/>
  <c r="AG148" i="4"/>
  <c r="AA148" i="4"/>
  <c r="AD148" i="4" s="1"/>
  <c r="AG155" i="4"/>
  <c r="AA155" i="4"/>
  <c r="AD155" i="4" s="1"/>
  <c r="AC156" i="4"/>
  <c r="AG159" i="4"/>
  <c r="AA159" i="4"/>
  <c r="AD159" i="4" s="1"/>
  <c r="AG163" i="4"/>
  <c r="AA163" i="4"/>
  <c r="AD163" i="4" s="1"/>
  <c r="AC164" i="4"/>
  <c r="AG167" i="4"/>
  <c r="AA167" i="4"/>
  <c r="AD167" i="4" s="1"/>
  <c r="AC168" i="4"/>
  <c r="AG171" i="4"/>
  <c r="AA171" i="4"/>
  <c r="AD171" i="4" s="1"/>
  <c r="AC172" i="4"/>
  <c r="AG175" i="4"/>
  <c r="AA175" i="4"/>
  <c r="AD175" i="4" s="1"/>
  <c r="AC176" i="4"/>
  <c r="AG179" i="4"/>
  <c r="AA179" i="4"/>
  <c r="AD179" i="4" s="1"/>
  <c r="AG31" i="4"/>
  <c r="AA31" i="4"/>
  <c r="AD31" i="4" s="1"/>
  <c r="AG35" i="4"/>
  <c r="AA35" i="4"/>
  <c r="AD35" i="4" s="1"/>
  <c r="AG50" i="4"/>
  <c r="AA50" i="4"/>
  <c r="AD50" i="4" s="1"/>
  <c r="AG79" i="4"/>
  <c r="AA79" i="4"/>
  <c r="AD79" i="4" s="1"/>
  <c r="AG109" i="4"/>
  <c r="AA109" i="4"/>
  <c r="AD109" i="4" s="1"/>
  <c r="AG117" i="4"/>
  <c r="AA117" i="4"/>
  <c r="AD117" i="4" s="1"/>
  <c r="AG125" i="4"/>
  <c r="AA125" i="4"/>
  <c r="AD125" i="4" s="1"/>
  <c r="AG137" i="4"/>
  <c r="AA137" i="4"/>
  <c r="AD137" i="4" s="1"/>
  <c r="AG142" i="4"/>
  <c r="AA142" i="4"/>
  <c r="AD142" i="4" s="1"/>
  <c r="AG150" i="4"/>
  <c r="AA150" i="4"/>
  <c r="AD150" i="4" s="1"/>
  <c r="AG165" i="4"/>
  <c r="AA165" i="4"/>
  <c r="AD165" i="4" s="1"/>
  <c r="AG169" i="4"/>
  <c r="AA169" i="4"/>
  <c r="AD169" i="4" s="1"/>
  <c r="AG177" i="4"/>
  <c r="AA177" i="4"/>
  <c r="AD177" i="4" s="1"/>
  <c r="AC27" i="4"/>
  <c r="AG30" i="4"/>
  <c r="AA30" i="4"/>
  <c r="AD30" i="4" s="1"/>
  <c r="AC31" i="4"/>
  <c r="AG38" i="4"/>
  <c r="AA38" i="4"/>
  <c r="AD38" i="4" s="1"/>
  <c r="AG47" i="4"/>
  <c r="AA47" i="4"/>
  <c r="AD47" i="4" s="1"/>
  <c r="AC48" i="4"/>
  <c r="AC50" i="4"/>
  <c r="AG81" i="4"/>
  <c r="AA81" i="4"/>
  <c r="AD81" i="4" s="1"/>
  <c r="AG89" i="4"/>
  <c r="AA89" i="4"/>
  <c r="AD89" i="4" s="1"/>
  <c r="AG93" i="4"/>
  <c r="AA93" i="4"/>
  <c r="AD93" i="4" s="1"/>
  <c r="AG97" i="4"/>
  <c r="AA97" i="4"/>
  <c r="AD97" i="4" s="1"/>
  <c r="AG102" i="4"/>
  <c r="AA102" i="4"/>
  <c r="AD102" i="4" s="1"/>
  <c r="AC105" i="4"/>
  <c r="AC109" i="4"/>
  <c r="AG110" i="4"/>
  <c r="AA110" i="4"/>
  <c r="AD110" i="4" s="1"/>
  <c r="AG114" i="4"/>
  <c r="AA114" i="4"/>
  <c r="AD114" i="4" s="1"/>
  <c r="AG118" i="4"/>
  <c r="AA118" i="4"/>
  <c r="AD118" i="4" s="1"/>
  <c r="AC125" i="4"/>
  <c r="AG126" i="4"/>
  <c r="AA126" i="4"/>
  <c r="AD126" i="4" s="1"/>
  <c r="AG130" i="4"/>
  <c r="AA130" i="4"/>
  <c r="AD130" i="4" s="1"/>
  <c r="AG134" i="4"/>
  <c r="AA134" i="4"/>
  <c r="AD134" i="4" s="1"/>
  <c r="AG138" i="4"/>
  <c r="AA138" i="4"/>
  <c r="AD138" i="4" s="1"/>
  <c r="AC142" i="4"/>
  <c r="AG144" i="4"/>
  <c r="AA144" i="4"/>
  <c r="AD144" i="4" s="1"/>
  <c r="AG149" i="4"/>
  <c r="AA149" i="4"/>
  <c r="AD149" i="4" s="1"/>
  <c r="AC150" i="4"/>
  <c r="AG152" i="4"/>
  <c r="AA152" i="4"/>
  <c r="AD152" i="4" s="1"/>
  <c r="AC153" i="4"/>
  <c r="AG160" i="4"/>
  <c r="AA160" i="4"/>
  <c r="AD160" i="4" s="1"/>
  <c r="AC161" i="4"/>
  <c r="AC177" i="4"/>
  <c r="AG6" i="4"/>
  <c r="AA6" i="4"/>
  <c r="AD6" i="4" s="1"/>
  <c r="AC7" i="4"/>
  <c r="AG11" i="4"/>
  <c r="AA11" i="4"/>
  <c r="AD11" i="4" s="1"/>
  <c r="AC22" i="4"/>
  <c r="AG32" i="4"/>
  <c r="AA32" i="4"/>
  <c r="AD32" i="4" s="1"/>
  <c r="AC33" i="4"/>
  <c r="AG36" i="4"/>
  <c r="AA36" i="4"/>
  <c r="AD36" i="4" s="1"/>
  <c r="AC37" i="4"/>
  <c r="AG40" i="4"/>
  <c r="AA40" i="4"/>
  <c r="AD40" i="4" s="1"/>
  <c r="AC42" i="4"/>
  <c r="AG45" i="4"/>
  <c r="AA45" i="4"/>
  <c r="AD45" i="4" s="1"/>
  <c r="AC46" i="4"/>
  <c r="AG49" i="4"/>
  <c r="AA49" i="4"/>
  <c r="AC56" i="4"/>
  <c r="AC57" i="4"/>
  <c r="AC77" i="4"/>
  <c r="AG83" i="4"/>
  <c r="AA83" i="4"/>
  <c r="AD83" i="4" s="1"/>
  <c r="AC87" i="4"/>
  <c r="AC91" i="4"/>
  <c r="AC95" i="4"/>
  <c r="AC99" i="4"/>
  <c r="AG100" i="4"/>
  <c r="AA100" i="4"/>
  <c r="AD100" i="4" s="1"/>
  <c r="AC103" i="4"/>
  <c r="AG104" i="4"/>
  <c r="AA104" i="4"/>
  <c r="AD104" i="4" s="1"/>
  <c r="AC107" i="4"/>
  <c r="AG108" i="4"/>
  <c r="AA108" i="4"/>
  <c r="AD108" i="4" s="1"/>
  <c r="AC111" i="4"/>
  <c r="AG112" i="4"/>
  <c r="AA112" i="4"/>
  <c r="AD112" i="4" s="1"/>
  <c r="AC115" i="4"/>
  <c r="AG116" i="4"/>
  <c r="AA116" i="4"/>
  <c r="AD116" i="4" s="1"/>
  <c r="AC119" i="4"/>
  <c r="AG120" i="4"/>
  <c r="AA120" i="4"/>
  <c r="AD120" i="4" s="1"/>
  <c r="AC123" i="4"/>
  <c r="AG124" i="4"/>
  <c r="AA124" i="4"/>
  <c r="AD124" i="4" s="1"/>
  <c r="AC127" i="4"/>
  <c r="AG128" i="4"/>
  <c r="AA128" i="4"/>
  <c r="AD128" i="4" s="1"/>
  <c r="AC131" i="4"/>
  <c r="AG132" i="4"/>
  <c r="AA132" i="4"/>
  <c r="AD132" i="4" s="1"/>
  <c r="AC135" i="4"/>
  <c r="AG136" i="4"/>
  <c r="AA136" i="4"/>
  <c r="AD136" i="4" s="1"/>
  <c r="AC140" i="4"/>
  <c r="AG147" i="4"/>
  <c r="AA147" i="4"/>
  <c r="AD147" i="4" s="1"/>
  <c r="AC148" i="4"/>
  <c r="AG151" i="4"/>
  <c r="AA151" i="4"/>
  <c r="AD151" i="4" s="1"/>
  <c r="AG154" i="4"/>
  <c r="AA154" i="4"/>
  <c r="AD154" i="4" s="1"/>
  <c r="AC155" i="4"/>
  <c r="AG158" i="4"/>
  <c r="AA158" i="4"/>
  <c r="AD158" i="4" s="1"/>
  <c r="AC159" i="4"/>
  <c r="AG162" i="4"/>
  <c r="AA162" i="4"/>
  <c r="AD162" i="4" s="1"/>
  <c r="AC163" i="4"/>
  <c r="AG166" i="4"/>
  <c r="AA166" i="4"/>
  <c r="AD166" i="4" s="1"/>
  <c r="AC167" i="4"/>
  <c r="AG170" i="4"/>
  <c r="AA170" i="4"/>
  <c r="AD170" i="4" s="1"/>
  <c r="AC171" i="4"/>
  <c r="AG174" i="4"/>
  <c r="AA174" i="4"/>
  <c r="AD174" i="4" s="1"/>
  <c r="AC175" i="4"/>
  <c r="AG178" i="4"/>
  <c r="AA178" i="4"/>
  <c r="AD178" i="4" s="1"/>
  <c r="AC179" i="4"/>
  <c r="AC400" i="4"/>
  <c r="AG400" i="4"/>
  <c r="AC404" i="4"/>
  <c r="AG404" i="4"/>
  <c r="AC408" i="4"/>
  <c r="AG408" i="4"/>
  <c r="AC412" i="4"/>
  <c r="AG412" i="4"/>
  <c r="AG477" i="4"/>
  <c r="AA477" i="4"/>
  <c r="AD477" i="4" s="1"/>
  <c r="AG481" i="4"/>
  <c r="AA481" i="4"/>
  <c r="AD481" i="4" s="1"/>
  <c r="AG485" i="4"/>
  <c r="AA485" i="4"/>
  <c r="AD485" i="4" s="1"/>
  <c r="AG489" i="4"/>
  <c r="AA489" i="4"/>
  <c r="AD489" i="4" s="1"/>
  <c r="AG493" i="4"/>
  <c r="AA493" i="4"/>
  <c r="AD493" i="4" s="1"/>
  <c r="AG497" i="4"/>
  <c r="AA497" i="4"/>
  <c r="AD497" i="4" s="1"/>
  <c r="AG501" i="4"/>
  <c r="AA501" i="4"/>
  <c r="AD501" i="4" s="1"/>
  <c r="AG505" i="4"/>
  <c r="AA505" i="4"/>
  <c r="AD505" i="4" s="1"/>
  <c r="AG509" i="4"/>
  <c r="AA509" i="4"/>
  <c r="AD509" i="4" s="1"/>
  <c r="AG639" i="4"/>
  <c r="AA639" i="4"/>
  <c r="AD639" i="4" s="1"/>
  <c r="AC639" i="4"/>
  <c r="AG647" i="4"/>
  <c r="AA647" i="4"/>
  <c r="AD647" i="4" s="1"/>
  <c r="AC647" i="4"/>
  <c r="AG655" i="4"/>
  <c r="AA655" i="4"/>
  <c r="AD655" i="4" s="1"/>
  <c r="AC655" i="4"/>
  <c r="AC665" i="4"/>
  <c r="AG665" i="4"/>
  <c r="AA665" i="4"/>
  <c r="AD665" i="4" s="1"/>
  <c r="AC681" i="4"/>
  <c r="AG681" i="4"/>
  <c r="AA681" i="4"/>
  <c r="AD681" i="4" s="1"/>
  <c r="AC685" i="4"/>
  <c r="AA685" i="4"/>
  <c r="AD685" i="4" s="1"/>
  <c r="AG685" i="4"/>
  <c r="AA698" i="4"/>
  <c r="AD698" i="4" s="1"/>
  <c r="AG698" i="4"/>
  <c r="AC698" i="4"/>
  <c r="AA700" i="4"/>
  <c r="AD700" i="4" s="1"/>
  <c r="AG700" i="4"/>
  <c r="AA702" i="4"/>
  <c r="AD702" i="4" s="1"/>
  <c r="AC702" i="4"/>
  <c r="AG702" i="4"/>
  <c r="AG704" i="4"/>
  <c r="AA704" i="4"/>
  <c r="AD704" i="4" s="1"/>
  <c r="AG709" i="4"/>
  <c r="AA709" i="4"/>
  <c r="AD709" i="4" s="1"/>
  <c r="AC709" i="4"/>
  <c r="AG716" i="4"/>
  <c r="AA716" i="4"/>
  <c r="AD716" i="4" s="1"/>
  <c r="AC716" i="4"/>
  <c r="AC779" i="4"/>
  <c r="AG779" i="4"/>
  <c r="AA779" i="4"/>
  <c r="AD779" i="4" s="1"/>
  <c r="AC781" i="4"/>
  <c r="AG781" i="4"/>
  <c r="AA781" i="4"/>
  <c r="AD781" i="4" s="1"/>
  <c r="AC820" i="4"/>
  <c r="AA820" i="4"/>
  <c r="AD820" i="4" s="1"/>
  <c r="AG820" i="4"/>
  <c r="AC824" i="4"/>
  <c r="AA824" i="4"/>
  <c r="AD824" i="4" s="1"/>
  <c r="AG824" i="4"/>
  <c r="AC834" i="4"/>
  <c r="AG834" i="4"/>
  <c r="AA834" i="4"/>
  <c r="AD834" i="4" s="1"/>
  <c r="AC876" i="4"/>
  <c r="AG876" i="4"/>
  <c r="AA876" i="4"/>
  <c r="AD876" i="4" s="1"/>
  <c r="AC1322" i="4"/>
  <c r="AG1322" i="4"/>
  <c r="AA1322" i="4"/>
  <c r="AD1322" i="4" s="1"/>
  <c r="AA246" i="4"/>
  <c r="AD246" i="4" s="1"/>
  <c r="AG246" i="4"/>
  <c r="AA247" i="4"/>
  <c r="AD247" i="4" s="1"/>
  <c r="AG247" i="4"/>
  <c r="AA248" i="4"/>
  <c r="AD248" i="4" s="1"/>
  <c r="AG248" i="4"/>
  <c r="AA249" i="4"/>
  <c r="AD249" i="4" s="1"/>
  <c r="AG249" i="4"/>
  <c r="AA250" i="4"/>
  <c r="AD250" i="4" s="1"/>
  <c r="AG250" i="4"/>
  <c r="AA251" i="4"/>
  <c r="AD251" i="4" s="1"/>
  <c r="AG251" i="4"/>
  <c r="AA252" i="4"/>
  <c r="AD252" i="4" s="1"/>
  <c r="AG252" i="4"/>
  <c r="AA253" i="4"/>
  <c r="AD253" i="4" s="1"/>
  <c r="AG253" i="4"/>
  <c r="AA254" i="4"/>
  <c r="AD254" i="4" s="1"/>
  <c r="AG254" i="4"/>
  <c r="AA255" i="4"/>
  <c r="AD255" i="4" s="1"/>
  <c r="AG255" i="4"/>
  <c r="AA256" i="4"/>
  <c r="AD256" i="4" s="1"/>
  <c r="AG256" i="4"/>
  <c r="AA257" i="4"/>
  <c r="AD257" i="4" s="1"/>
  <c r="AG257" i="4"/>
  <c r="AA258" i="4"/>
  <c r="AD258" i="4" s="1"/>
  <c r="AG258" i="4"/>
  <c r="AA259" i="4"/>
  <c r="AD259" i="4" s="1"/>
  <c r="AG259" i="4"/>
  <c r="AA260" i="4"/>
  <c r="AD260" i="4" s="1"/>
  <c r="AG260" i="4"/>
  <c r="AA261" i="4"/>
  <c r="AD261" i="4" s="1"/>
  <c r="AG261" i="4"/>
  <c r="AA262" i="4"/>
  <c r="AD262" i="4" s="1"/>
  <c r="AG262" i="4"/>
  <c r="AA263" i="4"/>
  <c r="AD263" i="4" s="1"/>
  <c r="AG263" i="4"/>
  <c r="AA264" i="4"/>
  <c r="AD264" i="4" s="1"/>
  <c r="AG264" i="4"/>
  <c r="AA265" i="4"/>
  <c r="AD265" i="4" s="1"/>
  <c r="AG265" i="4"/>
  <c r="AA266" i="4"/>
  <c r="AD266" i="4" s="1"/>
  <c r="AG266" i="4"/>
  <c r="AA267" i="4"/>
  <c r="AD267" i="4" s="1"/>
  <c r="AG267" i="4"/>
  <c r="AA268" i="4"/>
  <c r="AD268" i="4" s="1"/>
  <c r="AG268" i="4"/>
  <c r="AA269" i="4"/>
  <c r="AD269" i="4" s="1"/>
  <c r="AG269" i="4"/>
  <c r="AA273" i="4"/>
  <c r="AD273" i="4" s="1"/>
  <c r="AG273" i="4"/>
  <c r="AA280" i="4"/>
  <c r="AD280" i="4" s="1"/>
  <c r="AG280" i="4"/>
  <c r="AA286" i="4"/>
  <c r="AD286" i="4" s="1"/>
  <c r="AG286" i="4"/>
  <c r="AA287" i="4"/>
  <c r="AD287" i="4" s="1"/>
  <c r="AG287" i="4"/>
  <c r="AA288" i="4"/>
  <c r="AD288" i="4" s="1"/>
  <c r="AG288" i="4"/>
  <c r="AA289" i="4"/>
  <c r="AD289" i="4" s="1"/>
  <c r="AG289" i="4"/>
  <c r="AA290" i="4"/>
  <c r="AD290" i="4" s="1"/>
  <c r="AG290" i="4"/>
  <c r="AA291" i="4"/>
  <c r="AD291" i="4" s="1"/>
  <c r="AG291" i="4"/>
  <c r="AA308" i="4"/>
  <c r="AD308" i="4" s="1"/>
  <c r="AG308" i="4"/>
  <c r="AA355" i="4"/>
  <c r="AD355" i="4" s="1"/>
  <c r="AG355" i="4"/>
  <c r="AC396" i="4"/>
  <c r="AG396" i="4"/>
  <c r="AA400" i="4"/>
  <c r="AD400" i="4" s="1"/>
  <c r="AC401" i="4"/>
  <c r="AG401" i="4"/>
  <c r="AA404" i="4"/>
  <c r="AD404" i="4" s="1"/>
  <c r="AC405" i="4"/>
  <c r="AG405" i="4"/>
  <c r="AA408" i="4"/>
  <c r="AD408" i="4" s="1"/>
  <c r="AC409" i="4"/>
  <c r="AG409" i="4"/>
  <c r="AA412" i="4"/>
  <c r="AD412" i="4" s="1"/>
  <c r="AC413" i="4"/>
  <c r="AG413" i="4"/>
  <c r="AG476" i="4"/>
  <c r="AA476" i="4"/>
  <c r="AD476" i="4" s="1"/>
  <c r="AC477" i="4"/>
  <c r="AG480" i="4"/>
  <c r="AA480" i="4"/>
  <c r="AD480" i="4" s="1"/>
  <c r="AC481" i="4"/>
  <c r="AG484" i="4"/>
  <c r="AA484" i="4"/>
  <c r="AD484" i="4" s="1"/>
  <c r="AC485" i="4"/>
  <c r="AG488" i="4"/>
  <c r="AA488" i="4"/>
  <c r="AD488" i="4" s="1"/>
  <c r="AC489" i="4"/>
  <c r="AG492" i="4"/>
  <c r="AA492" i="4"/>
  <c r="AD492" i="4" s="1"/>
  <c r="AC493" i="4"/>
  <c r="AG496" i="4"/>
  <c r="AA496" i="4"/>
  <c r="AD496" i="4" s="1"/>
  <c r="AC497" i="4"/>
  <c r="AG500" i="4"/>
  <c r="AA500" i="4"/>
  <c r="AD500" i="4" s="1"/>
  <c r="AC501" i="4"/>
  <c r="AG504" i="4"/>
  <c r="AA504" i="4"/>
  <c r="AD504" i="4" s="1"/>
  <c r="AC505" i="4"/>
  <c r="AG508" i="4"/>
  <c r="AA508" i="4"/>
  <c r="AD508" i="4" s="1"/>
  <c r="AC509" i="4"/>
  <c r="AC613" i="4"/>
  <c r="AA613" i="4"/>
  <c r="AD613" i="4" s="1"/>
  <c r="AG613" i="4"/>
  <c r="AG631" i="4"/>
  <c r="AA631" i="4"/>
  <c r="AD631" i="4" s="1"/>
  <c r="AC631" i="4"/>
  <c r="AG637" i="4"/>
  <c r="AA637" i="4"/>
  <c r="AD637" i="4" s="1"/>
  <c r="AC637" i="4"/>
  <c r="AG645" i="4"/>
  <c r="AA645" i="4"/>
  <c r="AD645" i="4" s="1"/>
  <c r="AC645" i="4"/>
  <c r="AG653" i="4"/>
  <c r="AA653" i="4"/>
  <c r="AD653" i="4" s="1"/>
  <c r="AC653" i="4"/>
  <c r="AA666" i="4"/>
  <c r="AD666" i="4" s="1"/>
  <c r="AG666" i="4"/>
  <c r="AC666" i="4"/>
  <c r="AA668" i="4"/>
  <c r="AD668" i="4" s="1"/>
  <c r="AG668" i="4"/>
  <c r="AA670" i="4"/>
  <c r="AD670" i="4" s="1"/>
  <c r="AC670" i="4"/>
  <c r="AG670" i="4"/>
  <c r="AG672" i="4"/>
  <c r="AA672" i="4"/>
  <c r="AD672" i="4" s="1"/>
  <c r="AC677" i="4"/>
  <c r="AA677" i="4"/>
  <c r="AD677" i="4" s="1"/>
  <c r="AG677" i="4"/>
  <c r="AA690" i="4"/>
  <c r="AD690" i="4" s="1"/>
  <c r="AG690" i="4"/>
  <c r="AC690" i="4"/>
  <c r="AA692" i="4"/>
  <c r="AD692" i="4" s="1"/>
  <c r="AG692" i="4"/>
  <c r="AA694" i="4"/>
  <c r="AD694" i="4" s="1"/>
  <c r="AC694" i="4"/>
  <c r="AG694" i="4"/>
  <c r="AG696" i="4"/>
  <c r="AA696" i="4"/>
  <c r="AD696" i="4" s="1"/>
  <c r="AC700" i="4"/>
  <c r="AC704" i="4"/>
  <c r="AC705" i="4"/>
  <c r="AG705" i="4"/>
  <c r="AA705" i="4"/>
  <c r="AD705" i="4" s="1"/>
  <c r="AG714" i="4"/>
  <c r="AA714" i="4"/>
  <c r="AD714" i="4" s="1"/>
  <c r="AC714" i="4"/>
  <c r="AC767" i="4"/>
  <c r="AG767" i="4"/>
  <c r="AA767" i="4"/>
  <c r="AD767" i="4" s="1"/>
  <c r="AC769" i="4"/>
  <c r="AG769" i="4"/>
  <c r="AA769" i="4"/>
  <c r="AD769" i="4" s="1"/>
  <c r="AC823" i="4"/>
  <c r="AG823" i="4"/>
  <c r="AA823" i="4"/>
  <c r="AD823" i="4" s="1"/>
  <c r="AG859" i="4"/>
  <c r="AA859" i="4"/>
  <c r="AD859" i="4" s="1"/>
  <c r="AC859" i="4"/>
  <c r="AC867" i="4"/>
  <c r="AG867" i="4"/>
  <c r="AA867" i="4"/>
  <c r="AD867" i="4" s="1"/>
  <c r="AC971" i="4"/>
  <c r="AG971" i="4"/>
  <c r="AA971" i="4"/>
  <c r="AD971" i="4" s="1"/>
  <c r="AC1049" i="4"/>
  <c r="AG1049" i="4"/>
  <c r="AA1049" i="4"/>
  <c r="AD1049" i="4" s="1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3" i="4"/>
  <c r="AC280" i="4"/>
  <c r="AC286" i="4"/>
  <c r="AC287" i="4"/>
  <c r="AC288" i="4"/>
  <c r="AC289" i="4"/>
  <c r="AC290" i="4"/>
  <c r="AC291" i="4"/>
  <c r="AC308" i="4"/>
  <c r="AC355" i="4"/>
  <c r="AC397" i="4"/>
  <c r="AG397" i="4"/>
  <c r="AC402" i="4"/>
  <c r="AG402" i="4"/>
  <c r="AC406" i="4"/>
  <c r="AG406" i="4"/>
  <c r="AC410" i="4"/>
  <c r="AG410" i="4"/>
  <c r="AC414" i="4"/>
  <c r="AG414" i="4"/>
  <c r="AG475" i="4"/>
  <c r="AA475" i="4"/>
  <c r="AD475" i="4" s="1"/>
  <c r="AG479" i="4"/>
  <c r="AA479" i="4"/>
  <c r="AD479" i="4" s="1"/>
  <c r="AG483" i="4"/>
  <c r="AA483" i="4"/>
  <c r="AD483" i="4" s="1"/>
  <c r="AG487" i="4"/>
  <c r="AA487" i="4"/>
  <c r="AD487" i="4" s="1"/>
  <c r="AG491" i="4"/>
  <c r="AA491" i="4"/>
  <c r="AD491" i="4" s="1"/>
  <c r="AG495" i="4"/>
  <c r="AA495" i="4"/>
  <c r="AD495" i="4" s="1"/>
  <c r="AG499" i="4"/>
  <c r="AA499" i="4"/>
  <c r="AD499" i="4" s="1"/>
  <c r="AG503" i="4"/>
  <c r="AA503" i="4"/>
  <c r="AD503" i="4" s="1"/>
  <c r="AG507" i="4"/>
  <c r="AA507" i="4"/>
  <c r="AD507" i="4" s="1"/>
  <c r="AC610" i="4"/>
  <c r="AG610" i="4"/>
  <c r="AA610" i="4"/>
  <c r="AD610" i="4" s="1"/>
  <c r="AC614" i="4"/>
  <c r="AA614" i="4"/>
  <c r="AD614" i="4" s="1"/>
  <c r="AG614" i="4"/>
  <c r="AG616" i="4"/>
  <c r="AA616" i="4"/>
  <c r="AD616" i="4" s="1"/>
  <c r="AC616" i="4"/>
  <c r="AG629" i="4"/>
  <c r="AA629" i="4"/>
  <c r="AD629" i="4" s="1"/>
  <c r="AC629" i="4"/>
  <c r="AG635" i="4"/>
  <c r="AA635" i="4"/>
  <c r="AD635" i="4" s="1"/>
  <c r="AC635" i="4"/>
  <c r="AG643" i="4"/>
  <c r="AA643" i="4"/>
  <c r="AD643" i="4" s="1"/>
  <c r="AC643" i="4"/>
  <c r="AG651" i="4"/>
  <c r="AA651" i="4"/>
  <c r="AD651" i="4" s="1"/>
  <c r="AC651" i="4"/>
  <c r="AG659" i="4"/>
  <c r="AA659" i="4"/>
  <c r="AD659" i="4" s="1"/>
  <c r="AC659" i="4"/>
  <c r="AC673" i="4"/>
  <c r="AG673" i="4"/>
  <c r="AA673" i="4"/>
  <c r="AD673" i="4" s="1"/>
  <c r="AA682" i="4"/>
  <c r="AD682" i="4" s="1"/>
  <c r="AG682" i="4"/>
  <c r="AC682" i="4"/>
  <c r="AA684" i="4"/>
  <c r="AD684" i="4" s="1"/>
  <c r="AG684" i="4"/>
  <c r="AA686" i="4"/>
  <c r="AD686" i="4" s="1"/>
  <c r="AC686" i="4"/>
  <c r="AG686" i="4"/>
  <c r="AG688" i="4"/>
  <c r="AA688" i="4"/>
  <c r="AD688" i="4" s="1"/>
  <c r="AC697" i="4"/>
  <c r="AG697" i="4"/>
  <c r="AA697" i="4"/>
  <c r="AD697" i="4" s="1"/>
  <c r="AC701" i="4"/>
  <c r="AA701" i="4"/>
  <c r="AD701" i="4" s="1"/>
  <c r="AG701" i="4"/>
  <c r="AA740" i="4"/>
  <c r="AD740" i="4" s="1"/>
  <c r="AC740" i="4"/>
  <c r="AC822" i="4"/>
  <c r="AA822" i="4"/>
  <c r="AD822" i="4" s="1"/>
  <c r="AG822" i="4"/>
  <c r="AC826" i="4"/>
  <c r="AA826" i="4"/>
  <c r="AD826" i="4" s="1"/>
  <c r="AG826" i="4"/>
  <c r="AC836" i="4"/>
  <c r="AA836" i="4"/>
  <c r="AD836" i="4" s="1"/>
  <c r="AG836" i="4"/>
  <c r="AC892" i="4"/>
  <c r="AG892" i="4"/>
  <c r="AA892" i="4"/>
  <c r="AD892" i="4" s="1"/>
  <c r="AG993" i="4"/>
  <c r="AA993" i="4"/>
  <c r="AD993" i="4" s="1"/>
  <c r="AC993" i="4"/>
  <c r="AC4" i="4"/>
  <c r="AC5" i="4"/>
  <c r="AC12" i="4"/>
  <c r="AC13" i="4"/>
  <c r="AC14" i="4"/>
  <c r="AC15" i="4"/>
  <c r="AC16" i="4"/>
  <c r="AC17" i="4"/>
  <c r="AC18" i="4"/>
  <c r="AC19" i="4"/>
  <c r="AC20" i="4"/>
  <c r="AC21" i="4"/>
  <c r="AC28" i="4"/>
  <c r="AC29" i="4"/>
  <c r="AC41" i="4"/>
  <c r="AC51" i="4"/>
  <c r="AC52" i="4"/>
  <c r="AC53" i="4"/>
  <c r="AC54" i="4"/>
  <c r="AC55" i="4"/>
  <c r="AC78" i="4"/>
  <c r="AC82" i="4"/>
  <c r="AC86" i="4"/>
  <c r="AC88" i="4"/>
  <c r="AC92" i="4"/>
  <c r="AC96" i="4"/>
  <c r="AC141" i="4"/>
  <c r="AC145" i="4"/>
  <c r="AC146" i="4"/>
  <c r="AA180" i="4"/>
  <c r="AD180" i="4" s="1"/>
  <c r="AA181" i="4"/>
  <c r="AD181" i="4" s="1"/>
  <c r="AA182" i="4"/>
  <c r="AD182" i="4" s="1"/>
  <c r="AA183" i="4"/>
  <c r="AD183" i="4" s="1"/>
  <c r="AA184" i="4"/>
  <c r="AD184" i="4" s="1"/>
  <c r="AA185" i="4"/>
  <c r="AD185" i="4" s="1"/>
  <c r="AA186" i="4"/>
  <c r="AD186" i="4" s="1"/>
  <c r="AA187" i="4"/>
  <c r="AD187" i="4" s="1"/>
  <c r="AA188" i="4"/>
  <c r="AD188" i="4" s="1"/>
  <c r="AA189" i="4"/>
  <c r="AD189" i="4" s="1"/>
  <c r="AA190" i="4"/>
  <c r="AD190" i="4" s="1"/>
  <c r="AA191" i="4"/>
  <c r="AD191" i="4" s="1"/>
  <c r="AA192" i="4"/>
  <c r="AD192" i="4" s="1"/>
  <c r="AA193" i="4"/>
  <c r="AD193" i="4" s="1"/>
  <c r="AA194" i="4"/>
  <c r="AD194" i="4" s="1"/>
  <c r="AA195" i="4"/>
  <c r="AD195" i="4" s="1"/>
  <c r="AA196" i="4"/>
  <c r="AD196" i="4" s="1"/>
  <c r="AA197" i="4"/>
  <c r="AD197" i="4" s="1"/>
  <c r="AA198" i="4"/>
  <c r="AD198" i="4" s="1"/>
  <c r="AA199" i="4"/>
  <c r="AD199" i="4" s="1"/>
  <c r="AA200" i="4"/>
  <c r="AD200" i="4" s="1"/>
  <c r="AA201" i="4"/>
  <c r="AD201" i="4" s="1"/>
  <c r="AA202" i="4"/>
  <c r="AD202" i="4" s="1"/>
  <c r="AA203" i="4"/>
  <c r="AD203" i="4" s="1"/>
  <c r="AA204" i="4"/>
  <c r="AD204" i="4" s="1"/>
  <c r="AA205" i="4"/>
  <c r="AD205" i="4" s="1"/>
  <c r="AA206" i="4"/>
  <c r="AD206" i="4" s="1"/>
  <c r="AA207" i="4"/>
  <c r="AD207" i="4" s="1"/>
  <c r="AA208" i="4"/>
  <c r="AD208" i="4" s="1"/>
  <c r="AA209" i="4"/>
  <c r="AD209" i="4" s="1"/>
  <c r="AA210" i="4"/>
  <c r="AD210" i="4" s="1"/>
  <c r="AA211" i="4"/>
  <c r="AD211" i="4" s="1"/>
  <c r="AA212" i="4"/>
  <c r="AD212" i="4" s="1"/>
  <c r="AA213" i="4"/>
  <c r="AD213" i="4" s="1"/>
  <c r="AA214" i="4"/>
  <c r="AD214" i="4" s="1"/>
  <c r="AL214" i="4"/>
  <c r="AC270" i="4"/>
  <c r="AA271" i="4"/>
  <c r="AD271" i="4" s="1"/>
  <c r="AC274" i="4"/>
  <c r="AC275" i="4"/>
  <c r="AA276" i="4"/>
  <c r="AD276" i="4" s="1"/>
  <c r="AA277" i="4"/>
  <c r="AD277" i="4" s="1"/>
  <c r="AA278" i="4"/>
  <c r="AD278" i="4" s="1"/>
  <c r="AA279" i="4"/>
  <c r="AD279" i="4" s="1"/>
  <c r="AG279" i="4"/>
  <c r="AC281" i="4"/>
  <c r="AA282" i="4"/>
  <c r="AD282" i="4" s="1"/>
  <c r="AA283" i="4"/>
  <c r="AD283" i="4" s="1"/>
  <c r="AA284" i="4"/>
  <c r="AD284" i="4" s="1"/>
  <c r="AA297" i="4"/>
  <c r="AD297" i="4" s="1"/>
  <c r="AA298" i="4"/>
  <c r="AD298" i="4" s="1"/>
  <c r="AA299" i="4"/>
  <c r="AD299" i="4" s="1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A339" i="4"/>
  <c r="AD339" i="4" s="1"/>
  <c r="AA340" i="4"/>
  <c r="AD340" i="4" s="1"/>
  <c r="AA341" i="4"/>
  <c r="AD341" i="4" s="1"/>
  <c r="AA342" i="4"/>
  <c r="AD342" i="4" s="1"/>
  <c r="AA343" i="4"/>
  <c r="AD343" i="4" s="1"/>
  <c r="AA344" i="4"/>
  <c r="AD344" i="4" s="1"/>
  <c r="AA345" i="4"/>
  <c r="AD345" i="4" s="1"/>
  <c r="AA346" i="4"/>
  <c r="AD346" i="4" s="1"/>
  <c r="AA347" i="4"/>
  <c r="AD347" i="4" s="1"/>
  <c r="AA348" i="4"/>
  <c r="AD348" i="4" s="1"/>
  <c r="AA349" i="4"/>
  <c r="AD349" i="4" s="1"/>
  <c r="AA350" i="4"/>
  <c r="AD350" i="4" s="1"/>
  <c r="AA351" i="4"/>
  <c r="AD351" i="4" s="1"/>
  <c r="AA352" i="4"/>
  <c r="AD352" i="4" s="1"/>
  <c r="AC354" i="4"/>
  <c r="AA374" i="4"/>
  <c r="AD374" i="4" s="1"/>
  <c r="AA375" i="4"/>
  <c r="AD375" i="4" s="1"/>
  <c r="AA376" i="4"/>
  <c r="AD376" i="4" s="1"/>
  <c r="AA377" i="4"/>
  <c r="AD377" i="4" s="1"/>
  <c r="AA378" i="4"/>
  <c r="AD378" i="4" s="1"/>
  <c r="AA379" i="4"/>
  <c r="AD379" i="4" s="1"/>
  <c r="AA380" i="4"/>
  <c r="AD380" i="4" s="1"/>
  <c r="AA381" i="4"/>
  <c r="AD381" i="4" s="1"/>
  <c r="AA382" i="4"/>
  <c r="AD382" i="4" s="1"/>
  <c r="AA383" i="4"/>
  <c r="AD383" i="4" s="1"/>
  <c r="AA384" i="4"/>
  <c r="AD384" i="4" s="1"/>
  <c r="AA385" i="4"/>
  <c r="AD385" i="4" s="1"/>
  <c r="AA386" i="4"/>
  <c r="AD386" i="4" s="1"/>
  <c r="AA387" i="4"/>
  <c r="AD387" i="4" s="1"/>
  <c r="AA388" i="4"/>
  <c r="AD388" i="4" s="1"/>
  <c r="AA389" i="4"/>
  <c r="AD389" i="4" s="1"/>
  <c r="AA390" i="4"/>
  <c r="AD390" i="4" s="1"/>
  <c r="AA391" i="4"/>
  <c r="AD391" i="4" s="1"/>
  <c r="AA392" i="4"/>
  <c r="AD392" i="4" s="1"/>
  <c r="AA393" i="4"/>
  <c r="AD393" i="4" s="1"/>
  <c r="AA394" i="4"/>
  <c r="AD394" i="4" s="1"/>
  <c r="AA395" i="4"/>
  <c r="AD395" i="4" s="1"/>
  <c r="AA397" i="4"/>
  <c r="AD397" i="4" s="1"/>
  <c r="AC398" i="4"/>
  <c r="AG398" i="4"/>
  <c r="AA402" i="4"/>
  <c r="AD402" i="4" s="1"/>
  <c r="AC403" i="4"/>
  <c r="AG403" i="4"/>
  <c r="AA406" i="4"/>
  <c r="AD406" i="4" s="1"/>
  <c r="AC407" i="4"/>
  <c r="AG407" i="4"/>
  <c r="AA410" i="4"/>
  <c r="AD410" i="4" s="1"/>
  <c r="AC411" i="4"/>
  <c r="AG411" i="4"/>
  <c r="AA414" i="4"/>
  <c r="AD414" i="4" s="1"/>
  <c r="AC415" i="4"/>
  <c r="AG415" i="4"/>
  <c r="AC475" i="4"/>
  <c r="AG478" i="4"/>
  <c r="AA478" i="4"/>
  <c r="AD478" i="4" s="1"/>
  <c r="AC479" i="4"/>
  <c r="AG482" i="4"/>
  <c r="AA482" i="4"/>
  <c r="AD482" i="4" s="1"/>
  <c r="AC483" i="4"/>
  <c r="AG486" i="4"/>
  <c r="AA486" i="4"/>
  <c r="AD486" i="4" s="1"/>
  <c r="AC487" i="4"/>
  <c r="AG490" i="4"/>
  <c r="AA490" i="4"/>
  <c r="AD490" i="4" s="1"/>
  <c r="AC491" i="4"/>
  <c r="AG494" i="4"/>
  <c r="AA494" i="4"/>
  <c r="AD494" i="4" s="1"/>
  <c r="AC495" i="4"/>
  <c r="AG498" i="4"/>
  <c r="AA498" i="4"/>
  <c r="AD498" i="4" s="1"/>
  <c r="AC499" i="4"/>
  <c r="AG502" i="4"/>
  <c r="AA502" i="4"/>
  <c r="AD502" i="4" s="1"/>
  <c r="AC503" i="4"/>
  <c r="AG506" i="4"/>
  <c r="AA506" i="4"/>
  <c r="AD506" i="4" s="1"/>
  <c r="AC507" i="4"/>
  <c r="AG510" i="4"/>
  <c r="AA510" i="4"/>
  <c r="AD510" i="4" s="1"/>
  <c r="AC611" i="4"/>
  <c r="AA611" i="4"/>
  <c r="AD611" i="4" s="1"/>
  <c r="AG611" i="4"/>
  <c r="AC615" i="4"/>
  <c r="AA615" i="4"/>
  <c r="AD615" i="4" s="1"/>
  <c r="AG615" i="4"/>
  <c r="AG620" i="4"/>
  <c r="AA620" i="4"/>
  <c r="AD620" i="4" s="1"/>
  <c r="AC620" i="4"/>
  <c r="AG641" i="4"/>
  <c r="AA641" i="4"/>
  <c r="AD641" i="4" s="1"/>
  <c r="AC641" i="4"/>
  <c r="AG649" i="4"/>
  <c r="AA649" i="4"/>
  <c r="AD649" i="4" s="1"/>
  <c r="AC649" i="4"/>
  <c r="AG657" i="4"/>
  <c r="AA657" i="4"/>
  <c r="AD657" i="4" s="1"/>
  <c r="AC657" i="4"/>
  <c r="AA662" i="4"/>
  <c r="AD662" i="4" s="1"/>
  <c r="AC662" i="4"/>
  <c r="AG662" i="4"/>
  <c r="AG664" i="4"/>
  <c r="AA664" i="4"/>
  <c r="AD664" i="4" s="1"/>
  <c r="AC669" i="4"/>
  <c r="AA669" i="4"/>
  <c r="AD669" i="4" s="1"/>
  <c r="AG669" i="4"/>
  <c r="AA674" i="4"/>
  <c r="AD674" i="4" s="1"/>
  <c r="AG674" i="4"/>
  <c r="AC674" i="4"/>
  <c r="AA676" i="4"/>
  <c r="AD676" i="4" s="1"/>
  <c r="AG676" i="4"/>
  <c r="AA678" i="4"/>
  <c r="AD678" i="4" s="1"/>
  <c r="AC678" i="4"/>
  <c r="AG678" i="4"/>
  <c r="AG680" i="4"/>
  <c r="AA680" i="4"/>
  <c r="AD680" i="4" s="1"/>
  <c r="AC684" i="4"/>
  <c r="AC688" i="4"/>
  <c r="AC689" i="4"/>
  <c r="AG689" i="4"/>
  <c r="AA689" i="4"/>
  <c r="AD689" i="4" s="1"/>
  <c r="AC693" i="4"/>
  <c r="AA693" i="4"/>
  <c r="AD693" i="4" s="1"/>
  <c r="AG693" i="4"/>
  <c r="AA706" i="4"/>
  <c r="AD706" i="4" s="1"/>
  <c r="AG706" i="4"/>
  <c r="AC706" i="4"/>
  <c r="AG740" i="4"/>
  <c r="AC775" i="4"/>
  <c r="AG775" i="4"/>
  <c r="AA775" i="4"/>
  <c r="AD775" i="4" s="1"/>
  <c r="AC777" i="4"/>
  <c r="AG777" i="4"/>
  <c r="AA777" i="4"/>
  <c r="AD777" i="4" s="1"/>
  <c r="AC821" i="4"/>
  <c r="AG821" i="4"/>
  <c r="AA821" i="4"/>
  <c r="AD821" i="4" s="1"/>
  <c r="AC825" i="4"/>
  <c r="AG825" i="4"/>
  <c r="AA825" i="4"/>
  <c r="AD825" i="4" s="1"/>
  <c r="AC831" i="4"/>
  <c r="AA831" i="4"/>
  <c r="AD831" i="4" s="1"/>
  <c r="AG831" i="4"/>
  <c r="AC835" i="4"/>
  <c r="AG835" i="4"/>
  <c r="AA835" i="4"/>
  <c r="AD835" i="4" s="1"/>
  <c r="AC843" i="4"/>
  <c r="AG843" i="4"/>
  <c r="AA843" i="4"/>
  <c r="AD843" i="4" s="1"/>
  <c r="AC845" i="4"/>
  <c r="AG845" i="4"/>
  <c r="AA845" i="4"/>
  <c r="AD845" i="4" s="1"/>
  <c r="AC884" i="4"/>
  <c r="AG884" i="4"/>
  <c r="AA884" i="4"/>
  <c r="AD884" i="4" s="1"/>
  <c r="AC969" i="4"/>
  <c r="AG969" i="4"/>
  <c r="AA969" i="4"/>
  <c r="AD969" i="4" s="1"/>
  <c r="AC973" i="4"/>
  <c r="AG973" i="4"/>
  <c r="AA973" i="4"/>
  <c r="AD973" i="4" s="1"/>
  <c r="AC1041" i="4"/>
  <c r="AG1041" i="4"/>
  <c r="AA1041" i="4"/>
  <c r="AD1041" i="4" s="1"/>
  <c r="AG606" i="4"/>
  <c r="AG618" i="4"/>
  <c r="AA618" i="4"/>
  <c r="AD618" i="4" s="1"/>
  <c r="AL618" i="4"/>
  <c r="AG622" i="4"/>
  <c r="AA622" i="4"/>
  <c r="AD622" i="4" s="1"/>
  <c r="AG630" i="4"/>
  <c r="AA630" i="4"/>
  <c r="AD630" i="4" s="1"/>
  <c r="AG632" i="4"/>
  <c r="AA632" i="4"/>
  <c r="AD632" i="4" s="1"/>
  <c r="AC633" i="4"/>
  <c r="AG634" i="4"/>
  <c r="AA634" i="4"/>
  <c r="AD634" i="4" s="1"/>
  <c r="AG636" i="4"/>
  <c r="AA636" i="4"/>
  <c r="AD636" i="4" s="1"/>
  <c r="AG638" i="4"/>
  <c r="AA638" i="4"/>
  <c r="AD638" i="4" s="1"/>
  <c r="AG640" i="4"/>
  <c r="AA640" i="4"/>
  <c r="AD640" i="4" s="1"/>
  <c r="AG642" i="4"/>
  <c r="AA642" i="4"/>
  <c r="AD642" i="4" s="1"/>
  <c r="AG644" i="4"/>
  <c r="AA644" i="4"/>
  <c r="AD644" i="4" s="1"/>
  <c r="AG646" i="4"/>
  <c r="AA646" i="4"/>
  <c r="AD646" i="4" s="1"/>
  <c r="AG648" i="4"/>
  <c r="AA648" i="4"/>
  <c r="AD648" i="4" s="1"/>
  <c r="AG650" i="4"/>
  <c r="AA650" i="4"/>
  <c r="AD650" i="4" s="1"/>
  <c r="AG652" i="4"/>
  <c r="AA652" i="4"/>
  <c r="AD652" i="4" s="1"/>
  <c r="AG654" i="4"/>
  <c r="AA654" i="4"/>
  <c r="AD654" i="4" s="1"/>
  <c r="AG656" i="4"/>
  <c r="AA656" i="4"/>
  <c r="AD656" i="4" s="1"/>
  <c r="AG658" i="4"/>
  <c r="AA658" i="4"/>
  <c r="AD658" i="4" s="1"/>
  <c r="AG660" i="4"/>
  <c r="AA660" i="4"/>
  <c r="AD660" i="4" s="1"/>
  <c r="AC719" i="4"/>
  <c r="AA720" i="4"/>
  <c r="AD720" i="4" s="1"/>
  <c r="AC727" i="4"/>
  <c r="AA728" i="4"/>
  <c r="AD728" i="4" s="1"/>
  <c r="AC735" i="4"/>
  <c r="AA736" i="4"/>
  <c r="AD736" i="4" s="1"/>
  <c r="AC763" i="4"/>
  <c r="AG763" i="4"/>
  <c r="AA763" i="4"/>
  <c r="AD763" i="4" s="1"/>
  <c r="AC773" i="4"/>
  <c r="AG773" i="4"/>
  <c r="AA773" i="4"/>
  <c r="AD773" i="4" s="1"/>
  <c r="AC818" i="4"/>
  <c r="AG818" i="4"/>
  <c r="AA818" i="4"/>
  <c r="AD818" i="4" s="1"/>
  <c r="AC839" i="4"/>
  <c r="AG839" i="4"/>
  <c r="AA839" i="4"/>
  <c r="AD839" i="4" s="1"/>
  <c r="AC970" i="4"/>
  <c r="AA970" i="4"/>
  <c r="AD970" i="4" s="1"/>
  <c r="AG970" i="4"/>
  <c r="AC1073" i="4"/>
  <c r="AA1073" i="4"/>
  <c r="AD1073" i="4" s="1"/>
  <c r="AG1073" i="4"/>
  <c r="AC1186" i="4"/>
  <c r="AG1186" i="4"/>
  <c r="AA1186" i="4"/>
  <c r="AD1186" i="4" s="1"/>
  <c r="AC1277" i="4"/>
  <c r="AA1277" i="4"/>
  <c r="AD1277" i="4" s="1"/>
  <c r="AG1277" i="4"/>
  <c r="AC1355" i="4"/>
  <c r="AG1355" i="4"/>
  <c r="AA1355" i="4"/>
  <c r="AD1355" i="4" s="1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9" i="4"/>
  <c r="AG609" i="4"/>
  <c r="AC625" i="4"/>
  <c r="AA626" i="4"/>
  <c r="AD626" i="4" s="1"/>
  <c r="AG710" i="4"/>
  <c r="AA710" i="4"/>
  <c r="AD710" i="4" s="1"/>
  <c r="AG715" i="4"/>
  <c r="AA715" i="4"/>
  <c r="AD715" i="4" s="1"/>
  <c r="AC718" i="4"/>
  <c r="AC723" i="4"/>
  <c r="AA724" i="4"/>
  <c r="AD724" i="4" s="1"/>
  <c r="AC726" i="4"/>
  <c r="AC731" i="4"/>
  <c r="AA732" i="4"/>
  <c r="AD732" i="4" s="1"/>
  <c r="AC734" i="4"/>
  <c r="AA738" i="4"/>
  <c r="AD738" i="4" s="1"/>
  <c r="AC765" i="4"/>
  <c r="AG765" i="4"/>
  <c r="AA765" i="4"/>
  <c r="AD765" i="4" s="1"/>
  <c r="AC771" i="4"/>
  <c r="AG771" i="4"/>
  <c r="AA771" i="4"/>
  <c r="AD771" i="4" s="1"/>
  <c r="AC841" i="4"/>
  <c r="AG841" i="4"/>
  <c r="AA841" i="4"/>
  <c r="AD841" i="4" s="1"/>
  <c r="AC847" i="4"/>
  <c r="AA847" i="4"/>
  <c r="AD847" i="4" s="1"/>
  <c r="AC972" i="4"/>
  <c r="AA972" i="4"/>
  <c r="AD972" i="4" s="1"/>
  <c r="AG972" i="4"/>
  <c r="AC1076" i="4"/>
  <c r="AG1076" i="4"/>
  <c r="AA1076" i="4"/>
  <c r="AD1076" i="4" s="1"/>
  <c r="AG739" i="4"/>
  <c r="AG742" i="4"/>
  <c r="AA742" i="4"/>
  <c r="AD742" i="4" s="1"/>
  <c r="AG744" i="4"/>
  <c r="AA744" i="4"/>
  <c r="AD744" i="4" s="1"/>
  <c r="AG746" i="4"/>
  <c r="AA746" i="4"/>
  <c r="AD746" i="4" s="1"/>
  <c r="AG748" i="4"/>
  <c r="AA748" i="4"/>
  <c r="AD748" i="4" s="1"/>
  <c r="AG750" i="4"/>
  <c r="AA750" i="4"/>
  <c r="AD750" i="4" s="1"/>
  <c r="AG752" i="4"/>
  <c r="AA752" i="4"/>
  <c r="AD752" i="4" s="1"/>
  <c r="AG754" i="4"/>
  <c r="AA754" i="4"/>
  <c r="AD754" i="4" s="1"/>
  <c r="AG756" i="4"/>
  <c r="AA756" i="4"/>
  <c r="AD756" i="4" s="1"/>
  <c r="AG758" i="4"/>
  <c r="AA758" i="4"/>
  <c r="AD758" i="4" s="1"/>
  <c r="AG760" i="4"/>
  <c r="AA760" i="4"/>
  <c r="AD760" i="4" s="1"/>
  <c r="AG762" i="4"/>
  <c r="AA762" i="4"/>
  <c r="AD762" i="4" s="1"/>
  <c r="AC764" i="4"/>
  <c r="AG764" i="4"/>
  <c r="AA764" i="4"/>
  <c r="AD764" i="4" s="1"/>
  <c r="AC768" i="4"/>
  <c r="AG768" i="4"/>
  <c r="AA768" i="4"/>
  <c r="AD768" i="4" s="1"/>
  <c r="AC772" i="4"/>
  <c r="AG772" i="4"/>
  <c r="AA772" i="4"/>
  <c r="AD772" i="4" s="1"/>
  <c r="AC776" i="4"/>
  <c r="AG776" i="4"/>
  <c r="AA776" i="4"/>
  <c r="AD776" i="4" s="1"/>
  <c r="AC780" i="4"/>
  <c r="AG780" i="4"/>
  <c r="AA780" i="4"/>
  <c r="AD780" i="4" s="1"/>
  <c r="AC783" i="4"/>
  <c r="AC809" i="4"/>
  <c r="AG809" i="4"/>
  <c r="AA809" i="4"/>
  <c r="AD809" i="4" s="1"/>
  <c r="AC811" i="4"/>
  <c r="AC814" i="4"/>
  <c r="AG814" i="4"/>
  <c r="AA814" i="4"/>
  <c r="AD814" i="4" s="1"/>
  <c r="AC816" i="4"/>
  <c r="AC819" i="4"/>
  <c r="AC828" i="4"/>
  <c r="AC830" i="4"/>
  <c r="AC840" i="4"/>
  <c r="AG840" i="4"/>
  <c r="AA840" i="4"/>
  <c r="AD840" i="4" s="1"/>
  <c r="AC844" i="4"/>
  <c r="AG844" i="4"/>
  <c r="AA844" i="4"/>
  <c r="AD844" i="4" s="1"/>
  <c r="AC860" i="4"/>
  <c r="AA860" i="4"/>
  <c r="AD860" i="4" s="1"/>
  <c r="AG860" i="4"/>
  <c r="AC866" i="4"/>
  <c r="AG866" i="4"/>
  <c r="AC877" i="4"/>
  <c r="AA877" i="4"/>
  <c r="AD877" i="4" s="1"/>
  <c r="AG877" i="4"/>
  <c r="AC883" i="4"/>
  <c r="AG883" i="4"/>
  <c r="AC893" i="4"/>
  <c r="AA893" i="4"/>
  <c r="AD893" i="4" s="1"/>
  <c r="AG893" i="4"/>
  <c r="AC899" i="4"/>
  <c r="AG899" i="4"/>
  <c r="AC1077" i="4"/>
  <c r="AA1077" i="4"/>
  <c r="AD1077" i="4" s="1"/>
  <c r="AG1077" i="4"/>
  <c r="AC1174" i="4"/>
  <c r="AA1174" i="4"/>
  <c r="AD1174" i="4" s="1"/>
  <c r="AG1174" i="4"/>
  <c r="AC1178" i="4"/>
  <c r="AG1178" i="4"/>
  <c r="AA1178" i="4"/>
  <c r="AD1178" i="4" s="1"/>
  <c r="AG1230" i="4"/>
  <c r="AA1230" i="4"/>
  <c r="AD1230" i="4" s="1"/>
  <c r="AC1230" i="4"/>
  <c r="AC1334" i="4"/>
  <c r="AA1334" i="4"/>
  <c r="AD1334" i="4" s="1"/>
  <c r="AG1334" i="4"/>
  <c r="AC612" i="4"/>
  <c r="AG612" i="4"/>
  <c r="AG617" i="4"/>
  <c r="AA617" i="4"/>
  <c r="AD617" i="4" s="1"/>
  <c r="AG619" i="4"/>
  <c r="AA619" i="4"/>
  <c r="AD619" i="4" s="1"/>
  <c r="AG621" i="4"/>
  <c r="AA621" i="4"/>
  <c r="AD621" i="4" s="1"/>
  <c r="AG623" i="4"/>
  <c r="AA623" i="4"/>
  <c r="AD623" i="4" s="1"/>
  <c r="AG663" i="4"/>
  <c r="AG667" i="4"/>
  <c r="AG671" i="4"/>
  <c r="AG675" i="4"/>
  <c r="AG679" i="4"/>
  <c r="AG683" i="4"/>
  <c r="AG687" i="4"/>
  <c r="AG691" i="4"/>
  <c r="AG695" i="4"/>
  <c r="AG699" i="4"/>
  <c r="AG703" i="4"/>
  <c r="AC708" i="4"/>
  <c r="AG708" i="4"/>
  <c r="AG721" i="4"/>
  <c r="AG725" i="4"/>
  <c r="AG729" i="4"/>
  <c r="AG733" i="4"/>
  <c r="AG737" i="4"/>
  <c r="AC739" i="4"/>
  <c r="AG741" i="4"/>
  <c r="AA741" i="4"/>
  <c r="AD741" i="4" s="1"/>
  <c r="AG743" i="4"/>
  <c r="AA743" i="4"/>
  <c r="AD743" i="4" s="1"/>
  <c r="AG745" i="4"/>
  <c r="AA745" i="4"/>
  <c r="AD745" i="4" s="1"/>
  <c r="AG747" i="4"/>
  <c r="AA747" i="4"/>
  <c r="AD747" i="4" s="1"/>
  <c r="AG749" i="4"/>
  <c r="AA749" i="4"/>
  <c r="AD749" i="4" s="1"/>
  <c r="AG751" i="4"/>
  <c r="AA751" i="4"/>
  <c r="AD751" i="4" s="1"/>
  <c r="AG753" i="4"/>
  <c r="AA753" i="4"/>
  <c r="AD753" i="4" s="1"/>
  <c r="AG755" i="4"/>
  <c r="AA755" i="4"/>
  <c r="AD755" i="4" s="1"/>
  <c r="AG757" i="4"/>
  <c r="AA757" i="4"/>
  <c r="AD757" i="4" s="1"/>
  <c r="AG759" i="4"/>
  <c r="AA759" i="4"/>
  <c r="AD759" i="4" s="1"/>
  <c r="AG761" i="4"/>
  <c r="AA761" i="4"/>
  <c r="AD761" i="4" s="1"/>
  <c r="AC766" i="4"/>
  <c r="AG766" i="4"/>
  <c r="AA766" i="4"/>
  <c r="AD766" i="4" s="1"/>
  <c r="AC770" i="4"/>
  <c r="AG770" i="4"/>
  <c r="AA770" i="4"/>
  <c r="AD770" i="4" s="1"/>
  <c r="AC774" i="4"/>
  <c r="AG774" i="4"/>
  <c r="AA774" i="4"/>
  <c r="AD774" i="4" s="1"/>
  <c r="AC778" i="4"/>
  <c r="AG778" i="4"/>
  <c r="AA778" i="4"/>
  <c r="AD778" i="4" s="1"/>
  <c r="AC782" i="4"/>
  <c r="AG782" i="4"/>
  <c r="AA782" i="4"/>
  <c r="AD782" i="4" s="1"/>
  <c r="AC810" i="4"/>
  <c r="AC815" i="4"/>
  <c r="AC817" i="4"/>
  <c r="AC827" i="4"/>
  <c r="AC829" i="4"/>
  <c r="AC842" i="4"/>
  <c r="AG842" i="4"/>
  <c r="AA842" i="4"/>
  <c r="AD842" i="4" s="1"/>
  <c r="AC846" i="4"/>
  <c r="AG846" i="4"/>
  <c r="AA846" i="4"/>
  <c r="AD846" i="4" s="1"/>
  <c r="AC868" i="4"/>
  <c r="AA868" i="4"/>
  <c r="AD868" i="4" s="1"/>
  <c r="AG868" i="4"/>
  <c r="AC874" i="4"/>
  <c r="AG874" i="4"/>
  <c r="AC885" i="4"/>
  <c r="AA885" i="4"/>
  <c r="AD885" i="4" s="1"/>
  <c r="AG885" i="4"/>
  <c r="AC891" i="4"/>
  <c r="AG891" i="4"/>
  <c r="AC930" i="4"/>
  <c r="AG930" i="4"/>
  <c r="AA930" i="4"/>
  <c r="AD930" i="4" s="1"/>
  <c r="AA1080" i="4"/>
  <c r="AD1080" i="4" s="1"/>
  <c r="AG1080" i="4"/>
  <c r="AG1115" i="4"/>
  <c r="AA1115" i="4"/>
  <c r="AD1115" i="4" s="1"/>
  <c r="AC1115" i="4"/>
  <c r="AC1199" i="4"/>
  <c r="AA1199" i="4"/>
  <c r="AD1199" i="4" s="1"/>
  <c r="AG1199" i="4"/>
  <c r="AC1285" i="4"/>
  <c r="AA1285" i="4"/>
  <c r="AD1285" i="4" s="1"/>
  <c r="AG1285" i="4"/>
  <c r="AC1318" i="4"/>
  <c r="AG1318" i="4"/>
  <c r="AA1318" i="4"/>
  <c r="AD1318" i="4" s="1"/>
  <c r="AC862" i="4"/>
  <c r="AC863" i="4"/>
  <c r="AC864" i="4"/>
  <c r="AA864" i="4"/>
  <c r="AD864" i="4" s="1"/>
  <c r="AC870" i="4"/>
  <c r="AC871" i="4"/>
  <c r="AC872" i="4"/>
  <c r="AA872" i="4"/>
  <c r="AD872" i="4" s="1"/>
  <c r="AC879" i="4"/>
  <c r="AC880" i="4"/>
  <c r="AC881" i="4"/>
  <c r="AA881" i="4"/>
  <c r="AD881" i="4" s="1"/>
  <c r="AC887" i="4"/>
  <c r="AC888" i="4"/>
  <c r="AC889" i="4"/>
  <c r="AA889" i="4"/>
  <c r="AD889" i="4" s="1"/>
  <c r="AC895" i="4"/>
  <c r="AC896" i="4"/>
  <c r="AC897" i="4"/>
  <c r="AA897" i="4"/>
  <c r="AD897" i="4" s="1"/>
  <c r="AG901" i="4"/>
  <c r="AA901" i="4"/>
  <c r="AD901" i="4" s="1"/>
  <c r="AL914" i="4"/>
  <c r="AC976" i="4"/>
  <c r="AG976" i="4"/>
  <c r="AA976" i="4"/>
  <c r="AD976" i="4" s="1"/>
  <c r="AC1016" i="4"/>
  <c r="AG1016" i="4"/>
  <c r="AA1016" i="4"/>
  <c r="AD1016" i="4" s="1"/>
  <c r="AC1036" i="4"/>
  <c r="AG1036" i="4"/>
  <c r="AA1036" i="4"/>
  <c r="AD1036" i="4" s="1"/>
  <c r="AG1045" i="4"/>
  <c r="AA1045" i="4"/>
  <c r="AD1045" i="4" s="1"/>
  <c r="AC1085" i="4"/>
  <c r="AG1085" i="4"/>
  <c r="AA1085" i="4"/>
  <c r="AD1085" i="4" s="1"/>
  <c r="AG1086" i="4"/>
  <c r="AA1086" i="4"/>
  <c r="AD1086" i="4" s="1"/>
  <c r="AC1086" i="4"/>
  <c r="AA1130" i="4"/>
  <c r="AD1130" i="4" s="1"/>
  <c r="AC1133" i="4"/>
  <c r="AA1133" i="4"/>
  <c r="AD1133" i="4" s="1"/>
  <c r="AG1133" i="4"/>
  <c r="AC1191" i="4"/>
  <c r="AA1191" i="4"/>
  <c r="AD1191" i="4" s="1"/>
  <c r="AG1191" i="4"/>
  <c r="AC1202" i="4"/>
  <c r="AG1202" i="4"/>
  <c r="AA1202" i="4"/>
  <c r="AD1202" i="4" s="1"/>
  <c r="AC1306" i="4"/>
  <c r="AG1306" i="4"/>
  <c r="AA1306" i="4"/>
  <c r="AD1306" i="4" s="1"/>
  <c r="AC1314" i="4"/>
  <c r="AG1314" i="4"/>
  <c r="AA1314" i="4"/>
  <c r="AD1314" i="4" s="1"/>
  <c r="AC1330" i="4"/>
  <c r="AG1330" i="4"/>
  <c r="AA1330" i="4"/>
  <c r="AD1330" i="4" s="1"/>
  <c r="AG903" i="4"/>
  <c r="AA903" i="4"/>
  <c r="AD903" i="4" s="1"/>
  <c r="AC951" i="4"/>
  <c r="AA951" i="4"/>
  <c r="AD951" i="4" s="1"/>
  <c r="AG951" i="4"/>
  <c r="AC974" i="4"/>
  <c r="AG974" i="4"/>
  <c r="AA974" i="4"/>
  <c r="AD974" i="4" s="1"/>
  <c r="AC985" i="4"/>
  <c r="AG985" i="4"/>
  <c r="AA985" i="4"/>
  <c r="AD985" i="4" s="1"/>
  <c r="AC986" i="4"/>
  <c r="AA986" i="4"/>
  <c r="AD986" i="4" s="1"/>
  <c r="AG986" i="4"/>
  <c r="AC987" i="4"/>
  <c r="AG987" i="4"/>
  <c r="AA987" i="4"/>
  <c r="AD987" i="4" s="1"/>
  <c r="AC988" i="4"/>
  <c r="AA988" i="4"/>
  <c r="AD988" i="4" s="1"/>
  <c r="AG988" i="4"/>
  <c r="AC989" i="4"/>
  <c r="AG989" i="4"/>
  <c r="AA989" i="4"/>
  <c r="AD989" i="4" s="1"/>
  <c r="AC990" i="4"/>
  <c r="AA990" i="4"/>
  <c r="AD990" i="4" s="1"/>
  <c r="AG990" i="4"/>
  <c r="AC991" i="4"/>
  <c r="AG991" i="4"/>
  <c r="AA991" i="4"/>
  <c r="AD991" i="4" s="1"/>
  <c r="AC992" i="4"/>
  <c r="AG992" i="4"/>
  <c r="AA992" i="4"/>
  <c r="AD992" i="4" s="1"/>
  <c r="AC1014" i="4"/>
  <c r="AG1014" i="4"/>
  <c r="AA1014" i="4"/>
  <c r="AD1014" i="4" s="1"/>
  <c r="AC1017" i="4"/>
  <c r="AG1017" i="4"/>
  <c r="AA1017" i="4"/>
  <c r="AD1017" i="4" s="1"/>
  <c r="AC1018" i="4"/>
  <c r="AA1018" i="4"/>
  <c r="AD1018" i="4" s="1"/>
  <c r="AG1018" i="4"/>
  <c r="AA1025" i="4"/>
  <c r="AD1025" i="4" s="1"/>
  <c r="AC1047" i="4"/>
  <c r="AG1047" i="4"/>
  <c r="AA1047" i="4"/>
  <c r="AD1047" i="4" s="1"/>
  <c r="AG1113" i="4"/>
  <c r="AA1113" i="4"/>
  <c r="AD1113" i="4" s="1"/>
  <c r="AC1113" i="4"/>
  <c r="AC1136" i="4"/>
  <c r="AG1136" i="4"/>
  <c r="AA1136" i="4"/>
  <c r="AD1136" i="4" s="1"/>
  <c r="AA1148" i="4"/>
  <c r="AD1148" i="4" s="1"/>
  <c r="AC1148" i="4"/>
  <c r="AC1183" i="4"/>
  <c r="AA1183" i="4"/>
  <c r="AD1183" i="4" s="1"/>
  <c r="AG1183" i="4"/>
  <c r="AC1194" i="4"/>
  <c r="AG1194" i="4"/>
  <c r="AA1194" i="4"/>
  <c r="AD1194" i="4" s="1"/>
  <c r="AC1240" i="4"/>
  <c r="AA1240" i="4"/>
  <c r="AD1240" i="4" s="1"/>
  <c r="AG1240" i="4"/>
  <c r="AG1247" i="4"/>
  <c r="AA1247" i="4"/>
  <c r="AD1247" i="4" s="1"/>
  <c r="AC1247" i="4"/>
  <c r="AC1298" i="4"/>
  <c r="AG1298" i="4"/>
  <c r="AA1298" i="4"/>
  <c r="AD1298" i="4" s="1"/>
  <c r="AC1310" i="4"/>
  <c r="AG1310" i="4"/>
  <c r="AA1310" i="4"/>
  <c r="AD1310" i="4" s="1"/>
  <c r="AC1326" i="4"/>
  <c r="AG1326" i="4"/>
  <c r="AA1326" i="4"/>
  <c r="AD1326" i="4" s="1"/>
  <c r="AG1340" i="4"/>
  <c r="AA1340" i="4"/>
  <c r="AD1340" i="4" s="1"/>
  <c r="AC1340" i="4"/>
  <c r="AC861" i="4"/>
  <c r="AG861" i="4"/>
  <c r="AC865" i="4"/>
  <c r="AG865" i="4"/>
  <c r="AC869" i="4"/>
  <c r="AG869" i="4"/>
  <c r="AC873" i="4"/>
  <c r="AG873" i="4"/>
  <c r="AC878" i="4"/>
  <c r="AG878" i="4"/>
  <c r="AC882" i="4"/>
  <c r="AG882" i="4"/>
  <c r="AC886" i="4"/>
  <c r="AG886" i="4"/>
  <c r="AC890" i="4"/>
  <c r="AG890" i="4"/>
  <c r="AC894" i="4"/>
  <c r="AG894" i="4"/>
  <c r="AC898" i="4"/>
  <c r="AG898" i="4"/>
  <c r="AG900" i="4"/>
  <c r="AA900" i="4"/>
  <c r="AD900" i="4" s="1"/>
  <c r="AG902" i="4"/>
  <c r="AA902" i="4"/>
  <c r="AD902" i="4" s="1"/>
  <c r="AG904" i="4"/>
  <c r="AA904" i="4"/>
  <c r="AD904" i="4" s="1"/>
  <c r="AG906" i="4"/>
  <c r="AA906" i="4"/>
  <c r="AD906" i="4" s="1"/>
  <c r="AG908" i="4"/>
  <c r="AA908" i="4"/>
  <c r="AD908" i="4" s="1"/>
  <c r="AG910" i="4"/>
  <c r="AA910" i="4"/>
  <c r="AD910" i="4" s="1"/>
  <c r="AG912" i="4"/>
  <c r="AA912" i="4"/>
  <c r="AD912" i="4" s="1"/>
  <c r="AG914" i="4"/>
  <c r="AA914" i="4"/>
  <c r="AD914" i="4" s="1"/>
  <c r="AC916" i="4"/>
  <c r="AC918" i="4"/>
  <c r="AC920" i="4"/>
  <c r="AC922" i="4"/>
  <c r="AC924" i="4"/>
  <c r="AC926" i="4"/>
  <c r="AC928" i="4"/>
  <c r="AC929" i="4"/>
  <c r="AC946" i="4"/>
  <c r="AC948" i="4"/>
  <c r="AC958" i="4"/>
  <c r="AC960" i="4"/>
  <c r="AC962" i="4"/>
  <c r="AC964" i="4"/>
  <c r="AC975" i="4"/>
  <c r="AG975" i="4"/>
  <c r="AA975" i="4"/>
  <c r="AD975" i="4" s="1"/>
  <c r="AC981" i="4"/>
  <c r="AC1005" i="4"/>
  <c r="AG1005" i="4"/>
  <c r="AA1005" i="4"/>
  <c r="AD1005" i="4" s="1"/>
  <c r="AC1007" i="4"/>
  <c r="AC1013" i="4"/>
  <c r="AG1013" i="4"/>
  <c r="AA1013" i="4"/>
  <c r="AD1013" i="4" s="1"/>
  <c r="AC1026" i="4"/>
  <c r="AG1026" i="4"/>
  <c r="AA1026" i="4"/>
  <c r="AD1026" i="4" s="1"/>
  <c r="AG1027" i="4"/>
  <c r="AA1027" i="4"/>
  <c r="AD1027" i="4" s="1"/>
  <c r="AC1035" i="4"/>
  <c r="AG1035" i="4"/>
  <c r="AA1035" i="4"/>
  <c r="AD1035" i="4" s="1"/>
  <c r="AC1040" i="4"/>
  <c r="AG1040" i="4"/>
  <c r="AA1040" i="4"/>
  <c r="AD1040" i="4" s="1"/>
  <c r="AA1046" i="4"/>
  <c r="AD1046" i="4" s="1"/>
  <c r="AC1048" i="4"/>
  <c r="AG1048" i="4"/>
  <c r="AA1048" i="4"/>
  <c r="AD1048" i="4" s="1"/>
  <c r="AC1053" i="4"/>
  <c r="AC1057" i="4"/>
  <c r="AC1061" i="4"/>
  <c r="AC1066" i="4"/>
  <c r="AC1070" i="4"/>
  <c r="AC1072" i="4"/>
  <c r="AC1091" i="4"/>
  <c r="AG1091" i="4"/>
  <c r="AA1091" i="4"/>
  <c r="AD1091" i="4" s="1"/>
  <c r="AC1095" i="4"/>
  <c r="AG1095" i="4"/>
  <c r="AA1095" i="4"/>
  <c r="AD1095" i="4" s="1"/>
  <c r="AC1099" i="4"/>
  <c r="AC1105" i="4"/>
  <c r="AC1109" i="4"/>
  <c r="AC1117" i="4"/>
  <c r="AA1124" i="4"/>
  <c r="AD1124" i="4" s="1"/>
  <c r="AA1126" i="4"/>
  <c r="AD1126" i="4" s="1"/>
  <c r="AG1138" i="4"/>
  <c r="AC1138" i="4"/>
  <c r="AC1155" i="4"/>
  <c r="AG1155" i="4"/>
  <c r="AC1169" i="4"/>
  <c r="AG1169" i="4"/>
  <c r="AA1169" i="4"/>
  <c r="AD1169" i="4" s="1"/>
  <c r="AC1209" i="4"/>
  <c r="AG1209" i="4"/>
  <c r="AA1209" i="4"/>
  <c r="AD1209" i="4" s="1"/>
  <c r="AC1267" i="4"/>
  <c r="AG1267" i="4"/>
  <c r="AA1267" i="4"/>
  <c r="AD1267" i="4" s="1"/>
  <c r="AC1268" i="4"/>
  <c r="AA1268" i="4"/>
  <c r="AD1268" i="4" s="1"/>
  <c r="AG1268" i="4"/>
  <c r="AC1281" i="4"/>
  <c r="AA1281" i="4"/>
  <c r="AD1281" i="4" s="1"/>
  <c r="AC1299" i="4"/>
  <c r="AG1299" i="4"/>
  <c r="AA1299" i="4"/>
  <c r="AD1299" i="4" s="1"/>
  <c r="AC1302" i="4"/>
  <c r="AG1302" i="4"/>
  <c r="AC1311" i="4"/>
  <c r="AG1311" i="4"/>
  <c r="AA1311" i="4"/>
  <c r="AD1311" i="4" s="1"/>
  <c r="AC1315" i="4"/>
  <c r="AG1315" i="4"/>
  <c r="AA1315" i="4"/>
  <c r="AD1315" i="4" s="1"/>
  <c r="AC1319" i="4"/>
  <c r="AG1319" i="4"/>
  <c r="AA1319" i="4"/>
  <c r="AD1319" i="4" s="1"/>
  <c r="AC1323" i="4"/>
  <c r="AG1323" i="4"/>
  <c r="AA1323" i="4"/>
  <c r="AD1323" i="4" s="1"/>
  <c r="AC1327" i="4"/>
  <c r="AG1327" i="4"/>
  <c r="AA1327" i="4"/>
  <c r="AD1327" i="4" s="1"/>
  <c r="AC1331" i="4"/>
  <c r="AG1331" i="4"/>
  <c r="AA1331" i="4"/>
  <c r="AD1331" i="4" s="1"/>
  <c r="AG1498" i="4"/>
  <c r="AA1498" i="4"/>
  <c r="AD1498" i="4" s="1"/>
  <c r="AC1498" i="4"/>
  <c r="AG1504" i="4"/>
  <c r="AC1504" i="4"/>
  <c r="AA1504" i="4"/>
  <c r="AD1504" i="4" s="1"/>
  <c r="AG1515" i="4"/>
  <c r="AA1515" i="4"/>
  <c r="AD1515" i="4" s="1"/>
  <c r="AC1515" i="4"/>
  <c r="AG905" i="4"/>
  <c r="AA905" i="4"/>
  <c r="AD905" i="4" s="1"/>
  <c r="AG907" i="4"/>
  <c r="AA907" i="4"/>
  <c r="AD907" i="4" s="1"/>
  <c r="AG909" i="4"/>
  <c r="AA909" i="4"/>
  <c r="AD909" i="4" s="1"/>
  <c r="AG911" i="4"/>
  <c r="AA911" i="4"/>
  <c r="AD911" i="4" s="1"/>
  <c r="AG913" i="4"/>
  <c r="AA913" i="4"/>
  <c r="AD913" i="4" s="1"/>
  <c r="AC915" i="4"/>
  <c r="AC917" i="4"/>
  <c r="AC919" i="4"/>
  <c r="AC921" i="4"/>
  <c r="AC923" i="4"/>
  <c r="AC925" i="4"/>
  <c r="AC927" i="4"/>
  <c r="AC945" i="4"/>
  <c r="AC947" i="4"/>
  <c r="AC957" i="4"/>
  <c r="AC959" i="4"/>
  <c r="AC961" i="4"/>
  <c r="AC963" i="4"/>
  <c r="AC965" i="4"/>
  <c r="AC977" i="4"/>
  <c r="AG977" i="4"/>
  <c r="AA977" i="4"/>
  <c r="AD977" i="4" s="1"/>
  <c r="AC980" i="4"/>
  <c r="AC1004" i="4"/>
  <c r="AC1006" i="4"/>
  <c r="AC1008" i="4"/>
  <c r="AC1015" i="4"/>
  <c r="AG1015" i="4"/>
  <c r="AA1015" i="4"/>
  <c r="AD1015" i="4" s="1"/>
  <c r="AC1019" i="4"/>
  <c r="AG1019" i="4"/>
  <c r="AA1019" i="4"/>
  <c r="AD1019" i="4" s="1"/>
  <c r="AC1027" i="4"/>
  <c r="AG1037" i="4"/>
  <c r="AA1037" i="4"/>
  <c r="AD1037" i="4" s="1"/>
  <c r="AG1042" i="4"/>
  <c r="AA1042" i="4"/>
  <c r="AD1042" i="4" s="1"/>
  <c r="AC1044" i="4"/>
  <c r="AG1044" i="4"/>
  <c r="AA1044" i="4"/>
  <c r="AD1044" i="4" s="1"/>
  <c r="AC1050" i="4"/>
  <c r="AC1052" i="4"/>
  <c r="AG1052" i="4"/>
  <c r="AA1052" i="4"/>
  <c r="AD1052" i="4" s="1"/>
  <c r="AC1056" i="4"/>
  <c r="AG1056" i="4"/>
  <c r="AA1056" i="4"/>
  <c r="AD1056" i="4" s="1"/>
  <c r="AC1060" i="4"/>
  <c r="AG1060" i="4"/>
  <c r="AA1060" i="4"/>
  <c r="AD1060" i="4" s="1"/>
  <c r="AC1065" i="4"/>
  <c r="AG1065" i="4"/>
  <c r="AA1065" i="4"/>
  <c r="AD1065" i="4" s="1"/>
  <c r="AC1071" i="4"/>
  <c r="AG1071" i="4"/>
  <c r="AA1071" i="4"/>
  <c r="AD1071" i="4" s="1"/>
  <c r="AA1082" i="4"/>
  <c r="AD1082" i="4" s="1"/>
  <c r="AC1083" i="4"/>
  <c r="AC1088" i="4"/>
  <c r="AC1092" i="4"/>
  <c r="AC1098" i="4"/>
  <c r="AG1098" i="4"/>
  <c r="AA1098" i="4"/>
  <c r="AD1098" i="4" s="1"/>
  <c r="AC1102" i="4"/>
  <c r="AG1102" i="4"/>
  <c r="AA1102" i="4"/>
  <c r="AD1102" i="4" s="1"/>
  <c r="AC1108" i="4"/>
  <c r="AG1108" i="4"/>
  <c r="AA1108" i="4"/>
  <c r="AD1108" i="4" s="1"/>
  <c r="AC1116" i="4"/>
  <c r="AA1131" i="4"/>
  <c r="AD1131" i="4" s="1"/>
  <c r="AC1140" i="4"/>
  <c r="AG1140" i="4"/>
  <c r="AA1140" i="4"/>
  <c r="AD1140" i="4" s="1"/>
  <c r="AC1166" i="4"/>
  <c r="AA1166" i="4"/>
  <c r="AD1166" i="4" s="1"/>
  <c r="AC1249" i="4"/>
  <c r="AG1249" i="4"/>
  <c r="AC1271" i="4"/>
  <c r="AG1271" i="4"/>
  <c r="AA1271" i="4"/>
  <c r="AD1271" i="4" s="1"/>
  <c r="AC1272" i="4"/>
  <c r="AA1272" i="4"/>
  <c r="AD1272" i="4" s="1"/>
  <c r="AG1272" i="4"/>
  <c r="AC1343" i="4"/>
  <c r="AG1343" i="4"/>
  <c r="AA1343" i="4"/>
  <c r="AD1343" i="4" s="1"/>
  <c r="AC1384" i="4"/>
  <c r="AG1384" i="4"/>
  <c r="AA1384" i="4"/>
  <c r="AD1384" i="4" s="1"/>
  <c r="AC1385" i="4"/>
  <c r="AG1385" i="4"/>
  <c r="AA1385" i="4"/>
  <c r="AD1385" i="4" s="1"/>
  <c r="AC1043" i="4"/>
  <c r="AC1081" i="4"/>
  <c r="AC1087" i="4"/>
  <c r="AG1112" i="4"/>
  <c r="AA1112" i="4"/>
  <c r="AD1112" i="4" s="1"/>
  <c r="AG1114" i="4"/>
  <c r="AA1114" i="4"/>
  <c r="AD1114" i="4" s="1"/>
  <c r="AG1119" i="4"/>
  <c r="AA1119" i="4"/>
  <c r="AD1119" i="4" s="1"/>
  <c r="AG1121" i="4"/>
  <c r="AA1121" i="4"/>
  <c r="AD1121" i="4" s="1"/>
  <c r="AG1129" i="4"/>
  <c r="AA1129" i="4"/>
  <c r="AD1129" i="4" s="1"/>
  <c r="AC1151" i="4"/>
  <c r="AC1154" i="4"/>
  <c r="AG1154" i="4"/>
  <c r="AA1154" i="4"/>
  <c r="AD1154" i="4" s="1"/>
  <c r="AC1159" i="4"/>
  <c r="AC1206" i="4"/>
  <c r="AC1210" i="4"/>
  <c r="AC1220" i="4"/>
  <c r="AA1220" i="4"/>
  <c r="AD1220" i="4" s="1"/>
  <c r="AA1229" i="4"/>
  <c r="AD1229" i="4" s="1"/>
  <c r="AC1236" i="4"/>
  <c r="AA1236" i="4"/>
  <c r="AD1236" i="4" s="1"/>
  <c r="AC1243" i="4"/>
  <c r="AA1243" i="4"/>
  <c r="AD1243" i="4" s="1"/>
  <c r="AC1273" i="4"/>
  <c r="AA1273" i="4"/>
  <c r="AD1273" i="4" s="1"/>
  <c r="AC1279" i="4"/>
  <c r="AA1279" i="4"/>
  <c r="AD1279" i="4" s="1"/>
  <c r="AC1283" i="4"/>
  <c r="AA1283" i="4"/>
  <c r="AD1283" i="4" s="1"/>
  <c r="AC1351" i="4"/>
  <c r="AG1351" i="4"/>
  <c r="AA1351" i="4"/>
  <c r="AD1351" i="4" s="1"/>
  <c r="AC1381" i="4"/>
  <c r="AG1381" i="4"/>
  <c r="AA1381" i="4"/>
  <c r="AD1381" i="4" s="1"/>
  <c r="AC1388" i="4"/>
  <c r="AG1388" i="4"/>
  <c r="AA1388" i="4"/>
  <c r="AD1388" i="4" s="1"/>
  <c r="AC1389" i="4"/>
  <c r="AG1389" i="4"/>
  <c r="AA1389" i="4"/>
  <c r="AD1389" i="4" s="1"/>
  <c r="AA935" i="4"/>
  <c r="AD935" i="4" s="1"/>
  <c r="AA936" i="4"/>
  <c r="AD936" i="4" s="1"/>
  <c r="AA937" i="4"/>
  <c r="AD937" i="4" s="1"/>
  <c r="AA938" i="4"/>
  <c r="AD938" i="4" s="1"/>
  <c r="AA939" i="4"/>
  <c r="AD939" i="4" s="1"/>
  <c r="AA940" i="4"/>
  <c r="AD940" i="4" s="1"/>
  <c r="AA941" i="4"/>
  <c r="AD941" i="4" s="1"/>
  <c r="AA942" i="4"/>
  <c r="AD942" i="4" s="1"/>
  <c r="AA943" i="4"/>
  <c r="AD943" i="4" s="1"/>
  <c r="AA944" i="4"/>
  <c r="AD944" i="4" s="1"/>
  <c r="AA950" i="4"/>
  <c r="AD950" i="4" s="1"/>
  <c r="AA952" i="4"/>
  <c r="AD952" i="4" s="1"/>
  <c r="AA953" i="4"/>
  <c r="AD953" i="4" s="1"/>
  <c r="AA954" i="4"/>
  <c r="AD954" i="4" s="1"/>
  <c r="AA955" i="4"/>
  <c r="AD955" i="4" s="1"/>
  <c r="AA966" i="4"/>
  <c r="AD966" i="4" s="1"/>
  <c r="AA967" i="4"/>
  <c r="AD967" i="4" s="1"/>
  <c r="AA968" i="4"/>
  <c r="AD968" i="4" s="1"/>
  <c r="AA978" i="4"/>
  <c r="AD978" i="4" s="1"/>
  <c r="AA983" i="4"/>
  <c r="AD983" i="4" s="1"/>
  <c r="AA1009" i="4"/>
  <c r="AD1009" i="4" s="1"/>
  <c r="AA1010" i="4"/>
  <c r="AD1010" i="4" s="1"/>
  <c r="AA1011" i="4"/>
  <c r="AD1011" i="4" s="1"/>
  <c r="AA1012" i="4"/>
  <c r="AD1012" i="4" s="1"/>
  <c r="AA1028" i="4"/>
  <c r="AD1028" i="4" s="1"/>
  <c r="AA1029" i="4"/>
  <c r="AD1029" i="4" s="1"/>
  <c r="AA1030" i="4"/>
  <c r="AD1030" i="4" s="1"/>
  <c r="AA1031" i="4"/>
  <c r="AD1031" i="4" s="1"/>
  <c r="AA1032" i="4"/>
  <c r="AD1032" i="4" s="1"/>
  <c r="AA1033" i="4"/>
  <c r="AD1033" i="4" s="1"/>
  <c r="AA1034" i="4"/>
  <c r="AD1034" i="4" s="1"/>
  <c r="AC1046" i="4"/>
  <c r="AC1051" i="4"/>
  <c r="AA1055" i="4"/>
  <c r="AD1055" i="4" s="1"/>
  <c r="AA1059" i="4"/>
  <c r="AD1059" i="4" s="1"/>
  <c r="AA1064" i="4"/>
  <c r="AD1064" i="4" s="1"/>
  <c r="AA1068" i="4"/>
  <c r="AD1068" i="4" s="1"/>
  <c r="AA1075" i="4"/>
  <c r="AD1075" i="4" s="1"/>
  <c r="AA1079" i="4"/>
  <c r="AD1079" i="4" s="1"/>
  <c r="AC1082" i="4"/>
  <c r="AA1084" i="4"/>
  <c r="AD1084" i="4" s="1"/>
  <c r="AA1090" i="4"/>
  <c r="AD1090" i="4" s="1"/>
  <c r="AA1094" i="4"/>
  <c r="AD1094" i="4" s="1"/>
  <c r="AA1097" i="4"/>
  <c r="AD1097" i="4" s="1"/>
  <c r="AA1101" i="4"/>
  <c r="AD1101" i="4" s="1"/>
  <c r="AA1103" i="4"/>
  <c r="AD1103" i="4" s="1"/>
  <c r="AA1107" i="4"/>
  <c r="AD1107" i="4" s="1"/>
  <c r="AA1111" i="4"/>
  <c r="AD1111" i="4" s="1"/>
  <c r="AC1112" i="4"/>
  <c r="AC1114" i="4"/>
  <c r="AC1119" i="4"/>
  <c r="AG1120" i="4"/>
  <c r="AA1120" i="4"/>
  <c r="AD1120" i="4" s="1"/>
  <c r="AC1121" i="4"/>
  <c r="AC1122" i="4"/>
  <c r="AG1122" i="4"/>
  <c r="AC1129" i="4"/>
  <c r="AG1137" i="4"/>
  <c r="AA1137" i="4"/>
  <c r="AD1137" i="4" s="1"/>
  <c r="AC1141" i="4"/>
  <c r="AA1151" i="4"/>
  <c r="AD1151" i="4" s="1"/>
  <c r="AA1159" i="4"/>
  <c r="AD1159" i="4" s="1"/>
  <c r="AC1161" i="4"/>
  <c r="AC1162" i="4"/>
  <c r="AC1165" i="4"/>
  <c r="AG1165" i="4"/>
  <c r="AA1165" i="4"/>
  <c r="AD1165" i="4" s="1"/>
  <c r="AC1170" i="4"/>
  <c r="AC1173" i="4"/>
  <c r="AG1173" i="4"/>
  <c r="AA1173" i="4"/>
  <c r="AD1173" i="4" s="1"/>
  <c r="AC1176" i="4"/>
  <c r="AG1176" i="4"/>
  <c r="AA1176" i="4"/>
  <c r="AD1176" i="4" s="1"/>
  <c r="AC1179" i="4"/>
  <c r="AC1182" i="4"/>
  <c r="AG1182" i="4"/>
  <c r="AA1182" i="4"/>
  <c r="AD1182" i="4" s="1"/>
  <c r="AC1187" i="4"/>
  <c r="AC1190" i="4"/>
  <c r="AG1190" i="4"/>
  <c r="AA1190" i="4"/>
  <c r="AD1190" i="4" s="1"/>
  <c r="AC1195" i="4"/>
  <c r="AC1198" i="4"/>
  <c r="AG1198" i="4"/>
  <c r="AA1198" i="4"/>
  <c r="AD1198" i="4" s="1"/>
  <c r="AC1203" i="4"/>
  <c r="AC1221" i="4"/>
  <c r="AA1221" i="4"/>
  <c r="AD1221" i="4" s="1"/>
  <c r="AG1225" i="4"/>
  <c r="AA1225" i="4"/>
  <c r="AD1225" i="4" s="1"/>
  <c r="AC1225" i="4"/>
  <c r="AC1229" i="4"/>
  <c r="AG1235" i="4"/>
  <c r="AA1235" i="4"/>
  <c r="AD1235" i="4" s="1"/>
  <c r="AC1237" i="4"/>
  <c r="AA1237" i="4"/>
  <c r="AD1237" i="4" s="1"/>
  <c r="AA1242" i="4"/>
  <c r="AD1242" i="4" s="1"/>
  <c r="AG1242" i="4"/>
  <c r="AG1245" i="4"/>
  <c r="AA1245" i="4"/>
  <c r="AD1245" i="4" s="1"/>
  <c r="AC1245" i="4"/>
  <c r="AC1275" i="4"/>
  <c r="AA1275" i="4"/>
  <c r="AD1275" i="4" s="1"/>
  <c r="AC1303" i="4"/>
  <c r="AG1303" i="4"/>
  <c r="AA1303" i="4"/>
  <c r="AD1303" i="4" s="1"/>
  <c r="AC1304" i="4"/>
  <c r="AG1304" i="4"/>
  <c r="AA1304" i="4"/>
  <c r="AD1304" i="4" s="1"/>
  <c r="AC1308" i="4"/>
  <c r="AG1308" i="4"/>
  <c r="AC1347" i="4"/>
  <c r="AG1347" i="4"/>
  <c r="AA1347" i="4"/>
  <c r="AD1347" i="4" s="1"/>
  <c r="AC1430" i="4"/>
  <c r="AG1430" i="4"/>
  <c r="AC1485" i="4"/>
  <c r="AG1485" i="4"/>
  <c r="AA1485" i="4"/>
  <c r="AD1485" i="4" s="1"/>
  <c r="AC1132" i="4"/>
  <c r="AC1149" i="4"/>
  <c r="AA1150" i="4"/>
  <c r="AD1150" i="4" s="1"/>
  <c r="AG1150" i="4"/>
  <c r="AC1157" i="4"/>
  <c r="AA1158" i="4"/>
  <c r="AD1158" i="4" s="1"/>
  <c r="AG1158" i="4"/>
  <c r="AG1215" i="4"/>
  <c r="AA1215" i="4"/>
  <c r="AD1215" i="4" s="1"/>
  <c r="AG1219" i="4"/>
  <c r="AA1219" i="4"/>
  <c r="AD1219" i="4" s="1"/>
  <c r="AG1223" i="4"/>
  <c r="AC1226" i="4"/>
  <c r="AG1226" i="4"/>
  <c r="AG1227" i="4"/>
  <c r="AC1231" i="4"/>
  <c r="AG1231" i="4"/>
  <c r="AG1232" i="4"/>
  <c r="AL1234" i="4"/>
  <c r="AG1238" i="4"/>
  <c r="AG1241" i="4"/>
  <c r="AA1241" i="4"/>
  <c r="AD1241" i="4" s="1"/>
  <c r="AC1252" i="4"/>
  <c r="AG1252" i="4"/>
  <c r="AC1269" i="4"/>
  <c r="AG1269" i="4"/>
  <c r="AC1297" i="4"/>
  <c r="AG1297" i="4"/>
  <c r="AA1297" i="4"/>
  <c r="AD1297" i="4" s="1"/>
  <c r="AC1301" i="4"/>
  <c r="AG1301" i="4"/>
  <c r="AA1301" i="4"/>
  <c r="AD1301" i="4" s="1"/>
  <c r="AC1305" i="4"/>
  <c r="AC1307" i="4"/>
  <c r="AC1309" i="4"/>
  <c r="AG1309" i="4"/>
  <c r="AA1309" i="4"/>
  <c r="AD1309" i="4" s="1"/>
  <c r="AC1313" i="4"/>
  <c r="AG1313" i="4"/>
  <c r="AA1313" i="4"/>
  <c r="AD1313" i="4" s="1"/>
  <c r="AC1317" i="4"/>
  <c r="AG1317" i="4"/>
  <c r="AA1317" i="4"/>
  <c r="AD1317" i="4" s="1"/>
  <c r="AC1321" i="4"/>
  <c r="AG1321" i="4"/>
  <c r="AA1321" i="4"/>
  <c r="AD1321" i="4" s="1"/>
  <c r="AC1325" i="4"/>
  <c r="AG1325" i="4"/>
  <c r="AA1325" i="4"/>
  <c r="AD1325" i="4" s="1"/>
  <c r="AC1329" i="4"/>
  <c r="AG1329" i="4"/>
  <c r="AA1329" i="4"/>
  <c r="AD1329" i="4" s="1"/>
  <c r="AC1333" i="4"/>
  <c r="AG1333" i="4"/>
  <c r="AA1333" i="4"/>
  <c r="AD1333" i="4" s="1"/>
  <c r="AC1358" i="4"/>
  <c r="AG1358" i="4"/>
  <c r="AA1358" i="4"/>
  <c r="AD1358" i="4" s="1"/>
  <c r="AC1419" i="4"/>
  <c r="AG1419" i="4"/>
  <c r="AA1419" i="4"/>
  <c r="AD1419" i="4" s="1"/>
  <c r="AC1444" i="4"/>
  <c r="AG1444" i="4"/>
  <c r="AC1448" i="4"/>
  <c r="AG1448" i="4"/>
  <c r="AC1463" i="4"/>
  <c r="AG1463" i="4"/>
  <c r="AC1481" i="4"/>
  <c r="AG1481" i="4"/>
  <c r="AA1481" i="4"/>
  <c r="AD1481" i="4" s="1"/>
  <c r="AG1488" i="4"/>
  <c r="AA1488" i="4"/>
  <c r="AD1488" i="4" s="1"/>
  <c r="AC1488" i="4"/>
  <c r="AG1490" i="4"/>
  <c r="AA1490" i="4"/>
  <c r="AD1490" i="4" s="1"/>
  <c r="AG1496" i="4"/>
  <c r="AA1496" i="4"/>
  <c r="AD1496" i="4" s="1"/>
  <c r="AC1496" i="4"/>
  <c r="AG1512" i="4"/>
  <c r="AA1512" i="4"/>
  <c r="AD1512" i="4" s="1"/>
  <c r="AG1590" i="4"/>
  <c r="AA1590" i="4"/>
  <c r="AD1590" i="4" s="1"/>
  <c r="AC1590" i="4"/>
  <c r="AC1150" i="4"/>
  <c r="AC1158" i="4"/>
  <c r="AA1208" i="4"/>
  <c r="AD1208" i="4" s="1"/>
  <c r="AA1212" i="4"/>
  <c r="AD1212" i="4" s="1"/>
  <c r="AG1212" i="4"/>
  <c r="AC1215" i="4"/>
  <c r="AC1216" i="4"/>
  <c r="AG1216" i="4"/>
  <c r="AA1223" i="4"/>
  <c r="AD1223" i="4" s="1"/>
  <c r="AA1226" i="4"/>
  <c r="AD1226" i="4" s="1"/>
  <c r="AA1227" i="4"/>
  <c r="AD1227" i="4" s="1"/>
  <c r="AC1228" i="4"/>
  <c r="AA1231" i="4"/>
  <c r="AD1231" i="4" s="1"/>
  <c r="AA1232" i="4"/>
  <c r="AD1232" i="4" s="1"/>
  <c r="AG1233" i="4"/>
  <c r="AA1238" i="4"/>
  <c r="AD1238" i="4" s="1"/>
  <c r="AG1239" i="4"/>
  <c r="AG1244" i="4"/>
  <c r="AA1244" i="4"/>
  <c r="AD1244" i="4" s="1"/>
  <c r="AG1246" i="4"/>
  <c r="AA1246" i="4"/>
  <c r="AD1246" i="4" s="1"/>
  <c r="AG1248" i="4"/>
  <c r="AA1248" i="4"/>
  <c r="AD1248" i="4" s="1"/>
  <c r="AA1252" i="4"/>
  <c r="AD1252" i="4" s="1"/>
  <c r="AA1269" i="4"/>
  <c r="AD1269" i="4" s="1"/>
  <c r="AC1270" i="4"/>
  <c r="AG1270" i="4"/>
  <c r="AC1274" i="4"/>
  <c r="AC1276" i="4"/>
  <c r="AC1278" i="4"/>
  <c r="AC1280" i="4"/>
  <c r="AC1282" i="4"/>
  <c r="AC1284" i="4"/>
  <c r="AC1286" i="4"/>
  <c r="AC1296" i="4"/>
  <c r="AG1296" i="4"/>
  <c r="AA1296" i="4"/>
  <c r="AD1296" i="4" s="1"/>
  <c r="AC1300" i="4"/>
  <c r="AG1300" i="4"/>
  <c r="AA1300" i="4"/>
  <c r="AD1300" i="4" s="1"/>
  <c r="AC1312" i="4"/>
  <c r="AG1312" i="4"/>
  <c r="AA1312" i="4"/>
  <c r="AD1312" i="4" s="1"/>
  <c r="AC1316" i="4"/>
  <c r="AG1316" i="4"/>
  <c r="AA1316" i="4"/>
  <c r="AD1316" i="4" s="1"/>
  <c r="AC1320" i="4"/>
  <c r="AG1320" i="4"/>
  <c r="AA1320" i="4"/>
  <c r="AD1320" i="4" s="1"/>
  <c r="AC1324" i="4"/>
  <c r="AG1324" i="4"/>
  <c r="AA1324" i="4"/>
  <c r="AD1324" i="4" s="1"/>
  <c r="AC1328" i="4"/>
  <c r="AG1328" i="4"/>
  <c r="AA1328" i="4"/>
  <c r="AD1328" i="4" s="1"/>
  <c r="AC1332" i="4"/>
  <c r="AG1332" i="4"/>
  <c r="AA1332" i="4"/>
  <c r="AD1332" i="4" s="1"/>
  <c r="AC1336" i="4"/>
  <c r="AA1336" i="4"/>
  <c r="AD1336" i="4" s="1"/>
  <c r="AG1338" i="4"/>
  <c r="AA1338" i="4"/>
  <c r="AD1338" i="4" s="1"/>
  <c r="AC1338" i="4"/>
  <c r="AC1344" i="4"/>
  <c r="AG1344" i="4"/>
  <c r="AC1349" i="4"/>
  <c r="AG1349" i="4"/>
  <c r="AC1353" i="4"/>
  <c r="AG1353" i="4"/>
  <c r="AC1357" i="4"/>
  <c r="AG1357" i="4"/>
  <c r="AC1361" i="4"/>
  <c r="AG1361" i="4"/>
  <c r="AA1361" i="4"/>
  <c r="AD1361" i="4" s="1"/>
  <c r="AC1362" i="4"/>
  <c r="AG1362" i="4"/>
  <c r="AA1362" i="4"/>
  <c r="AD1362" i="4" s="1"/>
  <c r="AC1365" i="4"/>
  <c r="AG1365" i="4"/>
  <c r="AA1365" i="4"/>
  <c r="AD1365" i="4" s="1"/>
  <c r="AC1366" i="4"/>
  <c r="AG1366" i="4"/>
  <c r="AA1366" i="4"/>
  <c r="AD1366" i="4" s="1"/>
  <c r="AC1477" i="4"/>
  <c r="AG1477" i="4"/>
  <c r="AA1477" i="4"/>
  <c r="AD1477" i="4" s="1"/>
  <c r="AC1579" i="4"/>
  <c r="AA1579" i="4"/>
  <c r="AD1579" i="4" s="1"/>
  <c r="AC1583" i="4"/>
  <c r="AA1583" i="4"/>
  <c r="AD1583" i="4" s="1"/>
  <c r="AG1583" i="4"/>
  <c r="AC1337" i="4"/>
  <c r="AG1337" i="4"/>
  <c r="AC1346" i="4"/>
  <c r="AC1348" i="4"/>
  <c r="AC1350" i="4"/>
  <c r="AC1352" i="4"/>
  <c r="AC1354" i="4"/>
  <c r="AC1356" i="4"/>
  <c r="AC1360" i="4"/>
  <c r="AG1360" i="4"/>
  <c r="AA1360" i="4"/>
  <c r="AD1360" i="4" s="1"/>
  <c r="AC1364" i="4"/>
  <c r="AG1364" i="4"/>
  <c r="AA1364" i="4"/>
  <c r="AD1364" i="4" s="1"/>
  <c r="AC1383" i="4"/>
  <c r="AG1383" i="4"/>
  <c r="AA1383" i="4"/>
  <c r="AD1383" i="4" s="1"/>
  <c r="AC1387" i="4"/>
  <c r="AG1387" i="4"/>
  <c r="AA1387" i="4"/>
  <c r="AD1387" i="4" s="1"/>
  <c r="AC1392" i="4"/>
  <c r="AG1392" i="4"/>
  <c r="AA1392" i="4"/>
  <c r="AD1392" i="4" s="1"/>
  <c r="AC1421" i="4"/>
  <c r="AC1431" i="4"/>
  <c r="AG1431" i="4"/>
  <c r="AA1431" i="4"/>
  <c r="AD1431" i="4" s="1"/>
  <c r="AC1435" i="4"/>
  <c r="AA1435" i="4"/>
  <c r="AD1435" i="4" s="1"/>
  <c r="AC1442" i="4"/>
  <c r="AG1442" i="4"/>
  <c r="AC1446" i="4"/>
  <c r="AG1446" i="4"/>
  <c r="AC1450" i="4"/>
  <c r="AG1450" i="4"/>
  <c r="AC1465" i="4"/>
  <c r="AG1465" i="4"/>
  <c r="AA1550" i="4"/>
  <c r="AD1550" i="4" s="1"/>
  <c r="AG1550" i="4"/>
  <c r="AC1580" i="4"/>
  <c r="AA1580" i="4"/>
  <c r="AD1580" i="4" s="1"/>
  <c r="AC1218" i="4"/>
  <c r="AA1293" i="4"/>
  <c r="AD1293" i="4" s="1"/>
  <c r="AA1294" i="4"/>
  <c r="AD1294" i="4" s="1"/>
  <c r="AA1295" i="4"/>
  <c r="AD1295" i="4" s="1"/>
  <c r="AG1339" i="4"/>
  <c r="AA1339" i="4"/>
  <c r="AD1339" i="4" s="1"/>
  <c r="AC1363" i="4"/>
  <c r="AG1363" i="4"/>
  <c r="AA1363" i="4"/>
  <c r="AD1363" i="4" s="1"/>
  <c r="AC1367" i="4"/>
  <c r="AG1367" i="4"/>
  <c r="AA1367" i="4"/>
  <c r="AD1367" i="4" s="1"/>
  <c r="AC1382" i="4"/>
  <c r="AG1382" i="4"/>
  <c r="AA1382" i="4"/>
  <c r="AD1382" i="4" s="1"/>
  <c r="AC1386" i="4"/>
  <c r="AG1386" i="4"/>
  <c r="AA1386" i="4"/>
  <c r="AD1386" i="4" s="1"/>
  <c r="AC1391" i="4"/>
  <c r="AG1391" i="4"/>
  <c r="AA1391" i="4"/>
  <c r="AD1391" i="4" s="1"/>
  <c r="AC1434" i="4"/>
  <c r="AC1475" i="4"/>
  <c r="AG1475" i="4"/>
  <c r="AC1479" i="4"/>
  <c r="AG1479" i="4"/>
  <c r="AC1483" i="4"/>
  <c r="AG1483" i="4"/>
  <c r="AG1517" i="4"/>
  <c r="AA1517" i="4"/>
  <c r="AD1517" i="4" s="1"/>
  <c r="AC1517" i="4"/>
  <c r="AA1544" i="4"/>
  <c r="AD1544" i="4" s="1"/>
  <c r="AC1544" i="4"/>
  <c r="AC1550" i="4"/>
  <c r="AC1561" i="4"/>
  <c r="AA1561" i="4"/>
  <c r="AD1561" i="4" s="1"/>
  <c r="AG1561" i="4"/>
  <c r="AC1441" i="4"/>
  <c r="AC1443" i="4"/>
  <c r="AC1445" i="4"/>
  <c r="AC1447" i="4"/>
  <c r="AC1449" i="4"/>
  <c r="AC1452" i="4"/>
  <c r="AC1462" i="4"/>
  <c r="AC1464" i="4"/>
  <c r="AC1476" i="4"/>
  <c r="AC1478" i="4"/>
  <c r="AC1480" i="4"/>
  <c r="AC1482" i="4"/>
  <c r="AC1484" i="4"/>
  <c r="AG1486" i="4"/>
  <c r="AA1486" i="4"/>
  <c r="AD1486" i="4" s="1"/>
  <c r="AG1494" i="4"/>
  <c r="AA1494" i="4"/>
  <c r="AD1494" i="4" s="1"/>
  <c r="AG1502" i="4"/>
  <c r="AA1502" i="4"/>
  <c r="AD1502" i="4" s="1"/>
  <c r="AG1505" i="4"/>
  <c r="AA1505" i="4"/>
  <c r="AD1505" i="4" s="1"/>
  <c r="AC1505" i="4"/>
  <c r="AG1507" i="4"/>
  <c r="AA1507" i="4"/>
  <c r="AD1507" i="4" s="1"/>
  <c r="AG1519" i="4"/>
  <c r="AA1519" i="4"/>
  <c r="AD1519" i="4" s="1"/>
  <c r="AC1519" i="4"/>
  <c r="AG1530" i="4"/>
  <c r="AA1530" i="4"/>
  <c r="AD1530" i="4" s="1"/>
  <c r="AC1530" i="4"/>
  <c r="AG1540" i="4"/>
  <c r="AA1540" i="4"/>
  <c r="AD1540" i="4" s="1"/>
  <c r="AC1540" i="4"/>
  <c r="AG1598" i="4"/>
  <c r="AA1598" i="4"/>
  <c r="AD1598" i="4" s="1"/>
  <c r="AC1598" i="4"/>
  <c r="AG1492" i="4"/>
  <c r="AA1492" i="4"/>
  <c r="AD1492" i="4" s="1"/>
  <c r="AG1500" i="4"/>
  <c r="AA1500" i="4"/>
  <c r="AD1500" i="4" s="1"/>
  <c r="AG1522" i="4"/>
  <c r="AA1522" i="4"/>
  <c r="AD1522" i="4" s="1"/>
  <c r="AC1522" i="4"/>
  <c r="AG1528" i="4"/>
  <c r="AA1528" i="4"/>
  <c r="AD1528" i="4" s="1"/>
  <c r="AC1528" i="4"/>
  <c r="AA1535" i="4"/>
  <c r="AD1535" i="4" s="1"/>
  <c r="AC1535" i="4"/>
  <c r="AG1538" i="4"/>
  <c r="AA1538" i="4"/>
  <c r="AD1538" i="4" s="1"/>
  <c r="AC1538" i="4"/>
  <c r="AC1553" i="4"/>
  <c r="AA1553" i="4"/>
  <c r="AD1553" i="4" s="1"/>
  <c r="AG1553" i="4"/>
  <c r="AG1594" i="4"/>
  <c r="AA1594" i="4"/>
  <c r="AD1594" i="4" s="1"/>
  <c r="AC1594" i="4"/>
  <c r="AG1487" i="4"/>
  <c r="AA1487" i="4"/>
  <c r="AD1487" i="4" s="1"/>
  <c r="AG1489" i="4"/>
  <c r="AA1489" i="4"/>
  <c r="AD1489" i="4" s="1"/>
  <c r="AG1493" i="4"/>
  <c r="AA1493" i="4"/>
  <c r="AD1493" i="4" s="1"/>
  <c r="AG1495" i="4"/>
  <c r="AA1495" i="4"/>
  <c r="AD1495" i="4" s="1"/>
  <c r="AG1497" i="4"/>
  <c r="AA1497" i="4"/>
  <c r="AD1497" i="4" s="1"/>
  <c r="AG1499" i="4"/>
  <c r="AA1499" i="4"/>
  <c r="AD1499" i="4" s="1"/>
  <c r="AG1501" i="4"/>
  <c r="AA1501" i="4"/>
  <c r="AD1501" i="4" s="1"/>
  <c r="AG1503" i="4"/>
  <c r="AA1503" i="4"/>
  <c r="AD1503" i="4" s="1"/>
  <c r="AG1509" i="4"/>
  <c r="AA1509" i="4"/>
  <c r="AD1509" i="4" s="1"/>
  <c r="AG1514" i="4"/>
  <c r="AA1514" i="4"/>
  <c r="AD1514" i="4" s="1"/>
  <c r="AG1533" i="4"/>
  <c r="AA1533" i="4"/>
  <c r="AD1533" i="4" s="1"/>
  <c r="AA1546" i="4"/>
  <c r="AD1546" i="4" s="1"/>
  <c r="AA1554" i="4"/>
  <c r="AD1554" i="4" s="1"/>
  <c r="AG1581" i="4"/>
  <c r="AA1581" i="4"/>
  <c r="AD1581" i="4" s="1"/>
  <c r="AC1581" i="4"/>
  <c r="AC1592" i="4"/>
  <c r="AA1592" i="4"/>
  <c r="AD1592" i="4" s="1"/>
  <c r="AC1596" i="4"/>
  <c r="AA1596" i="4"/>
  <c r="AD1596" i="4" s="1"/>
  <c r="AG1491" i="4"/>
  <c r="AG1513" i="4"/>
  <c r="AA1513" i="4"/>
  <c r="AD1513" i="4" s="1"/>
  <c r="AG1518" i="4"/>
  <c r="AA1518" i="4"/>
  <c r="AD1518" i="4" s="1"/>
  <c r="AG1520" i="4"/>
  <c r="AA1520" i="4"/>
  <c r="AD1520" i="4" s="1"/>
  <c r="AC1521" i="4"/>
  <c r="AC1549" i="4"/>
  <c r="AA1549" i="4"/>
  <c r="AD1549" i="4" s="1"/>
  <c r="AC1560" i="4"/>
  <c r="AA1560" i="4"/>
  <c r="AD1560" i="4" s="1"/>
  <c r="AG1566" i="4"/>
  <c r="AA1566" i="4"/>
  <c r="AD1566" i="4" s="1"/>
  <c r="AC1569" i="4"/>
  <c r="AG1569" i="4"/>
  <c r="AA1569" i="4"/>
  <c r="AD1569" i="4" s="1"/>
  <c r="AC1574" i="4"/>
  <c r="AA1574" i="4"/>
  <c r="AD1574" i="4" s="1"/>
  <c r="AC1597" i="4"/>
  <c r="AA1597" i="4"/>
  <c r="AD1597" i="4" s="1"/>
  <c r="AC1526" i="4"/>
  <c r="AC1532" i="4"/>
  <c r="AC1541" i="4"/>
  <c r="AC1543" i="4"/>
  <c r="AG1548" i="4"/>
  <c r="AA1548" i="4"/>
  <c r="AD1548" i="4" s="1"/>
  <c r="AG1552" i="4"/>
  <c r="AA1552" i="4"/>
  <c r="AD1552" i="4" s="1"/>
  <c r="AG1556" i="4"/>
  <c r="AA1556" i="4"/>
  <c r="AD1556" i="4" s="1"/>
  <c r="AC1565" i="4"/>
  <c r="AC1570" i="4"/>
  <c r="AC1575" i="4"/>
  <c r="AA1575" i="4"/>
  <c r="AD1575" i="4" s="1"/>
  <c r="AC1582" i="4"/>
  <c r="AA1582" i="4"/>
  <c r="AD1582" i="4" s="1"/>
  <c r="AC1591" i="4"/>
  <c r="AA1591" i="4"/>
  <c r="AD1591" i="4" s="1"/>
  <c r="AC1595" i="4"/>
  <c r="AA1595" i="4"/>
  <c r="AD1595" i="4" s="1"/>
  <c r="AG1564" i="4"/>
  <c r="AA1564" i="4"/>
  <c r="AD1564" i="4" s="1"/>
  <c r="AG1568" i="4"/>
  <c r="AA1568" i="4"/>
  <c r="AD1568" i="4" s="1"/>
  <c r="AG1572" i="4"/>
  <c r="AA1572" i="4"/>
  <c r="AD1572" i="4" s="1"/>
  <c r="AA1602" i="4"/>
  <c r="AD1602" i="4" s="1"/>
  <c r="AC1573" i="4"/>
  <c r="AG1573" i="4"/>
  <c r="AL1616" i="4" l="1"/>
  <c r="AD1616" i="4"/>
  <c r="AG1616" i="4"/>
</calcChain>
</file>

<file path=xl/sharedStrings.xml><?xml version="1.0" encoding="utf-8"?>
<sst xmlns="http://schemas.openxmlformats.org/spreadsheetml/2006/main" count="51609" uniqueCount="7874">
  <si>
    <t xml:space="preserve">Shipment Year </t>
  </si>
  <si>
    <t xml:space="preserve">Company </t>
  </si>
  <si>
    <t>Commercial Invoice No / (SAP Number)</t>
  </si>
  <si>
    <t>Commercial Invoice date</t>
  </si>
  <si>
    <t>Pre-Shipment Invoice  No</t>
  </si>
  <si>
    <t>Unit (Type)</t>
  </si>
  <si>
    <t>Unit Location</t>
  </si>
  <si>
    <t>Buyer</t>
  </si>
  <si>
    <t>HS Code</t>
  </si>
  <si>
    <t>Quantity (In Mts)</t>
  </si>
  <si>
    <t>UOM</t>
  </si>
  <si>
    <t>Ship Terms</t>
  </si>
  <si>
    <t>Currency of export</t>
  </si>
  <si>
    <t>Sale Rate</t>
  </si>
  <si>
    <t>Commercial Invoice Value (In FFC)</t>
  </si>
  <si>
    <t>Freight (In FFC)</t>
  </si>
  <si>
    <t>Insurance (In FFC)</t>
  </si>
  <si>
    <t>Comm (in FFC)</t>
  </si>
  <si>
    <t>Discount if any (in FFC)</t>
  </si>
  <si>
    <t xml:space="preserve">Port of Loading </t>
  </si>
  <si>
    <t>Country of Exports</t>
  </si>
  <si>
    <t>Shipping Bill No</t>
  </si>
  <si>
    <t>Shipping Bill Date</t>
  </si>
  <si>
    <t>Let Export  Date</t>
  </si>
  <si>
    <t>S/Bill Value (FOB in FFC)</t>
  </si>
  <si>
    <t>Custom (ExRate)</t>
  </si>
  <si>
    <t>S/Bill CIF Value (In Rs)</t>
  </si>
  <si>
    <t>Shipping Bill      (FOB in Rs)</t>
  </si>
  <si>
    <t>Bank</t>
  </si>
  <si>
    <t>Bank Ref No.</t>
  </si>
  <si>
    <t>Bk Ex  Rate</t>
  </si>
  <si>
    <t>Bank Realisation (FOB in Rupees)</t>
  </si>
  <si>
    <t>Bank CC Rate</t>
  </si>
  <si>
    <t>Date of Realisation</t>
  </si>
  <si>
    <t xml:space="preserve">BRC NO. </t>
  </si>
  <si>
    <t>BRC DATE</t>
  </si>
  <si>
    <t>R/UNR</t>
  </si>
  <si>
    <t>13-14</t>
  </si>
  <si>
    <t>VIL</t>
  </si>
  <si>
    <t>VVF/TAL/EXP/0001</t>
  </si>
  <si>
    <t>EOU</t>
  </si>
  <si>
    <t>Taloja</t>
  </si>
  <si>
    <t>Imcd South Africa (Pty) Ltd.</t>
  </si>
  <si>
    <t>Basf Espanola S.L.(Espana)</t>
  </si>
  <si>
    <t>CIF</t>
  </si>
  <si>
    <t>EURO</t>
  </si>
  <si>
    <t>Nhava- Sheva</t>
  </si>
  <si>
    <t>Spain</t>
  </si>
  <si>
    <t>BOI</t>
  </si>
  <si>
    <t>Realised</t>
  </si>
  <si>
    <t>Berg &amp; Schmidt Gmbh &amp; Co.Kg.</t>
  </si>
  <si>
    <t>DENA</t>
  </si>
  <si>
    <t>CFR</t>
  </si>
  <si>
    <t>USD</t>
  </si>
  <si>
    <t>China</t>
  </si>
  <si>
    <t>Transmacro Inc.</t>
  </si>
  <si>
    <t>U.S.A.</t>
  </si>
  <si>
    <t>SBP</t>
  </si>
  <si>
    <t>Cremer Oleo Gmbh &amp; Co.Kg.</t>
  </si>
  <si>
    <t>Germany</t>
  </si>
  <si>
    <t>Oleon N.V.</t>
  </si>
  <si>
    <t>Belgium</t>
  </si>
  <si>
    <t>Poland</t>
  </si>
  <si>
    <t>Kenko Corporation</t>
  </si>
  <si>
    <t>Korea</t>
  </si>
  <si>
    <t>DTA</t>
  </si>
  <si>
    <t>Sion</t>
  </si>
  <si>
    <t>FOB</t>
  </si>
  <si>
    <t>Daman</t>
  </si>
  <si>
    <t>Galil Chemicals Ltd.</t>
  </si>
  <si>
    <t>MT</t>
  </si>
  <si>
    <t>VVF/BB/EXP/0001</t>
  </si>
  <si>
    <t>U.A.E.</t>
  </si>
  <si>
    <t>VVF/BB/EXP/0002</t>
  </si>
  <si>
    <t>VVF/BB/EXP/0003</t>
  </si>
  <si>
    <t>Japan</t>
  </si>
  <si>
    <t>VVF Singapore Pte. Ltd.</t>
  </si>
  <si>
    <t>Kenya</t>
  </si>
  <si>
    <t>Magna-Kron Asia Pacific Pte. Ltd.</t>
  </si>
  <si>
    <t>VVF/BDD/EXP/0001</t>
  </si>
  <si>
    <t>Johnson &amp; Johnson Asia Pacific Suply Chain Center</t>
  </si>
  <si>
    <t>Taiwan</t>
  </si>
  <si>
    <t>VVF FZCO</t>
  </si>
  <si>
    <t>Mundra</t>
  </si>
  <si>
    <t>Zaman Nizam Limited</t>
  </si>
  <si>
    <t>Afghanistan</t>
  </si>
  <si>
    <t>Gulf Centre For Soap And Chemicals Industries L.L.C.</t>
  </si>
  <si>
    <t>VVF/BDD/EXP/0020</t>
  </si>
  <si>
    <t>0160FBC14000843</t>
  </si>
  <si>
    <t>BKID0000160140395658</t>
  </si>
  <si>
    <t>Israel</t>
  </si>
  <si>
    <t>VVF/DAM/EXP/0002</t>
  </si>
  <si>
    <t>VVF/DAM/EXP/0003</t>
  </si>
  <si>
    <t>VVF/DAM/EXP/0004</t>
  </si>
  <si>
    <t>VVF/DAM/EXP/0005</t>
  </si>
  <si>
    <t>VVF/DAM/EXP/0006</t>
  </si>
  <si>
    <t>VVF/DAM/EXP/0007</t>
  </si>
  <si>
    <t>VVF/DAM/EXP/0008</t>
  </si>
  <si>
    <t>VVF/DAM/EXP/0009</t>
  </si>
  <si>
    <t>VVF/DAM/EXP/0010</t>
  </si>
  <si>
    <t>VVF/DAM/EXP/0011</t>
  </si>
  <si>
    <t>VVF/DAM/EXP/0012</t>
  </si>
  <si>
    <t>VVF/DAM/EXP/0013</t>
  </si>
  <si>
    <t>VVF/DAM/EXP/0014</t>
  </si>
  <si>
    <t>VVF/DAM/EXP/0015</t>
  </si>
  <si>
    <t>VVF/DAM/EXP/0017</t>
  </si>
  <si>
    <t>VVF/DAM/EXP/0018</t>
  </si>
  <si>
    <t>VVF/DAM/EXP/0019</t>
  </si>
  <si>
    <t>VVF/TAL/EXP/0002</t>
  </si>
  <si>
    <t>VVF/TAL/EXP/0003</t>
  </si>
  <si>
    <t>VVF/TAL/EXP/0004</t>
  </si>
  <si>
    <t>VVF/TAL/EXP/0006</t>
  </si>
  <si>
    <t>VVF/TAL/EXP/0007</t>
  </si>
  <si>
    <t>VVF/TAL/EXP/0010</t>
  </si>
  <si>
    <t>VVF/TAL/EXP/0009</t>
  </si>
  <si>
    <t>VVF/TAL/EXP/0008</t>
  </si>
  <si>
    <t>VVF/TAL/EXP/0012</t>
  </si>
  <si>
    <t>VVF/TAL/EXP/0013</t>
  </si>
  <si>
    <t>VVF/TAL/EXP/0016</t>
  </si>
  <si>
    <t>VVF/TAL/EXP/0017</t>
  </si>
  <si>
    <t>VVF/TAL/EXP/0014</t>
  </si>
  <si>
    <t>VVF/TAL/EXP/0015</t>
  </si>
  <si>
    <t>Zavod Sintanolov LLC</t>
  </si>
  <si>
    <t>Russia</t>
  </si>
  <si>
    <t>VVF/TAL/EXP/0018</t>
  </si>
  <si>
    <t>VVF/TAL/EXP/0019</t>
  </si>
  <si>
    <t>Colgate Palmolive (Thailand) Co.Ltd.</t>
  </si>
  <si>
    <t>Thailand</t>
  </si>
  <si>
    <t>VVF/TAL/EXP/0020</t>
  </si>
  <si>
    <t>Akzo Nobel Surface Chemistry AB</t>
  </si>
  <si>
    <t>Sweden</t>
  </si>
  <si>
    <t>VVF/TAL/EXP/0021</t>
  </si>
  <si>
    <t>VVF/TAL/EXP/0022</t>
  </si>
  <si>
    <t>VVF/TAL/EXP/0023</t>
  </si>
  <si>
    <t>VVF/TAL/EXP/0005</t>
  </si>
  <si>
    <t>VVF/TAL/EXP/0024</t>
  </si>
  <si>
    <t>VVF/TAL/EXP/0025</t>
  </si>
  <si>
    <t>Egypt</t>
  </si>
  <si>
    <t>VVF/TAL/EXP/0028</t>
  </si>
  <si>
    <t>VVF/TAL/EXP/0027</t>
  </si>
  <si>
    <t>VVF/TAL/EXP/0026</t>
  </si>
  <si>
    <t>VVF/TAL/EXP/0031</t>
  </si>
  <si>
    <t>Amka Products (PTY) Ltd.</t>
  </si>
  <si>
    <t>South Africa</t>
  </si>
  <si>
    <t>VVF/TAL/EXP/0030</t>
  </si>
  <si>
    <t>VVF/TAL/EXP/0029</t>
  </si>
  <si>
    <t>U.K.</t>
  </si>
  <si>
    <t>VVF/TAL/EXP/0036</t>
  </si>
  <si>
    <t>VVF/TAL/EXP/0032</t>
  </si>
  <si>
    <t>VVF/TAL/EXP/0033</t>
  </si>
  <si>
    <t>VVF/TAL/EXP/0037</t>
  </si>
  <si>
    <t>VVF/TAL/EXP/0039</t>
  </si>
  <si>
    <t>VVF/TAL/EXP/0034</t>
  </si>
  <si>
    <t>VVF/TAL/EXP/0040</t>
  </si>
  <si>
    <t>VVF/TAL/EXP/0041</t>
  </si>
  <si>
    <t>VVF/TAL/EXP/0042</t>
  </si>
  <si>
    <t>VVF/TAL/EXP/0043</t>
  </si>
  <si>
    <t>VVF/TAL/EXP/0035</t>
  </si>
  <si>
    <t>VVF/TAL/EXP/0044</t>
  </si>
  <si>
    <t>VVF/TAL/EXP/0047</t>
  </si>
  <si>
    <t>VVF/TAL/EXP/0045</t>
  </si>
  <si>
    <t>VVF/TAL/EXP/0038</t>
  </si>
  <si>
    <t>VVF/TAL/EXP/0046</t>
  </si>
  <si>
    <t>VVF/TAL/EXP/0048</t>
  </si>
  <si>
    <t>VVF/TAL/EXP/0050</t>
  </si>
  <si>
    <t>VVF/TAL/EXP/0051</t>
  </si>
  <si>
    <t>VVF/TAL/EXP/0049</t>
  </si>
  <si>
    <t>VVF/TAL/EXP/0053</t>
  </si>
  <si>
    <t>VVF/TAL/EXP/0062</t>
  </si>
  <si>
    <t>Polyrheo Inc.</t>
  </si>
  <si>
    <t>VVF/TAL/EXP/0061</t>
  </si>
  <si>
    <t>VVF/TAL/EXP/0052</t>
  </si>
  <si>
    <t>VVF/TAL/EXP/0056</t>
  </si>
  <si>
    <t>VVF/TAL/EXP/0057</t>
  </si>
  <si>
    <t>VVF/TAL/EXP/0058</t>
  </si>
  <si>
    <t>VVF/TAL/EXP/0060</t>
  </si>
  <si>
    <t>VVF/TAL/EXP/0059</t>
  </si>
  <si>
    <t>VVF/TAL/EXP/0055</t>
  </si>
  <si>
    <t>Nigeria</t>
  </si>
  <si>
    <t>VVF/TAL/EXP/0070</t>
  </si>
  <si>
    <t>VVF/TAL/EXP/0069</t>
  </si>
  <si>
    <t>VVF/TAL/EXP/0064</t>
  </si>
  <si>
    <t>VVF/TAL/EXP/0065</t>
  </si>
  <si>
    <t>VVF/TAL/EXP/0066</t>
  </si>
  <si>
    <t>Woojin Industrial Co. Ltd.</t>
  </si>
  <si>
    <t>VVF/TAL/EXP/0067</t>
  </si>
  <si>
    <t>VVF/TAL/EXP/0068</t>
  </si>
  <si>
    <t>VVF, LLC,</t>
  </si>
  <si>
    <t>Canada</t>
  </si>
  <si>
    <t>VVF/TAL/EXP/0063</t>
  </si>
  <si>
    <t>Mexico</t>
  </si>
  <si>
    <t>VVF/TAL/EXP/0073</t>
  </si>
  <si>
    <t>VVF/TAL/EXP/0075</t>
  </si>
  <si>
    <t>VVF/TAL/EXP/0077</t>
  </si>
  <si>
    <t>VVF/TAL/EXP/0080</t>
  </si>
  <si>
    <t>France</t>
  </si>
  <si>
    <t>VVF/TAL/EXP/0081</t>
  </si>
  <si>
    <t>VVF/TAL/EXP/0079</t>
  </si>
  <si>
    <t>VVF/TAL/EXP/0078</t>
  </si>
  <si>
    <t>VVF/TAL/EXP/0082</t>
  </si>
  <si>
    <t>Sasol Germany Gmbh,</t>
  </si>
  <si>
    <t>VVF/TAL/EXP/0086</t>
  </si>
  <si>
    <t>VVF/TAL/EXP/0085</t>
  </si>
  <si>
    <t>VVF/TAL/EXP/0087</t>
  </si>
  <si>
    <t>VVF/TAL/EXP/0091</t>
  </si>
  <si>
    <t>Turkey</t>
  </si>
  <si>
    <t>VVF/TAL/EXP/0090</t>
  </si>
  <si>
    <t>VVF/TAL/EXP/0071</t>
  </si>
  <si>
    <t>VVF/TAL/EXP/0089</t>
  </si>
  <si>
    <t>VVF/TAL/EXP/0098</t>
  </si>
  <si>
    <t>VVF/TAL/EXP/0097</t>
  </si>
  <si>
    <t>VVF/TAL/EXP/0096</t>
  </si>
  <si>
    <t>VVF/TAL/EXP/0095</t>
  </si>
  <si>
    <t>VVF/TAL/EXP/0094</t>
  </si>
  <si>
    <t>VVF/TAL/EXP/0076</t>
  </si>
  <si>
    <t>VVF/TAL/EXP/0093</t>
  </si>
  <si>
    <t>VVF/TAL/EXP/0072</t>
  </si>
  <si>
    <t>VVF/TAL/EXP/0074</t>
  </si>
  <si>
    <t>VVF/TAL/EXP/0088</t>
  </si>
  <si>
    <t>VVF/TAL/EXP/0092</t>
  </si>
  <si>
    <t>VVF/TAL/EXP/0084</t>
  </si>
  <si>
    <t xml:space="preserve">Colgate Palmolive Temizlik Urunleri ve,Ticaret A.S. </t>
  </si>
  <si>
    <t>VVF/TAL/EXP/0102</t>
  </si>
  <si>
    <t>Italy</t>
  </si>
  <si>
    <t>VVF/TAL/EXP/0104</t>
  </si>
  <si>
    <t>VVF/TAL/EXP/0100</t>
  </si>
  <si>
    <t>VVF/TAL/EXP/0106</t>
  </si>
  <si>
    <t>VVF/TAL/EXP/0108</t>
  </si>
  <si>
    <t>VVF/TAL/EXP/0111</t>
  </si>
  <si>
    <t>VVF/TAL/EXP/0101</t>
  </si>
  <si>
    <t>VVF/TAL/EXP/0112</t>
  </si>
  <si>
    <t>VVF/TAL/EXP/0109</t>
  </si>
  <si>
    <t>VVF/TAL/EXP/0103</t>
  </si>
  <si>
    <t>VVF/TAL/EXP/0099</t>
  </si>
  <si>
    <t>VVF/TAL/EXP/0105</t>
  </si>
  <si>
    <t>VVF/TAL/EXP/0083</t>
  </si>
  <si>
    <t>Vietnam</t>
  </si>
  <si>
    <t>VVF/TAL/EXP/0118</t>
  </si>
  <si>
    <t>VVF/TAL/EXP/0117</t>
  </si>
  <si>
    <t>VVF/TAL/EXP/0114</t>
  </si>
  <si>
    <t>VVF/TAL/EXP/0115</t>
  </si>
  <si>
    <t>Saudi Arabia</t>
  </si>
  <si>
    <t>VVF/TAL/EXP/0116</t>
  </si>
  <si>
    <t>Brazil</t>
  </si>
  <si>
    <t>VVF/TAL/EXP/0121</t>
  </si>
  <si>
    <t>VVF/TAL/EXP/0120</t>
  </si>
  <si>
    <t>VVF/TAL/EXP/0123</t>
  </si>
  <si>
    <t>VVF/TAL/EXP/0122</t>
  </si>
  <si>
    <t>VVF/TAL/EXP/0124</t>
  </si>
  <si>
    <t>VVF/TAL/EXP/0133</t>
  </si>
  <si>
    <t>VVF/TAL/EXP/0131</t>
  </si>
  <si>
    <t>VVF/TAL/EXP/0129</t>
  </si>
  <si>
    <t>VVF/TAL/EXP/0126</t>
  </si>
  <si>
    <t>VVF/TAL/EXP/0113</t>
  </si>
  <si>
    <t>VVF/TAL/EXP/0119</t>
  </si>
  <si>
    <t>VVF/TAL/EXP/0135</t>
  </si>
  <si>
    <t>Pinewood Healthcare Ltd.</t>
  </si>
  <si>
    <t>Ireland</t>
  </si>
  <si>
    <t>VVF/TAL/EXP/0136</t>
  </si>
  <si>
    <t>VVF/TAL/EXP/0134</t>
  </si>
  <si>
    <t>VVF/TAL/EXP/0130</t>
  </si>
  <si>
    <t>VVF/TAL/EXP/0137</t>
  </si>
  <si>
    <t>VVF/TAL/EXP/0138</t>
  </si>
  <si>
    <t>VVF/TAL/EXP/0139</t>
  </si>
  <si>
    <t>Jiangsu Holly International Logistics Corporation</t>
  </si>
  <si>
    <t>VVF/TAL/EXP/0144</t>
  </si>
  <si>
    <t>VVF/TAL/EXP/0125</t>
  </si>
  <si>
    <t>Orica Chemicals Chile S.A.</t>
  </si>
  <si>
    <t>VVF/TAL/EXP/0140</t>
  </si>
  <si>
    <t>VVF/TAL/EXP/0142</t>
  </si>
  <si>
    <t>VVF/TAL/EXP/0143</t>
  </si>
  <si>
    <t>VVF/TAL/EXP/0145</t>
  </si>
  <si>
    <t>VVF/TAL/EXP/0146</t>
  </si>
  <si>
    <t>VVF/TAL/EXP/0127</t>
  </si>
  <si>
    <t>VVF/TAL/EXP/0128</t>
  </si>
  <si>
    <t>VVF/TAL/EXP/0132</t>
  </si>
  <si>
    <t>VVF/TAL/EXP/0141</t>
  </si>
  <si>
    <t>VVF/TAL/EXP/0149</t>
  </si>
  <si>
    <t>VVF/TAL/EXP/0150</t>
  </si>
  <si>
    <t>VVF/TAL/EXP/0147</t>
  </si>
  <si>
    <t>VVF/TAL/EXP/0152</t>
  </si>
  <si>
    <t>VVF/TAL/EXP/0155</t>
  </si>
  <si>
    <t>VVF/TAL/EXP/0156</t>
  </si>
  <si>
    <t>VVF/TAL/EXP/0153</t>
  </si>
  <si>
    <t>AXIS</t>
  </si>
  <si>
    <t>VVF/TAL/EXP/0154</t>
  </si>
  <si>
    <t>VVF/TAL/EXP/0165</t>
  </si>
  <si>
    <t>VVF/TAL/EXP/0164</t>
  </si>
  <si>
    <t>VVF/TAL/EXP/0163</t>
  </si>
  <si>
    <t>VVF/TAL/EXP/0159</t>
  </si>
  <si>
    <t>VVF/TAL/EXP/0158</t>
  </si>
  <si>
    <t>VVF/TAL/EXP/0157</t>
  </si>
  <si>
    <t>VVF/TAL/EXP/0151</t>
  </si>
  <si>
    <t>VVF/TAL/EXP/0161</t>
  </si>
  <si>
    <t>Peru</t>
  </si>
  <si>
    <t>VVF/TAL/EXP/0167</t>
  </si>
  <si>
    <t>VVF/TAL/EXP/0169</t>
  </si>
  <si>
    <t>VVF/TAL/EXP/0168</t>
  </si>
  <si>
    <t>VVF/TAL/EXP/0166</t>
  </si>
  <si>
    <t>VVF/TAL/EXP/0160</t>
  </si>
  <si>
    <t>VVF/TAL/EXP/0162</t>
  </si>
  <si>
    <t>VVF/TAL/EXP/0148</t>
  </si>
  <si>
    <t>EXW</t>
  </si>
  <si>
    <t>VVF/TAL/EXP/0172</t>
  </si>
  <si>
    <t>VVF/TAL/EXP/0170</t>
  </si>
  <si>
    <t>VVF/TAL/EXP/0173</t>
  </si>
  <si>
    <t>VVF/TAL/EXP/0174</t>
  </si>
  <si>
    <t>Colgate Palmolive Morocco</t>
  </si>
  <si>
    <t>Morocco</t>
  </si>
  <si>
    <t>VVF/TAL/EXP/0175</t>
  </si>
  <si>
    <t>VVF/TAL/EXP/0176</t>
  </si>
  <si>
    <t>VVF/TAL/EXP/0177</t>
  </si>
  <si>
    <t>VVF/TAL/EXP/0178</t>
  </si>
  <si>
    <t>VVF/TAL/EXP/0181</t>
  </si>
  <si>
    <t>VVF/TAL/EXP/0179</t>
  </si>
  <si>
    <t>VVF/TAL/EXP/0184</t>
  </si>
  <si>
    <t>VVF/TAL/EXP/0185</t>
  </si>
  <si>
    <t>VVF/TAL/EXP/0186</t>
  </si>
  <si>
    <t>VVF/TAL/EXP/0171</t>
  </si>
  <si>
    <t>VVF/TAL/EXP/0183</t>
  </si>
  <si>
    <t>VVF/TAL/EXP/0188</t>
  </si>
  <si>
    <t>VVF/TAL/EXP/0189</t>
  </si>
  <si>
    <t>VVF/TAL/EXP/0187</t>
  </si>
  <si>
    <t>VVF/TAL/EXP/0190</t>
  </si>
  <si>
    <t>VVF/TAL/EXP/0191</t>
  </si>
  <si>
    <t>VVF/TAL/EXP/0195</t>
  </si>
  <si>
    <t>VVF/TAL/EXP/0192</t>
  </si>
  <si>
    <t>VVF/TAL/EXP/0194</t>
  </si>
  <si>
    <t>VVF/TAL/EXP/0193</t>
  </si>
  <si>
    <t>Chile</t>
  </si>
  <si>
    <t>VVF/TAL/EXP/0196</t>
  </si>
  <si>
    <t>VVF/TAL/EXP/0198</t>
  </si>
  <si>
    <t>VVF/TAL/EXP/0200</t>
  </si>
  <si>
    <t>DDU</t>
  </si>
  <si>
    <t>VVF/TAL/EXP/0201</t>
  </si>
  <si>
    <t>VVF/TAL/EXP/0202</t>
  </si>
  <si>
    <t>VVF/TAL/EXP/0203</t>
  </si>
  <si>
    <t>VVF/TAL/EXP/0204</t>
  </si>
  <si>
    <t>VVF/TAL/EXP/0206</t>
  </si>
  <si>
    <t>VVF/TAL/EXP/0207</t>
  </si>
  <si>
    <t>VVF/TAL/EXP/0208</t>
  </si>
  <si>
    <t>VVF/TAL/EXP/0210</t>
  </si>
  <si>
    <t>VVF/TAL/EXP/0209</t>
  </si>
  <si>
    <t>VVF/TAL/EXP/0211</t>
  </si>
  <si>
    <t>VVF/TAL/EXP/0205</t>
  </si>
  <si>
    <t>VVF/TAL/EXP/0212</t>
  </si>
  <si>
    <t>VVF/TAL/EXP/0213</t>
  </si>
  <si>
    <t>VVF/TAL/EXP/0214</t>
  </si>
  <si>
    <t>VVF/TAL/EXP/0215</t>
  </si>
  <si>
    <t>Orica Chemicals Peru S.A.C.</t>
  </si>
  <si>
    <t>VVF/TAL/EXP/0216</t>
  </si>
  <si>
    <t>VVF/TAL/EXP/0218</t>
  </si>
  <si>
    <t>VVF/TAL/EXP/0220</t>
  </si>
  <si>
    <t>VVF/TAL/EXP/0223</t>
  </si>
  <si>
    <t>VVF/TAL/EXP/0225</t>
  </si>
  <si>
    <t>VVF/TAL/EXP/0224</t>
  </si>
  <si>
    <t>VVF/TAL/EXP/0227</t>
  </si>
  <si>
    <t>VVF/TAL/EXP/0197</t>
  </si>
  <si>
    <t>VVF/TAL/EXP/0199</t>
  </si>
  <si>
    <t>VVF/TAL/EXP/0229</t>
  </si>
  <si>
    <t>Berg &amp; Schmidt Asia Pte. Ltd</t>
  </si>
  <si>
    <t>Iran</t>
  </si>
  <si>
    <t>VVF/TAL/EXP/0228</t>
  </si>
  <si>
    <t>VVF/TAL/EXP/0221</t>
  </si>
  <si>
    <t>VVF/TAL/EXP/0222</t>
  </si>
  <si>
    <t>VVF/TAL/EXP/0226</t>
  </si>
  <si>
    <t>VVF/TAL/EXP/0232</t>
  </si>
  <si>
    <t>VVF/TAL/EXP/0231</t>
  </si>
  <si>
    <t>VVF/TAL/EXP/0234</t>
  </si>
  <si>
    <t>VVF/TAL/EXP/0235</t>
  </si>
  <si>
    <t>VVF/TAL/EXP/0230</t>
  </si>
  <si>
    <t>VVF/TAL/EXP/0233</t>
  </si>
  <si>
    <t>VVF/TAL/EXP/0238</t>
  </si>
  <si>
    <t>VVF/TAL/EXP/0237</t>
  </si>
  <si>
    <t>VVF/TAL/EXP/0236</t>
  </si>
  <si>
    <t>VVF/TAL/EXP/0239</t>
  </si>
  <si>
    <t>VVF/TAL/EXP/0240</t>
  </si>
  <si>
    <t>VVF/TAL/EXP/0242</t>
  </si>
  <si>
    <t>VVF/TAL/EXP/0241</t>
  </si>
  <si>
    <t>VVF/TAL/EXP/0217</t>
  </si>
  <si>
    <t>VVF/TAL/EXP/0219</t>
  </si>
  <si>
    <t>VVF/TAL/EXP/0243</t>
  </si>
  <si>
    <t>VVF/TAL/EXP/0245</t>
  </si>
  <si>
    <t>VVF/TAL/EXP/0249</t>
  </si>
  <si>
    <t>VVF/TAL/EXP/0248</t>
  </si>
  <si>
    <t>VVF/TAL/EXP/0244</t>
  </si>
  <si>
    <t>Saudi Basic Industries Corporation (Sabic)</t>
  </si>
  <si>
    <t>VVF/TAL/EXP/0247</t>
  </si>
  <si>
    <t>VVF/TAL/EXP/0253</t>
  </si>
  <si>
    <t>VVF/TAL/EXP/0257</t>
  </si>
  <si>
    <t>VVF/TAL/EXP/0254</t>
  </si>
  <si>
    <t>VVF/TAL/EXP/0252</t>
  </si>
  <si>
    <t>VVF/TAL/EXP/0250</t>
  </si>
  <si>
    <t>VVF/TAL/EXP/0251</t>
  </si>
  <si>
    <t>VVF/TAL/EXP/0255</t>
  </si>
  <si>
    <t>VVF/TAL/EXP/0256</t>
  </si>
  <si>
    <t>VVF/TAL/EXP/0258</t>
  </si>
  <si>
    <t>VVF/TAL/EXP/0261</t>
  </si>
  <si>
    <t>VVF/TAL/EXP/0259</t>
  </si>
  <si>
    <t>VVF/TAL/EXP/0262</t>
  </si>
  <si>
    <t>VVF/TAL/EXP/0264</t>
  </si>
  <si>
    <t>VVF/TAL/EXP/0263</t>
  </si>
  <si>
    <t>VVF/TAL/EXP/0266</t>
  </si>
  <si>
    <t>VVF/TAL/EXP/0267</t>
  </si>
  <si>
    <t>VVF/TAL/EXP/0268</t>
  </si>
  <si>
    <t>VVF/TAL/EXP/0274</t>
  </si>
  <si>
    <t>VVF/TAL/EXP/0271</t>
  </si>
  <si>
    <t>VVF/TAL/EXP/0260</t>
  </si>
  <si>
    <t>VVF/TAL/EXP/0265</t>
  </si>
  <si>
    <t>VVF/TAL/EXP/0275</t>
  </si>
  <si>
    <t>VVF/TAL/EXP/0276</t>
  </si>
  <si>
    <t>VVF/TAL/EXP/0272</t>
  </si>
  <si>
    <t>VVF/TAL/EXP/0277</t>
  </si>
  <si>
    <t>VVF/TAL/EXP/0279</t>
  </si>
  <si>
    <t>VVF/TAL/EXP/0278</t>
  </si>
  <si>
    <t>Candid Limited</t>
  </si>
  <si>
    <t>Haiti</t>
  </si>
  <si>
    <t>VVF/TAL/EXP/0273</t>
  </si>
  <si>
    <t>VVF/TAL/EXP/0281</t>
  </si>
  <si>
    <t>VVF/TAL/EXP/0282</t>
  </si>
  <si>
    <t>VVF/TAL/EXP/0280</t>
  </si>
  <si>
    <t>VVF/TAL/EXP/0283</t>
  </si>
  <si>
    <t>VVF/TAL/EXP/0284</t>
  </si>
  <si>
    <t>VVF/TAL/EXP/0286</t>
  </si>
  <si>
    <t>VVF/TAL/EXP/0285</t>
  </si>
  <si>
    <t>VVF/TAL/EXP/0180</t>
  </si>
  <si>
    <t>VVF/TAL/EXP/0182</t>
  </si>
  <si>
    <t>VVF/TAL/EXP/0288</t>
  </si>
  <si>
    <t>VVF/TAL/EXP/0289</t>
  </si>
  <si>
    <t>VVF/TAL/EXP/0270</t>
  </si>
  <si>
    <t>VVF/TAL/EXP/0293</t>
  </si>
  <si>
    <t>VVF/TAL/EXP/0294</t>
  </si>
  <si>
    <t>VVF/TAL/EXP/0295</t>
  </si>
  <si>
    <t>VVF/TAL/EXP/0296</t>
  </si>
  <si>
    <t>VVF/TAL/EXP/0297</t>
  </si>
  <si>
    <t>VVF/TAL/EXP/0299</t>
  </si>
  <si>
    <t>VVF/TAL/EXP/0300</t>
  </si>
  <si>
    <t>VVF/TAL/EXP/0298</t>
  </si>
  <si>
    <t>VVF/TAL/EXP/0303</t>
  </si>
  <si>
    <t>VVF/TAL/EXP/0302</t>
  </si>
  <si>
    <t>VVF/TAL/EXP/0304</t>
  </si>
  <si>
    <t>VVF/TAL/EXP/0287</t>
  </si>
  <si>
    <t>VVF/TAL/EXP/0301</t>
  </si>
  <si>
    <t>VVF/TAL/EXP/0305</t>
  </si>
  <si>
    <t>VVF/TAL/EXP/0290</t>
  </si>
  <si>
    <t>VVF/TAL/EXP/0292</t>
  </si>
  <si>
    <t>VVF/TAL/EXP/0315</t>
  </si>
  <si>
    <t>VVF/TAL/EXP/0316</t>
  </si>
  <si>
    <t>VVF/TAL/EXP/0314</t>
  </si>
  <si>
    <t>VVF/TAL/EXP/0309</t>
  </si>
  <si>
    <t>VVF/TAL/EXP/0306</t>
  </si>
  <si>
    <t>VVF/TAL/EXP/0308</t>
  </si>
  <si>
    <t>VVF/TAL/EXP/0307</t>
  </si>
  <si>
    <t>VVF/TAL/EXP/0291</t>
  </si>
  <si>
    <t>VVF/TAL/EXP/0269</t>
  </si>
  <si>
    <t>VVF/TAL/EXP/0310</t>
  </si>
  <si>
    <t>VVF/TAL/EXP/0311</t>
  </si>
  <si>
    <t>VVF/TAL/EXP/0317</t>
  </si>
  <si>
    <t>VVF/TAL/EXP/0318</t>
  </si>
  <si>
    <t>VVF/TAL/EXP/0319</t>
  </si>
  <si>
    <t>VVF/TAL/EXP/0320</t>
  </si>
  <si>
    <t>VVF/TAL/EXP/0313</t>
  </si>
  <si>
    <t>VVF/TAL/EXP/0322</t>
  </si>
  <si>
    <t>VVF/TAL/EXP/0312</t>
  </si>
  <si>
    <t>Colgate-Palmolive (China) Co. Ltd.</t>
  </si>
  <si>
    <t>VVF/TAL/EXP/0321</t>
  </si>
  <si>
    <t>VVF/TAL/EXP/0328</t>
  </si>
  <si>
    <t>VVF/TAL/EXP/0329</t>
  </si>
  <si>
    <t>VVF/TAL/EXP/0326</t>
  </si>
  <si>
    <t>VVF/TAL/EXP/0331</t>
  </si>
  <si>
    <t>VVF/TAL/EXP/0324</t>
  </si>
  <si>
    <t>VVF/TAL/EXP/0327</t>
  </si>
  <si>
    <t>VVF/TAL/EXP/0325</t>
  </si>
  <si>
    <t>VVF/TAL/EXP/0332</t>
  </si>
  <si>
    <t>VVF/TAL/EXP/0333</t>
  </si>
  <si>
    <t>VVF/TAL/EXP/0334</t>
  </si>
  <si>
    <t>VVF/TAL/EXP/0338</t>
  </si>
  <si>
    <t>VVF/TAL/EXP/0323</t>
  </si>
  <si>
    <t>VVF/TAL/EXP/0330</t>
  </si>
  <si>
    <t>VVF/TAL/EXP/0335</t>
  </si>
  <si>
    <t>VVF/TAL/EXP/0336</t>
  </si>
  <si>
    <t>VVF/TAL/EXP/0340</t>
  </si>
  <si>
    <t>VVF/TAL/EXP/0337</t>
  </si>
  <si>
    <t>VVF/TAL/EXP/0347</t>
  </si>
  <si>
    <t>VVF/TAL/EXP/0342</t>
  </si>
  <si>
    <t>VVF/TAL/EXP/0344</t>
  </si>
  <si>
    <t>VVF/TAL/EXP/0345</t>
  </si>
  <si>
    <t>Zifroni Chemicals Suppliers Ltd.</t>
  </si>
  <si>
    <t>VVF/TAL/EXP/0348</t>
  </si>
  <si>
    <t>VVF/TAL/EXP/0349</t>
  </si>
  <si>
    <t>VVF/TAL/EXP/0350</t>
  </si>
  <si>
    <t>VVF/TAL/EXP/0352</t>
  </si>
  <si>
    <t>Malaysia</t>
  </si>
  <si>
    <t>VVF/TAL/EXP/0341</t>
  </si>
  <si>
    <t>VVF/TAL/EXP/0343</t>
  </si>
  <si>
    <t>VVF/TAL/EXP/0346</t>
  </si>
  <si>
    <t>VVF/TAL/EXP/0355</t>
  </si>
  <si>
    <t>VVF/TAL/EXP/0356</t>
  </si>
  <si>
    <t>VVF/TAL/EXP/0359</t>
  </si>
  <si>
    <t>VVF/TAL/EXP/0339</t>
  </si>
  <si>
    <t>VVF/TAL/EXP/0358</t>
  </si>
  <si>
    <t>VVF/TAL/EXP/0351</t>
  </si>
  <si>
    <t>VVF/TAL/EXP/0353</t>
  </si>
  <si>
    <t>VVF/TAL/EXP/0357</t>
  </si>
  <si>
    <t>VVF/TAL/EXP/0361</t>
  </si>
  <si>
    <t>VVF/TAL/EXP/0364</t>
  </si>
  <si>
    <t>VVF/TAL/EXP/0372</t>
  </si>
  <si>
    <t>VVF/TAL/EXP/0369</t>
  </si>
  <si>
    <t>VVF/TAL/EXP/0354</t>
  </si>
  <si>
    <t>VVF/TAL/EXP/0366</t>
  </si>
  <si>
    <t>VVF/TAL/EXP/0368</t>
  </si>
  <si>
    <t>VVF/TAL/EXP/0375</t>
  </si>
  <si>
    <t>VVF/TAL/EXP/0376</t>
  </si>
  <si>
    <t>VVF/TAL/EXP/0377</t>
  </si>
  <si>
    <t>VVF/TAL/EXP/0382</t>
  </si>
  <si>
    <t>VVF/TAL/EXP/0381</t>
  </si>
  <si>
    <t>VVF/TAL/EXP/0365</t>
  </si>
  <si>
    <t>VVF/TAL/EXP/0378</t>
  </si>
  <si>
    <t>VVF/TAL/EXP/0384</t>
  </si>
  <si>
    <t>VVF/TAL/EXP/0395</t>
  </si>
  <si>
    <t>VVF/TAL/EXP/0379</t>
  </si>
  <si>
    <t>VVF/TAL/EXP/0388</t>
  </si>
  <si>
    <t>VVF/TAL/EXP/0387</t>
  </si>
  <si>
    <t>VVF/TAL/EXP/0371</t>
  </si>
  <si>
    <t>VVF/TAL/EXP/0374</t>
  </si>
  <si>
    <t>VVF/TAL/EXP/0390</t>
  </si>
  <si>
    <t>VVF/TAL/EXP/0386</t>
  </si>
  <si>
    <t>VVF/TAL/EXP/0389</t>
  </si>
  <si>
    <t>VVF/TAL/EXP/0393</t>
  </si>
  <si>
    <t>VVF/TAL/EXP/0380</t>
  </si>
  <si>
    <t>VVF/TAL/EXP/0398</t>
  </si>
  <si>
    <t>VVF/TAL/EXP/0401</t>
  </si>
  <si>
    <t>VVF/TAL/EXP/0396</t>
  </si>
  <si>
    <t>VVF/TAL/EXP/0399</t>
  </si>
  <si>
    <t>VVF/TAL/EXP/0394</t>
  </si>
  <si>
    <t>VVF/TAL/EXP/0362</t>
  </si>
  <si>
    <t>VVF/TAL/EXP/0392</t>
  </si>
  <si>
    <t>VVF/TAL/EXP/0397</t>
  </si>
  <si>
    <t>VVF/TAL/EXP/0360</t>
  </si>
  <si>
    <t>VVF/TAL/EXP/0363</t>
  </si>
  <si>
    <t>VVF/TAL/EXP/0400</t>
  </si>
  <si>
    <t>VVF/TAL/EXP/0370</t>
  </si>
  <si>
    <t>VVF/TAL/EXP/0391</t>
  </si>
  <si>
    <t>VVF/TAL/EXP/0383</t>
  </si>
  <si>
    <t>VVF/TAL/EXP/0367</t>
  </si>
  <si>
    <t>VVF/TAL/EXP/0413</t>
  </si>
  <si>
    <t>VVF/TAL/EXP/0411</t>
  </si>
  <si>
    <t>VVF/TAL/EXP/0402</t>
  </si>
  <si>
    <t>VVF/TAL/EXP/0406</t>
  </si>
  <si>
    <t>VVF/TAL/EXP/0412</t>
  </si>
  <si>
    <t>VVF/TAL/EXP/0407</t>
  </si>
  <si>
    <t>VVF/TAL/EXP/0405</t>
  </si>
  <si>
    <t>VVF/TAL/EXP/0404</t>
  </si>
  <si>
    <t>VVF/TAL/EXP/0403</t>
  </si>
  <si>
    <t>VVF/TAL/EXP/0409</t>
  </si>
  <si>
    <t>VVF/TAL/EXP/0415</t>
  </si>
  <si>
    <t>VVF/TAL/EXP/0424</t>
  </si>
  <si>
    <t>VVF/TAL/EXP/0408</t>
  </si>
  <si>
    <t>VVF/TAL/EXP/0427</t>
  </si>
  <si>
    <t>Goldward Fine Chemicals Ltd.</t>
  </si>
  <si>
    <t>VVF/TAL/EXP/0426</t>
  </si>
  <si>
    <t>VVF/TAL/EXP/0419</t>
  </si>
  <si>
    <t>VVF/TAL/EXP/0420</t>
  </si>
  <si>
    <t>VVF/TAL/EXP/0431</t>
  </si>
  <si>
    <t>VVF/TAL/EXP/0428</t>
  </si>
  <si>
    <t>VVF/TAL/EXP/0422</t>
  </si>
  <si>
    <t>VVF/TAL/EXP/0418</t>
  </si>
  <si>
    <t>VVF/TAL/EXP/0410</t>
  </si>
  <si>
    <t>VVF/TAL/EXP/0432</t>
  </si>
  <si>
    <t>VVF/TAL/EXP/0417</t>
  </si>
  <si>
    <t>VVF/TAL/EXP/0421</t>
  </si>
  <si>
    <t>VVF/TAL/EXP/0414</t>
  </si>
  <si>
    <t>VVF/TAL/EXP/0423</t>
  </si>
  <si>
    <t>VVF/TAL/EXP/0416</t>
  </si>
  <si>
    <t>VVF/TAL/EXP/0435</t>
  </si>
  <si>
    <t>VVF/TAL/EXP/0436</t>
  </si>
  <si>
    <t>VVF/TAL/EXP/0440</t>
  </si>
  <si>
    <t>VVF/TAL/EXP/0438</t>
  </si>
  <si>
    <t>VVF/TAL/EXP/0441</t>
  </si>
  <si>
    <t>VVF/TAL/EXP/0442</t>
  </si>
  <si>
    <t>VVF/TAL/EXP/0385</t>
  </si>
  <si>
    <t>VVF/TAL/EXP/0433</t>
  </si>
  <si>
    <t>VVF/TAL/EXP/0448</t>
  </si>
  <si>
    <t>VVF/TAL/EXP/0446</t>
  </si>
  <si>
    <t>VVF/TAL/EXP/0437</t>
  </si>
  <si>
    <t>VVF/TAL/EXP/0430</t>
  </si>
  <si>
    <t>VVF/TAL/EXP/0439</t>
  </si>
  <si>
    <t>VVF/TAL/EXP/0465</t>
  </si>
  <si>
    <t>VVF/TAL/EXP/0429</t>
  </si>
  <si>
    <t>VVF/TAL/EXP/0445</t>
  </si>
  <si>
    <t>VVF/TAL/EXP/0450</t>
  </si>
  <si>
    <t>VVF/TAL/EXP/0451</t>
  </si>
  <si>
    <t>VVF/TAL/EXP/0453</t>
  </si>
  <si>
    <t>VVF/TAL/EXP/0454</t>
  </si>
  <si>
    <t>VVF/TAL/EXP/0452</t>
  </si>
  <si>
    <t>VVF/TAL/EXP/0444</t>
  </si>
  <si>
    <t>VVF/TAL/EXP/0447</t>
  </si>
  <si>
    <t>VVF/TAL/EXP/0455</t>
  </si>
  <si>
    <t>VVF/TAL/EXP/0457</t>
  </si>
  <si>
    <t>VVF/TAL/EXP/0456</t>
  </si>
  <si>
    <t>VVF/TAL/EXP/0463</t>
  </si>
  <si>
    <t>VVF/TAL/EXP/0459</t>
  </si>
  <si>
    <t>VVF/TAL/EXP/0458</t>
  </si>
  <si>
    <t>VVF/TAL/EXP/0460</t>
  </si>
  <si>
    <t>VVF/TAL/EXP/0462</t>
  </si>
  <si>
    <t>VVF/TAL/EXP/0464</t>
  </si>
  <si>
    <t>VVF/TAL/EXP/0466</t>
  </si>
  <si>
    <t>VVF/TAL/EXP/0461</t>
  </si>
  <si>
    <t>VVF/TAL/EXP/0471</t>
  </si>
  <si>
    <t>VVF/TAL/EXP/0474</t>
  </si>
  <si>
    <t>VVF/TAL/EXP/0480</t>
  </si>
  <si>
    <t>VVF/TAL/EXP/0476</t>
  </si>
  <si>
    <t>VVF/TAL/EXP/0470</t>
  </si>
  <si>
    <t>VVF/TAL/EXP/0481</t>
  </si>
  <si>
    <t>VVF/TAL/EXP/0478</t>
  </si>
  <si>
    <t>VVF/TAL/EXP/0477</t>
  </si>
  <si>
    <t>VVF/TAL/EXP/0472</t>
  </si>
  <si>
    <t>VVF/TAL/EXP/0479</t>
  </si>
  <si>
    <t>VVF/TAL/EXP/0473</t>
  </si>
  <si>
    <t>VVF/TAL/EXP/0475</t>
  </si>
  <si>
    <t>VVF/TAL/EXP/0467</t>
  </si>
  <si>
    <t>VVF/TAL/EXP/0469</t>
  </si>
  <si>
    <t>VVF/TAL/EXP/0468</t>
  </si>
  <si>
    <t>VVF/TAL/EXP/0486</t>
  </si>
  <si>
    <t>VVF/TAL/EXP/0489</t>
  </si>
  <si>
    <t>VVF/TAL/EXP/0482</t>
  </si>
  <si>
    <t>VVF/TAL/EXP/0483</t>
  </si>
  <si>
    <t>VVF/TAL/EXP/0488</t>
  </si>
  <si>
    <t>VVF/TAL/EXP/0487</t>
  </si>
  <si>
    <t>VVF/TAL/EXP/0491</t>
  </si>
  <si>
    <t>VVF/TAL/EXP/0495</t>
  </si>
  <si>
    <t>VVF/TAL/EXP/0499</t>
  </si>
  <si>
    <t>VVF/TAL/EXP/0501</t>
  </si>
  <si>
    <t>VVF/TAL/EXP/0494</t>
  </si>
  <si>
    <t>VVF/TAL/EXP/0502</t>
  </si>
  <si>
    <t>VVF/TAL/EXP/0507</t>
  </si>
  <si>
    <t>VVF/TAL/EXP/0506</t>
  </si>
  <si>
    <t>VVF/TAL/EXP/0485</t>
  </si>
  <si>
    <t>VVF/TAL/EXP/0505</t>
  </si>
  <si>
    <t>VVF/TAL/EXP/0498</t>
  </si>
  <si>
    <t>VVF/TAL/EXP/0504</t>
  </si>
  <si>
    <t>VVF/TAL/EXP/0493</t>
  </si>
  <si>
    <t>VVF/TAL/EXP/0497</t>
  </si>
  <si>
    <t>VVF/TAL/EXP/0484</t>
  </si>
  <si>
    <t>VVF/TAL/EXP/0509</t>
  </si>
  <si>
    <t>VVF/TAL/EXP/0510</t>
  </si>
  <si>
    <t>VVF/TAL/EXP/0511</t>
  </si>
  <si>
    <t>VVF/TAL/EXP/0513</t>
  </si>
  <si>
    <t>VVF/TAL/EXP/0520</t>
  </si>
  <si>
    <t>VVF/TAL/EXP/0519</t>
  </si>
  <si>
    <t>VVF/TAL/EXP/0490</t>
  </si>
  <si>
    <t>VVF/TAL/EXP/0492</t>
  </si>
  <si>
    <t>VVF/TAL/EXP/0496</t>
  </si>
  <si>
    <t>VVF/TAL/EXP/0503</t>
  </si>
  <si>
    <t>VVF/TAL/EXP/0514</t>
  </si>
  <si>
    <t>VVF/TAL/EXP/0517</t>
  </si>
  <si>
    <t>VVF/TAL/EXP/0512</t>
  </si>
  <si>
    <t>VVF/TAL/EXP/0518</t>
  </si>
  <si>
    <t>VVF/TAL/EXP/0521</t>
  </si>
  <si>
    <t>VVF/TAL/EXP/0524</t>
  </si>
  <si>
    <t>VVF/TAL/EXP/0525</t>
  </si>
  <si>
    <t>VVF/TAL/EXP/0528</t>
  </si>
  <si>
    <t>VVF/TAL/EXP/0529</t>
  </si>
  <si>
    <t>VVF/TAL/EXP/0527</t>
  </si>
  <si>
    <t>VVF/TAL/EXP/0535</t>
  </si>
  <si>
    <t>VVF/TAL/EXP/0516</t>
  </si>
  <si>
    <t>VVF/TAL/EXP/0536</t>
  </si>
  <si>
    <t>VVF/TAL/EXP/0515</t>
  </si>
  <si>
    <t>VVF/TAL/EXP/0523</t>
  </si>
  <si>
    <t>VVF/TAL/EXP/0531</t>
  </si>
  <si>
    <t>VVF/TAL/EXP/0542</t>
  </si>
  <si>
    <t>VVF/TAL/EXP/0530</t>
  </si>
  <si>
    <t>VVF/TAL/EXP/0564</t>
  </si>
  <si>
    <t>VVF/TAL/EXP/0610</t>
  </si>
  <si>
    <t>VVF/TAL/EXP/0541</t>
  </si>
  <si>
    <t>VVF/TAL/EXP/0538</t>
  </si>
  <si>
    <t>VVF/TAL/EXP/0508</t>
  </si>
  <si>
    <t>VVF/TAL/EXP/0533</t>
  </si>
  <si>
    <t>VVF/TAL/EXP/0534</t>
  </si>
  <si>
    <t>VVF/TAL/EXP/0540</t>
  </si>
  <si>
    <t>VVF/TAL/EXP/0544</t>
  </si>
  <si>
    <t>VVF/TAL/EXP/0548</t>
  </si>
  <si>
    <t>VVF/TAL/EXP/0551</t>
  </si>
  <si>
    <t>VVF/TAL/EXP/0549</t>
  </si>
  <si>
    <t>VVF/TAL/EXP/0550</t>
  </si>
  <si>
    <t>VVF/TAL/EXP/0545</t>
  </si>
  <si>
    <t>VVF/TAL/EXP/0546</t>
  </si>
  <si>
    <t>VVF/TAL/EXP/0532</t>
  </si>
  <si>
    <t>VVF/TAL/EXP/0552</t>
  </si>
  <si>
    <t>VVF/TAL/EXP/0553</t>
  </si>
  <si>
    <t>Singapore</t>
  </si>
  <si>
    <t>VVF/TAL/EXP/0560</t>
  </si>
  <si>
    <t>VVF/TAL/EXP/0555</t>
  </si>
  <si>
    <t>VVF/TAL/EXP/0561</t>
  </si>
  <si>
    <t>VVF/TAL/EXP/0543</t>
  </si>
  <si>
    <t>VVF/TAL/EXP/0556</t>
  </si>
  <si>
    <t>VVF/TAL/EXP/0557</t>
  </si>
  <si>
    <t>VVF/TAL/EXP/0559</t>
  </si>
  <si>
    <t>VVF/TAL/EXP/0562</t>
  </si>
  <si>
    <t>VVF/TAL/EXP/0563</t>
  </si>
  <si>
    <t>VVF/TAL/EXP/0554</t>
  </si>
  <si>
    <t>VVF/TAL/EXP/0573</t>
  </si>
  <si>
    <t>VVF/TAL/EXP/0567</t>
  </si>
  <si>
    <t>VVF/TAL/EXP/0568</t>
  </si>
  <si>
    <t>VVF/TAL/EXP/0572</t>
  </si>
  <si>
    <t>VVF/TAL/EXP/0565</t>
  </si>
  <si>
    <t>VVF/TAL/EXP/0569</t>
  </si>
  <si>
    <t>VVF/TAL/EXP/0571</t>
  </si>
  <si>
    <t>VVF/TAL/EXP/0566</t>
  </si>
  <si>
    <t>VVF/TAL/EXP/0570</t>
  </si>
  <si>
    <t>VVF/TAL/EXP/0574</t>
  </si>
  <si>
    <t>VVF/TAL/EXP/0585</t>
  </si>
  <si>
    <t>VVF/TAL/EXP/0577</t>
  </si>
  <si>
    <t>VVF/TAL/EXP/0580</t>
  </si>
  <si>
    <t>VVF/TAL/EXP/0578</t>
  </si>
  <si>
    <t>VVF/TAL/EXP/0575</t>
  </si>
  <si>
    <t>VVF/TAL/EXP/0583</t>
  </si>
  <si>
    <t>VVF/TAL/EXP/0592</t>
  </si>
  <si>
    <t>VVF/TAL/EXP/0591</t>
  </si>
  <si>
    <t>VVF/TAL/EXP/0588</t>
  </si>
  <si>
    <t>VVF/TAL/EXP/0589</t>
  </si>
  <si>
    <t>VVF/TAL/EXP/0598</t>
  </si>
  <si>
    <t>VVF/TAL/EXP/0599</t>
  </si>
  <si>
    <t>VVF/TAL/EXP/0597</t>
  </si>
  <si>
    <t>VVF/TAL/EXP/0600</t>
  </si>
  <si>
    <t>VVF/TAL/EXP/0558</t>
  </si>
  <si>
    <t>VVF/TAL/EXP/0601</t>
  </si>
  <si>
    <t>VVF/TAL/EXP/0605</t>
  </si>
  <si>
    <t>VVF/TAL/EXP/0590</t>
  </si>
  <si>
    <t>VVF/TAL/EXP/0604</t>
  </si>
  <si>
    <t>VVF/TAL/EXP/0594</t>
  </si>
  <si>
    <t>VVF/TAL/EXP/0602</t>
  </si>
  <si>
    <t>VVF/TAL/EXP/0537</t>
  </si>
  <si>
    <t>VVF/TAL/EXP/0539</t>
  </si>
  <si>
    <t>VVF/TAL/EXP/0603</t>
  </si>
  <si>
    <t>VVF/TAL/EXP/0606</t>
  </si>
  <si>
    <t>VVF/TAL/EXP/0608</t>
  </si>
  <si>
    <t>VVF/TAL/EXP/0609</t>
  </si>
  <si>
    <t>VVF/TAL/EXP/0576</t>
  </si>
  <si>
    <t>VVF/TAL/EXP/0614</t>
  </si>
  <si>
    <t>VVF/TAL/EXP/0616</t>
  </si>
  <si>
    <t>VVF/TAL/EXP/0621</t>
  </si>
  <si>
    <t>VVF/TAL/EXP/0623</t>
  </si>
  <si>
    <t>VVF/TAL/EXP/0627</t>
  </si>
  <si>
    <t>VVF/TAL/EXP/0624</t>
  </si>
  <si>
    <t>Algeria</t>
  </si>
  <si>
    <t>VVF/TAL/EXP/0625</t>
  </si>
  <si>
    <t>Wujiang Kaida Chemicals Co. Ltd.</t>
  </si>
  <si>
    <t>VVF/TAL/EXP/0628</t>
  </si>
  <si>
    <t>VVF/TAL/EXP/0622</t>
  </si>
  <si>
    <t>VVF/TAL/EXP/0630</t>
  </si>
  <si>
    <t>VVF/TAL/EXP/0626</t>
  </si>
  <si>
    <t>VVF/TAL/EXP/0636</t>
  </si>
  <si>
    <t>VVF/TAL/EXP/0639</t>
  </si>
  <si>
    <t>VVF/TAL/EXP/0643</t>
  </si>
  <si>
    <t>VVF/TAL/EXP/0642</t>
  </si>
  <si>
    <t>VVF/TAL/EXP/0644</t>
  </si>
  <si>
    <t>VVF/TAL/EXP/0650</t>
  </si>
  <si>
    <t>VVF/TAL/EXP/0649</t>
  </si>
  <si>
    <t>VVF/TAL/EXP/0651</t>
  </si>
  <si>
    <t>VVF/TAL/EXP/0652</t>
  </si>
  <si>
    <t>VVF/TAL/EXP/0654</t>
  </si>
  <si>
    <t>VVF/TAL/EXP/0655</t>
  </si>
  <si>
    <t>VVF/TAL/EXP/0653</t>
  </si>
  <si>
    <t>VVF/TAL/EXP/0659</t>
  </si>
  <si>
    <t>VVF/TAL/EXP/0658</t>
  </si>
  <si>
    <t>VVF/TAL/EXP/0647</t>
  </si>
  <si>
    <t>VVF/TAL/EXP/0657</t>
  </si>
  <si>
    <t>VVF/TAL/EXP/0661</t>
  </si>
  <si>
    <t>VVF/TAL/EXP/0641</t>
  </si>
  <si>
    <t>VVF/TAL/EXP/0656</t>
  </si>
  <si>
    <t>VVF/TAL/EXP/0668</t>
  </si>
  <si>
    <t>VVF/TAL/EXP/0667</t>
  </si>
  <si>
    <t>VVF/TAL/EXP/0673</t>
  </si>
  <si>
    <t>VVF/TAL/EXP/0679</t>
  </si>
  <si>
    <t>VVF/TAL/EXP/0674</t>
  </si>
  <si>
    <t>VVF/TAL/EXP/0676</t>
  </si>
  <si>
    <t>VVF/TAL/EXP/0669</t>
  </si>
  <si>
    <t>VVF/TAL/EXP/0677</t>
  </si>
  <si>
    <t>VVF/TAL/EXP/0664</t>
  </si>
  <si>
    <t>VVF/TAL/EXP/0682</t>
  </si>
  <si>
    <t>VVF/TAL/EXP/0681</t>
  </si>
  <si>
    <t>VVF/TAL/EXP/0685</t>
  </si>
  <si>
    <t>VVF/TAL/EXP/0686</t>
  </si>
  <si>
    <t>VVF/TAL/EXP/0684</t>
  </si>
  <si>
    <t>VVF/TAL/EXP/0688</t>
  </si>
  <si>
    <t>VVF/TAL/EXP/0687</t>
  </si>
  <si>
    <t>VVF/TAL/EXP/0690</t>
  </si>
  <si>
    <t>VVF/TAL/EXP/0691</t>
  </si>
  <si>
    <t>Olva Denmark K/S</t>
  </si>
  <si>
    <t>Ukraine</t>
  </si>
  <si>
    <t>VVF/TAL/EXP/0693</t>
  </si>
  <si>
    <t>VVF/TAL/EXP/0694</t>
  </si>
  <si>
    <t>VVF/TAL/EXP/0662</t>
  </si>
  <si>
    <t>VVF/TAL/EXP/0670</t>
  </si>
  <si>
    <t>VVF/TAL/EXP/0678</t>
  </si>
  <si>
    <t>VVF/TAL/EXP/0689</t>
  </si>
  <si>
    <t>VVF/TAL/EXP/0696</t>
  </si>
  <si>
    <t>VVF/TAL/EXP/0698</t>
  </si>
  <si>
    <t>VVF/TAL/EXP/0697</t>
  </si>
  <si>
    <t>VVF/TAL/EXP/0695</t>
  </si>
  <si>
    <t>VVF/TAL/EXP/0702</t>
  </si>
  <si>
    <t>VVF/TAL/EXP/0703</t>
  </si>
  <si>
    <t>VVF/TAL/EXP/0704</t>
  </si>
  <si>
    <t>VVF/TAL/EXP/0705</t>
  </si>
  <si>
    <t>VVF/TAL/EXP/0706</t>
  </si>
  <si>
    <t>VVF/TAL/EXP/0707</t>
  </si>
  <si>
    <t>VVF/TAL/EXP/0672</t>
  </si>
  <si>
    <t>VVF/TAL/EXP/0671</t>
  </si>
  <si>
    <t>VVF/TAL/EXP/0699</t>
  </si>
  <si>
    <t>VVF/TAL/EXP/0708</t>
  </si>
  <si>
    <t>VVF/TAL/EXP/0711</t>
  </si>
  <si>
    <t>VVF/TAL/EXP/0709</t>
  </si>
  <si>
    <t>VVF/TAL/EXP/0713</t>
  </si>
  <si>
    <t>VVF/TAL/EXP/0701</t>
  </si>
  <si>
    <t>VVF/TAL/EXP/0718</t>
  </si>
  <si>
    <t>VVF/TAL/EXP/0717</t>
  </si>
  <si>
    <t>VVF/TAL/EXP/0723</t>
  </si>
  <si>
    <t>VVF/TAL/EXP/0721</t>
  </si>
  <si>
    <t>VVF/TAL/EXP/0719</t>
  </si>
  <si>
    <t>VVF/TAL/EXP/0726</t>
  </si>
  <si>
    <t>VVF/TAL/EXP/0731</t>
  </si>
  <si>
    <t>VVF/TAL/EXP/0724</t>
  </si>
  <si>
    <t>VVF/TAL/EXP/0730</t>
  </si>
  <si>
    <t>VVF/TAL/EXP/0725</t>
  </si>
  <si>
    <t>Lebanon</t>
  </si>
  <si>
    <t>VVF/TAL/EXP/0728</t>
  </si>
  <si>
    <t>VVF/TAL/EXP/0732</t>
  </si>
  <si>
    <t>VVF/TAL/EXP/0729</t>
  </si>
  <si>
    <t>VVF/TAL/EXP/0715</t>
  </si>
  <si>
    <t>S.F.C.Co.,Ltd</t>
  </si>
  <si>
    <t>VVF/TAL/EXP/0735</t>
  </si>
  <si>
    <t>VVF/TAL/EXP/0734</t>
  </si>
  <si>
    <t>VVF/TAL/EXP/0733</t>
  </si>
  <si>
    <t>VVF/TAL/EXP/0714</t>
  </si>
  <si>
    <t>Kemcare Ltd.</t>
  </si>
  <si>
    <t>VVF/TAL/EXP/0736</t>
  </si>
  <si>
    <t>Abitec Corporation</t>
  </si>
  <si>
    <t>VVF/TAL/EXP/0743</t>
  </si>
  <si>
    <t>VVF/TAL/EXP/0746</t>
  </si>
  <si>
    <t>VVF/TAL/EXP/0720</t>
  </si>
  <si>
    <t>VVF/TAL/EXP/0748</t>
  </si>
  <si>
    <t>VVF/TAL/EXP/0747</t>
  </si>
  <si>
    <t>VVF/TAL/EXP/0751</t>
  </si>
  <si>
    <t>VVF/TAL/EXP/0739</t>
  </si>
  <si>
    <t>VVF/TAL/EXP/0745</t>
  </si>
  <si>
    <t>VVF/TAL/EXP/0749</t>
  </si>
  <si>
    <t>VVF/TAL/EXP/0759</t>
  </si>
  <si>
    <t>VVF/TAL/EXP/0752</t>
  </si>
  <si>
    <t>VVF/TAL/EXP/0753</t>
  </si>
  <si>
    <t>VVF/TAL/EXP/0755</t>
  </si>
  <si>
    <t>VVF/TAL/EXP/0754</t>
  </si>
  <si>
    <t>VVF/TAL/EXP/0757</t>
  </si>
  <si>
    <t>VVF/TAL/EXP/0761</t>
  </si>
  <si>
    <t>VVF/TAL/EXP/0763</t>
  </si>
  <si>
    <t>VVF/TAL/EXP/0762</t>
  </si>
  <si>
    <t>VVF/TAL/EXP/0750</t>
  </si>
  <si>
    <t>VVF/TAL/EXP/0766</t>
  </si>
  <si>
    <t>VVF/TAL/EXP/0765</t>
  </si>
  <si>
    <t>VVF/TAL/EXP/0771</t>
  </si>
  <si>
    <t>VVF/TAL/EXP/0769</t>
  </si>
  <si>
    <t>VVF/TAL/EXP/0775</t>
  </si>
  <si>
    <t>VVF/TAL/EXP/0770</t>
  </si>
  <si>
    <t>VVF/TAL/EXP/0773</t>
  </si>
  <si>
    <t>VVF/TAL/EXP/0768</t>
  </si>
  <si>
    <t>VVF/TAL/EXP/0772</t>
  </si>
  <si>
    <t>VVF/TAL/EXP/0774</t>
  </si>
  <si>
    <t>VVF/TAL/EXP/0776</t>
  </si>
  <si>
    <t>VVF/TAL/EXP/0777</t>
  </si>
  <si>
    <t>VVF/TAL/EXP/0767</t>
  </si>
  <si>
    <t>VVF/TAL/EXP/0764</t>
  </si>
  <si>
    <t>VVF/TAL/EXP/0782</t>
  </si>
  <si>
    <t>VVF/TAL/EXP/0781</t>
  </si>
  <si>
    <t>VVF/TAL/EXP/0780</t>
  </si>
  <si>
    <t>VVF/TAL/EXP/0778</t>
  </si>
  <si>
    <t>VVF/TAL/EXP/0779</t>
  </si>
  <si>
    <t>VVF/TAL/EXP/0783</t>
  </si>
  <si>
    <t>VVF/TAL/EXP/0784</t>
  </si>
  <si>
    <t>VVF/TAL/EXP/0786</t>
  </si>
  <si>
    <t>VVF/TAL/EXP/0790</t>
  </si>
  <si>
    <t>VVF/TAL/EXP/0789</t>
  </si>
  <si>
    <t>VVF/TAL/EXP/0791</t>
  </si>
  <si>
    <t>VVF/TAL/EXP/0792</t>
  </si>
  <si>
    <t>VVF/TAL/EXP/0793</t>
  </si>
  <si>
    <t>VVF/TAL/EXP/0795</t>
  </si>
  <si>
    <t>VVF/TAL/EXP/0794</t>
  </si>
  <si>
    <t>VVF/TAL/EXP/0785</t>
  </si>
  <si>
    <t>VVF/TAL/EXP/0787</t>
  </si>
  <si>
    <t>VVF/TAL/EXP/0796</t>
  </si>
  <si>
    <t>VVF/TAL/EXP/0798</t>
  </si>
  <si>
    <t>VVF/TAL/EXP/0800</t>
  </si>
  <si>
    <t>VVF/TAL/EXP/0801</t>
  </si>
  <si>
    <t>VVF/TAL/EXP/0797</t>
  </si>
  <si>
    <t>VVF/TAL/EXP/0804</t>
  </si>
  <si>
    <t>VVF/TAL/EXP/0803</t>
  </si>
  <si>
    <t>VVF/TAL/EXP/0799</t>
  </si>
  <si>
    <t>VVF/TAL/EXP/0805</t>
  </si>
  <si>
    <t>VVF/TAL/EXP/0802</t>
  </si>
  <si>
    <t>VVF/TAL/EXP/0809</t>
  </si>
  <si>
    <t>VVF/TAL/EXP/0808</t>
  </si>
  <si>
    <t>VVF/TAL/EXP/0806</t>
  </si>
  <si>
    <t>VVF/TAL/EXP/0788</t>
  </si>
  <si>
    <t>VVF/TAL/EXP/0810</t>
  </si>
  <si>
    <t>VVF/TAL/EXP/0807</t>
  </si>
  <si>
    <t>VVF/TAL/EXP/0816</t>
  </si>
  <si>
    <t>VVF/TAL/EXP/0823</t>
  </si>
  <si>
    <t>VVF/TAL/EXP/0815</t>
  </si>
  <si>
    <t>VVF/TAL/EXP/0821</t>
  </si>
  <si>
    <t>VVF/TAL/EXP/0812</t>
  </si>
  <si>
    <t>VVF/TAL/EXP/0813</t>
  </si>
  <si>
    <t>VVF/TAL/EXP/0814</t>
  </si>
  <si>
    <t>VVF/TAL/EXP/0819</t>
  </si>
  <si>
    <t>VVF/TAL/EXP/0822</t>
  </si>
  <si>
    <t>VVF/TAL/EXP/0826</t>
  </si>
  <si>
    <t>VVF/TAL/EXP/0828</t>
  </si>
  <si>
    <t>VVF/TAL/EXP/0831</t>
  </si>
  <si>
    <t>VVF/TAL/EXP/0827</t>
  </si>
  <si>
    <t>Tropical Degil Cosmetics Indust. Ltd.</t>
  </si>
  <si>
    <t>VVF/TAL/EXP/0830</t>
  </si>
  <si>
    <t>Univar Brasil Ltda.</t>
  </si>
  <si>
    <t>VVF/TAL/EXP/0832</t>
  </si>
  <si>
    <t>VVF/TAL/EXP/0837</t>
  </si>
  <si>
    <t>VVF/TAL/EXP/0824</t>
  </si>
  <si>
    <t>VVF/TAL/EXP/0834</t>
  </si>
  <si>
    <t>Reswic AG</t>
  </si>
  <si>
    <t>VVF/TAL/EXP/0811</t>
  </si>
  <si>
    <t>VVF/TAL/EXP/0817</t>
  </si>
  <si>
    <t>VVF/TAL/EXP/0818</t>
  </si>
  <si>
    <t>VVF/TAL/EXP/0820</t>
  </si>
  <si>
    <t>VVF/TAL/EXP/0825</t>
  </si>
  <si>
    <t>VVF/TAL/EXP/0829</t>
  </si>
  <si>
    <t>VVF/TAL/EXP/0836</t>
  </si>
  <si>
    <t>VVF/TAL/EXP/0833</t>
  </si>
  <si>
    <t>Zambia</t>
  </si>
  <si>
    <t>VVF/TAL/EXP/0740</t>
  </si>
  <si>
    <t>VVF/TAL/EXP/0838</t>
  </si>
  <si>
    <t>VVF/TAL/EXP/0839</t>
  </si>
  <si>
    <t>VVF/TAL/EXP/0840</t>
  </si>
  <si>
    <t>VVF/TAL/EXP/0841</t>
  </si>
  <si>
    <t>VVF/TAL/EXP/0842</t>
  </si>
  <si>
    <t>VVF/TAL/EXP/0845</t>
  </si>
  <si>
    <t>VVF/TAL/EXP/0835</t>
  </si>
  <si>
    <t>VVF/TAL/EXP/0843</t>
  </si>
  <si>
    <t>VVF/TAL/EXP/0844</t>
  </si>
  <si>
    <t>VVF/TAL/EXP/0846</t>
  </si>
  <si>
    <t>VVF/TAL/EXP/0847</t>
  </si>
  <si>
    <t>VVF/TAL/EXP/0853</t>
  </si>
  <si>
    <t>VVF/TAL/EXP/0849</t>
  </si>
  <si>
    <t>VVF/TAL/EXP/0854</t>
  </si>
  <si>
    <t>VVF/TAL/EXP/0855</t>
  </si>
  <si>
    <t>VVF/TAL/EXP/0856</t>
  </si>
  <si>
    <t>VVF/TAL/EXP/0848</t>
  </si>
  <si>
    <t>VVF/TAL/EXP/0851</t>
  </si>
  <si>
    <t>VVF/TAL/EXP/0850</t>
  </si>
  <si>
    <t>VVF/TAL/EXP/0852</t>
  </si>
  <si>
    <t>VVF/TAL/EXP/0858</t>
  </si>
  <si>
    <t>VVF/TAL/EXP/0859</t>
  </si>
  <si>
    <t>VVF/TAL/EXP/0860</t>
  </si>
  <si>
    <t>VVF/TAL/EXP/0857</t>
  </si>
  <si>
    <t>VVF/TAL/EXP/0861</t>
  </si>
  <si>
    <t>VVF/TAL/EXP/0864</t>
  </si>
  <si>
    <t>Naturelle LLC</t>
  </si>
  <si>
    <t>VVF/TAL/EXP/0862</t>
  </si>
  <si>
    <t>VVF/TAL/EXP/0863</t>
  </si>
  <si>
    <t>VVF/TAL/EXP/0865</t>
  </si>
  <si>
    <t>VVF/TAL/EXP/0866</t>
  </si>
  <si>
    <t>VVF/TAL/EXP/0867</t>
  </si>
  <si>
    <t>VVF/TAL/EXP/0868</t>
  </si>
  <si>
    <t>VVF/TAL/EXP/0869</t>
  </si>
  <si>
    <t>VVF/TAL/EXP/0873</t>
  </si>
  <si>
    <t>VVF/TAL/EXP/0871</t>
  </si>
  <si>
    <t>VVF/TAL/EXP/0872</t>
  </si>
  <si>
    <t>VVF/TAL/EXP/0874</t>
  </si>
  <si>
    <t>VVF/TAL/EXP/0875</t>
  </si>
  <si>
    <t>VVF/TAL/EXP/0876</t>
  </si>
  <si>
    <t>VVF/TAL/EXP/0877</t>
  </si>
  <si>
    <t>VVF/TAL/EXP/0870</t>
  </si>
  <si>
    <t>VVF/TAL/EXP/0879</t>
  </si>
  <si>
    <t>VVF/TAL/EXP/0880</t>
  </si>
  <si>
    <t>VVF/TAL/EXP/0878</t>
  </si>
  <si>
    <t>VVF/TAL/EXP/0881</t>
  </si>
  <si>
    <t>VVF/TAL/EXP/0882</t>
  </si>
  <si>
    <t>VVF/TAL/EXP/0883</t>
  </si>
  <si>
    <t>VVF/TAL/EXP/0884</t>
  </si>
  <si>
    <t>VVF/TAL/EXP/0886</t>
  </si>
  <si>
    <t>VVF/TAL/EXP/0887</t>
  </si>
  <si>
    <t>VVF/TAL/EXP/0889</t>
  </si>
  <si>
    <t>VVF/TAL/EXP/0890</t>
  </si>
  <si>
    <t>VVF/TAL/EXP/0885</t>
  </si>
  <si>
    <t>VVF/TAL/EXP/0891</t>
  </si>
  <si>
    <t>VVF/TAL/EXP/0893</t>
  </si>
  <si>
    <t>VVF/TAL/EXP/0894</t>
  </si>
  <si>
    <t>VVF/TAL/EXP/0888</t>
  </si>
  <si>
    <t>VVF/TAL/EXP/0892</t>
  </si>
  <si>
    <t>VVF/TAL/EXP/0897</t>
  </si>
  <si>
    <t>VVF/TAL/EXP/0895</t>
  </si>
  <si>
    <t>VVF/TAL/EXP/0896</t>
  </si>
  <si>
    <t>VVF/TAL/EXP/0898</t>
  </si>
  <si>
    <t>VVF/TAL/EXP/0899</t>
  </si>
  <si>
    <t>VVF/TAL/EXP/0900</t>
  </si>
  <si>
    <t>Brenntag Kozponti Raktar</t>
  </si>
  <si>
    <t>Slovenia</t>
  </si>
  <si>
    <t>VVF/TAL/EXP/0902</t>
  </si>
  <si>
    <t>VVF/TAL/EXP/0906</t>
  </si>
  <si>
    <t>VVF/TAL/EXP/0904</t>
  </si>
  <si>
    <t>VVF/TAL/EXP/0907</t>
  </si>
  <si>
    <t>Peter Cremer (S) Gmbh</t>
  </si>
  <si>
    <t>VVF/TAL/EXP/0901</t>
  </si>
  <si>
    <t>VVF/TAL/EXP/0905</t>
  </si>
  <si>
    <t>VVF/TAL/EXP/0909</t>
  </si>
  <si>
    <t>VVF/TAL/EXP/0910</t>
  </si>
  <si>
    <t>VVF/TAL/EXP/0911</t>
  </si>
  <si>
    <t>VVF/TAL/EXP/0912</t>
  </si>
  <si>
    <t>VVF/TAL/EXP/0913</t>
  </si>
  <si>
    <t>VVF/TAL/EXP/0914</t>
  </si>
  <si>
    <t>VVF/TAL/EXP/0915</t>
  </si>
  <si>
    <t>VVF/TAL/EXP/0916</t>
  </si>
  <si>
    <t>VVF/TAL/EXP/0917</t>
  </si>
  <si>
    <t>VVF/TAL/EXP/0918</t>
  </si>
  <si>
    <t>VVF/TAL/EXP/0919</t>
  </si>
  <si>
    <t>VVF/TAL/EXP/0920</t>
  </si>
  <si>
    <t>VVF/TAL/EXP/0923</t>
  </si>
  <si>
    <t>VVF/TAL/EXP/0922</t>
  </si>
  <si>
    <t>VVF/TAL/EXP/0921</t>
  </si>
  <si>
    <t>VVF/TAL/EXP/0924</t>
  </si>
  <si>
    <t>VVF/TAL/EXP/0926</t>
  </si>
  <si>
    <t>VVF/TAL/EXP/0929</t>
  </si>
  <si>
    <t>VVF/TAL/EXP/0930</t>
  </si>
  <si>
    <t>VVF/TAL/EXP/0927</t>
  </si>
  <si>
    <t>VVF/TAL/EXP/0928</t>
  </si>
  <si>
    <t>VVF/TAL/EXP/0931</t>
  </si>
  <si>
    <t>VVF/TAL/EXP/0925</t>
  </si>
  <si>
    <t>VVF/TAL/EXP/0932</t>
  </si>
  <si>
    <t>VVF/TAL/EXP/0933</t>
  </si>
  <si>
    <t>VVF/TAL/EXP/0934</t>
  </si>
  <si>
    <t>VVF/TAL/EXP/0935</t>
  </si>
  <si>
    <t>VVF/TAL/EXP/0937</t>
  </si>
  <si>
    <t>VVF/TAL/EXP/0938</t>
  </si>
  <si>
    <t>VVF/TAL/EXP/0939</t>
  </si>
  <si>
    <t>VVF/TAL/EXP/0936</t>
  </si>
  <si>
    <t>VVF/TAL/EXP/0940</t>
  </si>
  <si>
    <t>VVF/TAL/EXP/0941</t>
  </si>
  <si>
    <t>VVF/TAL/EXP/0942</t>
  </si>
  <si>
    <t>VVF/TAL/EXP/0944</t>
  </si>
  <si>
    <t>VVF/TAL/EXP/0945</t>
  </si>
  <si>
    <t>VVF/TAL/EXP/0947</t>
  </si>
  <si>
    <t>VVF/TAL/EXP/0946</t>
  </si>
  <si>
    <t>VVF/TAL/EXP/0948</t>
  </si>
  <si>
    <t>VVF/TAL/EXP/0950</t>
  </si>
  <si>
    <t>VVF/TAL/EXP/0951</t>
  </si>
  <si>
    <t>VVF/TAL/EXP/0952</t>
  </si>
  <si>
    <t>VVF/TAL/EXP/0955</t>
  </si>
  <si>
    <t>VVF/TAL/EXP/0957</t>
  </si>
  <si>
    <t>VVF/TAL/EXP/0960</t>
  </si>
  <si>
    <t>VVF/TAL/EXP/0953</t>
  </si>
  <si>
    <t>VVF/TAL/EXP/0956</t>
  </si>
  <si>
    <t>VVF/TAL/EXP/0958</t>
  </si>
  <si>
    <t>VVF/TAL/EXP/0949</t>
  </si>
  <si>
    <t>VVF/TAL/EXP/0954</t>
  </si>
  <si>
    <t>VVF/TAL/EXP/0959</t>
  </si>
  <si>
    <t>VVF/TAL/EXP/0962</t>
  </si>
  <si>
    <t>VVF/TAL/EXP/0963</t>
  </si>
  <si>
    <t>VVF/TAL/EXP/0966</t>
  </si>
  <si>
    <t>VVF/TAL/EXP/0967</t>
  </si>
  <si>
    <t>VVF/TAL/EXP/0964</t>
  </si>
  <si>
    <t>VVF/TAL/EXP/0968</t>
  </si>
  <si>
    <t>VVF/TAL/EXP/0970</t>
  </si>
  <si>
    <t>VVF/TAL/EXP/0961</t>
  </si>
  <si>
    <t>VVF/TAL/EXP/0965</t>
  </si>
  <si>
    <t>VVF/TAL/EXP/0969</t>
  </si>
  <si>
    <t>VVF/TAL/EXP/0971</t>
  </si>
  <si>
    <t>VVF/TAL/EXP/0974</t>
  </si>
  <si>
    <t>VVF/TAL/EXP/0972</t>
  </si>
  <si>
    <t>VVF/TAL/EXP/0973</t>
  </si>
  <si>
    <t>VVF/TAL/EXP/0977</t>
  </si>
  <si>
    <t>VVF/TAL/EXP/0975</t>
  </si>
  <si>
    <t>VVF/TAL/EXP/0976</t>
  </si>
  <si>
    <t>VVF/TAL/EXP/0982</t>
  </si>
  <si>
    <t>VVF/TAL/EXP/0981</t>
  </si>
  <si>
    <t>VVF/TAL/EXP/0983</t>
  </si>
  <si>
    <t>VVF/TAL/EXP/0984</t>
  </si>
  <si>
    <t>VVF/TAL/EXP/0979</t>
  </si>
  <si>
    <t>VVF/TAL/EXP/0987</t>
  </si>
  <si>
    <t>VVF/TAL/EXP/0986</t>
  </si>
  <si>
    <t>VVF/TAL/EXP/0980</t>
  </si>
  <si>
    <t>VVF/TAL/EXP/0989</t>
  </si>
  <si>
    <t>VVF/TAL/EXP/0991</t>
  </si>
  <si>
    <t>VVF/TAL/EXP/0992</t>
  </si>
  <si>
    <t>VVF/TAL/EXP/0993</t>
  </si>
  <si>
    <t>VVF/TAL/EXP/0994</t>
  </si>
  <si>
    <t>VVF/TAL/EXP/0995</t>
  </si>
  <si>
    <t>VVF/TAL/EXP/0996</t>
  </si>
  <si>
    <t>Siyeza Fine Chem (Pty) Ltd.</t>
  </si>
  <si>
    <t>VVF/TAL/EXP/0997</t>
  </si>
  <si>
    <t>VVF/TAL/EXP/0999</t>
  </si>
  <si>
    <t>VVF/TAL/EXP/1000</t>
  </si>
  <si>
    <t>VVF/TAL/EXP/0978</t>
  </si>
  <si>
    <t>VVF/TAL/EXP/1004</t>
  </si>
  <si>
    <t>VVF/TAL/EXP/0998</t>
  </si>
  <si>
    <t>VVF/TAL/EXP/0985</t>
  </si>
  <si>
    <t>VVF/TAL/EXP/0988</t>
  </si>
  <si>
    <t>VVF/TAL/EXP/0990</t>
  </si>
  <si>
    <t>VVF/TAL/EXP/1001</t>
  </si>
  <si>
    <t>VVF/TAL/EXP/1002</t>
  </si>
  <si>
    <t>VVF/TAL/EXP/1008</t>
  </si>
  <si>
    <t>VVF/TAL/EXP/1006</t>
  </si>
  <si>
    <t>VVF/TAL/EXP/1011</t>
  </si>
  <si>
    <t>VVF/TAL/EXP/1003</t>
  </si>
  <si>
    <t>VVF/TAL/EXP/1010</t>
  </si>
  <si>
    <t>VVF/TAL/EXP/1012</t>
  </si>
  <si>
    <t>VVF/TAL/EXP/1013</t>
  </si>
  <si>
    <t>VVF/TAL/EXP/1007</t>
  </si>
  <si>
    <t>VVF/TAL/EXP/1014</t>
  </si>
  <si>
    <t>VVF/TAL/EXP/1015</t>
  </si>
  <si>
    <t>VVF/TAL/EXP/1016</t>
  </si>
  <si>
    <t>M+H, Mica A Harasta S.R.O.</t>
  </si>
  <si>
    <t>Tarmesh International Private Limited</t>
  </si>
  <si>
    <t>INR</t>
  </si>
  <si>
    <t>Globe Chemicals Gmbh</t>
  </si>
  <si>
    <t>Jiangsu Sainty Machinery I/E Corp. Ltd</t>
  </si>
  <si>
    <t>Colombia</t>
  </si>
  <si>
    <t>New Awa Company For Chemical Raw Material</t>
  </si>
  <si>
    <t>Welwin Europe Ltd.</t>
  </si>
  <si>
    <t>Air Liquide Forschung Und Entwicklung Gmbh</t>
  </si>
  <si>
    <t>Eurochem Sarl</t>
  </si>
  <si>
    <t>M/S. European Cosmetic Manufacturing Co. LLC,</t>
  </si>
  <si>
    <t>VVF/TAL/EXP/1783</t>
  </si>
  <si>
    <t>0160FBC14000877</t>
  </si>
  <si>
    <t>BKID0000160140379857</t>
  </si>
  <si>
    <t>VVF/TAL/EXP/1788</t>
  </si>
  <si>
    <t>0160FBC14000954</t>
  </si>
  <si>
    <t>BKID0000160140464404</t>
  </si>
  <si>
    <t>VVF/TAL/EXP/1799</t>
  </si>
  <si>
    <t>Singapore Bojiang Industrial Pte. Ltd.</t>
  </si>
  <si>
    <t>VVF/TAL/EXP/1813</t>
  </si>
  <si>
    <t>116214XUC000381</t>
  </si>
  <si>
    <t>BKDN0461162100054005</t>
  </si>
  <si>
    <t>VVF/TAL/EXP/1814</t>
  </si>
  <si>
    <t>VVF/TAL/EXP/1837</t>
  </si>
  <si>
    <t>116214XUC000373</t>
  </si>
  <si>
    <t>BKDN0461162100054007</t>
  </si>
  <si>
    <t>Cote D Ivoire</t>
  </si>
  <si>
    <t>VVF/TAL/EXP/1848</t>
  </si>
  <si>
    <t>0160FBC14000807</t>
  </si>
  <si>
    <t>BKID0000160140385462</t>
  </si>
  <si>
    <t>9103451742-43</t>
  </si>
  <si>
    <t>VVF/TAL/EXP/1838</t>
  </si>
  <si>
    <t>VVF/TAL/EXP/1843</t>
  </si>
  <si>
    <t>9103451750-51</t>
  </si>
  <si>
    <t>VVF/TAL/EXP/1844</t>
  </si>
  <si>
    <t>0160FBC14000771</t>
  </si>
  <si>
    <t>BKID0000160140394838</t>
  </si>
  <si>
    <t>VVF/TAL/EXP/1856</t>
  </si>
  <si>
    <t>BKID0000160140394837</t>
  </si>
  <si>
    <t>VVF/TAL/EXP/1842</t>
  </si>
  <si>
    <t>0160FBC14000735</t>
  </si>
  <si>
    <t>BKID0000160140394427</t>
  </si>
  <si>
    <t>9103451759-60</t>
  </si>
  <si>
    <t>VVF/TAL/EXP/1836</t>
  </si>
  <si>
    <t>116214XUC000385</t>
  </si>
  <si>
    <t>BKDN0461162100061188</t>
  </si>
  <si>
    <t>BKDN0461162100057015</t>
  </si>
  <si>
    <t>VVF/TAL/EXP/1828</t>
  </si>
  <si>
    <t>VVF/TAL/EXP/1862</t>
  </si>
  <si>
    <t>0160FBC14000720</t>
  </si>
  <si>
    <t>BKID0000160140426312</t>
  </si>
  <si>
    <t>VVF/TAL/EXP/1857</t>
  </si>
  <si>
    <t>116214XUC000379</t>
  </si>
  <si>
    <t>BKDN0461162100054023</t>
  </si>
  <si>
    <t>VVF/TAL/EXP/1863</t>
  </si>
  <si>
    <t>0160FBC14000809</t>
  </si>
  <si>
    <t>BKID0000160140395657</t>
  </si>
  <si>
    <t>9103451770-71</t>
  </si>
  <si>
    <t>VVF/TAL/EXP/1860</t>
  </si>
  <si>
    <t>VVF/TAL/EXP/1864</t>
  </si>
  <si>
    <t>9103451772 &amp; 1801</t>
  </si>
  <si>
    <t>VVF/TAL/EXP/1884</t>
  </si>
  <si>
    <t>0160FBC14000788</t>
  </si>
  <si>
    <t>BKID0000160140421835</t>
  </si>
  <si>
    <t>VVF/TAL/EXP/1889</t>
  </si>
  <si>
    <t>BKID0000160140421834</t>
  </si>
  <si>
    <t>VVF/TAL/EXP/1883</t>
  </si>
  <si>
    <t>0160FBC14000717</t>
  </si>
  <si>
    <t>BKID0000160140397199</t>
  </si>
  <si>
    <t>9103451774-75</t>
  </si>
  <si>
    <t>VVF/TAL/EXP/1878</t>
  </si>
  <si>
    <t>VVF/TAL/EXP/1882</t>
  </si>
  <si>
    <t>VVF/TAL/EXP/1881</t>
  </si>
  <si>
    <t>116214XUC000372</t>
  </si>
  <si>
    <t>BKDN0461162100054024</t>
  </si>
  <si>
    <t>9103451777-78</t>
  </si>
  <si>
    <t>VVF/TAL/EXP/1876</t>
  </si>
  <si>
    <t>0160FBC14000913</t>
  </si>
  <si>
    <t>BKID0000160140463091</t>
  </si>
  <si>
    <t>VVF/TAL/EXP/1880</t>
  </si>
  <si>
    <t>BKID0000160140463090</t>
  </si>
  <si>
    <t>9103451779-80-81</t>
  </si>
  <si>
    <t>VVF/TAL/EXP/1867</t>
  </si>
  <si>
    <t>0160FBC14000718</t>
  </si>
  <si>
    <t>BKID0000160140397631</t>
  </si>
  <si>
    <t>VVF/TAL/EXP/1870</t>
  </si>
  <si>
    <t>BKID0000160140397633</t>
  </si>
  <si>
    <t>VVF/TAL/EXP/1879</t>
  </si>
  <si>
    <t>BKID0000160140397632</t>
  </si>
  <si>
    <t>VVF/TAL/EXP/1872</t>
  </si>
  <si>
    <t>0160FBC14000719</t>
  </si>
  <si>
    <t>BKID0000160140397200</t>
  </si>
  <si>
    <t>9103451783-84</t>
  </si>
  <si>
    <t>VVF/TAL/EXP/1865</t>
  </si>
  <si>
    <t>0160FBN14000083</t>
  </si>
  <si>
    <t>BKID0000160140419818</t>
  </si>
  <si>
    <t>VVF/TAL/EXP/1877</t>
  </si>
  <si>
    <t>BKID0000160140419817</t>
  </si>
  <si>
    <t>9103451785 &amp; 1800</t>
  </si>
  <si>
    <t>VVF/TAL/EXP/1875</t>
  </si>
  <si>
    <t>0160FBN14000108</t>
  </si>
  <si>
    <t>BKID0000160140387035</t>
  </si>
  <si>
    <t>VVF/TAL/EXP/1888</t>
  </si>
  <si>
    <t>BKID0000160140387036</t>
  </si>
  <si>
    <t>9103451787-88-89</t>
  </si>
  <si>
    <t>VVF/TAL/EXP/1868</t>
  </si>
  <si>
    <t>VVF/TAL/EXP/1873</t>
  </si>
  <si>
    <t>VVF/TAL/EXP/1871</t>
  </si>
  <si>
    <t>0160FBC14000808</t>
  </si>
  <si>
    <t>BKID0000160140385463</t>
  </si>
  <si>
    <t>VVF/TAL/EXP/1869</t>
  </si>
  <si>
    <t>5031314NC0000852</t>
  </si>
  <si>
    <t>STBP0000313100006498</t>
  </si>
  <si>
    <t>VVF/TAL/EXP/1845</t>
  </si>
  <si>
    <t>0160FBC14000955</t>
  </si>
  <si>
    <t>BKID0000160140381866</t>
  </si>
  <si>
    <t>VVF/TAL/EXP/1853</t>
  </si>
  <si>
    <t>0160FBC14001052</t>
  </si>
  <si>
    <t>BKID0000160140395664</t>
  </si>
  <si>
    <t>VVF/TAL/EXP/1866</t>
  </si>
  <si>
    <t>0160FBC14000959</t>
  </si>
  <si>
    <t>BKID0000160140381870</t>
  </si>
  <si>
    <t>9103451795-96</t>
  </si>
  <si>
    <t>VVF/TAL/EXP/1850</t>
  </si>
  <si>
    <t>0160FBC14000926</t>
  </si>
  <si>
    <t>BKID0000160140397634</t>
  </si>
  <si>
    <t>VVF/TAL/EXP/1852</t>
  </si>
  <si>
    <t>BKID0000160140397635</t>
  </si>
  <si>
    <t>VVF/TAL/EXP/1887</t>
  </si>
  <si>
    <t>116214XUC000380</t>
  </si>
  <si>
    <t>BKDN0461162100054026</t>
  </si>
  <si>
    <t>VVF/TAL/EXP/1885</t>
  </si>
  <si>
    <t>0160FBC14000786</t>
  </si>
  <si>
    <t>BKID0000160140417773</t>
  </si>
  <si>
    <t>VVF/TAL/EXP/1886</t>
  </si>
  <si>
    <t>0160FBC14000787</t>
  </si>
  <si>
    <t>BKID0000160140417774</t>
  </si>
  <si>
    <t>VVF/TAL/EXP/1890</t>
  </si>
  <si>
    <t>0160FBN14000106</t>
  </si>
  <si>
    <t>BKID0000160140382947</t>
  </si>
  <si>
    <t>VVF/TAL/EXP/1874</t>
  </si>
  <si>
    <t>0160FBC14000772</t>
  </si>
  <si>
    <t>BKID0000160140394428</t>
  </si>
  <si>
    <t>14-15</t>
  </si>
  <si>
    <t>0160FBC14000941</t>
  </si>
  <si>
    <t>BKID0000160140379858</t>
  </si>
  <si>
    <t>116214XUC000678</t>
  </si>
  <si>
    <t>BKDN0461162100066326</t>
  </si>
  <si>
    <t>116214XUC000751</t>
  </si>
  <si>
    <t>BKDN0461162100061374</t>
  </si>
  <si>
    <t>0160FBC14001001</t>
  </si>
  <si>
    <t>BKID0000160140432414</t>
  </si>
  <si>
    <t>BKID0000160140432413</t>
  </si>
  <si>
    <t>9112550004-05</t>
  </si>
  <si>
    <t>0160FBC14001188</t>
  </si>
  <si>
    <t>BKID0000160140457322</t>
  </si>
  <si>
    <t>BKID0000160140457323</t>
  </si>
  <si>
    <t>9112550006-07</t>
  </si>
  <si>
    <t>0160FBC14001204</t>
  </si>
  <si>
    <t>BKID0000160140466307</t>
  </si>
  <si>
    <t>BKID0000160140466306</t>
  </si>
  <si>
    <t>9112550008-09</t>
  </si>
  <si>
    <t>0160FBC14001217</t>
  </si>
  <si>
    <t>BKID0000160140466309</t>
  </si>
  <si>
    <t>BKID0000160140466308</t>
  </si>
  <si>
    <t>0160FBC14001247</t>
  </si>
  <si>
    <t>BKID0000160140471473</t>
  </si>
  <si>
    <t>0160FBC14001246</t>
  </si>
  <si>
    <t>BKID0000160140471472</t>
  </si>
  <si>
    <t>9112550012-13</t>
  </si>
  <si>
    <t>0160FBC14001288</t>
  </si>
  <si>
    <t>BKID0000160140477335</t>
  </si>
  <si>
    <t>BKID0000160140477334</t>
  </si>
  <si>
    <t>9112550014-15</t>
  </si>
  <si>
    <t>0160FBC14001388</t>
  </si>
  <si>
    <t>BKID0000160140484373</t>
  </si>
  <si>
    <t>VVF/BULK/EXP/0001</t>
  </si>
  <si>
    <t>VVF/BULK/EXP/0002</t>
  </si>
  <si>
    <t>VVF/BULK/EXP/0004</t>
  </si>
  <si>
    <t>VVF/BULK/EXP/0003</t>
  </si>
  <si>
    <t>VVF/BULK/EXP/0005</t>
  </si>
  <si>
    <t>VVF/BULK/EXP/0006</t>
  </si>
  <si>
    <t>0160FBC14000872</t>
  </si>
  <si>
    <t>BKID0000160140394432</t>
  </si>
  <si>
    <t>0160FBC14000790</t>
  </si>
  <si>
    <t>BKID0000160140400166</t>
  </si>
  <si>
    <t>116214XUC000382</t>
  </si>
  <si>
    <t>BKDN0461162100054028</t>
  </si>
  <si>
    <t>116214XUC000383</t>
  </si>
  <si>
    <t>BKDN0461162100054029</t>
  </si>
  <si>
    <t>Jonson Manufacturing Co. Inc.</t>
  </si>
  <si>
    <t>Philippines</t>
  </si>
  <si>
    <t>0160FBC14001071</t>
  </si>
  <si>
    <t>BKID0000160140397215</t>
  </si>
  <si>
    <t>9103550006-07</t>
  </si>
  <si>
    <t>0160FBC14000789</t>
  </si>
  <si>
    <t>BKID0000160140450660</t>
  </si>
  <si>
    <t>BKID0000160140477333</t>
  </si>
  <si>
    <t>5031314NC0000851</t>
  </si>
  <si>
    <t>STBP0000313100006504</t>
  </si>
  <si>
    <t xml:space="preserve">Basf Personal Care And Nutrition Gmbh </t>
  </si>
  <si>
    <t>0160FBC14000884</t>
  </si>
  <si>
    <t>BKID0000160140385465</t>
  </si>
  <si>
    <t>9103550010-11</t>
  </si>
  <si>
    <t>VVF/TAL/EXP/0011</t>
  </si>
  <si>
    <t>116214XUC000402</t>
  </si>
  <si>
    <t>BKDN0461162100055322</t>
  </si>
  <si>
    <t>BKDN0461162100054035</t>
  </si>
  <si>
    <t>Caucedo</t>
  </si>
  <si>
    <t>0160FBC14001053</t>
  </si>
  <si>
    <t>BKID0000160140395665</t>
  </si>
  <si>
    <t>0160FBC14000923</t>
  </si>
  <si>
    <t>BKID0000160140409913</t>
  </si>
  <si>
    <t>0160FBN14000087</t>
  </si>
  <si>
    <t>BKID0000160140388515</t>
  </si>
  <si>
    <t>0160FBC14000870</t>
  </si>
  <si>
    <t>BKID0000160140385464</t>
  </si>
  <si>
    <t>0160FBC14001099</t>
  </si>
  <si>
    <t>BKID0000160140399623</t>
  </si>
  <si>
    <t>116214XSC000403</t>
  </si>
  <si>
    <t>BKDN0461162100054037</t>
  </si>
  <si>
    <t>910355018-19</t>
  </si>
  <si>
    <t>0160FBC14001054</t>
  </si>
  <si>
    <t>BKID0000160140396779</t>
  </si>
  <si>
    <t>BKID0000160140396780</t>
  </si>
  <si>
    <t>0160FBC14000890</t>
  </si>
  <si>
    <t>BKID0000160140394435</t>
  </si>
  <si>
    <t>0160FBC14000995</t>
  </si>
  <si>
    <t>BKID0000160140464405</t>
  </si>
  <si>
    <t>0160FBN14000100</t>
  </si>
  <si>
    <t>BKID0000160140405560</t>
  </si>
  <si>
    <t>116214XUC000427</t>
  </si>
  <si>
    <t>BKDN0461162100057016</t>
  </si>
  <si>
    <t>0160FBN14000088</t>
  </si>
  <si>
    <t>BKID0000160140426326</t>
  </si>
  <si>
    <t>0160FBC14000836</t>
  </si>
  <si>
    <t>BKID0000160140394430</t>
  </si>
  <si>
    <t>0160FBC14000837</t>
  </si>
  <si>
    <t>BKID0000160140394431</t>
  </si>
  <si>
    <t>9103550027-28</t>
  </si>
  <si>
    <t>0160FBC14000889</t>
  </si>
  <si>
    <t>BKID0000160140394842</t>
  </si>
  <si>
    <t>BKID0000160140394841</t>
  </si>
  <si>
    <t>0160FBC14001055</t>
  </si>
  <si>
    <t>BKID0000160140395666</t>
  </si>
  <si>
    <t>0160FBC14000885</t>
  </si>
  <si>
    <t>BKID0000160140380984</t>
  </si>
  <si>
    <t>0160FBC14000835</t>
  </si>
  <si>
    <t>BKID0000160140394429</t>
  </si>
  <si>
    <t>0160FBC14000892</t>
  </si>
  <si>
    <t>BKID0000160140394437</t>
  </si>
  <si>
    <t>0160FBC14000893</t>
  </si>
  <si>
    <t>BKID0000160140394438</t>
  </si>
  <si>
    <t>0160FBC14000886</t>
  </si>
  <si>
    <t>BKID0000160140394433</t>
  </si>
  <si>
    <t>0160FBC14000891</t>
  </si>
  <si>
    <t>BKID0000160140394436</t>
  </si>
  <si>
    <t>116214XUC000430</t>
  </si>
  <si>
    <t>BKDN0461162100054038</t>
  </si>
  <si>
    <t>0160FBC14001051</t>
  </si>
  <si>
    <t>BKID0000160140483886</t>
  </si>
  <si>
    <t>0160FBC14000880</t>
  </si>
  <si>
    <t>BKID0000160140381865</t>
  </si>
  <si>
    <t>0160FBC14000899</t>
  </si>
  <si>
    <t>BKID0000160140380985</t>
  </si>
  <si>
    <t>0160FBC14000900</t>
  </si>
  <si>
    <t>BKID0000160140415179</t>
  </si>
  <si>
    <t>9103550041-42</t>
  </si>
  <si>
    <t>Toyota Tsusho (Taiwan) Co. Ltd.</t>
  </si>
  <si>
    <t>0160FBN14000095</t>
  </si>
  <si>
    <t>BKID0000160140389170</t>
  </si>
  <si>
    <t>BKID0000160140389171</t>
  </si>
  <si>
    <t>0160FBC14000887</t>
  </si>
  <si>
    <t>BKID0000160140394434</t>
  </si>
  <si>
    <t>0160FBC14000970</t>
  </si>
  <si>
    <t>BKID0000160140382938</t>
  </si>
  <si>
    <t>0160FBC14001351</t>
  </si>
  <si>
    <t>BKID0000160140487715</t>
  </si>
  <si>
    <t>9103550046-47</t>
  </si>
  <si>
    <t>0160FBC14000871</t>
  </si>
  <si>
    <t>BKID0000160140394839</t>
  </si>
  <si>
    <t>BKID0000160140394840</t>
  </si>
  <si>
    <t>9103550048-49</t>
  </si>
  <si>
    <t>116214XUC000431</t>
  </si>
  <si>
    <t>BKDN0461162100053728</t>
  </si>
  <si>
    <t>BKDN0461162100053725</t>
  </si>
  <si>
    <t>0160FBC14000896</t>
  </si>
  <si>
    <t>BKID0000160140394441</t>
  </si>
  <si>
    <t>0160FBC14000894</t>
  </si>
  <si>
    <t>BKID0000160140394439</t>
  </si>
  <si>
    <t>0160FBC14000895</t>
  </si>
  <si>
    <t>BKID0000160140394440</t>
  </si>
  <si>
    <t>0160FBC14000922</t>
  </si>
  <si>
    <t>BKID0000160140409912</t>
  </si>
  <si>
    <t>9103550054-55</t>
  </si>
  <si>
    <t>0160FBC14000906</t>
  </si>
  <si>
    <t>BKID0000160140429778</t>
  </si>
  <si>
    <t>BKID0000160140429779</t>
  </si>
  <si>
    <t>0160FBC14000902</t>
  </si>
  <si>
    <t>BKID0000160140374735</t>
  </si>
  <si>
    <t>Bam S.A.</t>
  </si>
  <si>
    <t>0160FBC14000944</t>
  </si>
  <si>
    <t>BKID0000160140379860</t>
  </si>
  <si>
    <t>116214XUC000429</t>
  </si>
  <si>
    <t>BKDN0461162100054041</t>
  </si>
  <si>
    <t>0160FBC14000888</t>
  </si>
  <si>
    <t>BKID0000160140386524</t>
  </si>
  <si>
    <t>0160FBN14000109</t>
  </si>
  <si>
    <t>BKID0000160140431903</t>
  </si>
  <si>
    <t>0160FBC14000924</t>
  </si>
  <si>
    <t>BKID0000160140431901</t>
  </si>
  <si>
    <t>0160FBC14000873</t>
  </si>
  <si>
    <t>BKID0000160140414261</t>
  </si>
  <si>
    <t>0160FBC14000898</t>
  </si>
  <si>
    <t>BKID0000160140433162</t>
  </si>
  <si>
    <t>0160FBC14000897</t>
  </si>
  <si>
    <t>BKID0000160140394844</t>
  </si>
  <si>
    <t>BKID0000160140394843</t>
  </si>
  <si>
    <t>5031314NC0000962</t>
  </si>
  <si>
    <t>STBP0000313100005688</t>
  </si>
  <si>
    <t>9103550066-67</t>
  </si>
  <si>
    <t>0160FBC14000874</t>
  </si>
  <si>
    <t>BKID0000160140414733</t>
  </si>
  <si>
    <t>BKID0000160140414734</t>
  </si>
  <si>
    <t>BKID0000160140414735</t>
  </si>
  <si>
    <t>BKID0000160140414732</t>
  </si>
  <si>
    <t>5031314NC0000963</t>
  </si>
  <si>
    <t>STBP0000313100005689</t>
  </si>
  <si>
    <t>0160FBC14000996</t>
  </si>
  <si>
    <t>BKID0000160140464406</t>
  </si>
  <si>
    <t>9103550070 &amp; 76</t>
  </si>
  <si>
    <t>0160FBN14000110</t>
  </si>
  <si>
    <t>BKID0000160140432416</t>
  </si>
  <si>
    <t>BKID0000160140432417</t>
  </si>
  <si>
    <t>0160FBC14000916</t>
  </si>
  <si>
    <t>BKID0000160140394442</t>
  </si>
  <si>
    <t>116214XUC000428</t>
  </si>
  <si>
    <t>BKDN0461162100052216</t>
  </si>
  <si>
    <t>116214XUC000443</t>
  </si>
  <si>
    <t>BKDN0461162100053723</t>
  </si>
  <si>
    <t>9103550074-75</t>
  </si>
  <si>
    <t>116214XUC000444</t>
  </si>
  <si>
    <t>BKDN0461162100053722</t>
  </si>
  <si>
    <t>BKDN0461162100053721</t>
  </si>
  <si>
    <t>0160FBN14000119</t>
  </si>
  <si>
    <t>BKID0000160140392726</t>
  </si>
  <si>
    <t>0160FBC14000942</t>
  </si>
  <si>
    <t>BKID0000160140466720</t>
  </si>
  <si>
    <t>9103550079 &amp; 81</t>
  </si>
  <si>
    <t>Oleon Sdn Bhd (777760-D)</t>
  </si>
  <si>
    <t>0160FBC14000971</t>
  </si>
  <si>
    <t>BKID0000160140385119</t>
  </si>
  <si>
    <t>116214XUC000442</t>
  </si>
  <si>
    <t>BKDN0461162100052230</t>
  </si>
  <si>
    <t>0160FBC14000938</t>
  </si>
  <si>
    <t>BKID0000160140443201</t>
  </si>
  <si>
    <t>9103550083-84</t>
  </si>
  <si>
    <t>0160FBC14000925</t>
  </si>
  <si>
    <t>BKID0000160140418246</t>
  </si>
  <si>
    <t>BKID0000160140418247</t>
  </si>
  <si>
    <t>Shantou Fortune Economic Trading Co. Ltd.</t>
  </si>
  <si>
    <t>0160FBN14000111</t>
  </si>
  <si>
    <t>BKID0000160140393596</t>
  </si>
  <si>
    <t>0160FBC14000943</t>
  </si>
  <si>
    <t>BKID0000160140379859</t>
  </si>
  <si>
    <t>0160FBN14000112</t>
  </si>
  <si>
    <t>BKID0000160140437369</t>
  </si>
  <si>
    <t>9103550089-90-91</t>
  </si>
  <si>
    <t>0160FBC14000921</t>
  </si>
  <si>
    <t>BKID0000160140414738</t>
  </si>
  <si>
    <t>BKID0000160140414737</t>
  </si>
  <si>
    <t>BKID0000160140414739</t>
  </si>
  <si>
    <t>BKID0000160140414736</t>
  </si>
  <si>
    <t>0160FBC14000972</t>
  </si>
  <si>
    <t>BKID0000160140394443</t>
  </si>
  <si>
    <t>116214XSC000462</t>
  </si>
  <si>
    <t>BKDN0461162100053720</t>
  </si>
  <si>
    <t>BKDN0461162100054339</t>
  </si>
  <si>
    <t>116214XSC000460</t>
  </si>
  <si>
    <t>BKDN0461162100054340</t>
  </si>
  <si>
    <t>0160FBC14001058</t>
  </si>
  <si>
    <t>BKID0000160140395669</t>
  </si>
  <si>
    <t>Mac World Industries Limited</t>
  </si>
  <si>
    <t>0160FBC14001002</t>
  </si>
  <si>
    <t>BKID0000160140392724</t>
  </si>
  <si>
    <t>0160FBC14001056</t>
  </si>
  <si>
    <t>BKID0000160140395667</t>
  </si>
  <si>
    <t>0160FBC14001004</t>
  </si>
  <si>
    <t>BKID0000160140387415</t>
  </si>
  <si>
    <t>0160FBC14000973</t>
  </si>
  <si>
    <t>BKID0000160140394444</t>
  </si>
  <si>
    <t>0160FBC14000974</t>
  </si>
  <si>
    <t>BKID0000160140467682</t>
  </si>
  <si>
    <t>0160FBC14000945</t>
  </si>
  <si>
    <t>BKID0000160140396776</t>
  </si>
  <si>
    <t>BKID0000160140396775</t>
  </si>
  <si>
    <t>Albion Group Msc Ltd.</t>
  </si>
  <si>
    <t>0160FBC14001003</t>
  </si>
  <si>
    <t>BKID0000160140387414</t>
  </si>
  <si>
    <t>0160FBC14000975</t>
  </si>
  <si>
    <t>BKID0000160140392723</t>
  </si>
  <si>
    <t>0160FBC14000983</t>
  </si>
  <si>
    <t>BKID0000160140409914</t>
  </si>
  <si>
    <t>0173FSGC141358</t>
  </si>
  <si>
    <t>UTIB0000173000010665</t>
  </si>
  <si>
    <t>116214XSC000508</t>
  </si>
  <si>
    <t>BKDN0461162100054341</t>
  </si>
  <si>
    <t>0160FBC14001069</t>
  </si>
  <si>
    <t>BKID0000160140417784</t>
  </si>
  <si>
    <t>9103550112-113</t>
  </si>
  <si>
    <t>9103550106 &amp; 114-115</t>
  </si>
  <si>
    <t>9103550116-117</t>
  </si>
  <si>
    <t>116214XSC000492</t>
  </si>
  <si>
    <t>BKDN0461162100054343</t>
  </si>
  <si>
    <t>BKDN0461162100054348</t>
  </si>
  <si>
    <t>116214XSC000493</t>
  </si>
  <si>
    <t>BKDN0461162100066322</t>
  </si>
  <si>
    <t>BKDN0461162100066323</t>
  </si>
  <si>
    <t>116214XUC000491</t>
  </si>
  <si>
    <t>BKDN0461162100056236</t>
  </si>
  <si>
    <t>0160FBC14001038</t>
  </si>
  <si>
    <t>02-06-2014/30-05-2014</t>
  </si>
  <si>
    <t>BKID0000160140395661/BKID0000160140394446</t>
  </si>
  <si>
    <t>03-06-2104/31-05-2104</t>
  </si>
  <si>
    <t>9103550121 &amp; 141</t>
  </si>
  <si>
    <t>9103550123-24</t>
  </si>
  <si>
    <t>5031314NC0001125</t>
  </si>
  <si>
    <t>STBP0000313100006499</t>
  </si>
  <si>
    <t>STBP0000313100006500</t>
  </si>
  <si>
    <t>5031314NC0001071</t>
  </si>
  <si>
    <t>STBP0000313100005991</t>
  </si>
  <si>
    <t>0160FBC14000998</t>
  </si>
  <si>
    <t>BKID0000160140417775</t>
  </si>
  <si>
    <t>0160FBC14001029</t>
  </si>
  <si>
    <t>BKID0000160140417779</t>
  </si>
  <si>
    <t>0160FBC14001027</t>
  </si>
  <si>
    <t>BKID0000160140417777</t>
  </si>
  <si>
    <t>0160FBC14001023</t>
  </si>
  <si>
    <t>BKID0000160140413338</t>
  </si>
  <si>
    <t>116214XUC000548</t>
  </si>
  <si>
    <t>BKDN0461162100054352</t>
  </si>
  <si>
    <t>0160FBC14001028</t>
  </si>
  <si>
    <t>BKID0000160140417778</t>
  </si>
  <si>
    <t>0160FBC14000999</t>
  </si>
  <si>
    <t>BKID0000160140437361</t>
  </si>
  <si>
    <t>0160FBC14001000</t>
  </si>
  <si>
    <t>BKID0000160140467683</t>
  </si>
  <si>
    <t>9103550143 &amp; 155-156</t>
  </si>
  <si>
    <t>0160FBC14001022</t>
  </si>
  <si>
    <t>BKID0000160140431344</t>
  </si>
  <si>
    <t>BKID0000160140431345</t>
  </si>
  <si>
    <t>BKID0000160140431343</t>
  </si>
  <si>
    <t>Buxus Products &amp; Service (Pty) Ltd.</t>
  </si>
  <si>
    <t>0160FBC14001024</t>
  </si>
  <si>
    <t>BKID0000160140518702</t>
  </si>
  <si>
    <t>116214XSC000550</t>
  </si>
  <si>
    <t>BKDN0461162100054354</t>
  </si>
  <si>
    <t>0160FBC14001068</t>
  </si>
  <si>
    <t>BKID0000160140396401</t>
  </si>
  <si>
    <t>0160FBN14000121</t>
  </si>
  <si>
    <t>BKID0000160140397983</t>
  </si>
  <si>
    <t>9103550148-149</t>
  </si>
  <si>
    <t>9103550150-151</t>
  </si>
  <si>
    <t>0160FBC14001021</t>
  </si>
  <si>
    <t>BKID0000160140431342</t>
  </si>
  <si>
    <t>BKID0000160140431341</t>
  </si>
  <si>
    <t>0160FBC14001033</t>
  </si>
  <si>
    <t>BKID0000160140417783</t>
  </si>
  <si>
    <t>0160FBN14000122</t>
  </si>
  <si>
    <t>BKID0000160140446268</t>
  </si>
  <si>
    <t>0160FBC14001032</t>
  </si>
  <si>
    <t>BKID0000160140417782</t>
  </si>
  <si>
    <t>9103550157-58</t>
  </si>
  <si>
    <t>116214XSC000551</t>
  </si>
  <si>
    <t>BKDN0461162100054355</t>
  </si>
  <si>
    <t>BKDN0461162100054356</t>
  </si>
  <si>
    <t>0160FBC14001048</t>
  </si>
  <si>
    <t>BKID0000160140395662</t>
  </si>
  <si>
    <t>9103550160-61</t>
  </si>
  <si>
    <t>116214XUC000549</t>
  </si>
  <si>
    <t>BKDN0461162100054357</t>
  </si>
  <si>
    <t>BKDN0461162100054358</t>
  </si>
  <si>
    <t>0160FBC14001031</t>
  </si>
  <si>
    <t>BKID0000160140417781</t>
  </si>
  <si>
    <t>0160FBC14001030</t>
  </si>
  <si>
    <t>BKID0000160140417780</t>
  </si>
  <si>
    <t>0160FBC14001350</t>
  </si>
  <si>
    <t>BKID0000160140435105</t>
  </si>
  <si>
    <t>116214XUC000610</t>
  </si>
  <si>
    <t>BKDN0461162100073235</t>
  </si>
  <si>
    <t>9103550167-68</t>
  </si>
  <si>
    <t>116214XSC000611</t>
  </si>
  <si>
    <t>BKDN0461162100054361</t>
  </si>
  <si>
    <t>BKDN0461162100054363</t>
  </si>
  <si>
    <t>0160FBC14001050</t>
  </si>
  <si>
    <t>BKID0000160140395663</t>
  </si>
  <si>
    <t>Marico South Africa Pty Ltd.</t>
  </si>
  <si>
    <t>0160FBC14001431</t>
  </si>
  <si>
    <t>BKID0000160140443207</t>
  </si>
  <si>
    <t>0160FBN14000131</t>
  </si>
  <si>
    <t>BKID0000160140403127</t>
  </si>
  <si>
    <t>0160FBC14001039</t>
  </si>
  <si>
    <t>BKID0000160140403121</t>
  </si>
  <si>
    <t>116214XSC000660</t>
  </si>
  <si>
    <t>BKDN0461162100054365</t>
  </si>
  <si>
    <t>0160FBC14001034</t>
  </si>
  <si>
    <t>BKID0000160140466721</t>
  </si>
  <si>
    <t>GBP</t>
  </si>
  <si>
    <t>0160FBC14001082</t>
  </si>
  <si>
    <t>BKID0000160140397981</t>
  </si>
  <si>
    <t>116214XSC000675</t>
  </si>
  <si>
    <t>BKDN0461162100054366</t>
  </si>
  <si>
    <t>9103550177-178</t>
  </si>
  <si>
    <t>116214XSC000676</t>
  </si>
  <si>
    <t>BKDN0461162100054367</t>
  </si>
  <si>
    <t>BKDN0461162100054368</t>
  </si>
  <si>
    <t>9103550179-180</t>
  </si>
  <si>
    <t>0160FBC14001072</t>
  </si>
  <si>
    <t>BKID0000160140418249</t>
  </si>
  <si>
    <t>03-07-2014/02-07-2014</t>
  </si>
  <si>
    <t>BKID0000160140419035/BKID0000160140418248</t>
  </si>
  <si>
    <t>05-07-2014/03-07-2014</t>
  </si>
  <si>
    <t>9103550181-182</t>
  </si>
  <si>
    <t>116214XUC000646</t>
  </si>
  <si>
    <t>BKDN0461162100054369</t>
  </si>
  <si>
    <t>BKDN0461162100054370</t>
  </si>
  <si>
    <t>0160FBC14001101</t>
  </si>
  <si>
    <t>BKID0000160140436627</t>
  </si>
  <si>
    <t>116214XUC000669</t>
  </si>
  <si>
    <t>BKDN0461162100054371</t>
  </si>
  <si>
    <t>116214XUC000680</t>
  </si>
  <si>
    <t>BKDN0461162100054372</t>
  </si>
  <si>
    <t>0160FBN14000130</t>
  </si>
  <si>
    <t>BKID0000160140406560</t>
  </si>
  <si>
    <t>0160FBN14000129</t>
  </si>
  <si>
    <t>BKID0000160140436634</t>
  </si>
  <si>
    <t>116214XUC000682</t>
  </si>
  <si>
    <t>BKDN0461162100052231</t>
  </si>
  <si>
    <t>9103550189-190</t>
  </si>
  <si>
    <t>116214XSC000670</t>
  </si>
  <si>
    <t>BKDN0461162100054373</t>
  </si>
  <si>
    <t>BKDN0461162100054374</t>
  </si>
  <si>
    <t>0160FBC14001011</t>
  </si>
  <si>
    <t>BKID0000160140409917</t>
  </si>
  <si>
    <t>0160FBC14001146</t>
  </si>
  <si>
    <t>0160FBC14001049</t>
  </si>
  <si>
    <t>BKID0000160140442378</t>
  </si>
  <si>
    <t>116214XUC000709</t>
  </si>
  <si>
    <t>BKDN0461162100052260</t>
  </si>
  <si>
    <t>0160FBC14001107</t>
  </si>
  <si>
    <t>BKID0000160140467685</t>
  </si>
  <si>
    <t>9103550197-198</t>
  </si>
  <si>
    <t>0173FSGC141486</t>
  </si>
  <si>
    <t>UTIB0000173000010796</t>
  </si>
  <si>
    <t>UTIB0000173000010797</t>
  </si>
  <si>
    <t>Manuchar Middle East</t>
  </si>
  <si>
    <t>0160FBC14001098</t>
  </si>
  <si>
    <t>BKID0000160140399622</t>
  </si>
  <si>
    <t>116214XUC000683</t>
  </si>
  <si>
    <t>BKDN0461162100052257</t>
  </si>
  <si>
    <t>0160FBN14000132</t>
  </si>
  <si>
    <t>BKID0000160140405562</t>
  </si>
  <si>
    <t>9103550202-203</t>
  </si>
  <si>
    <t>5031314NC0001268</t>
  </si>
  <si>
    <t>STBP0000313100006501</t>
  </si>
  <si>
    <t>STBP0000313100006502</t>
  </si>
  <si>
    <t>0160FBC14001127</t>
  </si>
  <si>
    <t>BKID0000160140417786</t>
  </si>
  <si>
    <t>0160FBC14001106</t>
  </si>
  <si>
    <t>BKID0000160140467684</t>
  </si>
  <si>
    <t>9103550206-207</t>
  </si>
  <si>
    <t>116214XUC000689</t>
  </si>
  <si>
    <t>BKDN0461162100052233</t>
  </si>
  <si>
    <t>BKDN0461162100052238</t>
  </si>
  <si>
    <t>116214XSC000677</t>
  </si>
  <si>
    <t>BKDN0461162100054375</t>
  </si>
  <si>
    <t>116214XSC000674</t>
  </si>
  <si>
    <t>BKDN0461162100054376</t>
  </si>
  <si>
    <t>116214XUC000714</t>
  </si>
  <si>
    <t>BKDN0461162100052241</t>
  </si>
  <si>
    <t>0160FBC14001094</t>
  </si>
  <si>
    <t>BKID0000160140437362</t>
  </si>
  <si>
    <t>116214XUC000673</t>
  </si>
  <si>
    <t>BKDN0461162100073231</t>
  </si>
  <si>
    <t>0160FBC14001418</t>
  </si>
  <si>
    <t>BKID0000160140441502</t>
  </si>
  <si>
    <t>0160FBC14001162</t>
  </si>
  <si>
    <t>BKID0000160140426321</t>
  </si>
  <si>
    <t>0160FBC14001417</t>
  </si>
  <si>
    <t>BKID0000160140441501</t>
  </si>
  <si>
    <t>Miwon Chemicals Co. Ltd.</t>
  </si>
  <si>
    <t>0160FBN14000134</t>
  </si>
  <si>
    <t>BKID0000160140405564</t>
  </si>
  <si>
    <t>116214XSC000692</t>
  </si>
  <si>
    <t>BKDN0461162100054377</t>
  </si>
  <si>
    <t>116214XSC000691</t>
  </si>
  <si>
    <t>BKDN0461162100054504</t>
  </si>
  <si>
    <t>116214XSC000684</t>
  </si>
  <si>
    <t>BKDN0461162100054507</t>
  </si>
  <si>
    <t>Latreche Sid Ali Fostario</t>
  </si>
  <si>
    <t>0160FBN14000139</t>
  </si>
  <si>
    <t>BKID0000160140426327</t>
  </si>
  <si>
    <t>9103550222-223</t>
  </si>
  <si>
    <t>116214XUC000706</t>
  </si>
  <si>
    <t>BKDN0461162100057302</t>
  </si>
  <si>
    <t>BKDN0461162100057303</t>
  </si>
  <si>
    <t>116214XUC000721</t>
  </si>
  <si>
    <t>BKDN0461162100057027</t>
  </si>
  <si>
    <t>0160FBC14001128</t>
  </si>
  <si>
    <t>BKID0000160140429318</t>
  </si>
  <si>
    <t>0160FBN14000147</t>
  </si>
  <si>
    <t>BKID0000160140440553</t>
  </si>
  <si>
    <t>116214XUC000720</t>
  </si>
  <si>
    <t>BKDN0461162100061173</t>
  </si>
  <si>
    <t>116214XUC000722</t>
  </si>
  <si>
    <t>BKDN0461162100057025</t>
  </si>
  <si>
    <t>116214XUC000708</t>
  </si>
  <si>
    <t>BKDN0461162100052263</t>
  </si>
  <si>
    <t>9103550231-232</t>
  </si>
  <si>
    <t>116214XUC000707</t>
  </si>
  <si>
    <t>0160FBC14001153</t>
  </si>
  <si>
    <t>BKID0000160140412345</t>
  </si>
  <si>
    <t>0160FBC14001150</t>
  </si>
  <si>
    <t>BKID0000160140411358</t>
  </si>
  <si>
    <t>9103550235,237,238,241 &amp; 242</t>
  </si>
  <si>
    <t>116214XUC000705</t>
  </si>
  <si>
    <t>BKDN0461162100052219</t>
  </si>
  <si>
    <t>BKDN0461162100052221</t>
  </si>
  <si>
    <t>BKDN0461162100052223</t>
  </si>
  <si>
    <t>BKDN0461162100052224</t>
  </si>
  <si>
    <t>0160FBN14000146</t>
  </si>
  <si>
    <t>BKID0000160140416555</t>
  </si>
  <si>
    <t>Dabur Egypt Limited</t>
  </si>
  <si>
    <t>0160FBC14001152</t>
  </si>
  <si>
    <t>BKID0000160140440550</t>
  </si>
  <si>
    <t>0160FBC14001163</t>
  </si>
  <si>
    <t>BKID0000160140413341</t>
  </si>
  <si>
    <t>116214XSC000727</t>
  </si>
  <si>
    <t>BKDN0461162100054508</t>
  </si>
  <si>
    <t>0160FBC14001131</t>
  </si>
  <si>
    <t>BKID0000160140426319</t>
  </si>
  <si>
    <t>Hong Kong</t>
  </si>
  <si>
    <t>0160FBC14001119</t>
  </si>
  <si>
    <t>BKID0000160140400175</t>
  </si>
  <si>
    <t>0160FBC14001129</t>
  </si>
  <si>
    <t>BKID0000160140426318</t>
  </si>
  <si>
    <t>0160FBN14000148</t>
  </si>
  <si>
    <t>BKID0000160140416556</t>
  </si>
  <si>
    <t>VVF/TAL/EXP/0246</t>
  </si>
  <si>
    <t>116214XUC000723</t>
  </si>
  <si>
    <t>BKDN0461162100057029</t>
  </si>
  <si>
    <t>116214XSC000726</t>
  </si>
  <si>
    <t>BKDN0461162100054510</t>
  </si>
  <si>
    <t>0160FBC14001148</t>
  </si>
  <si>
    <t>BKID0000160140420518</t>
  </si>
  <si>
    <t>0160FBC14001419</t>
  </si>
  <si>
    <t>BKID0000160140441503</t>
  </si>
  <si>
    <t>116214XUC000730</t>
  </si>
  <si>
    <t>BKDN0461162100057033</t>
  </si>
  <si>
    <t>116214XUC000731</t>
  </si>
  <si>
    <t>BKDN0461162100052268</t>
  </si>
  <si>
    <t>116214XUC000729</t>
  </si>
  <si>
    <t>BKDN0461162100052269</t>
  </si>
  <si>
    <t>0160FBN14000152</t>
  </si>
  <si>
    <t>BKID0000160140446269</t>
  </si>
  <si>
    <t>0160FBN14000151</t>
  </si>
  <si>
    <t>BKID0000160140467170</t>
  </si>
  <si>
    <t>BKID0000160140467171</t>
  </si>
  <si>
    <t>0160FBN14000150</t>
  </si>
  <si>
    <t>BKID0000160140466740</t>
  </si>
  <si>
    <t>0160FBC14001296</t>
  </si>
  <si>
    <t>BKID0000160140464407</t>
  </si>
  <si>
    <t>0160FBC14001510</t>
  </si>
  <si>
    <t>BKID0000160140454924</t>
  </si>
  <si>
    <t>Sns Corporation</t>
  </si>
  <si>
    <t>0160FBC14001300</t>
  </si>
  <si>
    <t>BKID0000160140431902</t>
  </si>
  <si>
    <t>9103550267-68</t>
  </si>
  <si>
    <t>116214XUC000750</t>
  </si>
  <si>
    <t>BKDN0461162100057042</t>
  </si>
  <si>
    <t>BKDN0461162100057044</t>
  </si>
  <si>
    <t>116214XSC000753</t>
  </si>
  <si>
    <t>BKDN0461162100052251</t>
  </si>
  <si>
    <t>116214XSC000752</t>
  </si>
  <si>
    <t>BKDN0461162100052254</t>
  </si>
  <si>
    <t>9103550278-79</t>
  </si>
  <si>
    <t>116214XUC000749</t>
  </si>
  <si>
    <t>BKDN0461162100057037</t>
  </si>
  <si>
    <t>BKDN0461162100057040</t>
  </si>
  <si>
    <t>0160FBC14001168</t>
  </si>
  <si>
    <t>BKID0000160140421316</t>
  </si>
  <si>
    <t>9103550281-282</t>
  </si>
  <si>
    <t>0160FBC14001187</t>
  </si>
  <si>
    <t>BKID0000160140436631</t>
  </si>
  <si>
    <t>116214XUC000773</t>
  </si>
  <si>
    <t>BKDN0461162100052275</t>
  </si>
  <si>
    <t>0160FBC14001172</t>
  </si>
  <si>
    <t>BKID0000160140474497</t>
  </si>
  <si>
    <t>116214XUC000772</t>
  </si>
  <si>
    <t>BKDN0461162100052276</t>
  </si>
  <si>
    <t>116214XUC000797</t>
  </si>
  <si>
    <t>BKDN0461162100061182</t>
  </si>
  <si>
    <t>116214XUC000771</t>
  </si>
  <si>
    <t>BKDN0461162100052272</t>
  </si>
  <si>
    <t>116214XUC000796</t>
  </si>
  <si>
    <t>BKDN0461162100061184</t>
  </si>
  <si>
    <t>116214XUC000785</t>
  </si>
  <si>
    <t>BKDN0461162100052279</t>
  </si>
  <si>
    <t>0173FSGC141665</t>
  </si>
  <si>
    <t>UTIB0000173000011122</t>
  </si>
  <si>
    <t>AL Seraj Alwahhaj For Storage And General Trading Co.</t>
  </si>
  <si>
    <t>Jordan</t>
  </si>
  <si>
    <t>0160FBC14001297</t>
  </si>
  <si>
    <t>BKID0000160140433167</t>
  </si>
  <si>
    <t>0160FBN14000163</t>
  </si>
  <si>
    <t>BKID0000160140450139</t>
  </si>
  <si>
    <t>0160FBC14001193</t>
  </si>
  <si>
    <t>BKID0000160140451311</t>
  </si>
  <si>
    <t>0160FBN14000166</t>
  </si>
  <si>
    <t>BKID0000160140450140</t>
  </si>
  <si>
    <t>9103550296-297</t>
  </si>
  <si>
    <t>116214XUC000756</t>
  </si>
  <si>
    <t>BKDN0461162100061169</t>
  </si>
  <si>
    <t>BKDN0461162100061170</t>
  </si>
  <si>
    <t>0160FBC14001424</t>
  </si>
  <si>
    <t>BKID0000160140443203</t>
  </si>
  <si>
    <t>9103550299-300</t>
  </si>
  <si>
    <t>5031314OM0001714</t>
  </si>
  <si>
    <t>STBP0000313100006661</t>
  </si>
  <si>
    <t>STBP0000313100006662</t>
  </si>
  <si>
    <t>9103550301-302</t>
  </si>
  <si>
    <t>0160FBC14001271</t>
  </si>
  <si>
    <t>BKID0000160140438732</t>
  </si>
  <si>
    <t>BKID0000160140438731</t>
  </si>
  <si>
    <t>116214XSC000776</t>
  </si>
  <si>
    <t>BKDN0461162100057048</t>
  </si>
  <si>
    <t>0160FBC14001280</t>
  </si>
  <si>
    <t>BKID0000160140518703</t>
  </si>
  <si>
    <t>0160FBC14001189</t>
  </si>
  <si>
    <t>BKID0000160140456750</t>
  </si>
  <si>
    <t>116214XSC000775</t>
  </si>
  <si>
    <t>BKDN0461162100057050</t>
  </si>
  <si>
    <t>0173FSGC141667</t>
  </si>
  <si>
    <t>UTIB0000173000011170</t>
  </si>
  <si>
    <t>OOO Corporation Sbk</t>
  </si>
  <si>
    <t>0160FBC14001290</t>
  </si>
  <si>
    <t>BKID0000160140433165</t>
  </si>
  <si>
    <t>0160FBN14000156</t>
  </si>
  <si>
    <t>BKID0000160140421317</t>
  </si>
  <si>
    <t>116214XSC000774</t>
  </si>
  <si>
    <t>BKDN0461162100057307</t>
  </si>
  <si>
    <t>9103550311-312</t>
  </si>
  <si>
    <t>0173FSGC141666</t>
  </si>
  <si>
    <t>UTIB0000173000011075</t>
  </si>
  <si>
    <t>UTIB0000173000011074</t>
  </si>
  <si>
    <t>0160FBC14001192</t>
  </si>
  <si>
    <t>BKID0000160140438283</t>
  </si>
  <si>
    <t>Brenntag S.R.L.</t>
  </si>
  <si>
    <t>Romania</t>
  </si>
  <si>
    <t>0160FBC14001298</t>
  </si>
  <si>
    <t>BKID0000160140433168</t>
  </si>
  <si>
    <t>0160FBC14001293</t>
  </si>
  <si>
    <t>BKID0000160140433166</t>
  </si>
  <si>
    <t>0173FSGC141652</t>
  </si>
  <si>
    <t>UTIB0000173000011015</t>
  </si>
  <si>
    <t>0160FBC14001630</t>
  </si>
  <si>
    <t>BKID0000160140464416</t>
  </si>
  <si>
    <t>0160FBC14001287</t>
  </si>
  <si>
    <t>BKID0000160140523668</t>
  </si>
  <si>
    <t>116214XUC000787</t>
  </si>
  <si>
    <t>BKDN0461162100061377</t>
  </si>
  <si>
    <t>116214XUC000777</t>
  </si>
  <si>
    <t>BKDN0461162100057047</t>
  </si>
  <si>
    <t>9103550321-322</t>
  </si>
  <si>
    <t>5031314NC0001079</t>
  </si>
  <si>
    <t>STBP0000313100007366</t>
  </si>
  <si>
    <t>STBP0000313100007367</t>
  </si>
  <si>
    <t>0160FBC14001270</t>
  </si>
  <si>
    <t>BKID0000160140437364</t>
  </si>
  <si>
    <t>5031314NC0001078</t>
  </si>
  <si>
    <t>STBP0000313100007368</t>
  </si>
  <si>
    <t>0160FBN14000159</t>
  </si>
  <si>
    <t>BKID0000160140452334</t>
  </si>
  <si>
    <t>0160FBC14001289</t>
  </si>
  <si>
    <t>BKID0000160140523669</t>
  </si>
  <si>
    <t>0173FUGC141692</t>
  </si>
  <si>
    <t>UTIB0000173000011756</t>
  </si>
  <si>
    <t>0173FUGC141716</t>
  </si>
  <si>
    <t>UTIB0000173000011754</t>
  </si>
  <si>
    <t>0173FUGC141725</t>
  </si>
  <si>
    <t>UTIB0000173000011772</t>
  </si>
  <si>
    <t>0160FBC14001199</t>
  </si>
  <si>
    <t>BKID0000160140438284</t>
  </si>
  <si>
    <t>0160FBC14001214</t>
  </si>
  <si>
    <t>BKID0000160140467687</t>
  </si>
  <si>
    <t>0160FBC14001421</t>
  </si>
  <si>
    <t>BKID0000160140442381</t>
  </si>
  <si>
    <t>0173FSGC141693</t>
  </si>
  <si>
    <t>UTIB0000173000012565</t>
  </si>
  <si>
    <t>0160FBC14001206</t>
  </si>
  <si>
    <t>BKID0000160140437363</t>
  </si>
  <si>
    <t>9103550337-338</t>
  </si>
  <si>
    <t>0173FSGC141726</t>
  </si>
  <si>
    <t>UTIB0000173000011156</t>
  </si>
  <si>
    <t>UTIB0000173000011157</t>
  </si>
  <si>
    <t>0173FSGC141696</t>
  </si>
  <si>
    <t>UTIB0000173000011171</t>
  </si>
  <si>
    <t>0173FUGC141718</t>
  </si>
  <si>
    <t>UTIB0000173000011764</t>
  </si>
  <si>
    <t>116214XUC000786</t>
  </si>
  <si>
    <t>BKDN0461162100074465</t>
  </si>
  <si>
    <t>0160FBC14001213</t>
  </si>
  <si>
    <t>BKID0000160140467686</t>
  </si>
  <si>
    <t>0160FBC14001651</t>
  </si>
  <si>
    <t>BKID0000160140464420</t>
  </si>
  <si>
    <t>0160FBC14001205</t>
  </si>
  <si>
    <t>BKID0000160140436632</t>
  </si>
  <si>
    <t>0160FBN14000165</t>
  </si>
  <si>
    <t>BKID0000160140422295</t>
  </si>
  <si>
    <t>116214XSC000791</t>
  </si>
  <si>
    <t>BKDN0461162100057314</t>
  </si>
  <si>
    <t>9103550348-349</t>
  </si>
  <si>
    <t>116214XUC000815</t>
  </si>
  <si>
    <t>BKDN0461162100057308</t>
  </si>
  <si>
    <t>BKDN0461162100057311</t>
  </si>
  <si>
    <t>116214XSC000792</t>
  </si>
  <si>
    <t>BKDN0461162100057318</t>
  </si>
  <si>
    <t>116214XUC000813</t>
  </si>
  <si>
    <t>BKDN0461162100061183</t>
  </si>
  <si>
    <t>9103550352-353</t>
  </si>
  <si>
    <t>0160FBC14001426</t>
  </si>
  <si>
    <t>BKID0000160140442800</t>
  </si>
  <si>
    <t>BKID0000160140442799</t>
  </si>
  <si>
    <t>9103550354-355</t>
  </si>
  <si>
    <t>0160FBC14001427</t>
  </si>
  <si>
    <t>BKID0000160140442801</t>
  </si>
  <si>
    <t>BKID0000160140442802</t>
  </si>
  <si>
    <t>0173FSGC141753</t>
  </si>
  <si>
    <t>UTIB0000173000011216</t>
  </si>
  <si>
    <t>9103550357-58</t>
  </si>
  <si>
    <t>116214XUC000814</t>
  </si>
  <si>
    <t>BKDN0461162100061186</t>
  </si>
  <si>
    <t>BKDN0461162100061187</t>
  </si>
  <si>
    <t>0173FUGC141717</t>
  </si>
  <si>
    <t>UTIB0000173000011759</t>
  </si>
  <si>
    <t>116214XUC000806</t>
  </si>
  <si>
    <t>BKDN0461162100061376</t>
  </si>
  <si>
    <t>0173FUGC141722</t>
  </si>
  <si>
    <t>UTIB0000173000011770</t>
  </si>
  <si>
    <t>UTIB0000173000011769</t>
  </si>
  <si>
    <t>0160FBC14001265</t>
  </si>
  <si>
    <t>BKID0000160140467691</t>
  </si>
  <si>
    <t>0160FBC14001628</t>
  </si>
  <si>
    <t>BKID0000160140464414</t>
  </si>
  <si>
    <t>0160FBC14001215</t>
  </si>
  <si>
    <t>BKID0000160140477861</t>
  </si>
  <si>
    <t>0160FBC14001216</t>
  </si>
  <si>
    <t>BKID0000160140426323</t>
  </si>
  <si>
    <t>9103550367-368</t>
  </si>
  <si>
    <t>0173FUGC141981</t>
  </si>
  <si>
    <t>UTIB0000173000011641</t>
  </si>
  <si>
    <t>UTIB0000173000011642</t>
  </si>
  <si>
    <t>0160FBC14001649</t>
  </si>
  <si>
    <t>BKID0000160140464419</t>
  </si>
  <si>
    <t>0160FBN14000168</t>
  </si>
  <si>
    <t>BKID0000160140428332</t>
  </si>
  <si>
    <t>9103550372-73</t>
  </si>
  <si>
    <t>0173FSGC141872</t>
  </si>
  <si>
    <t>UTIB0000173000011654</t>
  </si>
  <si>
    <t>UTIB0000173000011655</t>
  </si>
  <si>
    <t>UTIB0000173000011657</t>
  </si>
  <si>
    <t>UTIB0000173000011656</t>
  </si>
  <si>
    <t>0160FBC14001422</t>
  </si>
  <si>
    <t>BKID0000160140442382</t>
  </si>
  <si>
    <t>0160FBC14001423</t>
  </si>
  <si>
    <t>BKID0000160140442383</t>
  </si>
  <si>
    <t>0160FBC14001273</t>
  </si>
  <si>
    <t>BKID0000160140433164</t>
  </si>
  <si>
    <t>9103550377-378</t>
  </si>
  <si>
    <t>0173FUGC141871</t>
  </si>
  <si>
    <t>UTIB0000173000011653</t>
  </si>
  <si>
    <t>UTIB0000173000011652</t>
  </si>
  <si>
    <t>0173FUGC141768</t>
  </si>
  <si>
    <t>UTIB0000173000011640</t>
  </si>
  <si>
    <t>0160FBC14001272</t>
  </si>
  <si>
    <t>BKID0000160140456751</t>
  </si>
  <si>
    <t>116214XSC000844</t>
  </si>
  <si>
    <t>BKDN0461162100061171</t>
  </si>
  <si>
    <t>116214XSC000843</t>
  </si>
  <si>
    <t>BKDN0461162100061172</t>
  </si>
  <si>
    <t>9103550383-384</t>
  </si>
  <si>
    <t>0173FUGC141866</t>
  </si>
  <si>
    <t>UTIB0000173000011670</t>
  </si>
  <si>
    <t>UTIB0000173000011671</t>
  </si>
  <si>
    <t>9103550385-386</t>
  </si>
  <si>
    <t>VVF/TAL/EXP/0373</t>
  </si>
  <si>
    <t>0173FUGC141796</t>
  </si>
  <si>
    <t>UTIB0000173000011646</t>
  </si>
  <si>
    <t>UTIB0000173000011647</t>
  </si>
  <si>
    <t>0160FBN14000175</t>
  </si>
  <si>
    <t>BKID0000160140430924</t>
  </si>
  <si>
    <t>116214XSC000828</t>
  </si>
  <si>
    <t>BKDN0461162100057319</t>
  </si>
  <si>
    <t>116214XSC000829</t>
  </si>
  <si>
    <t>BKDN0461162100057323</t>
  </si>
  <si>
    <t>0173FSGC141863</t>
  </si>
  <si>
    <t>UTIB0000173000011247</t>
  </si>
  <si>
    <t>0173FSGC141926</t>
  </si>
  <si>
    <t>UTIB0000173000011312</t>
  </si>
  <si>
    <t>9103550392-393</t>
  </si>
  <si>
    <t>0173FUGC141827</t>
  </si>
  <si>
    <t>UTIB0000173000011669</t>
  </si>
  <si>
    <t>UTIB0000173000013005</t>
  </si>
  <si>
    <t>0173FUGC141894</t>
  </si>
  <si>
    <t>UTIB0000173000011735</t>
  </si>
  <si>
    <t>0160FBC14001292</t>
  </si>
  <si>
    <t>BKID0000160140442380</t>
  </si>
  <si>
    <t>0160FBC14001243</t>
  </si>
  <si>
    <t>BKID0000160140467690</t>
  </si>
  <si>
    <t>0160FBC14001241</t>
  </si>
  <si>
    <t>BKID0000160140467689</t>
  </si>
  <si>
    <t>0160FBC14001625</t>
  </si>
  <si>
    <t>BKID0000160140464412</t>
  </si>
  <si>
    <t>0173FUGC141865</t>
  </si>
  <si>
    <t>UTIB0000173000011674</t>
  </si>
  <si>
    <t>116214XUC000839</t>
  </si>
  <si>
    <t>BKDN0461162100061180</t>
  </si>
  <si>
    <t>0160FBC14001239</t>
  </si>
  <si>
    <t>BKID0000160140467688</t>
  </si>
  <si>
    <t>116214XUC000849</t>
  </si>
  <si>
    <t>BKDN0461162100061179</t>
  </si>
  <si>
    <t>0160FBC14001629</t>
  </si>
  <si>
    <t>BKID0000160140464415</t>
  </si>
  <si>
    <t>0160FBN14000179</t>
  </si>
  <si>
    <t>BKID0000160140488227</t>
  </si>
  <si>
    <t>BKID0000160140488226</t>
  </si>
  <si>
    <t>0160FBC14001389</t>
  </si>
  <si>
    <t>BKID0000160140437367</t>
  </si>
  <si>
    <t>0160FBC14001390</t>
  </si>
  <si>
    <t>BKID0000160140437368</t>
  </si>
  <si>
    <t>Global Amines Com. Prods.Quimicos Ltda.</t>
  </si>
  <si>
    <t>0160FBC14001392</t>
  </si>
  <si>
    <t>BKID0000160140491395</t>
  </si>
  <si>
    <t>0160FBC14001267</t>
  </si>
  <si>
    <t>BKID0000160140468742</t>
  </si>
  <si>
    <t>116214XUC000848</t>
  </si>
  <si>
    <t>BKDN0461162100061386</t>
  </si>
  <si>
    <t>0160FBC14001750</t>
  </si>
  <si>
    <t>BKID0000160140473675</t>
  </si>
  <si>
    <t>9103550411-12</t>
  </si>
  <si>
    <t>116214XUC000850</t>
  </si>
  <si>
    <t>BKDN0461162100061175</t>
  </si>
  <si>
    <t>BKDN0461162100061174</t>
  </si>
  <si>
    <t>9103550413-14</t>
  </si>
  <si>
    <t>0173FUGC141898</t>
  </si>
  <si>
    <t>UTIB0000173000011737</t>
  </si>
  <si>
    <t>UTIB0000173000011736</t>
  </si>
  <si>
    <t>0160FBC14001301</t>
  </si>
  <si>
    <t>BKID0000160140467694</t>
  </si>
  <si>
    <t>116214XUC000869</t>
  </si>
  <si>
    <t>BKDN0461162100061176</t>
  </si>
  <si>
    <t>116214XUC000851</t>
  </si>
  <si>
    <t>BKDN0461162100061382</t>
  </si>
  <si>
    <t>0160FBC14001266</t>
  </si>
  <si>
    <t>BKID0000160140438285</t>
  </si>
  <si>
    <t>0160FBC14001425</t>
  </si>
  <si>
    <t>BKID0000160140443204</t>
  </si>
  <si>
    <t>0160FBC14001631</t>
  </si>
  <si>
    <t>BKID0000160140464417</t>
  </si>
  <si>
    <t>0160FBC14001295</t>
  </si>
  <si>
    <t>BKID0000160140467692</t>
  </si>
  <si>
    <t>0160FBC14001291</t>
  </si>
  <si>
    <t>BKID0000160140470419</t>
  </si>
  <si>
    <t>0160FBC14001373</t>
  </si>
  <si>
    <t>BKID0000160140450133</t>
  </si>
  <si>
    <t>0160FBC14001372</t>
  </si>
  <si>
    <t>BKID0000160140450132</t>
  </si>
  <si>
    <t>0160FBC14001299</t>
  </si>
  <si>
    <t>BKID0000160140467693</t>
  </si>
  <si>
    <t>0160FBC14001342</t>
  </si>
  <si>
    <t>BKID0000160140528738</t>
  </si>
  <si>
    <t>9103550427-428</t>
  </si>
  <si>
    <t>0160FBC14001286</t>
  </si>
  <si>
    <t>BKID0000160140447837</t>
  </si>
  <si>
    <t>BKID0000160140447836</t>
  </si>
  <si>
    <t>116214XUC000872</t>
  </si>
  <si>
    <t>BKDN0461162100061384</t>
  </si>
  <si>
    <t>0160FBC14001653</t>
  </si>
  <si>
    <t>BKID0000160140465894</t>
  </si>
  <si>
    <t>9103550431-432</t>
  </si>
  <si>
    <t>0160FBC14001650</t>
  </si>
  <si>
    <t>BKID0000160140464695</t>
  </si>
  <si>
    <t>BKID0000160140464694</t>
  </si>
  <si>
    <t>0160FBC14001339</t>
  </si>
  <si>
    <t>BKID0000160140444002</t>
  </si>
  <si>
    <t>0160FBC14001406</t>
  </si>
  <si>
    <t>BKID0000160140506135</t>
  </si>
  <si>
    <t>9103550435-436</t>
  </si>
  <si>
    <t>0173FUGC141946</t>
  </si>
  <si>
    <t>UTIB0000173000011805</t>
  </si>
  <si>
    <t>UTIB0000173000011806</t>
  </si>
  <si>
    <t>0160FBC14001361</t>
  </si>
  <si>
    <t>BKID0000160140467695</t>
  </si>
  <si>
    <t>0160FBC14001371</t>
  </si>
  <si>
    <t>BKID0000160140467696</t>
  </si>
  <si>
    <t>0173FUGC141979</t>
  </si>
  <si>
    <t>UTIB0000173000011910</t>
  </si>
  <si>
    <t>9103550441-442</t>
  </si>
  <si>
    <t>0160FBC14001393</t>
  </si>
  <si>
    <t>BKID0000160140454923</t>
  </si>
  <si>
    <t>0160FBC14001391</t>
  </si>
  <si>
    <t>BKID0000160140448283</t>
  </si>
  <si>
    <t>0160FBC14001652</t>
  </si>
  <si>
    <t>BKID0000160140465893</t>
  </si>
  <si>
    <t>9103550447-448</t>
  </si>
  <si>
    <t>0160FBN14000196</t>
  </si>
  <si>
    <t>BKID0000160140447838</t>
  </si>
  <si>
    <t>BKID0000160140447839</t>
  </si>
  <si>
    <t>0173FUGC142054</t>
  </si>
  <si>
    <t>UTIB0000173000011952</t>
  </si>
  <si>
    <t>9103550450-451</t>
  </si>
  <si>
    <t>0160FBN14000198</t>
  </si>
  <si>
    <t>BKID0000160140447314</t>
  </si>
  <si>
    <t>Evyap Sabun Yag Gliserin San. Ve Tic. A.S.</t>
  </si>
  <si>
    <t>0160FBC14001430</t>
  </si>
  <si>
    <t>BKID0000160140450134</t>
  </si>
  <si>
    <t>0160FBC14001742</t>
  </si>
  <si>
    <t>BKID0000160140473671</t>
  </si>
  <si>
    <t>0173FUGC142090</t>
  </si>
  <si>
    <t>UTIB0000173000011757</t>
  </si>
  <si>
    <t>0160FBC14001407</t>
  </si>
  <si>
    <t>BKID0000160140467698</t>
  </si>
  <si>
    <t>0173FUGC142089</t>
  </si>
  <si>
    <t>UTIB0000173000011760</t>
  </si>
  <si>
    <t>Polyrheo (Canada) Inc.</t>
  </si>
  <si>
    <t>0160FBC14001745</t>
  </si>
  <si>
    <t>BKID0000160140473673</t>
  </si>
  <si>
    <t>9103550462-463</t>
  </si>
  <si>
    <t>Basf Espanola S.L.</t>
  </si>
  <si>
    <t>0160FBC14001436</t>
  </si>
  <si>
    <t>BKID0000160140476432</t>
  </si>
  <si>
    <t>BKID0000160140476433</t>
  </si>
  <si>
    <t>0160FBC14001435</t>
  </si>
  <si>
    <t>BKID0000160140476430</t>
  </si>
  <si>
    <t>BKID0000160140476431</t>
  </si>
  <si>
    <t>9103550465-466</t>
  </si>
  <si>
    <t>0160FBN14000199</t>
  </si>
  <si>
    <t>BKID0000160140496691</t>
  </si>
  <si>
    <t>BKID0000160140496690</t>
  </si>
  <si>
    <t>BKID0000160140496692</t>
  </si>
  <si>
    <t>0160FBC14001488</t>
  </si>
  <si>
    <t>BKID0000160140468744</t>
  </si>
  <si>
    <t>0160FBC14001490</t>
  </si>
  <si>
    <t>BKID0000160140459166</t>
  </si>
  <si>
    <t>9103550469-470</t>
  </si>
  <si>
    <t>0160FBC14001434</t>
  </si>
  <si>
    <t>BKID0000160140476429</t>
  </si>
  <si>
    <t>BKID0000160140476428</t>
  </si>
  <si>
    <t>0160FBC14001433</t>
  </si>
  <si>
    <t>BKID0000160140475941</t>
  </si>
  <si>
    <t>0160FBC14001405</t>
  </si>
  <si>
    <t>BKID0000160140467697</t>
  </si>
  <si>
    <t>0160FBN14000208</t>
  </si>
  <si>
    <t>BKID0000160140493151</t>
  </si>
  <si>
    <t>9103550475-476</t>
  </si>
  <si>
    <t>0160FBC14001743</t>
  </si>
  <si>
    <t>BKID0000160140474130</t>
  </si>
  <si>
    <t>BKID0000160140474129</t>
  </si>
  <si>
    <t>116214XUC000960</t>
  </si>
  <si>
    <t>BKDN0461162100061178</t>
  </si>
  <si>
    <t>116214XUC000910</t>
  </si>
  <si>
    <t>BKDN0461162100061177</t>
  </si>
  <si>
    <t>9103550481-482</t>
  </si>
  <si>
    <t>0160FBC14001452</t>
  </si>
  <si>
    <t>BKID0000160140516311</t>
  </si>
  <si>
    <t>BKID0000160140516312</t>
  </si>
  <si>
    <t>0160FBC14001515</t>
  </si>
  <si>
    <t>BKID0000160140452332</t>
  </si>
  <si>
    <t>9103550484-485</t>
  </si>
  <si>
    <t>9103550486-487-488</t>
  </si>
  <si>
    <t>0160FBC14001487</t>
  </si>
  <si>
    <t>BKID0000160140524114</t>
  </si>
  <si>
    <t>BKID0000160140524112</t>
  </si>
  <si>
    <t>BKID0000160140524115</t>
  </si>
  <si>
    <t>BKID0000160140524113</t>
  </si>
  <si>
    <t>0160FBC14001739</t>
  </si>
  <si>
    <t>BKID0000160140472595</t>
  </si>
  <si>
    <t>0160FBC14001483</t>
  </si>
  <si>
    <t>BKID0000160140462429</t>
  </si>
  <si>
    <t>116214XUC000922</t>
  </si>
  <si>
    <t>BKDN0461162100066334</t>
  </si>
  <si>
    <t>0160FBC14001790</t>
  </si>
  <si>
    <t>BKID0000160140477866</t>
  </si>
  <si>
    <t>0160FBC14001494</t>
  </si>
  <si>
    <t>BKID0000160140528739</t>
  </si>
  <si>
    <t>0160FBC14001569</t>
  </si>
  <si>
    <t>BKID0000160140478821</t>
  </si>
  <si>
    <t>0160FBC14001485</t>
  </si>
  <si>
    <t>BKID0000160140462430</t>
  </si>
  <si>
    <t>9103550496-497</t>
  </si>
  <si>
    <t>Solvay (Bangpoo) Specialty Chemicals Ltd.</t>
  </si>
  <si>
    <t>0160FBC14001491</t>
  </si>
  <si>
    <t>BKID0000160140493972</t>
  </si>
  <si>
    <t>116214XUC000924</t>
  </si>
  <si>
    <t>BKDN0461162100061385</t>
  </si>
  <si>
    <t>0160FBC14001740</t>
  </si>
  <si>
    <t>BKID0000160140472596</t>
  </si>
  <si>
    <t>BKID0000160140473669</t>
  </si>
  <si>
    <t>0160FBC14001741</t>
  </si>
  <si>
    <t>BKID0000160140472597</t>
  </si>
  <si>
    <t>BKID0000160140473670</t>
  </si>
  <si>
    <t>0160FBC14001512</t>
  </si>
  <si>
    <t>BKID0000160140467700</t>
  </si>
  <si>
    <t>0160FBC14001489</t>
  </si>
  <si>
    <t>BKID0000160140472588</t>
  </si>
  <si>
    <t>0160FBC14001493</t>
  </si>
  <si>
    <t>BKID0000160150557160</t>
  </si>
  <si>
    <t>0160FBC14001744</t>
  </si>
  <si>
    <t>BKID0000160140473672</t>
  </si>
  <si>
    <t>0160FBC14001511</t>
  </si>
  <si>
    <t>BKID0000160140467699</t>
  </si>
  <si>
    <t>116214XUC000944</t>
  </si>
  <si>
    <t>BKDN0461162100066337</t>
  </si>
  <si>
    <t>116214XUC000945</t>
  </si>
  <si>
    <t>BKDN0461162100066336</t>
  </si>
  <si>
    <t>0160FBC14001533</t>
  </si>
  <si>
    <t>BKID0000160140467701</t>
  </si>
  <si>
    <t>0160FBC14001500</t>
  </si>
  <si>
    <t>BKID0000160140456752</t>
  </si>
  <si>
    <t>0160FBC14001481</t>
  </si>
  <si>
    <t>BKID0000160140450138</t>
  </si>
  <si>
    <t>0160FBC14001534</t>
  </si>
  <si>
    <t>BKID0000160140467702</t>
  </si>
  <si>
    <t>0160FBN14000211</t>
  </si>
  <si>
    <t>BKID0000160140493976</t>
  </si>
  <si>
    <t>0160FBC14001513</t>
  </si>
  <si>
    <t>BKID0000160140457672</t>
  </si>
  <si>
    <t>0160FBC14001547</t>
  </si>
  <si>
    <t>BKID0000160140470423</t>
  </si>
  <si>
    <t>0160FBC14001514</t>
  </si>
  <si>
    <t>BKID0000160140462431</t>
  </si>
  <si>
    <t>116214XUC000970</t>
  </si>
  <si>
    <t>BKDN0461162100061390</t>
  </si>
  <si>
    <t>0160FBC14001509</t>
  </si>
  <si>
    <t>BKID0000160140493973</t>
  </si>
  <si>
    <t>0160FBC14001546</t>
  </si>
  <si>
    <t>BKID0000160140467704</t>
  </si>
  <si>
    <t>9103550528-529</t>
  </si>
  <si>
    <t>IRAN</t>
  </si>
  <si>
    <t>0160FBC14001535</t>
  </si>
  <si>
    <t>BKID0000160140467703</t>
  </si>
  <si>
    <t>9103550534-35</t>
  </si>
  <si>
    <t>0160FBC14001786</t>
  </si>
  <si>
    <t>BKID0000160140478245</t>
  </si>
  <si>
    <t>BKID0000160140478246</t>
  </si>
  <si>
    <t>0160FBC14001657</t>
  </si>
  <si>
    <t>BKID0000160150557161</t>
  </si>
  <si>
    <t>0160FBC14001658</t>
  </si>
  <si>
    <t>BKID0000160150557162</t>
  </si>
  <si>
    <t>116214XUC000980</t>
  </si>
  <si>
    <t>BKDN0461162100066488</t>
  </si>
  <si>
    <t>9103550539-40</t>
  </si>
  <si>
    <t>0160FBN14000212</t>
  </si>
  <si>
    <t>BKID0000160140505114</t>
  </si>
  <si>
    <t>116214XUC001003</t>
  </si>
  <si>
    <t>BKDN0461162100061393</t>
  </si>
  <si>
    <t>9103550543-44</t>
  </si>
  <si>
    <t>0160FBC14001608</t>
  </si>
  <si>
    <t>BKID0000160140468191</t>
  </si>
  <si>
    <t>BKID0000160140468192</t>
  </si>
  <si>
    <t>116214XUC000979</t>
  </si>
  <si>
    <t>BKDN0461162100066487</t>
  </si>
  <si>
    <t>BKDN0461162100066486</t>
  </si>
  <si>
    <t>116214XUC000969</t>
  </si>
  <si>
    <t>BKDN0461162100066483</t>
  </si>
  <si>
    <t>116214XUC000981</t>
  </si>
  <si>
    <t>BKDN0461162100061394</t>
  </si>
  <si>
    <t>116214XUC000988</t>
  </si>
  <si>
    <t>BKDN0461162100071713</t>
  </si>
  <si>
    <t>116214XUC000971</t>
  </si>
  <si>
    <t>BKDN0461162100061392</t>
  </si>
  <si>
    <t>116214XSC001004</t>
  </si>
  <si>
    <t>BKDN0461162100071697</t>
  </si>
  <si>
    <t>116214XUC000989</t>
  </si>
  <si>
    <t>BKDN0461162100066480</t>
  </si>
  <si>
    <t>0160FBC14001572</t>
  </si>
  <si>
    <t>BKID0000160140466729</t>
  </si>
  <si>
    <t>9103550553-54</t>
  </si>
  <si>
    <t>0160FBC14001545</t>
  </si>
  <si>
    <t>BKID0000160140461921</t>
  </si>
  <si>
    <t>BKID0000160140461920</t>
  </si>
  <si>
    <t>0160FBC14001571</t>
  </si>
  <si>
    <t>BKID0000160140498414</t>
  </si>
  <si>
    <t>0160FBC14001532</t>
  </si>
  <si>
    <t>BKID0000160140498413</t>
  </si>
  <si>
    <t>0160FBC14001640</t>
  </si>
  <si>
    <t>BKID0000160140468746</t>
  </si>
  <si>
    <t>9103550558-59</t>
  </si>
  <si>
    <t>0160FBC14001627</t>
  </si>
  <si>
    <t>BKID0000160140468195</t>
  </si>
  <si>
    <t>BKID0000160140468194</t>
  </si>
  <si>
    <t>BKID0000160140468193</t>
  </si>
  <si>
    <t>0160FBC14001682</t>
  </si>
  <si>
    <t>BKID0000160140498420</t>
  </si>
  <si>
    <t>0160FBC14001641</t>
  </si>
  <si>
    <t>BKID0000160140467706</t>
  </si>
  <si>
    <t>116214XUC000987</t>
  </si>
  <si>
    <t>BKDN0461162100066329</t>
  </si>
  <si>
    <t>9103550564-65</t>
  </si>
  <si>
    <t>0160FBC14001644</t>
  </si>
  <si>
    <t>BKID0000160140519449</t>
  </si>
  <si>
    <t>0160FBC14001706</t>
  </si>
  <si>
    <t>BKID0000160140470428</t>
  </si>
  <si>
    <t>116214XUC000990</t>
  </si>
  <si>
    <t>BKDN0461162100066479</t>
  </si>
  <si>
    <t>116214XUC001002</t>
  </si>
  <si>
    <t>BKDN0461162100066330</t>
  </si>
  <si>
    <t>116214XSC001005</t>
  </si>
  <si>
    <t>BKDN0461162100061389</t>
  </si>
  <si>
    <t>116214XUC001014</t>
  </si>
  <si>
    <t>BKDN0461162100066478</t>
  </si>
  <si>
    <t>9103550572-73</t>
  </si>
  <si>
    <t>116214XUC001015</t>
  </si>
  <si>
    <t>BKDN0461162100066482</t>
  </si>
  <si>
    <t>BKDN0461162100066481</t>
  </si>
  <si>
    <t>0160FBC14001643</t>
  </si>
  <si>
    <t>BKID0000160140498416</t>
  </si>
  <si>
    <t>0160FBC14001700</t>
  </si>
  <si>
    <t>BKID0000160150550659</t>
  </si>
  <si>
    <t>0160FBC14001697</t>
  </si>
  <si>
    <t>BKID0000160140514090</t>
  </si>
  <si>
    <t>0160FBC14001698</t>
  </si>
  <si>
    <t>BKID0000160140514091</t>
  </si>
  <si>
    <t>0160FBC14001701</t>
  </si>
  <si>
    <t>BKID0000160140521270</t>
  </si>
  <si>
    <t>0160FBC14001703</t>
  </si>
  <si>
    <t>BKID0000160140514093</t>
  </si>
  <si>
    <t>9103550581-82</t>
  </si>
  <si>
    <t>0160FBC14001695</t>
  </si>
  <si>
    <t>BKID0000160140514727</t>
  </si>
  <si>
    <t>BKID0000160140514728</t>
  </si>
  <si>
    <t>0160FBC14001684</t>
  </si>
  <si>
    <t>BKID0000160140514089</t>
  </si>
  <si>
    <t>0160FBC14001683</t>
  </si>
  <si>
    <t>BKID0000160140514088</t>
  </si>
  <si>
    <t>0160FBN14000217</t>
  </si>
  <si>
    <t>BKID0000160140477868</t>
  </si>
  <si>
    <t>116214XSC001037</t>
  </si>
  <si>
    <t>BKDN0461162100066328</t>
  </si>
  <si>
    <t>0160FBC14001736</t>
  </si>
  <si>
    <t>BKID0000160140523670</t>
  </si>
  <si>
    <t>0160FBC14001735</t>
  </si>
  <si>
    <t>BKID0000160140493974</t>
  </si>
  <si>
    <t>0160FBC14001659</t>
  </si>
  <si>
    <t>BKID0000160140466739</t>
  </si>
  <si>
    <t>0160FBN14000220</t>
  </si>
  <si>
    <t>BKID0000160140483889</t>
  </si>
  <si>
    <t>0160FBC14001699</t>
  </si>
  <si>
    <t>BKID0000160140514092</t>
  </si>
  <si>
    <t>Suzhou Woo-Jin Chemical Co. Ltd.</t>
  </si>
  <si>
    <t>0160FBN14000216</t>
  </si>
  <si>
    <t>BKID0000160140476920</t>
  </si>
  <si>
    <t>0160FBC14001732</t>
  </si>
  <si>
    <t>BKID0000160140514094</t>
  </si>
  <si>
    <t>0160FBC14001720</t>
  </si>
  <si>
    <t>BKID0000160140485642</t>
  </si>
  <si>
    <t>0160FBC14001797</t>
  </si>
  <si>
    <t>BKID0000160140477867</t>
  </si>
  <si>
    <t>116214XUC001044</t>
  </si>
  <si>
    <t>BKDN0461162100066335</t>
  </si>
  <si>
    <t>0160FBC14001788</t>
  </si>
  <si>
    <t>BKID0000160150570775</t>
  </si>
  <si>
    <t>0160FBC14001770</t>
  </si>
  <si>
    <t>BKID0000160140514095</t>
  </si>
  <si>
    <t>116214XSC001015</t>
  </si>
  <si>
    <t>BKDN0461162100071700</t>
  </si>
  <si>
    <t>116214XSC001066</t>
  </si>
  <si>
    <t>BKDN0461162100071702</t>
  </si>
  <si>
    <t>116214XUC001067</t>
  </si>
  <si>
    <t>BKDN0461162100066476</t>
  </si>
  <si>
    <t>0160FBC14001863</t>
  </si>
  <si>
    <t>BKID0000160140514102</t>
  </si>
  <si>
    <t>9103550617-618</t>
  </si>
  <si>
    <t>0160FBC14001781</t>
  </si>
  <si>
    <t>BKID0000160140514732</t>
  </si>
  <si>
    <t>BKID0000160140514731</t>
  </si>
  <si>
    <t>0173FSGC142470</t>
  </si>
  <si>
    <t>UTIB0000173000011966</t>
  </si>
  <si>
    <t>0160FBN14000221</t>
  </si>
  <si>
    <t>BKID0000160140480176</t>
  </si>
  <si>
    <t>BKID0000160140480175</t>
  </si>
  <si>
    <t>0160FBC14001771</t>
  </si>
  <si>
    <t>BKID0000160140514096</t>
  </si>
  <si>
    <t>0160FBC14001769</t>
  </si>
  <si>
    <t>BKID0000160140490322</t>
  </si>
  <si>
    <t>0160FBC14001755</t>
  </si>
  <si>
    <t>BKID0000160140490321</t>
  </si>
  <si>
    <t>9103550624-25</t>
  </si>
  <si>
    <t>0160FBC14001768</t>
  </si>
  <si>
    <t>BKID0000160140530163</t>
  </si>
  <si>
    <t>BKID0000160140530162</t>
  </si>
  <si>
    <t>0160FBC14001838</t>
  </si>
  <si>
    <t>BKID0000160140514098</t>
  </si>
  <si>
    <t>BASF Espanola S.L.</t>
  </si>
  <si>
    <t>0160FBC14001812</t>
  </si>
  <si>
    <t>BKID0000160140478822</t>
  </si>
  <si>
    <t>0173FSGC142528</t>
  </si>
  <si>
    <t>UTIB0000173000012012</t>
  </si>
  <si>
    <t>0160FBC14001835</t>
  </si>
  <si>
    <t>BKID0000160140482122</t>
  </si>
  <si>
    <t>116214XSC001076</t>
  </si>
  <si>
    <t>BKDN0461162100066331</t>
  </si>
  <si>
    <t>9103550639-640</t>
  </si>
  <si>
    <t>116214XUC001079</t>
  </si>
  <si>
    <t>BKDN0461162100066485</t>
  </si>
  <si>
    <t>BKDN0461162100066484</t>
  </si>
  <si>
    <t>5031314NC0001644</t>
  </si>
  <si>
    <t>STBP0000313100007439</t>
  </si>
  <si>
    <t>0160FBC14001796</t>
  </si>
  <si>
    <t>BKID0000160150552757</t>
  </si>
  <si>
    <t>0160FBC14001862</t>
  </si>
  <si>
    <t>BKID0000160140514101</t>
  </si>
  <si>
    <t>0160FBC14001858</t>
  </si>
  <si>
    <t>BKID0000160140514100</t>
  </si>
  <si>
    <t>0160FBC14001837</t>
  </si>
  <si>
    <t>BKID0000160140514097</t>
  </si>
  <si>
    <t>0160FBC14001839</t>
  </si>
  <si>
    <t>BKID0000160140514099</t>
  </si>
  <si>
    <t>116214XUC001080</t>
  </si>
  <si>
    <t>BKDN0461162100066340</t>
  </si>
  <si>
    <t>0160FBN14000234</t>
  </si>
  <si>
    <t>BKID0000160140497336</t>
  </si>
  <si>
    <t>116214XUC001124</t>
  </si>
  <si>
    <t>BKDN0461162100066338</t>
  </si>
  <si>
    <t>0173FSGC142592</t>
  </si>
  <si>
    <t>UTIB0000173000012077</t>
  </si>
  <si>
    <t>9103550662-63-64</t>
  </si>
  <si>
    <t>0160FBC14001867</t>
  </si>
  <si>
    <t>BKID0000160140524119</t>
  </si>
  <si>
    <t>BKID0000160140524120</t>
  </si>
  <si>
    <t>BKID0000160140524121</t>
  </si>
  <si>
    <t>0173FUGC142722</t>
  </si>
  <si>
    <t>UTIB0000173000012549</t>
  </si>
  <si>
    <t>9103550666-667</t>
  </si>
  <si>
    <t>0160FBC14001880</t>
  </si>
  <si>
    <t>BKID0000160140514734</t>
  </si>
  <si>
    <t>BKID0000160140514733</t>
  </si>
  <si>
    <t>0160FBC14001892</t>
  </si>
  <si>
    <t>BKID0000160140528742</t>
  </si>
  <si>
    <t>0160FBC14001879</t>
  </si>
  <si>
    <t>BKID0000160140514103</t>
  </si>
  <si>
    <t>116214XUC001129</t>
  </si>
  <si>
    <t>BKDN0461162100071704</t>
  </si>
  <si>
    <t>OOO Revada</t>
  </si>
  <si>
    <t>0160FBC15000088</t>
  </si>
  <si>
    <t>BKID0000160150545506</t>
  </si>
  <si>
    <t>0160FBN14000245</t>
  </si>
  <si>
    <t>BKID0000160140496012</t>
  </si>
  <si>
    <t>116214XSC001146</t>
  </si>
  <si>
    <t>BKDN0461162100066477</t>
  </si>
  <si>
    <t>0160FBN14000240</t>
  </si>
  <si>
    <t>BKID0000160140490324</t>
  </si>
  <si>
    <t>0160FBN14000250</t>
  </si>
  <si>
    <t>BKID0000160140497337</t>
  </si>
  <si>
    <t>0160FBN14000242</t>
  </si>
  <si>
    <t>BKID0000160140493153</t>
  </si>
  <si>
    <t>Miwon Commercial Co. Ltd.</t>
  </si>
  <si>
    <t>0160FBN14000241</t>
  </si>
  <si>
    <t>BKID0000160140490325</t>
  </si>
  <si>
    <t>0160FBC14001950</t>
  </si>
  <si>
    <t>BKID0000160140511883</t>
  </si>
  <si>
    <t>0160FBC14001920</t>
  </si>
  <si>
    <t>BKID0000160140514105</t>
  </si>
  <si>
    <t>0160FBC14001949</t>
  </si>
  <si>
    <t>BKID0000160140511882</t>
  </si>
  <si>
    <t>0160FBN14000251</t>
  </si>
  <si>
    <t>BKID0000160150542109</t>
  </si>
  <si>
    <t>9103550687-688</t>
  </si>
  <si>
    <t>0160FBC14001946</t>
  </si>
  <si>
    <t>BKID0000160140496689</t>
  </si>
  <si>
    <t>BKID0000160140496688</t>
  </si>
  <si>
    <t>0160FBN14000243</t>
  </si>
  <si>
    <t>BKID0000160140496010</t>
  </si>
  <si>
    <t>9103550691-692</t>
  </si>
  <si>
    <t>116214XSC001126</t>
  </si>
  <si>
    <t>BKDN0461162100066490</t>
  </si>
  <si>
    <t>0160FBC14001941</t>
  </si>
  <si>
    <t>BKID0000160140521781</t>
  </si>
  <si>
    <t>116214XUC001130</t>
  </si>
  <si>
    <t>BKDN0461162100071717</t>
  </si>
  <si>
    <t>0160FBC14001964</t>
  </si>
  <si>
    <t>BKID0000160140514107</t>
  </si>
  <si>
    <t>0173FSGC142748</t>
  </si>
  <si>
    <t>UTIB0000173000012275</t>
  </si>
  <si>
    <t>0160FBC14001956</t>
  </si>
  <si>
    <t>BKID0000160140493150</t>
  </si>
  <si>
    <t>0160FBN14000249</t>
  </si>
  <si>
    <t>BKID0000160140502617</t>
  </si>
  <si>
    <t>0160FBC14001953</t>
  </si>
  <si>
    <t>BKID0000160140514106</t>
  </si>
  <si>
    <t>116214XUC001139</t>
  </si>
  <si>
    <t>BKDN0461162100071705</t>
  </si>
  <si>
    <t>0160FBN14000257</t>
  </si>
  <si>
    <t>BKID0000160140523675</t>
  </si>
  <si>
    <t>0160FBC14002000</t>
  </si>
  <si>
    <t>BKID0000160140508153</t>
  </si>
  <si>
    <t>116214XUC001184</t>
  </si>
  <si>
    <t>BKDN0461162100074483</t>
  </si>
  <si>
    <t>BKDN0461162100074484</t>
  </si>
  <si>
    <t>0160FBC14001951</t>
  </si>
  <si>
    <t>BKID0000160140501795</t>
  </si>
  <si>
    <t>0160FBN14000256</t>
  </si>
  <si>
    <t>BKID0000160140510820</t>
  </si>
  <si>
    <t>0160FBN14000259</t>
  </si>
  <si>
    <t>BKID0000160140502618</t>
  </si>
  <si>
    <t>0160FBN14000263</t>
  </si>
  <si>
    <t>BKID0000160140502619</t>
  </si>
  <si>
    <t>116214XUC001183</t>
  </si>
  <si>
    <t>BKDN0461162100071710</t>
  </si>
  <si>
    <t>0160FBC14001982</t>
  </si>
  <si>
    <t>BKID0000160140528743</t>
  </si>
  <si>
    <t>9103550718-719-720</t>
  </si>
  <si>
    <t>Industria Quimica Del Centro</t>
  </si>
  <si>
    <t>0160FBN14000270</t>
  </si>
  <si>
    <t>BKID0000160140529255</t>
  </si>
  <si>
    <t>BKID0000160140529253</t>
  </si>
  <si>
    <t>BKID0000160140529254</t>
  </si>
  <si>
    <t>9103550721-722</t>
  </si>
  <si>
    <t>0160FBC14001980</t>
  </si>
  <si>
    <t>BKID0000160140529252</t>
  </si>
  <si>
    <t>BKID0000160140529251</t>
  </si>
  <si>
    <t>0160FBC14001999</t>
  </si>
  <si>
    <t>BKID0000160150580662</t>
  </si>
  <si>
    <t>0160FBN14000267</t>
  </si>
  <si>
    <t>BKID0000160140517743</t>
  </si>
  <si>
    <t>116214XUC001179</t>
  </si>
  <si>
    <t>BKDN0461162100071723</t>
  </si>
  <si>
    <t>9103550727-728</t>
  </si>
  <si>
    <t>116214XUC001180</t>
  </si>
  <si>
    <t>BKDN0461162100074486</t>
  </si>
  <si>
    <t>BKDN0461162100074485</t>
  </si>
  <si>
    <t>0160FBC15000033</t>
  </si>
  <si>
    <t>BKID0000160150542107</t>
  </si>
  <si>
    <t>0160FBC14001983</t>
  </si>
  <si>
    <t>BKID0000160140528744</t>
  </si>
  <si>
    <t>0160FBC14002002</t>
  </si>
  <si>
    <t>BKID0000160140514109</t>
  </si>
  <si>
    <t>0160FBC14002004</t>
  </si>
  <si>
    <t>BKID0000160140514110</t>
  </si>
  <si>
    <t>0160FBC14001981</t>
  </si>
  <si>
    <t>BKID0000160140534254</t>
  </si>
  <si>
    <t>BKID0000160140534255</t>
  </si>
  <si>
    <t>0160FBC14002027</t>
  </si>
  <si>
    <t>BKID0000160140514112</t>
  </si>
  <si>
    <t>0160FBC14002015</t>
  </si>
  <si>
    <t>BKID0000160150570776</t>
  </si>
  <si>
    <t>0160FBC14002247</t>
  </si>
  <si>
    <t>BKID0000160140528748</t>
  </si>
  <si>
    <t>0160FBN14000269</t>
  </si>
  <si>
    <t>BKID0000160140505118</t>
  </si>
  <si>
    <t>116214XUC001178</t>
  </si>
  <si>
    <t>BKDN0461162100046673</t>
  </si>
  <si>
    <t>VVF/TAL/EXP/0727</t>
  </si>
  <si>
    <t>0173FUGC142884</t>
  </si>
  <si>
    <t>UTIB0000173000013197</t>
  </si>
  <si>
    <t>0160FBN14000272</t>
  </si>
  <si>
    <t>BKID0000160140505119</t>
  </si>
  <si>
    <t>0160FBC14002010</t>
  </si>
  <si>
    <t>BKID0000160150543716</t>
  </si>
  <si>
    <t>0173FUGC142913</t>
  </si>
  <si>
    <t>UTIB0000173000012430</t>
  </si>
  <si>
    <t>0160FBC14002026</t>
  </si>
  <si>
    <t>BKID0000160140514111</t>
  </si>
  <si>
    <t>0160FBC14002028</t>
  </si>
  <si>
    <t>BKID0000160140514113</t>
  </si>
  <si>
    <t>0160FBC14002033</t>
  </si>
  <si>
    <t>BKID0000160140514116</t>
  </si>
  <si>
    <t>116214XUC001173</t>
  </si>
  <si>
    <t>BKDN0461162100046676</t>
  </si>
  <si>
    <t>0160FBC14002032</t>
  </si>
  <si>
    <t>BKID0000160140514115</t>
  </si>
  <si>
    <t>9103550753-754</t>
  </si>
  <si>
    <t>116214XUC001175</t>
  </si>
  <si>
    <t>BKDN0461162100074891</t>
  </si>
  <si>
    <t>BKDN0461162100074892</t>
  </si>
  <si>
    <t>0160FBC15000044</t>
  </si>
  <si>
    <t>BKID0000160150542108</t>
  </si>
  <si>
    <t>0160FBC14002031</t>
  </si>
  <si>
    <t>BKID0000160140514114</t>
  </si>
  <si>
    <t>0160FBC14002034</t>
  </si>
  <si>
    <t>BKID0000160140514117</t>
  </si>
  <si>
    <t>116214XUC001223</t>
  </si>
  <si>
    <t>BKDN0461162100074225</t>
  </si>
  <si>
    <t>0173FUGC142915</t>
  </si>
  <si>
    <t>UTIB0000173000013198</t>
  </si>
  <si>
    <t>0173FUGC142917</t>
  </si>
  <si>
    <t>UTIB0000173000013137</t>
  </si>
  <si>
    <t>0160FBN14000275</t>
  </si>
  <si>
    <t>BKID0000160150556111</t>
  </si>
  <si>
    <t>116214XUC001174</t>
  </si>
  <si>
    <t>BKDN0461162100046675</t>
  </si>
  <si>
    <t>116214XUC001251</t>
  </si>
  <si>
    <t>BKDN0461162100046677</t>
  </si>
  <si>
    <t>0173FUGC142914</t>
  </si>
  <si>
    <t>UTIB0000173000013138</t>
  </si>
  <si>
    <t>0173FUGC142959</t>
  </si>
  <si>
    <t>UTIB0000173000013196</t>
  </si>
  <si>
    <t>0160FBC14002025</t>
  </si>
  <si>
    <t>BKID0000160150541144</t>
  </si>
  <si>
    <t>0160FBC14002053</t>
  </si>
  <si>
    <t>BKID0000160140514119</t>
  </si>
  <si>
    <t>0160FBC14002052</t>
  </si>
  <si>
    <t>BKID0000160140514118</t>
  </si>
  <si>
    <t>Sejincostec Co. Ltd.</t>
  </si>
  <si>
    <t>0160FBN14000297</t>
  </si>
  <si>
    <t>BKID0000160140517745</t>
  </si>
  <si>
    <t xml:space="preserve">Hwasung Industry Co. Ltd. </t>
  </si>
  <si>
    <t xml:space="preserve">Korea </t>
  </si>
  <si>
    <t>0160FBC15000032</t>
  </si>
  <si>
    <t>BKID0000160150543718</t>
  </si>
  <si>
    <t>9103550780-81</t>
  </si>
  <si>
    <t>0160FBC14002049</t>
  </si>
  <si>
    <t>BKID0000160150580664</t>
  </si>
  <si>
    <t>9103550783-84</t>
  </si>
  <si>
    <t>0160FBC14002087</t>
  </si>
  <si>
    <t>BKID0000160140530460</t>
  </si>
  <si>
    <t xml:space="preserve">Solvay (Zhangjiagang) Specialty Chemicals Co. Ltd. </t>
  </si>
  <si>
    <t>0160FBN14000292</t>
  </si>
  <si>
    <t>BKID0000160150562839</t>
  </si>
  <si>
    <t xml:space="preserve">Siyeza Fine Chem (Pty) Ltd. </t>
  </si>
  <si>
    <t>0160FBC15000035</t>
  </si>
  <si>
    <t>BKID0000160150543720</t>
  </si>
  <si>
    <t>0160FBC14002079</t>
  </si>
  <si>
    <t>BKID0000160140530457</t>
  </si>
  <si>
    <t>NA</t>
  </si>
  <si>
    <t>0160FBC14002061</t>
  </si>
  <si>
    <t>BKID0000160140523673</t>
  </si>
  <si>
    <t>0160FBN14000287</t>
  </si>
  <si>
    <t>BKID0000160150552767</t>
  </si>
  <si>
    <t xml:space="preserve">Miwon Commercial Co. Ltd. </t>
  </si>
  <si>
    <t>0160FBN14000286</t>
  </si>
  <si>
    <t>BKID0000160140511892</t>
  </si>
  <si>
    <t>Netherlands</t>
  </si>
  <si>
    <t>0173FUGC143058</t>
  </si>
  <si>
    <t>UTIB0000173000012980</t>
  </si>
  <si>
    <t xml:space="preserve">Mitsui &amp; Co. Ltd. </t>
  </si>
  <si>
    <t>0160FBC14002090</t>
  </si>
  <si>
    <t>BKID0000160140524502</t>
  </si>
  <si>
    <t>0173FUGC143057</t>
  </si>
  <si>
    <t>UTIB0000173000013199</t>
  </si>
  <si>
    <t>0160FBC14002080</t>
  </si>
  <si>
    <t>BKID0000160140530458</t>
  </si>
  <si>
    <t>0160FBN14000290</t>
  </si>
  <si>
    <t>BKID0000160150562838</t>
  </si>
  <si>
    <t>0160FBN14000291</t>
  </si>
  <si>
    <t>BKID0000160150565305</t>
  </si>
  <si>
    <t xml:space="preserve">Colgate-Palmolive Vietnam Ltd. </t>
  </si>
  <si>
    <t>0160FBC14002101</t>
  </si>
  <si>
    <t>BKID0000160150552759</t>
  </si>
  <si>
    <t>0160FBN14000293</t>
  </si>
  <si>
    <t>BKID0000160150565306</t>
  </si>
  <si>
    <t xml:space="preserve">Iran </t>
  </si>
  <si>
    <t>Manuchar NV</t>
  </si>
  <si>
    <t xml:space="preserve">Associated Motorways (Private) Limited. </t>
  </si>
  <si>
    <t>Sri Lanka</t>
  </si>
  <si>
    <t>0160FBC14002152</t>
  </si>
  <si>
    <t>BKID0000160140535466</t>
  </si>
  <si>
    <t xml:space="preserve">Japan </t>
  </si>
  <si>
    <t>0160FBC14002266</t>
  </si>
  <si>
    <t>BKID0000160140536327</t>
  </si>
  <si>
    <t>0160FBC14002221</t>
  </si>
  <si>
    <t>29-12-2014, 30-12-2014</t>
  </si>
  <si>
    <t>BKID0000160140537564/BKID0000160140536863</t>
  </si>
  <si>
    <t>30-12-2014,31-12-2014</t>
  </si>
  <si>
    <t>FRP Services &amp; Company</t>
  </si>
  <si>
    <t>Canan Kozmetik San Ve Ticaret A.S.</t>
  </si>
  <si>
    <t>0160FBC14002220</t>
  </si>
  <si>
    <t>BKID0000160150567151</t>
  </si>
  <si>
    <t>0160FBC14002191</t>
  </si>
  <si>
    <t>BKID0000160140525955</t>
  </si>
  <si>
    <t>Akdeniz Kimya San. Ve Ticaret A.S.</t>
  </si>
  <si>
    <t>9103550837 &amp;870</t>
  </si>
  <si>
    <t>0173FSGC143197</t>
  </si>
  <si>
    <t>UTIB0000173000012670</t>
  </si>
  <si>
    <t>9103550844-45</t>
  </si>
  <si>
    <t>9103550849-50</t>
  </si>
  <si>
    <t>0160FBC14002142</t>
  </si>
  <si>
    <t>BKID0000160150557675</t>
  </si>
  <si>
    <t>BKID0000160150557676</t>
  </si>
  <si>
    <t xml:space="preserve">Italy </t>
  </si>
  <si>
    <t>9103550854-55</t>
  </si>
  <si>
    <t>9103550856-57</t>
  </si>
  <si>
    <t>9103550863-64</t>
  </si>
  <si>
    <t xml:space="preserve">Shanghai Haiyi Environmental Protection Technology Co. Ltd. </t>
  </si>
  <si>
    <t>9103550867-68</t>
  </si>
  <si>
    <t>0160FBC15000112</t>
  </si>
  <si>
    <t>BKID0000160150548205</t>
  </si>
  <si>
    <t>BKID0000160150548204</t>
  </si>
  <si>
    <t>0173FUGC143269</t>
  </si>
  <si>
    <t>UTIB0000173000012904</t>
  </si>
  <si>
    <t>Colgate-Palmolive Industrial Ltda.</t>
  </si>
  <si>
    <t>Industrial Quimica Lasem, S.A.U.</t>
  </si>
  <si>
    <t>5031315NC0000085</t>
  </si>
  <si>
    <t>STBP0000313100007370</t>
  </si>
  <si>
    <t>9103550877-78</t>
  </si>
  <si>
    <t>0173FUGC143268</t>
  </si>
  <si>
    <t>UTIB0000173000012900</t>
  </si>
  <si>
    <t>UTIB0000173000012901</t>
  </si>
  <si>
    <t xml:space="preserve">Y. S. Ashkenazi Agencies Ltd. </t>
  </si>
  <si>
    <t>0160FBC15000034</t>
  </si>
  <si>
    <t>BKID0000160150543719</t>
  </si>
  <si>
    <t>0160FBC14002243</t>
  </si>
  <si>
    <t>BKID0000160150567152</t>
  </si>
  <si>
    <t>9103550884-85</t>
  </si>
  <si>
    <t>9103550886-87</t>
  </si>
  <si>
    <t>9103550892 &amp; 903</t>
  </si>
  <si>
    <t xml:space="preserve">Fujian Zhongmin Chemical Co. Ltd. </t>
  </si>
  <si>
    <t xml:space="preserve">China </t>
  </si>
  <si>
    <t>0160FBN14000322</t>
  </si>
  <si>
    <t>BKID0000160150538761</t>
  </si>
  <si>
    <t>9103550894-95-96</t>
  </si>
  <si>
    <t xml:space="preserve">Chaouchi Abdelkader </t>
  </si>
  <si>
    <t>9103550899-900</t>
  </si>
  <si>
    <t>9103550901-02</t>
  </si>
  <si>
    <t>9103550905-06</t>
  </si>
  <si>
    <t>Kale Kimya Kimyevi Maddeler Sanayi Ve Ticaret A.S.</t>
  </si>
  <si>
    <t>0173FSGC1403362</t>
  </si>
  <si>
    <t>UTIB0000173000012896</t>
  </si>
  <si>
    <t>0173FSGC1403363</t>
  </si>
  <si>
    <t>UTIB0000173000012898</t>
  </si>
  <si>
    <t>0173FUGC1403380</t>
  </si>
  <si>
    <t>UTIB0000173000013284</t>
  </si>
  <si>
    <t>0160FBC15000008</t>
  </si>
  <si>
    <t>BKID0000160150557164</t>
  </si>
  <si>
    <t>Yilmaz Kimya Insaat Sanayi Ve Ticaret A.S.</t>
  </si>
  <si>
    <t>VVF/TAL/EXP/0908</t>
  </si>
  <si>
    <t>Castor International</t>
  </si>
  <si>
    <t>0160FBC15000009</t>
  </si>
  <si>
    <t>BKID0000160150540656</t>
  </si>
  <si>
    <t>CJP Chemicals (PTY) Ltd.</t>
  </si>
  <si>
    <t xml:space="preserve">Peru </t>
  </si>
  <si>
    <t>5031314NC0002070</t>
  </si>
  <si>
    <t>STBP0000313100007371</t>
  </si>
  <si>
    <t xml:space="preserve">Zifroni Chemicals Suppliers Ltd. </t>
  </si>
  <si>
    <t>Tricom LLC</t>
  </si>
  <si>
    <t>New Zealand</t>
  </si>
  <si>
    <t>0160FBC15000176</t>
  </si>
  <si>
    <t>BKID0000160150561856</t>
  </si>
  <si>
    <t xml:space="preserve">Welwin Europe Ltd. </t>
  </si>
  <si>
    <t xml:space="preserve">Loreal Mfg. Midrand (Pty) Ltd. </t>
  </si>
  <si>
    <t>EX-WORK</t>
  </si>
  <si>
    <t>9103550949-50</t>
  </si>
  <si>
    <t>9103550951-52</t>
  </si>
  <si>
    <t xml:space="preserve">Amka Products (Pty) Ltd. </t>
  </si>
  <si>
    <t>Ilmor Kimya Tekstil Sanayi Ve Tic. Ltd. Sti.</t>
  </si>
  <si>
    <t>9103550955-56</t>
  </si>
  <si>
    <t>9103550957-58</t>
  </si>
  <si>
    <t>9103550964-65</t>
  </si>
  <si>
    <t>Hitec Industries FZE</t>
  </si>
  <si>
    <t>0160FBC14002275</t>
  </si>
  <si>
    <t>BKID0000160150541145</t>
  </si>
  <si>
    <t xml:space="preserve">Well Art International (H.K.) Ltd. </t>
  </si>
  <si>
    <t xml:space="preserve">Turkey </t>
  </si>
  <si>
    <t>9103550969-70-71</t>
  </si>
  <si>
    <t>0173FSGC1500062</t>
  </si>
  <si>
    <t>UTIB0000173000013068</t>
  </si>
  <si>
    <t xml:space="preserve">Netherlands </t>
  </si>
  <si>
    <t>Monil Global SDN BHD</t>
  </si>
  <si>
    <t>0160FBC15000079</t>
  </si>
  <si>
    <t>BKID0000160150545505</t>
  </si>
  <si>
    <t>9103550976-77</t>
  </si>
  <si>
    <t xml:space="preserve">DDU </t>
  </si>
  <si>
    <t xml:space="preserve">FRP Services &amp; Company </t>
  </si>
  <si>
    <t>9103550979-80</t>
  </si>
  <si>
    <t>116215XUC000022</t>
  </si>
  <si>
    <t>BKDN0461162100073230</t>
  </si>
  <si>
    <t xml:space="preserve">Akulu Marchon (Pty) Ltd. </t>
  </si>
  <si>
    <t>9103550997-98</t>
  </si>
  <si>
    <t>0160FBC15000087</t>
  </si>
  <si>
    <t>BKID0000160150556105</t>
  </si>
  <si>
    <t>Agarwal &amp; Associates Trading Pvt. Ltd.</t>
  </si>
  <si>
    <t>Nepal</t>
  </si>
  <si>
    <t>Starsea Chemicals</t>
  </si>
  <si>
    <t>9103551006-07</t>
  </si>
  <si>
    <t>Tunisia</t>
  </si>
  <si>
    <t xml:space="preserve">Zohar Dalia C.A.A. Ltd. </t>
  </si>
  <si>
    <t xml:space="preserve">SBK Ltd. </t>
  </si>
  <si>
    <t>0160FBC15000181</t>
  </si>
  <si>
    <t>BKID0000160150565302</t>
  </si>
  <si>
    <t>Quimidroga S.A.</t>
  </si>
  <si>
    <t>Gold Ming (HK) International Limited.</t>
  </si>
  <si>
    <t xml:space="preserve">Oleocomm International Ltd. </t>
  </si>
  <si>
    <t>9103550154-155</t>
  </si>
  <si>
    <t>Type of Shipment</t>
  </si>
  <si>
    <t>Direct</t>
  </si>
  <si>
    <t>Third Party</t>
  </si>
  <si>
    <t>VVF/TAL/EXP/1009</t>
  </si>
  <si>
    <t>Upcity International limited</t>
  </si>
  <si>
    <t>VVF/TAL/EXP/1017</t>
  </si>
  <si>
    <t>VVF/TAL/EXP/1018</t>
  </si>
  <si>
    <t>VVF/TAL/EXP/1019</t>
  </si>
  <si>
    <t>VVF/TAL/EXP/1020</t>
  </si>
  <si>
    <t>VVF/TAL/EXP/1021</t>
  </si>
  <si>
    <t xml:space="preserve">Mitsui &amp; Co. Korea Ltd. </t>
  </si>
  <si>
    <t>VVF/TAL/EXP/1022</t>
  </si>
  <si>
    <t>VVF/TAL/EXP/1023</t>
  </si>
  <si>
    <t>VVF/TAL/EXP/1024</t>
  </si>
  <si>
    <t>VVF/TAL/EXP/1025</t>
  </si>
  <si>
    <t>VVF/TAL/EXP/1027</t>
  </si>
  <si>
    <t>VVF/TAL/EXP/1026</t>
  </si>
  <si>
    <t>VVF/TAL/EXP/1028</t>
  </si>
  <si>
    <t>VVF/TAL/EXP/1005</t>
  </si>
  <si>
    <t>VVF/TAL/EXP/1029</t>
  </si>
  <si>
    <t>VVF/TAL/EXP/1030</t>
  </si>
  <si>
    <t>VVF/TAL/EXP/1032</t>
  </si>
  <si>
    <t>VVF/TAL/EXP/1031</t>
  </si>
  <si>
    <t>Amka Products (Pty) Ltd.</t>
  </si>
  <si>
    <t>VVF/TAL/EXP/1033</t>
  </si>
  <si>
    <t>VVF/TAL/EXP/1034</t>
  </si>
  <si>
    <t>VVF/TAL/EXP/1036</t>
  </si>
  <si>
    <t>VVF/TAL/EXP/1037</t>
  </si>
  <si>
    <t>VVF/TAL/EXP/1038</t>
  </si>
  <si>
    <t>VVF/TAL/EXP/1040</t>
  </si>
  <si>
    <t>VVF/TAL/EXP/1035</t>
  </si>
  <si>
    <t>VVF/TAL/EXP/1041</t>
  </si>
  <si>
    <t>VVF/TAL/EXP/1042</t>
  </si>
  <si>
    <t>VVF/TAL/EXP/1039</t>
  </si>
  <si>
    <t>VVF/TAL/EXP/1043</t>
  </si>
  <si>
    <t>VVF/TAL/EXP/1045</t>
  </si>
  <si>
    <t>VVF/TAL/EXP/1044</t>
  </si>
  <si>
    <t>VVF/TAL/EXP/1046</t>
  </si>
  <si>
    <t>VVF/TAL/EXP/1048</t>
  </si>
  <si>
    <t>VVF/TAL/EXP/1049</t>
  </si>
  <si>
    <t>VVF/TAL/EXP/1050</t>
  </si>
  <si>
    <t>Thode + Scobel Gmbh &amp; Co.</t>
  </si>
  <si>
    <t>Ghana</t>
  </si>
  <si>
    <t>VVF/TAL/EXP/1051</t>
  </si>
  <si>
    <t>VVF/TAL/EXP/1054</t>
  </si>
  <si>
    <t>VVF/TAL/EXP/1047</t>
  </si>
  <si>
    <t>9103550832 &amp; 836</t>
  </si>
  <si>
    <t>9103551095-96</t>
  </si>
  <si>
    <t>VVF/TAL/EXP/1052</t>
  </si>
  <si>
    <t>VVF/TAL/EXP/1053</t>
  </si>
  <si>
    <t>VVF/TAL/EXP/1055</t>
  </si>
  <si>
    <t>VVF/TAL/EXP/1058</t>
  </si>
  <si>
    <t>VVF/TAL/EXP/1056</t>
  </si>
  <si>
    <t>VVF/TAL/EXP/1059</t>
  </si>
  <si>
    <t>VVF/TAL/EXP/1060</t>
  </si>
  <si>
    <t>VVF/TAL/EXP/1057</t>
  </si>
  <si>
    <t>VVF/TAL/EXP/1061</t>
  </si>
  <si>
    <t>VVF/TAL/EXP/1062</t>
  </si>
  <si>
    <t>VVF/TAL/EXP/1063</t>
  </si>
  <si>
    <t>VVF/TAL/EXP/1064</t>
  </si>
  <si>
    <t>VVF/TAL/EXP/1065</t>
  </si>
  <si>
    <t>VVF/TAL/EXP/1069</t>
  </si>
  <si>
    <t>VVF/TAL/EXP/1068</t>
  </si>
  <si>
    <t>VVF/TAL/EXP/1071</t>
  </si>
  <si>
    <t>VVF/TAL/EXP/1070</t>
  </si>
  <si>
    <t>VVF/TAL/EXP/1067</t>
  </si>
  <si>
    <t>VVF/TAL/EXP/1066</t>
  </si>
  <si>
    <t>VVF/TAL/EXP/1072</t>
  </si>
  <si>
    <t>VVF/TAL/EXP/1073</t>
  </si>
  <si>
    <t>VVF/TAL/EXP/1074</t>
  </si>
  <si>
    <t>VVF/TAL/EXP/1076</t>
  </si>
  <si>
    <t>VVF/TAL/EXP/1075</t>
  </si>
  <si>
    <t>VVF/TAL/EXP/1079</t>
  </si>
  <si>
    <t>VVF/TAL/EXP/1077</t>
  </si>
  <si>
    <t>Dongnam Chemical Co. Ltd.</t>
  </si>
  <si>
    <t>VVF/TAL/EXP/1078</t>
  </si>
  <si>
    <t>VVF/TAL/EXP/1081</t>
  </si>
  <si>
    <t>VVF/TAL/EXP/1080</t>
  </si>
  <si>
    <t>VVF/TAL/EXP/1082</t>
  </si>
  <si>
    <t>VVF/TAL/EXP/1083</t>
  </si>
  <si>
    <t>VVF/TAL/EXP/1084</t>
  </si>
  <si>
    <t>VVF/TAL/EXP/1085</t>
  </si>
  <si>
    <t>VVF/TAL/EXP/1086</t>
  </si>
  <si>
    <t>VVF/TAL/EXP/1087</t>
  </si>
  <si>
    <t>VVF/TAL/EXP/1088</t>
  </si>
  <si>
    <t>VVF/TAL/EXP/1089</t>
  </si>
  <si>
    <t>VVF/TAL/EXP/1090</t>
  </si>
  <si>
    <t>VVF/TAL/EXP/1093</t>
  </si>
  <si>
    <t>VVF/TAL/EXP/1091</t>
  </si>
  <si>
    <t>VVF/TAL/EXP/1095</t>
  </si>
  <si>
    <t>VVF/TAL/EXP/1094</t>
  </si>
  <si>
    <t>VVF/TAL/EXP/1096</t>
  </si>
  <si>
    <t>VVF/TAL/EXP/1097</t>
  </si>
  <si>
    <t>VVF/TAL/EXP/1098</t>
  </si>
  <si>
    <t>VVF/TAL/EXP/1099</t>
  </si>
  <si>
    <t>VVF/TAL/EXP/1100</t>
  </si>
  <si>
    <t>VVF/TAL/EXP/1101</t>
  </si>
  <si>
    <t>VVF/TAL/EXP/1102</t>
  </si>
  <si>
    <t>VVF/TAL/EXP/1105</t>
  </si>
  <si>
    <t>VVF/TAL/EXP/1106</t>
  </si>
  <si>
    <t>VVF/TAL/EXP/1103</t>
  </si>
  <si>
    <t>VVF/TAL/EXP/1111</t>
  </si>
  <si>
    <t>VVF/TAL/EXP/1107</t>
  </si>
  <si>
    <t>VVF/TAL/EXP/1108</t>
  </si>
  <si>
    <t>VVF/TAL/EXP/1109</t>
  </si>
  <si>
    <t>L'oreal Cosmetics Industry</t>
  </si>
  <si>
    <t>VVF/TAL/EXP/1110</t>
  </si>
  <si>
    <t>VVF/TAL/EXP/1092</t>
  </si>
  <si>
    <t>9103551153-54</t>
  </si>
  <si>
    <t>VVF/TAL/EXP/1112</t>
  </si>
  <si>
    <t>VVF/TAL/EXP/1113</t>
  </si>
  <si>
    <t>VVF/TAL/EXP/1114</t>
  </si>
  <si>
    <t>VVF/TAL/EXP/1115</t>
  </si>
  <si>
    <t>VVF/TAL/EXP/0449</t>
  </si>
  <si>
    <t>VVF/TAL/EXP/0425</t>
  </si>
  <si>
    <t>VVF/TAL/EXP/0110</t>
  </si>
  <si>
    <t>VVF/TAL/EXP/0617</t>
  </si>
  <si>
    <t>VVF/TAL/EXP/0612</t>
  </si>
  <si>
    <t>VVF/TAL/EXP/0613</t>
  </si>
  <si>
    <t>VVF/TAL/EXP/0615</t>
  </si>
  <si>
    <t>VVF/TAL/EXP/0618</t>
  </si>
  <si>
    <t>9103550636-37</t>
  </si>
  <si>
    <t>VVF/TAL/EXP/0619</t>
  </si>
  <si>
    <t>VVF/TAL/EXP/0620</t>
  </si>
  <si>
    <t>VVF/TAL/EXP/0629</t>
  </si>
  <si>
    <t>VVF/TAL/EXP/0631</t>
  </si>
  <si>
    <t>VVF/TAL/EXP/0632</t>
  </si>
  <si>
    <t>VVF/TAL/EXP/0633</t>
  </si>
  <si>
    <t>VVF/TAL/EXP/0634</t>
  </si>
  <si>
    <t>VVF/TAL/EXP/0635</t>
  </si>
  <si>
    <t>VVF/TAL/EXP/0637</t>
  </si>
  <si>
    <t>VVF/TAL/EXP/0638</t>
  </si>
  <si>
    <t>VVF/TAL/EXP/0640</t>
  </si>
  <si>
    <t>VVF/TAL/EXP/0648</t>
  </si>
  <si>
    <t>VVF/TAL/EXP/0645</t>
  </si>
  <si>
    <t>VVF/TAL/EXP/0646</t>
  </si>
  <si>
    <t>Tricon Dry Chemicals LLC</t>
  </si>
  <si>
    <t>VVF/TAL/EXP/0663</t>
  </si>
  <si>
    <t>VVF/TAL/EXP/0660</t>
  </si>
  <si>
    <t>VVF/TAL/EXP/0666</t>
  </si>
  <si>
    <t>VVF/TAL/EXP/0680</t>
  </si>
  <si>
    <t>Uchumi Chemicals Ltd.</t>
  </si>
  <si>
    <t>VVF/TAL/EXP/0683</t>
  </si>
  <si>
    <t>VVF/TAL/EXP/0692</t>
  </si>
  <si>
    <t>VVF/TAL/EXP/0700</t>
  </si>
  <si>
    <t>VVF/TAL/EXP/0710</t>
  </si>
  <si>
    <t>VVF/TAL/EXP/0716</t>
  </si>
  <si>
    <t>Croda Europe Limited</t>
  </si>
  <si>
    <t>VVF/TAL/EXP/0712</t>
  </si>
  <si>
    <t>CV. Gading Mas</t>
  </si>
  <si>
    <t>Indonesia</t>
  </si>
  <si>
    <t>VVF/TAL/EXP/0722</t>
  </si>
  <si>
    <t>VVF/TAL/EXP/0737</t>
  </si>
  <si>
    <t>VVF/TAL/EXP/0738</t>
  </si>
  <si>
    <t>Obtech Pacific SDN BHD</t>
  </si>
  <si>
    <t>Syria</t>
  </si>
  <si>
    <t>9103550755-756</t>
  </si>
  <si>
    <t>VVF/TAL/EXP/0741</t>
  </si>
  <si>
    <t>VVF/TAL/EXP/0742</t>
  </si>
  <si>
    <t>VVF/TAL/EXP/0744</t>
  </si>
  <si>
    <t>VVF/TAL/EXP/0760</t>
  </si>
  <si>
    <t>VVF/TAL/EXP/0756</t>
  </si>
  <si>
    <t>VVF/TAL/EXP/0758</t>
  </si>
  <si>
    <t>9103550627-28</t>
  </si>
  <si>
    <t>VVF/TAL/EXP/0607</t>
  </si>
  <si>
    <t>VVF/TAL/EXP/0611</t>
  </si>
  <si>
    <t>9103550605-06</t>
  </si>
  <si>
    <t>VVF/TAL/EXP/0586</t>
  </si>
  <si>
    <t>VVF/TAL/EXP/0587</t>
  </si>
  <si>
    <t>VVF/TAL/EXP/0584</t>
  </si>
  <si>
    <t>VVF/TAL/EXP/0582</t>
  </si>
  <si>
    <t>VVF/TAL/EXP/0581</t>
  </si>
  <si>
    <t>VVF/TAL/EXP/0579</t>
  </si>
  <si>
    <t>VVF/TAL/EXP/0547</t>
  </si>
  <si>
    <t>VVF/TAL/EXP/0443</t>
  </si>
  <si>
    <t>VVF/TAL/EXP/0434</t>
  </si>
  <si>
    <t>9103551159-60</t>
  </si>
  <si>
    <t>VVF/TAL/EXP/1116</t>
  </si>
  <si>
    <t>VVF/TAL/EXP/1117</t>
  </si>
  <si>
    <t>VVF/TAL/EXP/1119</t>
  </si>
  <si>
    <t>VVF/TAL/EXP/1120</t>
  </si>
  <si>
    <t>VVF/TAL/EXP/1121</t>
  </si>
  <si>
    <t>VVF/TAL/EXP/1122</t>
  </si>
  <si>
    <t>VVF/TAL/EXP/1123</t>
  </si>
  <si>
    <t>VVF/TAL/EXP/1124</t>
  </si>
  <si>
    <t>VVF/TAL/EXP/1125</t>
  </si>
  <si>
    <t>VVF/TAL/EXP/1126</t>
  </si>
  <si>
    <t>VVF/TAL/EXP/1127</t>
  </si>
  <si>
    <t>VVF/TAL/EXP/1128</t>
  </si>
  <si>
    <t>VVF/TAL/EXP/1130</t>
  </si>
  <si>
    <t>9103551172-73</t>
  </si>
  <si>
    <t>VVF/TAL/EXP/1129</t>
  </si>
  <si>
    <t>VVF/TAL/EXP/1131</t>
  </si>
  <si>
    <t>9103551175-76</t>
  </si>
  <si>
    <t>VVF/TAL/EXP/1133</t>
  </si>
  <si>
    <t>VVF/TAL/EXP/1135</t>
  </si>
  <si>
    <t>VVF/TAL/EXP/1136</t>
  </si>
  <si>
    <t>VVF/TAL/EXP/1139</t>
  </si>
  <si>
    <t>VVF/TAL/EXP/1140</t>
  </si>
  <si>
    <t>9103551180-81</t>
  </si>
  <si>
    <t>VVF/TAL/EXP/1134</t>
  </si>
  <si>
    <t>VVF/TAL/EXP/1141</t>
  </si>
  <si>
    <t>VVF/TAL/EXP/1142</t>
  </si>
  <si>
    <t>VVF/TAL/EXP/1143</t>
  </si>
  <si>
    <t>Kowa Company Ltd.</t>
  </si>
  <si>
    <t>VVF/TAL/EXP/1137</t>
  </si>
  <si>
    <t>VVF/TAL/EXP/1145</t>
  </si>
  <si>
    <t>VVF/TAL/EXP/1146</t>
  </si>
  <si>
    <t>VVF/TAL/EXP/1147</t>
  </si>
  <si>
    <t>VVF/TAL/EXP/1148</t>
  </si>
  <si>
    <t>VVF/TAL/EXP/1149</t>
  </si>
  <si>
    <t>VVF/TAL/EXP/1150</t>
  </si>
  <si>
    <t>VVF/TAL/EXP/1151</t>
  </si>
  <si>
    <t>VVF/TAL/EXP/1153</t>
  </si>
  <si>
    <t>VVF/TAL/EXP/1152</t>
  </si>
  <si>
    <t>VVF/TAL/EXP/1154</t>
  </si>
  <si>
    <t>VVF/TAL/EXP/1155</t>
  </si>
  <si>
    <t>VVF/TAL/EXP/1156</t>
  </si>
  <si>
    <t>VVF/TAL/EXP/1158</t>
  </si>
  <si>
    <t>VVF/TAL/EXP/1161</t>
  </si>
  <si>
    <t>9103551201-02</t>
  </si>
  <si>
    <t>VVF/TAL/EXP/1160</t>
  </si>
  <si>
    <t>VVF/TAL/EXP/1162</t>
  </si>
  <si>
    <t>VVF/TAL/EXP/1163</t>
  </si>
  <si>
    <t>VVF/TAL/EXP/1167</t>
  </si>
  <si>
    <t>9103551206-07</t>
  </si>
  <si>
    <t>VVF/TAL/EXP/1166</t>
  </si>
  <si>
    <t>VVF/TAL/EXP/1168</t>
  </si>
  <si>
    <t>VVF/TAL/EXP/1170</t>
  </si>
  <si>
    <t>VVF/TAL/EXP/1174</t>
  </si>
  <si>
    <t>Argentina</t>
  </si>
  <si>
    <t>VVF/TAL/EXP/1177</t>
  </si>
  <si>
    <t>9103551216-17</t>
  </si>
  <si>
    <t>VVF/TAL/EXP/1173</t>
  </si>
  <si>
    <t>VVF/TAL/EXP/1178</t>
  </si>
  <si>
    <t>9103551218-19</t>
  </si>
  <si>
    <t>VVF/TAL/EXP/1176</t>
  </si>
  <si>
    <t>VVF/TAL/EXP/1179</t>
  </si>
  <si>
    <t>VVF/TAL/EXP/1180</t>
  </si>
  <si>
    <t>9103551221-22</t>
  </si>
  <si>
    <t>VVF/TAL/EXP/1181</t>
  </si>
  <si>
    <t>VVF/TAL/EXP/1183</t>
  </si>
  <si>
    <t>VVF/TAL/EXP/1182</t>
  </si>
  <si>
    <t>9103551223-24</t>
  </si>
  <si>
    <t>VVF/TAL/EXP/1184</t>
  </si>
  <si>
    <t>VVF/TAL/EXP/1185</t>
  </si>
  <si>
    <t>VVF/TAL/EXP/1186</t>
  </si>
  <si>
    <t>VVF/TAL/EXP/1187</t>
  </si>
  <si>
    <t>9103551228-29</t>
  </si>
  <si>
    <t>VVF/TAL/EXP/1188</t>
  </si>
  <si>
    <t>VVF/TAL/EXP/1190</t>
  </si>
  <si>
    <t>9103551230-31</t>
  </si>
  <si>
    <t>VVF/TAL/EXP/1189</t>
  </si>
  <si>
    <t>VVF/TAL/EXP/1192</t>
  </si>
  <si>
    <t>VVF/TAL/EXP/1193</t>
  </si>
  <si>
    <t>VVF/TAL/EXP/1194</t>
  </si>
  <si>
    <t>VVF/TAL/EXP/1195</t>
  </si>
  <si>
    <t>VVF/TAL/EXP/1197</t>
  </si>
  <si>
    <t>VVF/TAL/EXP/1198</t>
  </si>
  <si>
    <t>VVF/TAL/EXP/1191</t>
  </si>
  <si>
    <t>VVF/TAL/EXP/1199</t>
  </si>
  <si>
    <t>9103551238-39</t>
  </si>
  <si>
    <t>VVF/TAL/EXP/1196</t>
  </si>
  <si>
    <t>VVF/TAL/EXP/1200</t>
  </si>
  <si>
    <t>VVF/TAL/EXP/1206</t>
  </si>
  <si>
    <t>VVF/TAL/EXP/1204</t>
  </si>
  <si>
    <t>VVF/TAL/EXP/1202</t>
  </si>
  <si>
    <t>VVF/TAL/EXP/1207</t>
  </si>
  <si>
    <t>VVF/TAL/EXP/1208</t>
  </si>
  <si>
    <t>9103551250-51</t>
  </si>
  <si>
    <t>VVF/TAL/EXP/1205</t>
  </si>
  <si>
    <t>VVF/TAL/EXP/1211</t>
  </si>
  <si>
    <t>9103551252-53</t>
  </si>
  <si>
    <t>VVF/TAL/EXP/1214</t>
  </si>
  <si>
    <t>VVF/TAL/EXP/1215</t>
  </si>
  <si>
    <t>9103551254-55</t>
  </si>
  <si>
    <t>VVF/TAL/EXP/1213</t>
  </si>
  <si>
    <t>VVF/TAL/EXP/1216</t>
  </si>
  <si>
    <t>VVF/TAL/EXP/1217</t>
  </si>
  <si>
    <t>VVF/TAL/EXP/1219</t>
  </si>
  <si>
    <t>VVF/TAL/EXP/1218</t>
  </si>
  <si>
    <t>VVF/TAL/EXP/1220</t>
  </si>
  <si>
    <t>VVF/TAL/EXP/1221</t>
  </si>
  <si>
    <t>9103551262-63</t>
  </si>
  <si>
    <t>VVF/TAL/EXP/1223</t>
  </si>
  <si>
    <t>VVF/TAL/EXP/1224</t>
  </si>
  <si>
    <t>VVF/TAL/EXP/1225</t>
  </si>
  <si>
    <t>Italmatch Chemicals Spa</t>
  </si>
  <si>
    <t>9112550016-17-18</t>
  </si>
  <si>
    <t>VVF/DAM/EXP/0016</t>
  </si>
  <si>
    <t>9112550020-21-22</t>
  </si>
  <si>
    <t>VVF/DAM/EXP/0020</t>
  </si>
  <si>
    <t>VVF/DAM/EXP/0021</t>
  </si>
  <si>
    <t>VVF/DAM/EXP/0022</t>
  </si>
  <si>
    <t>VVF/DAM/EXP/0023</t>
  </si>
  <si>
    <t>9112550024-25</t>
  </si>
  <si>
    <t>VVF/DAM/EXP/0024</t>
  </si>
  <si>
    <t>VVF/DAM/EXP/0025</t>
  </si>
  <si>
    <t>9112550026-27</t>
  </si>
  <si>
    <t>VVF/DAM/EXP/0026</t>
  </si>
  <si>
    <t>VVF/DAM/EXP/0027</t>
  </si>
  <si>
    <t>Wada</t>
  </si>
  <si>
    <t>VVF/BULK/EXP/0010</t>
  </si>
  <si>
    <t>VVF/BULK/EXP/0009</t>
  </si>
  <si>
    <t>VVF/BULK/EXP/0008</t>
  </si>
  <si>
    <t>VVF/BULK/EXP/0011</t>
  </si>
  <si>
    <t>VVF/BULK/EXP/0012</t>
  </si>
  <si>
    <t>VVF/BULK/EXP/0013</t>
  </si>
  <si>
    <t>VVF/BULK/EXP/0014</t>
  </si>
  <si>
    <t>VVF/BULK/EXP/0015</t>
  </si>
  <si>
    <t>VVF/BULK/EXP/0016</t>
  </si>
  <si>
    <t>VVF/BULK/EXP/0017</t>
  </si>
  <si>
    <t>VVF/BULK/EXP/0018</t>
  </si>
  <si>
    <t>VVF/BULK/EXP/0019</t>
  </si>
  <si>
    <t>Merchant</t>
  </si>
  <si>
    <t>VVF/BULK/EXP/0024</t>
  </si>
  <si>
    <t>VVF/BULK/EXP/0025</t>
  </si>
  <si>
    <t>VVF/BULK/EXP/0022</t>
  </si>
  <si>
    <t>VVF/BULK/EXP/0023</t>
  </si>
  <si>
    <t>VVF/BULK/EXP/0021</t>
  </si>
  <si>
    <t>VVF/BULK/EXP/0020</t>
  </si>
  <si>
    <t>VVF/BULK/EXP/0027</t>
  </si>
  <si>
    <t>VVF/BULK/EXP/0028</t>
  </si>
  <si>
    <t>VVF/BULK/EXP/0029</t>
  </si>
  <si>
    <t>VVF/BULK/EXP/0030</t>
  </si>
  <si>
    <t>VVF/BULK/EXP/0031</t>
  </si>
  <si>
    <t>VVF/BULK/EXP/0032</t>
  </si>
  <si>
    <t>VVF/BULK/EXP/0033</t>
  </si>
  <si>
    <t>9106550030-31</t>
  </si>
  <si>
    <t>VVF/BULK/EXP/0034</t>
  </si>
  <si>
    <t>VVF/BULK/EXP/0035</t>
  </si>
  <si>
    <t>9106550032-33</t>
  </si>
  <si>
    <t>VVF/BULK/EXP/0036</t>
  </si>
  <si>
    <t>VVF/BULK/EXP/0037</t>
  </si>
  <si>
    <t>VVF/BULK/EXP/0038</t>
  </si>
  <si>
    <t>VVF/BULK/EXP/0039</t>
  </si>
  <si>
    <t>VVF/BULK/EXP/0040</t>
  </si>
  <si>
    <t>VVF/BULK/EXP/0041</t>
  </si>
  <si>
    <t>VVF/BULK/EXP/0042</t>
  </si>
  <si>
    <t>VVF/BULK/EXP/0043</t>
  </si>
  <si>
    <t>VVF/BULK/EXP/0044</t>
  </si>
  <si>
    <t>VVF/BULK/EXP/0045</t>
  </si>
  <si>
    <t>VVF/BULK/EXP/0046</t>
  </si>
  <si>
    <t>VVF/BULK/EXP/0047</t>
  </si>
  <si>
    <t>VVF/BULK/EXP/0048</t>
  </si>
  <si>
    <t>VVF/BULK/EXP/0050</t>
  </si>
  <si>
    <t>VVF/BULK/EXP/0051</t>
  </si>
  <si>
    <t>VVF/BULK/EXP/0052</t>
  </si>
  <si>
    <t>VVF/BULK/EXP/0053</t>
  </si>
  <si>
    <t>VVF/BULK/EXP/0054</t>
  </si>
  <si>
    <t>Baddi</t>
  </si>
  <si>
    <t>VVF/BDD/FS/001</t>
  </si>
  <si>
    <t>Henkel Consumer Goods Inc.</t>
  </si>
  <si>
    <t>VVF/BDD/EXP/0002</t>
  </si>
  <si>
    <t>VVF/TAL/EXP/1226</t>
  </si>
  <si>
    <t>VVF/TAL/EXP/1228</t>
  </si>
  <si>
    <t>9103551267-68</t>
  </si>
  <si>
    <t>VVF/TAL/EXP/1230</t>
  </si>
  <si>
    <t>VVF/TAL/EXP/1231</t>
  </si>
  <si>
    <t>VVF/TAL/EXP/1236</t>
  </si>
  <si>
    <t>VVF/TAL/EXP/1234</t>
  </si>
  <si>
    <t>VVF/TAL/EXP/1241</t>
  </si>
  <si>
    <t>VVF/TAL/EXP/1244</t>
  </si>
  <si>
    <t>9103550271-72-73</t>
  </si>
  <si>
    <t>VVF/V-BULK/EXP/0001</t>
  </si>
  <si>
    <t>VVF/V-BULK/EXP/0002</t>
  </si>
  <si>
    <t>9103550275-276</t>
  </si>
  <si>
    <t>VVF/V-BULK/EXP/0003</t>
  </si>
  <si>
    <t>Mumbai</t>
  </si>
  <si>
    <t>9103550331-332</t>
  </si>
  <si>
    <t>VVF/V-BULK/EXP/0004</t>
  </si>
  <si>
    <t>Ineos nv</t>
  </si>
  <si>
    <t>9103550519-20-21-22</t>
  </si>
  <si>
    <t>VVF/V-BULK/EXP/0005</t>
  </si>
  <si>
    <t>9103550937-38-39-40-41</t>
  </si>
  <si>
    <t>VVF/V-BULK/EXP/0006</t>
  </si>
  <si>
    <t>9103550984-985</t>
  </si>
  <si>
    <t>VVF/V-BULK/EXP/0007</t>
  </si>
  <si>
    <t>0160FBN15000021</t>
  </si>
  <si>
    <t>BKID0000160150561051</t>
  </si>
  <si>
    <t>116215XSC000073</t>
  </si>
  <si>
    <t>BKDN0461162100074227</t>
  </si>
  <si>
    <t>0160FBN15000028</t>
  </si>
  <si>
    <t>BKID0000160150562841</t>
  </si>
  <si>
    <t>0160FBC15000203</t>
  </si>
  <si>
    <t>BKID0000160150570778</t>
  </si>
  <si>
    <t>0160FBN15000025</t>
  </si>
  <si>
    <t>BKID0000160150580667</t>
  </si>
  <si>
    <t>0160FBC15000159</t>
  </si>
  <si>
    <t>BKID0000160150556107</t>
  </si>
  <si>
    <t>0160FBC15000205</t>
  </si>
  <si>
    <t>BKID0000160150570779</t>
  </si>
  <si>
    <t>0160FBN15000022</t>
  </si>
  <si>
    <t>BKID0000160150563782</t>
  </si>
  <si>
    <t>0160FBN15000024</t>
  </si>
  <si>
    <t>BKID0000160150565307</t>
  </si>
  <si>
    <t>0160FBC15000241</t>
  </si>
  <si>
    <t>BKID0000160150575279</t>
  </si>
  <si>
    <t>0160FBC15000242</t>
  </si>
  <si>
    <t>BKID0000160150575280</t>
  </si>
  <si>
    <t>0160FBC15000233</t>
  </si>
  <si>
    <t>BKID0000160150565769</t>
  </si>
  <si>
    <t>BKID0000160150565770</t>
  </si>
  <si>
    <t>0160FBC15000243</t>
  </si>
  <si>
    <t>BKID0000160150583544</t>
  </si>
  <si>
    <t>0173FSGC1500184</t>
  </si>
  <si>
    <t>UTIB0000173000013260</t>
  </si>
  <si>
    <t>0160FBC15000258</t>
  </si>
  <si>
    <t>BKID0000160150579300</t>
  </si>
  <si>
    <t>5031315NC0000050</t>
  </si>
  <si>
    <t>STBP0000313100007557</t>
  </si>
  <si>
    <t>116215XSC000113</t>
  </si>
  <si>
    <t>BKDN0461162100076170</t>
  </si>
  <si>
    <t>STBP0000313100007558</t>
  </si>
  <si>
    <t>0160FBC14002086</t>
  </si>
  <si>
    <t>BKID0000160140530459</t>
  </si>
  <si>
    <t>0160FBC14002091</t>
  </si>
  <si>
    <t>BKID0000160140529619</t>
  </si>
  <si>
    <t>0160FBC14002099</t>
  </si>
  <si>
    <t>BKID0000160140530462</t>
  </si>
  <si>
    <t>0160FBC14002089</t>
  </si>
  <si>
    <t>BKID0000160140525954</t>
  </si>
  <si>
    <t>0160FBN14000296</t>
  </si>
  <si>
    <t>BKID0000160140517744</t>
  </si>
  <si>
    <t>0160FBC14002098</t>
  </si>
  <si>
    <t>BKID0000160140530461</t>
  </si>
  <si>
    <t>0160FBC14002088</t>
  </si>
  <si>
    <t>BKID0000160140524501</t>
  </si>
  <si>
    <t>0160FBC14002102</t>
  </si>
  <si>
    <t>BKID0000160150547806</t>
  </si>
  <si>
    <t>0160FBC14002100</t>
  </si>
  <si>
    <t>BKID0000160150580665</t>
  </si>
  <si>
    <t>0173FUGC143205</t>
  </si>
  <si>
    <t>UTIB0000173000013035</t>
  </si>
  <si>
    <t>0160FBC14002130</t>
  </si>
  <si>
    <t>BKID0000160140530463</t>
  </si>
  <si>
    <t>0160FBN14000304</t>
  </si>
  <si>
    <t>BKID0000160150572762</t>
  </si>
  <si>
    <t>BKID0000160150572763</t>
  </si>
  <si>
    <t>0160FBC14002111</t>
  </si>
  <si>
    <t>BKID0000160150551814</t>
  </si>
  <si>
    <t>9103551069-70</t>
  </si>
  <si>
    <t>VVF/TAL/EXP/1222</t>
  </si>
  <si>
    <t>VVF/TAL/EXP/1229</t>
  </si>
  <si>
    <t>VVF/TAL/EXP/1232</t>
  </si>
  <si>
    <t>VVF/TAL/EXP/1237</t>
  </si>
  <si>
    <t>9103551273-74-75</t>
  </si>
  <si>
    <t>VVF/TAL/EXP/1227</t>
  </si>
  <si>
    <t>Blackburn Chemicals Limited</t>
  </si>
  <si>
    <t>VVF/TAL/EXP/1233</t>
  </si>
  <si>
    <t>VVF/TAL/EXP/1235</t>
  </si>
  <si>
    <t>VVF/TAL/EXP/1239</t>
  </si>
  <si>
    <t>VVF/TAL/EXP/1238</t>
  </si>
  <si>
    <t>VVF/TAL/EXP/1240</t>
  </si>
  <si>
    <t>VVF/TAL/EXP/1242</t>
  </si>
  <si>
    <t>VVF/TAL/EXP/1243</t>
  </si>
  <si>
    <t>VVF/TAL/EXP/1245</t>
  </si>
  <si>
    <t>VVF/TAL/EXP/1248</t>
  </si>
  <si>
    <t>VVF/TAL/EXP/1249</t>
  </si>
  <si>
    <t>VVF/TAL/EXP/1250</t>
  </si>
  <si>
    <t>VVF/TAL/EXP/1246</t>
  </si>
  <si>
    <t>9103551285-86</t>
  </si>
  <si>
    <t>VVF/TAL/EXP/1251</t>
  </si>
  <si>
    <t>VVF/TAL/EXP/1252</t>
  </si>
  <si>
    <t>VVF/TAL/EXP/1253</t>
  </si>
  <si>
    <t>VVF/TAL/EXP/1254</t>
  </si>
  <si>
    <t>VVF/TAL/EXP/1255</t>
  </si>
  <si>
    <t>VVF/TAL/EXP/1257</t>
  </si>
  <si>
    <t>VVF/TAL/EXP/1256</t>
  </si>
  <si>
    <t>VVF/TAL/EXP/1258</t>
  </si>
  <si>
    <t>VVF/TAL/EXP/1259</t>
  </si>
  <si>
    <t>VVF/TAL/EXP/1247</t>
  </si>
  <si>
    <t>VVF/TAL/EXP/1262</t>
  </si>
  <si>
    <t>VVF/TAL/EXP/1266</t>
  </si>
  <si>
    <t>VVF/TAL/EXP/1267</t>
  </si>
  <si>
    <t>VVF/TAL/EXP/1272</t>
  </si>
  <si>
    <t>VVF/TAL/EXP/1132</t>
  </si>
  <si>
    <t>M/s. Associated Motorways (Private) Limited</t>
  </si>
  <si>
    <t>VVF/TAL/EXP/1144</t>
  </si>
  <si>
    <t>Czech Republic</t>
  </si>
  <si>
    <t>VVF/TAL/EXP/1157</t>
  </si>
  <si>
    <t>Hci Chemicals Nederland B.V.</t>
  </si>
  <si>
    <t>Dominican Republic</t>
  </si>
  <si>
    <t>9103551209-10-11</t>
  </si>
  <si>
    <t>VVF/TAL/EXP/1159</t>
  </si>
  <si>
    <t>VVF/TAL/EXP/1164</t>
  </si>
  <si>
    <t>VVF/TAL/EXP/1169</t>
  </si>
  <si>
    <t>VVF/TAL/EXP/1171</t>
  </si>
  <si>
    <t>VVF/TAL/EXP/1268</t>
  </si>
  <si>
    <t>VVF/TAL/EXP/1269</t>
  </si>
  <si>
    <t>VVF/TAL/EXP/1271</t>
  </si>
  <si>
    <t>VVF/TAL/EXP/1275</t>
  </si>
  <si>
    <t>5031314NC0000720</t>
  </si>
  <si>
    <t>STBP0000313100007816</t>
  </si>
  <si>
    <t>0160FBC14001891</t>
  </si>
  <si>
    <t>BKID0000160140491403</t>
  </si>
  <si>
    <t>0160FBC14002081</t>
  </si>
  <si>
    <t>BKID0000160140511886</t>
  </si>
  <si>
    <t>5031314NC0000860</t>
  </si>
  <si>
    <t>STBP0000313100007432</t>
  </si>
  <si>
    <t>Actual Freight Paid (In FFC)</t>
  </si>
  <si>
    <t>Actual Insurance Paid (In FFC)</t>
  </si>
  <si>
    <t>Actual commission Paid (In FFC)</t>
  </si>
  <si>
    <t>Net FOB Value (FFC)</t>
  </si>
  <si>
    <t>CIF Value (in FFC)</t>
  </si>
  <si>
    <t>BKID0000160140514104</t>
  </si>
  <si>
    <t>correction (uploaded in 1 s/bill instead of 2)</t>
  </si>
  <si>
    <t>0160FBC14001420</t>
  </si>
  <si>
    <t>0160FBC14001470</t>
  </si>
  <si>
    <t>0160FBC14001471</t>
  </si>
  <si>
    <t>0160FBC14001531</t>
  </si>
  <si>
    <t>0160FBC14001621</t>
  </si>
  <si>
    <t>0160FBC14001642</t>
  </si>
  <si>
    <t>0160FBC14001170</t>
  </si>
  <si>
    <t>0160FBC14001169</t>
  </si>
  <si>
    <t>0160FBC14001171</t>
  </si>
  <si>
    <t>116214XUC000923</t>
  </si>
  <si>
    <t>116214XUC001374</t>
  </si>
  <si>
    <t>116215XSC000007</t>
  </si>
  <si>
    <t>BKID0000160140385118</t>
  </si>
  <si>
    <t>BKID0000160150598638</t>
  </si>
  <si>
    <t>BKID0000160140473664</t>
  </si>
  <si>
    <t>BKID0000160150610961</t>
  </si>
  <si>
    <t>STBP0000313100007440</t>
  </si>
  <si>
    <t>STBP0000313100007434</t>
  </si>
  <si>
    <t>BKDN0461162100080995</t>
  </si>
  <si>
    <t>BKID0000160150581610</t>
  </si>
  <si>
    <t>STBP0000313100007435</t>
  </si>
  <si>
    <t>BKID0000160140464942/BKID0000160140464418</t>
  </si>
  <si>
    <t>BKID0000160140537562/BKID0000160140536860</t>
  </si>
  <si>
    <t>BKID0000160140533778</t>
  </si>
  <si>
    <t>BKID0000160140472598/BKID0000160140473674</t>
  </si>
  <si>
    <t>STBP0000313100007436</t>
  </si>
  <si>
    <t>BKDN0461162100080996</t>
  </si>
  <si>
    <t>BKDN0461162100080997</t>
  </si>
  <si>
    <t>BKDN0461162100080999</t>
  </si>
  <si>
    <t>BKDN0461162100081000</t>
  </si>
  <si>
    <t>STBP0000313100007437</t>
  </si>
  <si>
    <t>BKID0000160150571275</t>
  </si>
  <si>
    <t>BKID0000160150571276</t>
  </si>
  <si>
    <t>BKID0000160140483888</t>
  </si>
  <si>
    <t>BKID0000160140537563</t>
  </si>
  <si>
    <t>BKID0000160140512538</t>
  </si>
  <si>
    <t>BKID0000160140512539</t>
  </si>
  <si>
    <t>BKID0000160150598642</t>
  </si>
  <si>
    <t>BKID0000160140534257</t>
  </si>
  <si>
    <t>BKID0000160140534256</t>
  </si>
  <si>
    <t>BKID0000160140510819</t>
  </si>
  <si>
    <t>BKID0000160140496011</t>
  </si>
  <si>
    <t>BKID0000160150598641</t>
  </si>
  <si>
    <t>BKID0000160140494717</t>
  </si>
  <si>
    <t>BKID0000160140535470</t>
  </si>
  <si>
    <t>BKID0000160140511887</t>
  </si>
  <si>
    <t>BKID0000160140511884</t>
  </si>
  <si>
    <t>BKID0000160150544291</t>
  </si>
  <si>
    <t>BKID0000160150544290</t>
  </si>
  <si>
    <t>BKID0000160140533775</t>
  </si>
  <si>
    <t>BKID0000160140533776</t>
  </si>
  <si>
    <t>BKID0000160150543717</t>
  </si>
  <si>
    <t>BKID0000160140535472</t>
  </si>
  <si>
    <t>BKID0000160140536325</t>
  </si>
  <si>
    <t>BKID0000160150598640</t>
  </si>
  <si>
    <t>BKID0000160140535467</t>
  </si>
  <si>
    <t>BKID0000160140535473</t>
  </si>
  <si>
    <t>BKID0000160140533777</t>
  </si>
  <si>
    <t>BKID0000160150599261</t>
  </si>
  <si>
    <t>BKID0000160150599262</t>
  </si>
  <si>
    <t>BKID0000160150569916/BKID0000160150569057</t>
  </si>
  <si>
    <t>BKID0000160140535469</t>
  </si>
  <si>
    <t>BKID0000160150601781</t>
  </si>
  <si>
    <t>BKID0000160150601780</t>
  </si>
  <si>
    <t>BKID0000160150601782</t>
  </si>
  <si>
    <t>BKID0000160140523674</t>
  </si>
  <si>
    <t>BKID0000160140533774</t>
  </si>
  <si>
    <t>BKID0000160140528746</t>
  </si>
  <si>
    <t>BKID0000160150577976</t>
  </si>
  <si>
    <t>BKID0000160150595888</t>
  </si>
  <si>
    <t>BKID0000160140521782</t>
  </si>
  <si>
    <t>BKID0000160150547807</t>
  </si>
  <si>
    <t>BKID0000160140532557</t>
  </si>
  <si>
    <t>BKID0000160150601783</t>
  </si>
  <si>
    <t>BKID0000160150574090</t>
  </si>
  <si>
    <t>BKID0000160150574091</t>
  </si>
  <si>
    <t>BKID0000160150553357</t>
  </si>
  <si>
    <t>BKID0000160150553356</t>
  </si>
  <si>
    <t>BKID0000160150554815/BKID0000160140535468</t>
  </si>
  <si>
    <t>BKID0000160140530464</t>
  </si>
  <si>
    <t>BKID0000160140531140</t>
  </si>
  <si>
    <t>BKID0000160150577168</t>
  </si>
  <si>
    <t>BKID0000160150577977</t>
  </si>
  <si>
    <t>BKID0000160140533779</t>
  </si>
  <si>
    <t>BKID0000160140530465</t>
  </si>
  <si>
    <t>BKID0000160150621698</t>
  </si>
  <si>
    <t>BKID0000160140535477</t>
  </si>
  <si>
    <t>BKID0000160150585223</t>
  </si>
  <si>
    <t>BKID0000160150585224</t>
  </si>
  <si>
    <t>BKID0000160150585225</t>
  </si>
  <si>
    <t>BKID0000160150543723</t>
  </si>
  <si>
    <t>BKID0000160150547810</t>
  </si>
  <si>
    <t>BKID0000160150544752</t>
  </si>
  <si>
    <t>BKID0000160150570782</t>
  </si>
  <si>
    <t>BKID0000160150547809</t>
  </si>
  <si>
    <t>BKID0000160150547808</t>
  </si>
  <si>
    <t>BKID0000160150574092</t>
  </si>
  <si>
    <t>BKID0000160150574093</t>
  </si>
  <si>
    <t>BKID0000160150573610</t>
  </si>
  <si>
    <t>BKID0000160150585226</t>
  </si>
  <si>
    <t>BKID0000160150543724</t>
  </si>
  <si>
    <t>BKID0000160150570783</t>
  </si>
  <si>
    <t>BKID0000160150594776</t>
  </si>
  <si>
    <t>BKID0000160150585227</t>
  </si>
  <si>
    <t>BKID0000160150598657</t>
  </si>
  <si>
    <t>BKID0000160150598647</t>
  </si>
  <si>
    <t>BKID0000160150573612/BKID0000160150572195</t>
  </si>
  <si>
    <t>BKID0000160150581611</t>
  </si>
  <si>
    <t>BKID0000160150604633</t>
  </si>
  <si>
    <t>BKID0000160150604632</t>
  </si>
  <si>
    <t>BKID0000160150604631</t>
  </si>
  <si>
    <t>BKID0000160150551215</t>
  </si>
  <si>
    <t>BKID0000160150551214</t>
  </si>
  <si>
    <t>BKID0000160150585229</t>
  </si>
  <si>
    <t>BKID0000160150552762</t>
  </si>
  <si>
    <t>BKID0000160150582164</t>
  </si>
  <si>
    <t>BKID0000160150582165</t>
  </si>
  <si>
    <t>BKID0000160150560156</t>
  </si>
  <si>
    <t>BKID0000160150585228</t>
  </si>
  <si>
    <t>BKID0000160150585765</t>
  </si>
  <si>
    <t>BKID0000160150585766</t>
  </si>
  <si>
    <t>BKID0000160150553854</t>
  </si>
  <si>
    <t>BKID0000160150600424</t>
  </si>
  <si>
    <t>BKID0000160150600423</t>
  </si>
  <si>
    <t>BKID0000160150600426</t>
  </si>
  <si>
    <t>BKID0000160150600425</t>
  </si>
  <si>
    <t>BKID0000160150582167</t>
  </si>
  <si>
    <t>BKID0000160150582166</t>
  </si>
  <si>
    <t>BKID0000160150598655</t>
  </si>
  <si>
    <t>BKID0000160150551217</t>
  </si>
  <si>
    <t>BKID0000160150551216</t>
  </si>
  <si>
    <t>BKID0000160150581612</t>
  </si>
  <si>
    <t>BKID0000160150585231</t>
  </si>
  <si>
    <t>BKID0000160150585230</t>
  </si>
  <si>
    <t>BKID0000160150562835</t>
  </si>
  <si>
    <t>BKID0000160150598648</t>
  </si>
  <si>
    <t>BKID0000160150560158</t>
  </si>
  <si>
    <t>BKID0000160150553855</t>
  </si>
  <si>
    <t>BKID0000160150563345</t>
  </si>
  <si>
    <t>BKID0000160150563344</t>
  </si>
  <si>
    <t>BKID0000160150601787</t>
  </si>
  <si>
    <t>BKID0000160150563342</t>
  </si>
  <si>
    <t>BKID0000160150563343</t>
  </si>
  <si>
    <t>BKID0000160150563341</t>
  </si>
  <si>
    <t>BKID0000160150601790</t>
  </si>
  <si>
    <t>BKID0000160150601785</t>
  </si>
  <si>
    <t>BKID0000160150598649</t>
  </si>
  <si>
    <t>BKID0000160150598654</t>
  </si>
  <si>
    <t>BKID0000160150608037</t>
  </si>
  <si>
    <t>BKID0000160150602282</t>
  </si>
  <si>
    <t>BKID0000160150602283</t>
  </si>
  <si>
    <t>BKID0000160150601786</t>
  </si>
  <si>
    <t>BKID0000160150601789</t>
  </si>
  <si>
    <t>BKID0000160150560162</t>
  </si>
  <si>
    <t>BKID0000160150587583</t>
  </si>
  <si>
    <t>BKID0000160150598659</t>
  </si>
  <si>
    <t>BKID0000160150552765</t>
  </si>
  <si>
    <t>BKID0000160150599820/BKID0000160150598653</t>
  </si>
  <si>
    <t>BKID0000160150608988</t>
  </si>
  <si>
    <t>BKID0000160150608989</t>
  </si>
  <si>
    <t>BKID0000160150608030</t>
  </si>
  <si>
    <t>BKID0000160150608028</t>
  </si>
  <si>
    <t>BKID0000160150562836</t>
  </si>
  <si>
    <t>BKID0000160150608987</t>
  </si>
  <si>
    <t>BKID0000160150561857</t>
  </si>
  <si>
    <t>BKID0000160150608031</t>
  </si>
  <si>
    <t>BKID0000160150563783</t>
  </si>
  <si>
    <t>BKID0000160150603993</t>
  </si>
  <si>
    <t>BKID0000160150608991</t>
  </si>
  <si>
    <t>BKID0000160150598651</t>
  </si>
  <si>
    <t>BKID0000160150608990</t>
  </si>
  <si>
    <t>BKID0000160150608992/BKID0000160150603990</t>
  </si>
  <si>
    <t>BKID0000160150608993</t>
  </si>
  <si>
    <t>BKID0000160150608032</t>
  </si>
  <si>
    <t>BKID0000160150621699</t>
  </si>
  <si>
    <t>BKID0000160150567157</t>
  </si>
  <si>
    <t>BKID0000160150575281</t>
  </si>
  <si>
    <t>BKID0000160150597463</t>
  </si>
  <si>
    <t>BKID0000160150556109</t>
  </si>
  <si>
    <t>BKID0000160150594770</t>
  </si>
  <si>
    <t>BKID0000160150597464</t>
  </si>
  <si>
    <t>BKID0000160150598658</t>
  </si>
  <si>
    <t>BKID0000160150603992</t>
  </si>
  <si>
    <t>BKID0000160150597462</t>
  </si>
  <si>
    <t>BKID0000160150572761</t>
  </si>
  <si>
    <t>BKID0000160150572759</t>
  </si>
  <si>
    <t>BKID0000160150572760</t>
  </si>
  <si>
    <t>BKID0000160150577171</t>
  </si>
  <si>
    <t>BKID0000160150604635</t>
  </si>
  <si>
    <t>BKID0000160150604634</t>
  </si>
  <si>
    <t>BKID0000160150572193</t>
  </si>
  <si>
    <t>BKID0000160150604636</t>
  </si>
  <si>
    <t>BKID0000160150604637</t>
  </si>
  <si>
    <t>BKID0000160150577172</t>
  </si>
  <si>
    <t>BKID0000160150580666</t>
  </si>
  <si>
    <t>BKID0000160150608033</t>
  </si>
  <si>
    <t>BKID0000160150570780</t>
  </si>
  <si>
    <t>BKID0000160150576147</t>
  </si>
  <si>
    <t>BKID0000160150576149</t>
  </si>
  <si>
    <t>BKID0000160150576148</t>
  </si>
  <si>
    <t>BKID0000160150599819</t>
  </si>
  <si>
    <t>BKID0000160150603996</t>
  </si>
  <si>
    <t>BKID0000160150603997</t>
  </si>
  <si>
    <t>BKID0000160150603994</t>
  </si>
  <si>
    <t>BKID0000160150603995</t>
  </si>
  <si>
    <t>BKID0000160150623241</t>
  </si>
  <si>
    <t>BKID0000160150623244</t>
  </si>
  <si>
    <t>BKID0000160150583964</t>
  </si>
  <si>
    <t>BKID0000160150583963</t>
  </si>
  <si>
    <t>BKID0000160150585234</t>
  </si>
  <si>
    <t>BKID0000160150585235</t>
  </si>
  <si>
    <t>BKID0000160150623242</t>
  </si>
  <si>
    <t>BKID0000160150623243</t>
  </si>
  <si>
    <t>BKID0000160150585236</t>
  </si>
  <si>
    <t>BKID0000160150585233</t>
  </si>
  <si>
    <t>UTIB0000173000013368</t>
  </si>
  <si>
    <t>BKID0000160150623248</t>
  </si>
  <si>
    <t>BKID0000160150623707</t>
  </si>
  <si>
    <t>BKID0000160150623708</t>
  </si>
  <si>
    <t>BKID0000160150572194</t>
  </si>
  <si>
    <t>BKID0000160150606091</t>
  </si>
  <si>
    <t>BKID0000160150623245</t>
  </si>
  <si>
    <t>BKID0000160150592291/BKID0000160150583547</t>
  </si>
  <si>
    <t>BKID0000160150623247</t>
  </si>
  <si>
    <t>BKID0000160150623251</t>
  </si>
  <si>
    <t>BKID0000160150581614</t>
  </si>
  <si>
    <t>BKID0000160150598652</t>
  </si>
  <si>
    <t>BKID0000160150623246</t>
  </si>
  <si>
    <t>BKID0000160150591415</t>
  </si>
  <si>
    <t>BKID0000160150623249</t>
  </si>
  <si>
    <t>BKID0000160150623250</t>
  </si>
  <si>
    <t>BKID0000160150582574</t>
  </si>
  <si>
    <t>BKID0000160150623709</t>
  </si>
  <si>
    <t>BKID0000160150623710</t>
  </si>
  <si>
    <t>BKID0000160150600882</t>
  </si>
  <si>
    <t>BKID0000160150589391</t>
  </si>
  <si>
    <t>BKID0000160150589390</t>
  </si>
  <si>
    <t>BKID0000160150594774</t>
  </si>
  <si>
    <t>BKID0000160150597467</t>
  </si>
  <si>
    <t>BKID0000160150592296</t>
  </si>
  <si>
    <t>BKID0000160150583550</t>
  </si>
  <si>
    <t>BKID0000160150599824</t>
  </si>
  <si>
    <t>BKID0000160150588836</t>
  </si>
  <si>
    <t>BKID0000160150592294</t>
  </si>
  <si>
    <t>BKID0000160150623252</t>
  </si>
  <si>
    <t>BKID0000160150592295</t>
  </si>
  <si>
    <t>BKID0000160150588835</t>
  </si>
  <si>
    <t>BKID0000160150586469</t>
  </si>
  <si>
    <t>BKID0000160150597465</t>
  </si>
  <si>
    <t>BKID0000160150623254</t>
  </si>
  <si>
    <t>BKID0000160150581615</t>
  </si>
  <si>
    <t>BKID0000160150585239</t>
  </si>
  <si>
    <t>BKID0000160150599826</t>
  </si>
  <si>
    <t>BKID0000160150601329</t>
  </si>
  <si>
    <t>BKID0000160150601328</t>
  </si>
  <si>
    <t>BKID0000160150623257</t>
  </si>
  <si>
    <t>BKID0000160150623253</t>
  </si>
  <si>
    <t>BKID0000160150602287</t>
  </si>
  <si>
    <t>BKID0000160150602286</t>
  </si>
  <si>
    <t>BKID0000160150601792</t>
  </si>
  <si>
    <t>BKID0000160150600429</t>
  </si>
  <si>
    <t>BKID0000160150600430</t>
  </si>
  <si>
    <t>BKID0000160150600427</t>
  </si>
  <si>
    <t>BKID0000160150600428</t>
  </si>
  <si>
    <t>BKID0000160150598660</t>
  </si>
  <si>
    <t>BKID0000160150602284</t>
  </si>
  <si>
    <t>BKID0000160150602285</t>
  </si>
  <si>
    <t>BKID0000160150585237</t>
  </si>
  <si>
    <t>BKID0000160150623256</t>
  </si>
  <si>
    <t>BKID0000160150600884</t>
  </si>
  <si>
    <t>BKID0000160150623714</t>
  </si>
  <si>
    <t>BKID0000160150623713</t>
  </si>
  <si>
    <t>BKID0000160150595890</t>
  </si>
  <si>
    <t>BKID0000160150592298</t>
  </si>
  <si>
    <t>BKID0000160150623255</t>
  </si>
  <si>
    <t>BKID0000160150606096</t>
  </si>
  <si>
    <t>BKID0000160150623716</t>
  </si>
  <si>
    <t>BKID0000160150623715</t>
  </si>
  <si>
    <t>BKID0000160150604638</t>
  </si>
  <si>
    <t>BKID0000160150604639</t>
  </si>
  <si>
    <t>BKID0000160150623259</t>
  </si>
  <si>
    <t>BKID0000160150623258</t>
  </si>
  <si>
    <t>BKID0000160150606095</t>
  </si>
  <si>
    <t>BKID0000160150623260</t>
  </si>
  <si>
    <t>BKID0000160150606098</t>
  </si>
  <si>
    <t>BKID0000160150606795</t>
  </si>
  <si>
    <t>BKID0000160150606794</t>
  </si>
  <si>
    <t>BKID0000160150600880</t>
  </si>
  <si>
    <t>BKID0000160150608995</t>
  </si>
  <si>
    <t>BKID0000160150603065</t>
  </si>
  <si>
    <t>BKID0000160150601333</t>
  </si>
  <si>
    <t>BKID0000160150601335</t>
  </si>
  <si>
    <t>BKID0000160150601330</t>
  </si>
  <si>
    <t>BKID0000160150601334</t>
  </si>
  <si>
    <t>BKID0000160150601331</t>
  </si>
  <si>
    <t>BKID0000160150601332</t>
  </si>
  <si>
    <t>BKID0000160150598661</t>
  </si>
  <si>
    <t>BKID0000160150621702</t>
  </si>
  <si>
    <t>BKID0000160150621701</t>
  </si>
  <si>
    <t>BKID0000160150609483</t>
  </si>
  <si>
    <t>BKID0000160150609482</t>
  </si>
  <si>
    <t>BKID0000160150606104</t>
  </si>
  <si>
    <t>BKID0000160150608996</t>
  </si>
  <si>
    <t>BKID0000160150608997</t>
  </si>
  <si>
    <t>BKID0000160150606101</t>
  </si>
  <si>
    <t>BKID0000160150608038</t>
  </si>
  <si>
    <t>BKID0000160150620163</t>
  </si>
  <si>
    <t>BKID0000160150611169</t>
  </si>
  <si>
    <t>BKDN0461162100071715</t>
  </si>
  <si>
    <t>STBP0000313100007438</t>
  </si>
  <si>
    <t>UTIB0000173000013112</t>
  </si>
  <si>
    <t>BKDN0461162100066492</t>
  </si>
  <si>
    <t>BKDN0461162100081044</t>
  </si>
  <si>
    <t>BKDN0461162100081017</t>
  </si>
  <si>
    <t>BKDN0461162100071719</t>
  </si>
  <si>
    <t>BKDN0461162100071720</t>
  </si>
  <si>
    <t>BKDN0461162100069940</t>
  </si>
  <si>
    <t>UTIB0000173000013585</t>
  </si>
  <si>
    <t>UTIB0000173000013586</t>
  </si>
  <si>
    <t>UTIB0000173000013588</t>
  </si>
  <si>
    <t>UTIB0000173000013587</t>
  </si>
  <si>
    <t>UTIB0000173000013421</t>
  </si>
  <si>
    <t>UTIB0000173000013420</t>
  </si>
  <si>
    <t>UTIB0000173000013419</t>
  </si>
  <si>
    <t>UTIB0000173000012977</t>
  </si>
  <si>
    <t>UTIB0000173000012978</t>
  </si>
  <si>
    <t>UTIB0000173000013190</t>
  </si>
  <si>
    <t>UTIB0000173000013193</t>
  </si>
  <si>
    <t>UTIB0000173000013060</t>
  </si>
  <si>
    <t>UTIB0000173000013326</t>
  </si>
  <si>
    <t>UTIB0000173000013278</t>
  </si>
  <si>
    <t>UTIB0000173000013362</t>
  </si>
  <si>
    <t>UTIB0000173000013525</t>
  </si>
  <si>
    <t>UTIB0000173000013694</t>
  </si>
  <si>
    <t>BKDN0461162100078553</t>
  </si>
  <si>
    <t>realised</t>
  </si>
  <si>
    <t>BKDN0461162100070853</t>
  </si>
  <si>
    <t>BKDN0461162100076609</t>
  </si>
  <si>
    <t>BKDN0461162100077204</t>
  </si>
  <si>
    <t>BKDN0461162100080437</t>
  </si>
  <si>
    <t>BKDN0461162100046679</t>
  </si>
  <si>
    <t>BKDN0461162100076168</t>
  </si>
  <si>
    <t>BKDN0461162100076474</t>
  </si>
  <si>
    <t>BKDN0461162100080581</t>
  </si>
  <si>
    <t>BKDN0461162100046680</t>
  </si>
  <si>
    <t>BKDN0461162100076475</t>
  </si>
  <si>
    <t>BKDN0461162100076476</t>
  </si>
  <si>
    <t>BKDN0461162100078271</t>
  </si>
  <si>
    <t>BKDN0461162100078273</t>
  </si>
  <si>
    <t>BKDN0461162100077207</t>
  </si>
  <si>
    <t>BKDN0461162100077206</t>
  </si>
  <si>
    <t>BKDN0461162100080201</t>
  </si>
  <si>
    <t>BKDN0461162100080202</t>
  </si>
  <si>
    <t>BKDN0461162100080254</t>
  </si>
  <si>
    <t>BKID0000160150631956</t>
  </si>
  <si>
    <t>BKID0000160150625169/BKID0000160150609881</t>
  </si>
  <si>
    <t>BKID0000160150631957</t>
  </si>
  <si>
    <t>BKID0000160150631410</t>
  </si>
  <si>
    <t>BKID0000160150631409</t>
  </si>
  <si>
    <t>BKID0000160150631408</t>
  </si>
  <si>
    <t>BKID0000160150631412</t>
  </si>
  <si>
    <t>BKID0000160150631411</t>
  </si>
  <si>
    <t>BKID0000160140447312</t>
  </si>
  <si>
    <t>STBP0000313100007442</t>
  </si>
  <si>
    <t>STBP0000313100007441</t>
  </si>
  <si>
    <t>UTIB0000173000012545</t>
  </si>
  <si>
    <t>UTIB0000173000012546</t>
  </si>
  <si>
    <t>UTIB0000173000012666</t>
  </si>
  <si>
    <t>BKID0000160140533781</t>
  </si>
  <si>
    <t>BKID0000160150550668</t>
  </si>
  <si>
    <t>BKID0000160150550667</t>
  </si>
  <si>
    <t>BKID0000160150551210</t>
  </si>
  <si>
    <t>BKID0000160150551211</t>
  </si>
  <si>
    <t>BKID0000160150548567</t>
  </si>
  <si>
    <t>BKID0000160150553358</t>
  </si>
  <si>
    <t>BKID0000160150553359</t>
  </si>
  <si>
    <t>BKID0000160150550670</t>
  </si>
  <si>
    <t>BKID0000160150614879</t>
  </si>
  <si>
    <t>BKID0000160150614878</t>
  </si>
  <si>
    <t>BKID0000160150579298</t>
  </si>
  <si>
    <t>BKID0000160150579299</t>
  </si>
  <si>
    <t>BKID0000160150583961</t>
  </si>
  <si>
    <t>BKID0000160150583962</t>
  </si>
  <si>
    <t>BKID0000160150583546</t>
  </si>
  <si>
    <t>BKID0000160150583545</t>
  </si>
  <si>
    <t>BKID0000160150594769</t>
  </si>
  <si>
    <t>BKID0000160150594771</t>
  </si>
  <si>
    <t>BKID0000160150609880</t>
  </si>
  <si>
    <t>BKID0000160150600879</t>
  </si>
  <si>
    <t>BKID0000160150592292</t>
  </si>
  <si>
    <t>BKID0000160150606793</t>
  </si>
  <si>
    <t>BKID0000160150606792</t>
  </si>
  <si>
    <t>BKID0000160150606093</t>
  </si>
  <si>
    <t>BKID0000160150606094</t>
  </si>
  <si>
    <t>BKID0000160150616560</t>
  </si>
  <si>
    <t>BKID0000160150616561</t>
  </si>
  <si>
    <t>BKID0000160150608532</t>
  </si>
  <si>
    <t>BKID0000160150608531</t>
  </si>
  <si>
    <t>BKID0000160150612684</t>
  </si>
  <si>
    <t>BKID0000160150612685</t>
  </si>
  <si>
    <t>BKID0000160150616562</t>
  </si>
  <si>
    <t>BKID0000160150616563</t>
  </si>
  <si>
    <t>BKID0000160150613111</t>
  </si>
  <si>
    <t>UTIB0000173000012676</t>
  </si>
  <si>
    <t>UTIB0000173000012677</t>
  </si>
  <si>
    <t>UTIB0000173000013180</t>
  </si>
  <si>
    <t>UTIB0000173000013181</t>
  </si>
  <si>
    <t>UTIB0000173000013185</t>
  </si>
  <si>
    <t>UTIB0000173000013186</t>
  </si>
  <si>
    <t>BKDN0461162100076612</t>
  </si>
  <si>
    <t>BKDN0461162100076610</t>
  </si>
  <si>
    <t>BKDN0461162100076611</t>
  </si>
  <si>
    <t>BKDN0461162100078272</t>
  </si>
  <si>
    <t>BKDN0461162100078274</t>
  </si>
  <si>
    <t>BKDN0461162100080184</t>
  </si>
  <si>
    <t>BKDN0461162100080185</t>
  </si>
  <si>
    <t>UTIB0000173000013676</t>
  </si>
  <si>
    <t>UTIB0000173000013677</t>
  </si>
  <si>
    <t>VVF/TAL/EXP/1277</t>
  </si>
  <si>
    <t>MH &amp; MICA A HARASTA S.R.O.</t>
  </si>
  <si>
    <t>VVF/TAL/EXP/1273</t>
  </si>
  <si>
    <t>Chemipams</t>
  </si>
  <si>
    <t>CRODA EUROPE LTD.</t>
  </si>
  <si>
    <t>VVF/TAL/EXP/1279</t>
  </si>
  <si>
    <t>CANAN KOZMETIK SANAYI VE TICARET A.S.</t>
  </si>
  <si>
    <t>VVF/TAL/EXP/1280</t>
  </si>
  <si>
    <t>VVF LLC</t>
  </si>
  <si>
    <t>9103551314-15</t>
  </si>
  <si>
    <t>9103551316-17</t>
  </si>
  <si>
    <t>VVF/TAL/EXP/1286</t>
  </si>
  <si>
    <t>VVF/TAL/EXP/1287</t>
  </si>
  <si>
    <t>VVF/TAL/EXP/1292</t>
  </si>
  <si>
    <t>VVF/TAL/EXP/1290</t>
  </si>
  <si>
    <t xml:space="preserve">MAS ALBION LTD. </t>
  </si>
  <si>
    <t>VVF/TAL/EXP/1289</t>
  </si>
  <si>
    <t>9103551322-23</t>
  </si>
  <si>
    <t>VVF/TAL/EXP/1291</t>
  </si>
  <si>
    <t>IVORY COAST</t>
  </si>
  <si>
    <t>VVF/TAL/EXP/1295</t>
  </si>
  <si>
    <t>VVF/TAL/EXP/1299</t>
  </si>
  <si>
    <t>9103551328-29</t>
  </si>
  <si>
    <t>MAGNA-KRON ASIA PACIFIC PTE. LTD</t>
  </si>
  <si>
    <t>VVF/TAL/EXP/1298</t>
  </si>
  <si>
    <t>VVF/TAL/EXP/1297</t>
  </si>
  <si>
    <t>9103551333-34-35</t>
  </si>
  <si>
    <t>9103551336-37</t>
  </si>
  <si>
    <t>VVF/TAL/EXP/1305</t>
  </si>
  <si>
    <t xml:space="preserve">CRODA EUROPE LIMITED. </t>
  </si>
  <si>
    <t>netherlands</t>
  </si>
  <si>
    <t>VVF/TAL/EXP/1310</t>
  </si>
  <si>
    <t>VVF/TAL/EXP/1312</t>
  </si>
  <si>
    <t>VVF/TAL/EXP/1313</t>
  </si>
  <si>
    <t>9103551344-45-46</t>
  </si>
  <si>
    <t>VVF/TAL/EXP/1316</t>
  </si>
  <si>
    <t>VVF/TAL/EXP/1314</t>
  </si>
  <si>
    <t>9103551348-49</t>
  </si>
  <si>
    <t>SAUDI BASIC INDUSTRIES CORPORATION (SABIC)</t>
  </si>
  <si>
    <t>VVF/TAL/EXP/1319</t>
  </si>
  <si>
    <t>VVF/TAL/EXP/1321</t>
  </si>
  <si>
    <t>VVF/TAL/EXP/1322</t>
  </si>
  <si>
    <t>VVF/TAL/EXP/1323</t>
  </si>
  <si>
    <t>VVF/TAL/EXP/1324</t>
  </si>
  <si>
    <t>VVF/TAL/EXP/1325</t>
  </si>
  <si>
    <t>SIYEZA FINE CHEM (PTY) LTD.</t>
  </si>
  <si>
    <t>VVF/TAL/EXP/1326</t>
  </si>
  <si>
    <t>VVF/TAL/EXP/1330</t>
  </si>
  <si>
    <t>VVF/TAL/EXP/1332</t>
  </si>
  <si>
    <t>TARMESH INTERNATIONAL PRIVATE LIMITED</t>
  </si>
  <si>
    <t>9103551363-4-5</t>
  </si>
  <si>
    <t>9103551366-7-8</t>
  </si>
  <si>
    <t>VVF/TAL/EXP/1318/34/36</t>
  </si>
  <si>
    <t xml:space="preserve">POLYRHEO INC. </t>
  </si>
  <si>
    <t>VVF/TAL/EXP/1340</t>
  </si>
  <si>
    <t>VVF/TAL/EXP/1343</t>
  </si>
  <si>
    <t>VVF/TAL/EXP/1344</t>
  </si>
  <si>
    <t>BASF Española S.L.</t>
  </si>
  <si>
    <t>9103551375-76</t>
  </si>
  <si>
    <t>VVF/TAL/EXP/1345</t>
  </si>
  <si>
    <t>VVF/TAL/EXP/1347</t>
  </si>
  <si>
    <t>VVF/TAL/EXP/1352</t>
  </si>
  <si>
    <t>KOWA COMPANY, LTD.</t>
  </si>
  <si>
    <t>VVF/TAL/EXP/1350</t>
  </si>
  <si>
    <t>VVF/TAL/EXP/1351</t>
  </si>
  <si>
    <t>VVF/TAL/EXP/1353</t>
  </si>
  <si>
    <t>HWASUNG INDUSTRY CO., LTD.</t>
  </si>
  <si>
    <t>VVF/TAL/EXP/1354</t>
  </si>
  <si>
    <t>VVF/TAL/EXP/1348</t>
  </si>
  <si>
    <t>VVF/BDD/EXP/003</t>
  </si>
  <si>
    <t>DELHI AIRPORT</t>
  </si>
  <si>
    <t>9114450010-11</t>
  </si>
  <si>
    <t>VVF/BDD/EXP/004</t>
  </si>
  <si>
    <t>MUNDRA</t>
  </si>
  <si>
    <t>VVF ILLINOIS SERVICES, LLC</t>
  </si>
  <si>
    <t>9114450012-13</t>
  </si>
  <si>
    <t>VVF/BDD/EXP/005</t>
  </si>
  <si>
    <t>EXWORKS</t>
  </si>
  <si>
    <t>VVF/BDD/EXP/006</t>
  </si>
  <si>
    <t>VVF/BDD/EXP/007</t>
  </si>
  <si>
    <t>VVF/BDD/EXP/008</t>
  </si>
  <si>
    <t>VVF/BDD/EXP/009</t>
  </si>
  <si>
    <t>VVF/BDD/EXP/010</t>
  </si>
  <si>
    <t>VVF/BDD/EXP/011</t>
  </si>
  <si>
    <t>VVF/BDD/EXP/012</t>
  </si>
  <si>
    <t>9114450025-26</t>
  </si>
  <si>
    <t>VVF/BDD/EXP/013</t>
  </si>
  <si>
    <t>GREEN PLANET INDUSTRIES L.L.C.</t>
  </si>
  <si>
    <t>9114450029-30</t>
  </si>
  <si>
    <t>VVF/BDD/EXP/014</t>
  </si>
  <si>
    <t>9114450031-32</t>
  </si>
  <si>
    <t>VVF/BDD/EXP/016</t>
  </si>
  <si>
    <t>VVF/TAL/EXP/1278</t>
  </si>
  <si>
    <t>VVF/TAL/EXP/1274</t>
  </si>
  <si>
    <t>VVF/TAL/EXP/1285</t>
  </si>
  <si>
    <t>VVF/TAL/EXP/1283</t>
  </si>
  <si>
    <t>VVF/TAL/EXP/1276</t>
  </si>
  <si>
    <t>VVF/TAL/EXP/1296</t>
  </si>
  <si>
    <t>VVF/TAL/EXP/1293</t>
  </si>
  <si>
    <t>VVF/TAL/EXP/1300</t>
  </si>
  <si>
    <t>VVF/TAL/EXP/1294</t>
  </si>
  <si>
    <t>VVF/TAL/EXP/1301</t>
  </si>
  <si>
    <t>VVF/TAL/EXP/1302</t>
  </si>
  <si>
    <t>VVF/TAL/EXP/1284</t>
  </si>
  <si>
    <t>VVF/TAL/EXP/1281</t>
  </si>
  <si>
    <t>VVF/TAL/EXP/1304</t>
  </si>
  <si>
    <t>VVF/TAL/EXP/1303</t>
  </si>
  <si>
    <t>VVF/TAL/EXP/1311</t>
  </si>
  <si>
    <t>VVF/TAL/EXP/1306</t>
  </si>
  <si>
    <t>VVF/TAL/EXP/1317</t>
  </si>
  <si>
    <t>VVF/TAL/EXP/1315</t>
  </si>
  <si>
    <t>VVF/TAL/EXP/1320</t>
  </si>
  <si>
    <t>VVF/TAL/EXP/1349</t>
  </si>
  <si>
    <t>VVF/TAL/EXP/1333</t>
  </si>
  <si>
    <t>VVF/TAL/EXP/1329</t>
  </si>
  <si>
    <t>VVF/TAL/EXP/1328</t>
  </si>
  <si>
    <t>VVF/TAL/EXP/1335</t>
  </si>
  <si>
    <t>VVF/TAL/EXP/1331</t>
  </si>
  <si>
    <t>VVF/TAL/EXP/1327</t>
  </si>
  <si>
    <t>VVF/TAL/EXP/1334</t>
  </si>
  <si>
    <t>VVF/TAL/EXP/1346</t>
  </si>
  <si>
    <t>VVF/TAL/EXP/1341</t>
  </si>
  <si>
    <t>BKDN0461162100052264</t>
  </si>
  <si>
    <t>BKID0000160150637659/BKID0000160150639348</t>
  </si>
  <si>
    <t>STBP0000313100008247</t>
  </si>
  <si>
    <t>STBP0000313100008248</t>
  </si>
  <si>
    <t>BKID0000160150612129</t>
  </si>
  <si>
    <t>BKID0000160150631416</t>
  </si>
  <si>
    <t>BKID0000160150631953</t>
  </si>
  <si>
    <t>BKID0000160150631952</t>
  </si>
  <si>
    <t>BKID0000160150630531</t>
  </si>
  <si>
    <t>BKID0000160150631414</t>
  </si>
  <si>
    <t>BKID0000160150645038</t>
  </si>
  <si>
    <t>BKID0000160150645037</t>
  </si>
  <si>
    <t>BKID0000160150608998</t>
  </si>
  <si>
    <t>BKID0000160150631955</t>
  </si>
  <si>
    <t>BKID0000160150631954</t>
  </si>
  <si>
    <t>BKID0000160150631415</t>
  </si>
  <si>
    <t>BKID0000160150620166</t>
  </si>
  <si>
    <t>BKID0000160150620164</t>
  </si>
  <si>
    <t>BKID0000160150620165</t>
  </si>
  <si>
    <t>BKID0000160150631008</t>
  </si>
  <si>
    <t>BKID0000160150631010</t>
  </si>
  <si>
    <t>BKID0000160150631009</t>
  </si>
  <si>
    <t>BKDN0461162100083971</t>
  </si>
  <si>
    <t>BKDN0461162100083970</t>
  </si>
  <si>
    <t>STBP0000313100008335</t>
  </si>
  <si>
    <t>BKDN0461162100081855</t>
  </si>
  <si>
    <t>BKDN0461162100081857</t>
  </si>
  <si>
    <t>BKID0000160150631417</t>
  </si>
  <si>
    <t>BKDN0461162100082297</t>
  </si>
  <si>
    <t>BKDN0461162100082298</t>
  </si>
  <si>
    <t>BKID0000160150631423</t>
  </si>
  <si>
    <t>BKID0000160150644065</t>
  </si>
  <si>
    <t>BKID0000160150644066</t>
  </si>
  <si>
    <t>BKID0000160150648116</t>
  </si>
  <si>
    <t>BKDN0461162100083357</t>
  </si>
  <si>
    <t>BKID0000160150648117</t>
  </si>
  <si>
    <t>BKID0000160150648118</t>
  </si>
  <si>
    <t>BKID0000160150618119</t>
  </si>
  <si>
    <t>BKID0000160150631418</t>
  </si>
  <si>
    <t>BKID0000160150631419</t>
  </si>
  <si>
    <t>BKID0000160150637657/BKID0000160150639346</t>
  </si>
  <si>
    <t>BKID0000160150627996</t>
  </si>
  <si>
    <t>BKID0000160150631420</t>
  </si>
  <si>
    <t>BKID0000160150631421</t>
  </si>
  <si>
    <t>BKID0000160150648776</t>
  </si>
  <si>
    <t>BKID0000160150648774</t>
  </si>
  <si>
    <t>BKID0000160150648775</t>
  </si>
  <si>
    <t>BKID0000160150631422</t>
  </si>
  <si>
    <t>BKID0000160150633521</t>
  </si>
  <si>
    <t>BKID0000160150631004</t>
  </si>
  <si>
    <t>BKID0000160150631005</t>
  </si>
  <si>
    <t>BKDN0461162100083355</t>
  </si>
  <si>
    <t>BKID0000160150648119</t>
  </si>
  <si>
    <t>BKID0000160150618121</t>
  </si>
  <si>
    <t>BKID0000160150635929</t>
  </si>
  <si>
    <t>BKDN0461162100083356</t>
  </si>
  <si>
    <t>BKID0000160150638487</t>
  </si>
  <si>
    <t>BKID0000160150638488</t>
  </si>
  <si>
    <t>BKDN0461162100062127</t>
  </si>
  <si>
    <t>BKDN0461162100078217</t>
  </si>
  <si>
    <t>BKDN0461162100071853</t>
  </si>
  <si>
    <t>BKID0000160150636711</t>
  </si>
  <si>
    <t>19451415MB0447</t>
  </si>
  <si>
    <t>25.09.2014</t>
  </si>
  <si>
    <t>19451415MB0421</t>
  </si>
  <si>
    <t>26.09.2014</t>
  </si>
  <si>
    <t>26.05.2015</t>
  </si>
  <si>
    <t>19451516MB1064</t>
  </si>
  <si>
    <t>25.05.2015</t>
  </si>
  <si>
    <t>UCBA0001945150151680</t>
  </si>
  <si>
    <t>19451516MB1065</t>
  </si>
  <si>
    <t>UCBA0001945150151567</t>
  </si>
  <si>
    <t>19451516MB1059</t>
  </si>
  <si>
    <t>23.05.2015</t>
  </si>
  <si>
    <t>UCBA0001945150151569</t>
  </si>
  <si>
    <t>19451516MB1061</t>
  </si>
  <si>
    <t>UCBA0001945150151570</t>
  </si>
  <si>
    <t>19451516MB1062</t>
  </si>
  <si>
    <t>UCBA0001945150151463</t>
  </si>
  <si>
    <t>19451516MB1052</t>
  </si>
  <si>
    <t>22.05.2015</t>
  </si>
  <si>
    <t>UCBA0001945150151464</t>
  </si>
  <si>
    <t>UCBA0001945150148524</t>
  </si>
  <si>
    <t>07.05.2015</t>
  </si>
  <si>
    <t>19451516MB1021</t>
  </si>
  <si>
    <t>06.05.2015</t>
  </si>
  <si>
    <t>UCBA0001945150145644</t>
  </si>
  <si>
    <t>18.04.2015</t>
  </si>
  <si>
    <t>19451516MB0971</t>
  </si>
  <si>
    <t>12.02.2015</t>
  </si>
  <si>
    <t>17.04.2015</t>
  </si>
  <si>
    <t>UCBA0001945150145372</t>
  </si>
  <si>
    <t>19451516MB0966</t>
  </si>
  <si>
    <t>16.04.2015</t>
  </si>
  <si>
    <t>UCBA0001945150145373</t>
  </si>
  <si>
    <t>19451516MB0967</t>
  </si>
  <si>
    <t>UCBA0001945150145374</t>
  </si>
  <si>
    <t>UCBA0001945150145375</t>
  </si>
  <si>
    <t>19451516MB0968</t>
  </si>
  <si>
    <t>24.02.2015</t>
  </si>
  <si>
    <t>UCBA0001945150145376</t>
  </si>
  <si>
    <t>25.02.2015</t>
  </si>
  <si>
    <t>UCBA0001945150145377</t>
  </si>
  <si>
    <t>19451516MB0969</t>
  </si>
  <si>
    <t>UCBA0001945150145378</t>
  </si>
  <si>
    <t>15.04.2015</t>
  </si>
  <si>
    <t>UCBA0001945150144945</t>
  </si>
  <si>
    <t>19451516MB0958</t>
  </si>
  <si>
    <t>13.04.2015</t>
  </si>
  <si>
    <t>UCBA0001945150144950</t>
  </si>
  <si>
    <t>19451516MB0960</t>
  </si>
  <si>
    <t>UCBA0001945150144951</t>
  </si>
  <si>
    <t>19451516MB0961</t>
  </si>
  <si>
    <t>UCBA0001945150144952</t>
  </si>
  <si>
    <t>UCBA0001945150144953</t>
  </si>
  <si>
    <t>UCBA0001945150144954</t>
  </si>
  <si>
    <t>19.01.2015</t>
  </si>
  <si>
    <t>22.01.2015</t>
  </si>
  <si>
    <t>02.03.2015</t>
  </si>
  <si>
    <t>UCBA0001945150141410</t>
  </si>
  <si>
    <t>23.03.2015</t>
  </si>
  <si>
    <t>19451415MB0866</t>
  </si>
  <si>
    <t>27.02.2015</t>
  </si>
  <si>
    <t>20.03.2015</t>
  </si>
  <si>
    <t>UCBA0001945150139762</t>
  </si>
  <si>
    <t>14.03.2015</t>
  </si>
  <si>
    <t>19451415MB0835</t>
  </si>
  <si>
    <t>13.03.2015</t>
  </si>
  <si>
    <t>UCBA0001945150139763</t>
  </si>
  <si>
    <t>23.02.2015</t>
  </si>
  <si>
    <t>UCBA0001945150139764</t>
  </si>
  <si>
    <t>19451415MB0836</t>
  </si>
  <si>
    <t>16.02.2015</t>
  </si>
  <si>
    <t>UCBA0001945150139056</t>
  </si>
  <si>
    <t>11.03.2015</t>
  </si>
  <si>
    <t>19451415MB0480</t>
  </si>
  <si>
    <t>10.03.2015</t>
  </si>
  <si>
    <t>UCBA0001945150139057</t>
  </si>
  <si>
    <t>UCBA0001945150139058</t>
  </si>
  <si>
    <t>19451415MB0482</t>
  </si>
  <si>
    <t>09.03.2015</t>
  </si>
  <si>
    <t>UCBA0001945150138806</t>
  </si>
  <si>
    <t>19451415MB0471</t>
  </si>
  <si>
    <t>UCBA0001945150138809</t>
  </si>
  <si>
    <t>19451415MB0481</t>
  </si>
  <si>
    <t>UCBA0001945150138811</t>
  </si>
  <si>
    <t>19451415MB0483</t>
  </si>
  <si>
    <t>UCBA0001945150138812</t>
  </si>
  <si>
    <t>UCBA0001945150138824</t>
  </si>
  <si>
    <t>19451415MB0819</t>
  </si>
  <si>
    <t>UCBA0001945150138440</t>
  </si>
  <si>
    <t>06.03.2015</t>
  </si>
  <si>
    <t>19451415MB0816</t>
  </si>
  <si>
    <t>05.03.2015</t>
  </si>
  <si>
    <t>UCBA0001945150138441</t>
  </si>
  <si>
    <t>UCBA0001945150137827</t>
  </si>
  <si>
    <t>04.03.2015</t>
  </si>
  <si>
    <t>19451415MB0815</t>
  </si>
  <si>
    <t>11.02.2015</t>
  </si>
  <si>
    <t>03.03.2015</t>
  </si>
  <si>
    <t>13.02.2015</t>
  </si>
  <si>
    <t>UCBA0001945150137604</t>
  </si>
  <si>
    <t>19451415MB0809</t>
  </si>
  <si>
    <t>UCBA0001945150137218</t>
  </si>
  <si>
    <t>19451415MB0766</t>
  </si>
  <si>
    <t>UCBA0001945150137219</t>
  </si>
  <si>
    <t>UCBA0001945150136767</t>
  </si>
  <si>
    <t>19451415MB0752</t>
  </si>
  <si>
    <t>26.02.2015</t>
  </si>
  <si>
    <t>UCBA0001945150136552</t>
  </si>
  <si>
    <t>19451415MB0747</t>
  </si>
  <si>
    <t>UCBA0001945150136553</t>
  </si>
  <si>
    <t>19451415MB0748</t>
  </si>
  <si>
    <t>UCBA0001945150136154</t>
  </si>
  <si>
    <t>19451415MB0740</t>
  </si>
  <si>
    <t>UCBA0001945150136155</t>
  </si>
  <si>
    <t>19451415MB0741</t>
  </si>
  <si>
    <t>UCBA0001945150134476</t>
  </si>
  <si>
    <t>19451415MB0700</t>
  </si>
  <si>
    <t>14.02.2015</t>
  </si>
  <si>
    <t>UCBA0001945150134266</t>
  </si>
  <si>
    <t>19451415MB0701</t>
  </si>
  <si>
    <t>UCBA0001945150133913</t>
  </si>
  <si>
    <t>19451415MB0687</t>
  </si>
  <si>
    <t>UCBA0001945150133079</t>
  </si>
  <si>
    <t>07.02.2015</t>
  </si>
  <si>
    <t>19451415MB0677</t>
  </si>
  <si>
    <t>23.01.2015</t>
  </si>
  <si>
    <t>06.02.2015</t>
  </si>
  <si>
    <t>UCBA0001945150133080</t>
  </si>
  <si>
    <t>UCBA0001945150133085</t>
  </si>
  <si>
    <t>19451415MB0679</t>
  </si>
  <si>
    <t>UCBA0001945150131018</t>
  </si>
  <si>
    <t>19451415MB0622</t>
  </si>
  <si>
    <t>16.01.2015</t>
  </si>
  <si>
    <t>19451415MB0552</t>
  </si>
  <si>
    <t>UCBA0001945150130135</t>
  </si>
  <si>
    <t>UCBA0001945150130172</t>
  </si>
  <si>
    <t>19451415MB0560</t>
  </si>
  <si>
    <t>17.01.2015</t>
  </si>
  <si>
    <t>UCBA0001945150130210</t>
  </si>
  <si>
    <t>19451415MB0572</t>
  </si>
  <si>
    <t>UCBA0001945150130211</t>
  </si>
  <si>
    <t>19.12.2014</t>
  </si>
  <si>
    <t>18.12.2014</t>
  </si>
  <si>
    <t>05.11.2014</t>
  </si>
  <si>
    <t>UCBA0001945140124580</t>
  </si>
  <si>
    <t>19451415MB0477</t>
  </si>
  <si>
    <t>UCBA0001945140124581</t>
  </si>
  <si>
    <t>19451415MB0442</t>
  </si>
  <si>
    <t>17.12.2014</t>
  </si>
  <si>
    <t>UCBA0001945140124368</t>
  </si>
  <si>
    <t>UCBA0001945140124369</t>
  </si>
  <si>
    <t>UCBA0001945140124371</t>
  </si>
  <si>
    <t>UCBA0001945140124372</t>
  </si>
  <si>
    <t>UCBA0001945140124373</t>
  </si>
  <si>
    <t>UCBA0001945140124374</t>
  </si>
  <si>
    <t>UCBA0001945140124375</t>
  </si>
  <si>
    <t>UCBA0001945140124376</t>
  </si>
  <si>
    <t>UCBA0001945140124377</t>
  </si>
  <si>
    <t>UCBA0001945140124378</t>
  </si>
  <si>
    <t>UCBA0001945140124379</t>
  </si>
  <si>
    <t>19451415MB0465</t>
  </si>
  <si>
    <t>UCBA0001945140124380</t>
  </si>
  <si>
    <t>UCBA0001945140124381</t>
  </si>
  <si>
    <t>19451415MB0466</t>
  </si>
  <si>
    <t>UCBA0001945140124382</t>
  </si>
  <si>
    <t>UCBA0001945140124383</t>
  </si>
  <si>
    <t>19451415MB0467</t>
  </si>
  <si>
    <t>UCBA0001945140124384</t>
  </si>
  <si>
    <t>UCBA0001945140124385</t>
  </si>
  <si>
    <t>19451415MB0468</t>
  </si>
  <si>
    <t>06.11.2014</t>
  </si>
  <si>
    <t>UCBA0001945140118612</t>
  </si>
  <si>
    <t>19451415MB0420</t>
  </si>
  <si>
    <t>UCBA0001945140118613</t>
  </si>
  <si>
    <t>UCBA0001945140118616</t>
  </si>
  <si>
    <t>19451415MB0422</t>
  </si>
  <si>
    <t>UCBA0001945140118617</t>
  </si>
  <si>
    <t>UCBA0001945140118618</t>
  </si>
  <si>
    <t>19451415MB0423</t>
  </si>
  <si>
    <t>UCBA0001945140118619</t>
  </si>
  <si>
    <t>19451415MB0424</t>
  </si>
  <si>
    <t>UCBA0001945140118620</t>
  </si>
  <si>
    <t>UCBA0001945140118621</t>
  </si>
  <si>
    <t>UCBA0001945140118622</t>
  </si>
  <si>
    <t>UCBA0001945140113849</t>
  </si>
  <si>
    <t>19451415MB0335</t>
  </si>
  <si>
    <t>UCBA0001945140113850</t>
  </si>
  <si>
    <t>19451415MB0336</t>
  </si>
  <si>
    <t>UCBA0001945140113851</t>
  </si>
  <si>
    <t>19451415MB0337</t>
  </si>
  <si>
    <t>UCBA0001945140113852</t>
  </si>
  <si>
    <t>19451415MB0338</t>
  </si>
  <si>
    <t>UCBA0001945140113853</t>
  </si>
  <si>
    <t>19451415MB0339</t>
  </si>
  <si>
    <t>UCBA0001945140113854</t>
  </si>
  <si>
    <t>19451415MB0340</t>
  </si>
  <si>
    <t>UCBA0001945140105045</t>
  </si>
  <si>
    <t>04.08.2014</t>
  </si>
  <si>
    <t>19451415MB0256</t>
  </si>
  <si>
    <t>02.08.2014</t>
  </si>
  <si>
    <t>UCBA0001945140104657</t>
  </si>
  <si>
    <t>01.08.2014</t>
  </si>
  <si>
    <t>19451415MB0251</t>
  </si>
  <si>
    <t>31.07.2014</t>
  </si>
  <si>
    <t>UCBA0001945140104658</t>
  </si>
  <si>
    <t>19451415MB0253</t>
  </si>
  <si>
    <t>UCBA0001945140098041</t>
  </si>
  <si>
    <t>12.06.2014</t>
  </si>
  <si>
    <t>19451415MB0142</t>
  </si>
  <si>
    <t>11.06.2014</t>
  </si>
  <si>
    <t>UCBA0001945140098042</t>
  </si>
  <si>
    <t>UCBA0001945140098043</t>
  </si>
  <si>
    <t>UCBA0001945140098044</t>
  </si>
  <si>
    <t>19451415MB0143</t>
  </si>
  <si>
    <t>UCBA0001945140098045</t>
  </si>
  <si>
    <t>UCBA0001945140098046</t>
  </si>
  <si>
    <t>19451415MB0144</t>
  </si>
  <si>
    <t>UCBA0001945140098047</t>
  </si>
  <si>
    <t>UCBA0001945140098048</t>
  </si>
  <si>
    <t>19451415MB0145</t>
  </si>
  <si>
    <t>UCBA0001945140098049</t>
  </si>
  <si>
    <t>UCBA0001945140098050</t>
  </si>
  <si>
    <t>19451415MB0146</t>
  </si>
  <si>
    <t>UCBA0001945140098051</t>
  </si>
  <si>
    <t>UCBA0001945140094974</t>
  </si>
  <si>
    <t>20.05.2014</t>
  </si>
  <si>
    <t>19451415MB0095</t>
  </si>
  <si>
    <t>19.05.2014</t>
  </si>
  <si>
    <t>UCBA0001945140094975</t>
  </si>
  <si>
    <t>19451415MB0096</t>
  </si>
  <si>
    <t>UCBA0001945140094976</t>
  </si>
  <si>
    <t>UCBA0001945140094977</t>
  </si>
  <si>
    <t>19451415MB0097</t>
  </si>
  <si>
    <t>UCBA0001945140094978</t>
  </si>
  <si>
    <t>UCBA0001945140094979</t>
  </si>
  <si>
    <t>19451415MB0098</t>
  </si>
  <si>
    <t>UCBA0001945140094980</t>
  </si>
  <si>
    <t>UCBA0001945140094981</t>
  </si>
  <si>
    <t>19451415MB0099</t>
  </si>
  <si>
    <t>UCBA0001945140094982</t>
  </si>
  <si>
    <t>UCBA0001945140094990</t>
  </si>
  <si>
    <t>19451415MB0104</t>
  </si>
  <si>
    <t>Sr.Nos.</t>
  </si>
  <si>
    <t>0160FBC15000212</t>
  </si>
  <si>
    <t>Actual Bank Realisation ( FFC)</t>
  </si>
  <si>
    <t>UCO</t>
  </si>
  <si>
    <t>20.11.2014</t>
  </si>
  <si>
    <t>21.11.2014</t>
  </si>
  <si>
    <t>UCBA0001945140120562</t>
  </si>
  <si>
    <t>UCBA0001945140120569</t>
  </si>
  <si>
    <t>UCBA0001945140120577</t>
  </si>
  <si>
    <t>UCBA0001945140120578</t>
  </si>
  <si>
    <t>UCBA0001945140120579</t>
  </si>
  <si>
    <t>UCBA0001945140118614</t>
  </si>
  <si>
    <t>BRC recd</t>
  </si>
  <si>
    <t>UCBA0001945160184406</t>
  </si>
  <si>
    <t>19451516MB1363</t>
  </si>
  <si>
    <t>19451516MB1362</t>
  </si>
  <si>
    <t>UCBA0001945160184404</t>
  </si>
  <si>
    <t>UCBA0001945160184405</t>
  </si>
  <si>
    <t>BKID0000160140403124 / BKID0000160160803420</t>
  </si>
  <si>
    <t>13-06-2014 / 21-01-2016</t>
  </si>
  <si>
    <t>5031314NC0001908</t>
  </si>
  <si>
    <t>116214XUC000725</t>
  </si>
  <si>
    <t>0160FBN14000320</t>
  </si>
  <si>
    <t>0160FBC16000409</t>
  </si>
  <si>
    <t xml:space="preserve">BKID0000160160841763 </t>
  </si>
  <si>
    <t>BKID0000160160841764</t>
  </si>
  <si>
    <t>BKID0000160150557165</t>
  </si>
  <si>
    <t>STBP0000313100009314</t>
  </si>
  <si>
    <t>BKDN0461162100046674</t>
  </si>
  <si>
    <t>BRC recd / sb no. wrong ment. On ebrc</t>
  </si>
  <si>
    <t>BKDN0461162100175642</t>
  </si>
  <si>
    <t>0160FBC15000863</t>
  </si>
  <si>
    <t>BKID0000160150664955</t>
  </si>
  <si>
    <t>0160FBC15000853</t>
  </si>
  <si>
    <t>BKID0000160150664953</t>
  </si>
  <si>
    <t>0160FBC15001156</t>
  </si>
  <si>
    <t>BKID0000160150675206</t>
  </si>
  <si>
    <t>0160FBC15001243</t>
  </si>
  <si>
    <t>24-07-2015 &amp; 3-8-15</t>
  </si>
  <si>
    <t>BKID0000160150693720 , BKID0000160150687552, BKID0000160150686711</t>
  </si>
  <si>
    <t>4-8-15 &amp; 25-07-15</t>
  </si>
  <si>
    <t>0160FBC15000639</t>
  </si>
  <si>
    <t>BKID0000160150608036</t>
  </si>
  <si>
    <t>0160FBC15001155</t>
  </si>
  <si>
    <t>BKID0000160150675746</t>
  </si>
  <si>
    <t>BKID0000160150675745</t>
  </si>
  <si>
    <t>BKID0000160150675744</t>
  </si>
  <si>
    <t>0160FBC16000088</t>
  </si>
  <si>
    <t>BKID0000160160803614</t>
  </si>
  <si>
    <t>BKID0000160150689901</t>
  </si>
  <si>
    <t>0160FBC15000612</t>
  </si>
  <si>
    <t>0160FBC15000085</t>
  </si>
  <si>
    <t>BKID0000160150633520</t>
  </si>
  <si>
    <t>0160FBC15000089</t>
  </si>
  <si>
    <t>BKID0000160150660859</t>
  </si>
  <si>
    <t>BKID0000160150627988</t>
  </si>
  <si>
    <t>BRC Recd</t>
  </si>
  <si>
    <t>0160FBC14002263</t>
  </si>
  <si>
    <t>0160FBC14002150</t>
  </si>
  <si>
    <t>BKID0000160150627987</t>
  </si>
  <si>
    <t>0160FBC14002097</t>
  </si>
  <si>
    <t>BKID0000160150627986</t>
  </si>
  <si>
    <t>0160FBC14002050</t>
  </si>
  <si>
    <t>BKID0000160150659066</t>
  </si>
  <si>
    <t>BKID0000160150659067</t>
  </si>
  <si>
    <t>0160FBC14001887</t>
  </si>
  <si>
    <t>BKID0000160160797679</t>
  </si>
  <si>
    <t>0160FBC14001440</t>
  </si>
  <si>
    <t>BKID0000160160809094</t>
  </si>
  <si>
    <t>BKID0000160160810214</t>
  </si>
  <si>
    <t>0160FBC15000368</t>
  </si>
  <si>
    <t>brc recd</t>
  </si>
  <si>
    <t>BKID0000160150673890/BKID0000160150640196</t>
  </si>
  <si>
    <t>14-11-2014/10-11-14</t>
  </si>
  <si>
    <t>0160FBC14002020</t>
  </si>
  <si>
    <t>06-07-15/27-05-15</t>
  </si>
  <si>
    <t>0160FBC14002147</t>
  </si>
  <si>
    <t>BKID0000160150660856</t>
  </si>
  <si>
    <t>0160FBC14002188</t>
  </si>
  <si>
    <t>BKID0000160150660857</t>
  </si>
  <si>
    <t>0160FBC15000025</t>
  </si>
  <si>
    <t>BKID0000160150679218</t>
  </si>
  <si>
    <t>0160FBN15000064</t>
  </si>
  <si>
    <t>BKID0000160150668968</t>
  </si>
  <si>
    <t>bRC recd</t>
  </si>
  <si>
    <t>BKID0000160150668969</t>
  </si>
  <si>
    <t>BKID0000160150668967</t>
  </si>
  <si>
    <t>0160FBC15000319</t>
  </si>
  <si>
    <t>BKID0000160150717765</t>
  </si>
  <si>
    <t>0160FBC15000320</t>
  </si>
  <si>
    <t>BKID0000160150677087</t>
  </si>
  <si>
    <t>0160FBC15000356</t>
  </si>
  <si>
    <t>11-09-15/10-09-15</t>
  </si>
  <si>
    <t>BKID0000160150722005 / BKID0000160150721141</t>
  </si>
  <si>
    <t>14-09-15/11-09-15</t>
  </si>
  <si>
    <t>BKID0000160150722004</t>
  </si>
  <si>
    <t>0160FBC15000428</t>
  </si>
  <si>
    <t>BKID0000160150677088</t>
  </si>
  <si>
    <t>0160FBC15000389</t>
  </si>
  <si>
    <t>BKID0000160150644444</t>
  </si>
  <si>
    <t>0160FBN15000060</t>
  </si>
  <si>
    <t>BKID0000160150638496</t>
  </si>
  <si>
    <t>0160FBC15000467</t>
  </si>
  <si>
    <t>BKID0000160150686697</t>
  </si>
  <si>
    <t>5031315NC0000122</t>
  </si>
  <si>
    <t>STBP0000313100008245</t>
  </si>
  <si>
    <t>0160FBC15000496</t>
  </si>
  <si>
    <t>BKID0000160150686698</t>
  </si>
  <si>
    <t>0160FBC15000495</t>
  </si>
  <si>
    <t>BKID0000160150689899</t>
  </si>
  <si>
    <t>0160FBC15000508</t>
  </si>
  <si>
    <t>BKID0000160150674139</t>
  </si>
  <si>
    <t>0160FBN15000067</t>
  </si>
  <si>
    <t>BKID0000160150651557</t>
  </si>
  <si>
    <t>0160FBN15000066</t>
  </si>
  <si>
    <t>BKID0000160150651556</t>
  </si>
  <si>
    <t>0160FBC15000695</t>
  </si>
  <si>
    <t>BKID0000160150700923</t>
  </si>
  <si>
    <t>0160FBC15000552</t>
  </si>
  <si>
    <t>BKID0000160150637655</t>
  </si>
  <si>
    <t>0160FBC15000694</t>
  </si>
  <si>
    <t>BKID0000160150700922</t>
  </si>
  <si>
    <t>116215XUC000371</t>
  </si>
  <si>
    <t>BKDN0461162100174053</t>
  </si>
  <si>
    <t>0160FBC15000579</t>
  </si>
  <si>
    <t>BKID0000160150644447</t>
  </si>
  <si>
    <t>0160FBC15000621</t>
  </si>
  <si>
    <t>0160FBC15001124</t>
  </si>
  <si>
    <t>BKID0000160150674141</t>
  </si>
  <si>
    <t>0160FBC15001128</t>
  </si>
  <si>
    <t>BKID0000160150674145</t>
  </si>
  <si>
    <t>0160FBC15001125</t>
  </si>
  <si>
    <t>BKID0000160150674142</t>
  </si>
  <si>
    <t>0160FBC15001129</t>
  </si>
  <si>
    <t>BKID0000160150674146</t>
  </si>
  <si>
    <t>0160FBC15001130</t>
  </si>
  <si>
    <t>BKID0000160150674147</t>
  </si>
  <si>
    <t>0160FBC15001144</t>
  </si>
  <si>
    <t>BKID0000160150717770</t>
  </si>
  <si>
    <t>0160FBC15001127</t>
  </si>
  <si>
    <t>BKID0000160150674144</t>
  </si>
  <si>
    <t>0160FBC15001126</t>
  </si>
  <si>
    <t>BKID0000160150674143</t>
  </si>
  <si>
    <t>0160FBC15001131</t>
  </si>
  <si>
    <t>BKID0000160150674148</t>
  </si>
  <si>
    <t>0160FBC15001517</t>
  </si>
  <si>
    <t>BKID0000160150719670</t>
  </si>
  <si>
    <t>BRC RECD</t>
  </si>
  <si>
    <t>0160FBC15001518</t>
  </si>
  <si>
    <t>BKID0000160150719671</t>
  </si>
  <si>
    <t>BKID0000160160853577</t>
  </si>
  <si>
    <t>UCBA0001945160199395</t>
  </si>
  <si>
    <t xml:space="preserve">BRC recd/ amount correction reqd in BRC </t>
  </si>
  <si>
    <t>UCBA0001945150166266</t>
  </si>
  <si>
    <t>Remarks</t>
  </si>
  <si>
    <t>This invoice has been reversed.</t>
  </si>
  <si>
    <t>0160FBC15000613</t>
  </si>
  <si>
    <t>116215XUC000451</t>
  </si>
  <si>
    <t>0160FBC15000854</t>
  </si>
  <si>
    <t>UCBA0001945160215214</t>
  </si>
  <si>
    <t>BRC recd partialy</t>
  </si>
  <si>
    <t>UCBA0001945160214837</t>
  </si>
  <si>
    <t>Payment realised but BRC not uploaded</t>
  </si>
  <si>
    <t>bank ref. not given by rohan</t>
  </si>
  <si>
    <t>bank ref. not given by smitha</t>
  </si>
  <si>
    <t>14.10.2014/16.10.2014;</t>
  </si>
  <si>
    <t>9103551361-62 &amp; 1380</t>
  </si>
  <si>
    <t>VVF/TAL/EXP/1265</t>
  </si>
  <si>
    <t>VVF/TAL/EXP/1270</t>
  </si>
  <si>
    <t>copoleo sas</t>
  </si>
  <si>
    <t>algeria</t>
  </si>
  <si>
    <t>VVF/TAL/EXP/1264</t>
  </si>
  <si>
    <t>9103551298-1313</t>
  </si>
  <si>
    <t>VVF/TAL/EXP/1282</t>
  </si>
  <si>
    <t>9103551341-42</t>
  </si>
  <si>
    <t>VVF/TAL/EXP/1307</t>
  </si>
  <si>
    <t>VVF/TAL/EXP/1308</t>
  </si>
  <si>
    <t>VVF/TAL/EXP/1309</t>
  </si>
  <si>
    <t>VVF/TAL/EXP/1118</t>
  </si>
  <si>
    <t>Nanjing Oriental Pearl Industry &amp; T</t>
  </si>
  <si>
    <t>VVF/TAL/EXP/1261</t>
  </si>
  <si>
    <t xml:space="preserve">Obetec Pacific </t>
  </si>
  <si>
    <t>VVF/TAL/EXP/1260</t>
  </si>
  <si>
    <t>VVF/TAL/EXP/1212</t>
  </si>
  <si>
    <t>VVF LLC,</t>
  </si>
  <si>
    <t>VVF/TAL/EXP/1209</t>
  </si>
  <si>
    <t>VVF/TAL/EXP/0593</t>
  </si>
  <si>
    <t>116214XSC001077</t>
  </si>
  <si>
    <t>BKDN0461162100122562</t>
  </si>
  <si>
    <t>VVF/TAL/EXP/0595</t>
  </si>
  <si>
    <t>BRENNTAG</t>
  </si>
  <si>
    <t>SLOVENIA</t>
  </si>
  <si>
    <t>BKID0000160140511888</t>
  </si>
  <si>
    <t>0160FBC14002083</t>
  </si>
  <si>
    <t>VVF/TAL/EXP/0596</t>
  </si>
  <si>
    <t>0160FBC14002037</t>
  </si>
  <si>
    <t>BKID0000160140511885</t>
  </si>
  <si>
    <t>VVF/TAL/EXP/1104</t>
  </si>
  <si>
    <t>BKID0000160150599828</t>
  </si>
  <si>
    <t>0160FBC15000564</t>
  </si>
  <si>
    <t>0160FBC15000561</t>
  </si>
  <si>
    <t>BKID0000160150599827</t>
  </si>
  <si>
    <t>VVF/TAL/EXP/1165</t>
  </si>
  <si>
    <t>BKID0000160150635930</t>
  </si>
  <si>
    <t>0160FBC15000856</t>
  </si>
  <si>
    <t>VVF/TAL/EXP/1172</t>
  </si>
  <si>
    <t>Actiondo International Ent.</t>
  </si>
  <si>
    <t>phillipines</t>
  </si>
  <si>
    <t>0160FBC15000862</t>
  </si>
  <si>
    <t>BKID0000160150664954</t>
  </si>
  <si>
    <t>VVF/TAL/EXP/1203</t>
  </si>
  <si>
    <t>0160FBC15000557</t>
  </si>
  <si>
    <t>BKID0000160150599825</t>
  </si>
  <si>
    <t>VVF/TAL/EXP/1210</t>
  </si>
  <si>
    <t>BKID0000160150615957</t>
  </si>
  <si>
    <t>0160FBC15000540</t>
  </si>
  <si>
    <t>BKID0000160150606099</t>
  </si>
  <si>
    <t>0160FBC15000524</t>
  </si>
  <si>
    <t>BKID0000160150636715</t>
  </si>
  <si>
    <t>0160FBC15000855</t>
  </si>
  <si>
    <t>BKDN0461162100080256 + BKDN0461162100080255</t>
  </si>
  <si>
    <t>116215XSC000393</t>
  </si>
  <si>
    <t>Inv.not available</t>
  </si>
  <si>
    <t>BRC not uploaded</t>
  </si>
  <si>
    <t>0160FBC15000852</t>
  </si>
  <si>
    <t>BKID0000160150636419</t>
  </si>
  <si>
    <t>BKID0000160150636420</t>
  </si>
  <si>
    <t>BKID0000160150636421</t>
  </si>
  <si>
    <t>9103551386-87</t>
  </si>
  <si>
    <t>0160FBC15000685</t>
  </si>
  <si>
    <t>BKID0000160150633995</t>
  </si>
  <si>
    <t>BKID0000160150633994</t>
  </si>
  <si>
    <t>BKID0000160140485259</t>
  </si>
  <si>
    <t>BKID0000160140485261</t>
  </si>
  <si>
    <t>BKID0000160140485260</t>
  </si>
  <si>
    <t>BKID0000160140493971</t>
  </si>
  <si>
    <t>BKID0000160140494403</t>
  </si>
  <si>
    <t>BKID0000160140494405</t>
  </si>
  <si>
    <t>BKID0000160140494404</t>
  </si>
  <si>
    <t>BKID0000160140503733</t>
  </si>
  <si>
    <t>BKID0000160140503149</t>
  </si>
  <si>
    <t>BKID0000160140503150</t>
  </si>
  <si>
    <t>BKID0000160150613704</t>
  </si>
  <si>
    <t>BKID0000160150613703</t>
  </si>
  <si>
    <t>BKID0000160140463329, BKID0000160140433163</t>
  </si>
  <si>
    <t>BKID0000160140417787</t>
  </si>
  <si>
    <t>BKID0000160140417788</t>
  </si>
  <si>
    <t>Sr. Nos.</t>
  </si>
  <si>
    <t xml:space="preserve">Accounting Year </t>
  </si>
  <si>
    <t>Commercial Inv./SAP no.</t>
  </si>
  <si>
    <t>Date</t>
  </si>
  <si>
    <t>monthwise details</t>
  </si>
  <si>
    <t>Payment terms</t>
  </si>
  <si>
    <t>Direct/Third party</t>
  </si>
  <si>
    <t>S/B NO.</t>
  </si>
  <si>
    <t>S/B DATE</t>
  </si>
  <si>
    <t>Buyer Name</t>
  </si>
  <si>
    <t>Currecy of Export</t>
  </si>
  <si>
    <t>Invoice Value As per S/B</t>
  </si>
  <si>
    <t>Insurance (In FFC)as per S/B</t>
  </si>
  <si>
    <t>Freight (In FFC)as per S/B</t>
  </si>
  <si>
    <t>Discount if any (in FFC)as per S/B</t>
  </si>
  <si>
    <t>Comm (in FFC)as per S/B</t>
  </si>
  <si>
    <t>LEO EX RATE</t>
  </si>
  <si>
    <t>Bank Ref. No.</t>
  </si>
  <si>
    <t>Actual Bank Realised Amount (FFC)</t>
  </si>
  <si>
    <t>BRC No.</t>
  </si>
  <si>
    <t>BRC Date</t>
  </si>
  <si>
    <t>Payment Realisation Status</t>
  </si>
  <si>
    <t>2015-16</t>
  </si>
  <si>
    <t>April</t>
  </si>
  <si>
    <t>VVF/TAL/EXP/1337</t>
  </si>
  <si>
    <t>LC AT SIGHT</t>
  </si>
  <si>
    <t>TALOJA</t>
  </si>
  <si>
    <t>direct</t>
  </si>
  <si>
    <t>26.03.2015</t>
  </si>
  <si>
    <t>GOLD MING (HK) INTERNATIONAL L</t>
  </si>
  <si>
    <t>Nhava Sheva</t>
  </si>
  <si>
    <t>0160FBN15000095</t>
  </si>
  <si>
    <t>BKID0000160150627999</t>
  </si>
  <si>
    <t>08.05.2015</t>
  </si>
  <si>
    <t>fully uploaded</t>
  </si>
  <si>
    <t>VVF/TAL/EXP/1342</t>
  </si>
  <si>
    <t>75% ADV; 25% CAD</t>
  </si>
  <si>
    <t>M+H, MICA A HARASTA S.R.O</t>
  </si>
  <si>
    <t>0160FBC15000868</t>
  </si>
  <si>
    <t>BKID0000160150636717/ BKID0000160150637661</t>
  </si>
  <si>
    <t>30 Days from B/L Date</t>
  </si>
  <si>
    <t>27.03.2015</t>
  </si>
  <si>
    <t>BASF ESPANOLA S.L(ESPANA)</t>
  </si>
  <si>
    <t>0160FBC15000684</t>
  </si>
  <si>
    <t>14.05.2015</t>
  </si>
  <si>
    <t>15.05.2015</t>
  </si>
  <si>
    <t>MITSUI &amp; CO. LTD.</t>
  </si>
  <si>
    <t>0160FBC15000707</t>
  </si>
  <si>
    <t>9103551378, 89 &amp; 9103650019</t>
  </si>
  <si>
    <t>VVF/TAL/EXP/1339</t>
  </si>
  <si>
    <t>60 Days from B/L Date</t>
  </si>
  <si>
    <t>SAUDI BASIC INDUSTRIES CORPORA</t>
  </si>
  <si>
    <t>0160FBC15000710</t>
  </si>
  <si>
    <t>BKID0000160150653170</t>
  </si>
  <si>
    <t>KOWA COMPANY, LTD</t>
  </si>
  <si>
    <t>0160FBN15000093</t>
  </si>
  <si>
    <t>22.04.2015</t>
  </si>
  <si>
    <t>100% Advance</t>
  </si>
  <si>
    <t>HWASUNG INDUSTRY CO., LTD</t>
  </si>
  <si>
    <t>South Korea</t>
  </si>
  <si>
    <t>March</t>
  </si>
  <si>
    <t>VVF/TAL/EXP/1355</t>
  </si>
  <si>
    <t>28.03.2015</t>
  </si>
  <si>
    <t>VVF/TAL/EXP/1357</t>
  </si>
  <si>
    <t>BKID0000160150648779</t>
  </si>
  <si>
    <t>9103551391-92</t>
  </si>
  <si>
    <t>VVF/TAL/EXP/1358</t>
  </si>
  <si>
    <t>TARMESH INTERNATIONAL</t>
  </si>
  <si>
    <t>iran</t>
  </si>
  <si>
    <t>VVF/TAL/EXP/1360</t>
  </si>
  <si>
    <t>19451516MB0972</t>
  </si>
  <si>
    <t>UCBA0001945150145645</t>
  </si>
  <si>
    <t>VVF/TAL/EXP/1338</t>
  </si>
  <si>
    <t>0160FBC15000666</t>
  </si>
  <si>
    <t>09.06.2015</t>
  </si>
  <si>
    <t>BKID0000160150652645</t>
  </si>
  <si>
    <t>10.06.2015</t>
  </si>
  <si>
    <t>9103551394-95</t>
  </si>
  <si>
    <t>VVF/TAL/EXP/1362</t>
  </si>
  <si>
    <t>30.03.2015</t>
  </si>
  <si>
    <t>0160FBC15000713</t>
  </si>
  <si>
    <t>BKID0000160150653171</t>
  </si>
  <si>
    <t>VVF/TAL/EXP/1363</t>
  </si>
  <si>
    <t>BKID0000160150653172</t>
  </si>
  <si>
    <t>VVF/TAL/EXP/1365</t>
  </si>
  <si>
    <t>90 Days from B/L Date</t>
  </si>
  <si>
    <t>USA</t>
  </si>
  <si>
    <t>0160FBC15000681</t>
  </si>
  <si>
    <t>12.05.2015</t>
  </si>
  <si>
    <t>BKID0000160150631424</t>
  </si>
  <si>
    <t>VVF/TAL/EXP/1364</t>
  </si>
  <si>
    <t>0160FBC15000682</t>
  </si>
  <si>
    <t>BKID0000160150631425</t>
  </si>
  <si>
    <t>9103551398,99,400 &amp; 9103650002</t>
  </si>
  <si>
    <t>0160FBC15000665</t>
  </si>
  <si>
    <t>BKID0000160150653168</t>
  </si>
  <si>
    <t>VVF/TAL/EXP/1361</t>
  </si>
  <si>
    <t>BKID0000160150653166</t>
  </si>
  <si>
    <t>VVF/TAL/EXP/1367</t>
  </si>
  <si>
    <t>VVF/TAL/EXP/1370</t>
  </si>
  <si>
    <t>9103551401-02 &amp;9103650001</t>
  </si>
  <si>
    <t>0160FBC15000664</t>
  </si>
  <si>
    <t>BKID0000160150653163</t>
  </si>
  <si>
    <t>9103551401-02 &amp; 9103650001</t>
  </si>
  <si>
    <t>VVF/TAL/EXP/1366</t>
  </si>
  <si>
    <t>BKID0000160150653164</t>
  </si>
  <si>
    <t>VVF/TAL/EXP/1369</t>
  </si>
  <si>
    <t>BKID0000160150653165</t>
  </si>
  <si>
    <t>9103551403-04 &amp; 9103650003</t>
  </si>
  <si>
    <t>0160FBC15000667</t>
  </si>
  <si>
    <t>BKID0000160150665451</t>
  </si>
  <si>
    <t>VVF/TAL/EXP/1368</t>
  </si>
  <si>
    <t>BKID0000160150665450</t>
  </si>
  <si>
    <t>VVF/TAL/EXP/1371</t>
  </si>
  <si>
    <t>BKID0000160150665449</t>
  </si>
  <si>
    <t>02.04.2015</t>
  </si>
  <si>
    <t>0160FBC15000712</t>
  </si>
  <si>
    <t>BKID0000160150631426</t>
  </si>
  <si>
    <t>Depotchem (1989) Ltd.</t>
  </si>
  <si>
    <t>0160FBC15000867</t>
  </si>
  <si>
    <t>BKID0000160150637660/ BKID0000160150639349</t>
  </si>
  <si>
    <t>BERG &amp; SCHMIDT GMBH &amp; CO. KG</t>
  </si>
  <si>
    <t>EUR</t>
  </si>
  <si>
    <t>0173FUGC1500665</t>
  </si>
  <si>
    <t>UTIB0000173000014139</t>
  </si>
  <si>
    <t>03.04.2015</t>
  </si>
  <si>
    <t>VVF SINGAPORE PTE LTD</t>
  </si>
  <si>
    <t>0160FBC15000735</t>
  </si>
  <si>
    <t>28.07.2015</t>
  </si>
  <si>
    <t>BKID0000160150689902</t>
  </si>
  <si>
    <t>29.07.2015</t>
  </si>
  <si>
    <t>OLEOCOMM INTERNATIONAL LIMITED</t>
  </si>
  <si>
    <t>0160FBC15000897</t>
  </si>
  <si>
    <t>BKID0000160150638492</t>
  </si>
  <si>
    <t>04.04.2015</t>
  </si>
  <si>
    <t>0160FBC15000706</t>
  </si>
  <si>
    <t>11.05.2015</t>
  </si>
  <si>
    <t>BKID0000160150630532</t>
  </si>
  <si>
    <t>KENKO CORPORATION</t>
  </si>
  <si>
    <t>116215XUC000467</t>
  </si>
  <si>
    <t>BKDN0461162100083469</t>
  </si>
  <si>
    <t>WELL ART INTERNATIONAL (H.K) L</t>
  </si>
  <si>
    <t>0160FBC15000871</t>
  </si>
  <si>
    <t>BKID0000160150664957</t>
  </si>
  <si>
    <t>Nex Global Corporation</t>
  </si>
  <si>
    <t>0160FBC15001241</t>
  </si>
  <si>
    <t>BKID0000160150686709</t>
  </si>
  <si>
    <t>KANEDA CO., LTD.</t>
  </si>
  <si>
    <t>0160FBC15000869</t>
  </si>
  <si>
    <t>BKID0000160150664956</t>
  </si>
  <si>
    <t>45 days from B/L Date</t>
  </si>
  <si>
    <t>L'OREAL COSMETICS INDUSTRY</t>
  </si>
  <si>
    <t>egypt</t>
  </si>
  <si>
    <t>38237090 + 29051700</t>
  </si>
  <si>
    <t>0160FBC15000771</t>
  </si>
  <si>
    <t>01.06.2015</t>
  </si>
  <si>
    <t>BKID0000160150645826</t>
  </si>
  <si>
    <t>03.06.2015</t>
  </si>
  <si>
    <t>100% CAD</t>
  </si>
  <si>
    <t>NATURELLE LLC</t>
  </si>
  <si>
    <t>UAE</t>
  </si>
  <si>
    <t>0160FBC15000680</t>
  </si>
  <si>
    <t>29.04.2015</t>
  </si>
  <si>
    <t>BKID0000160150623262</t>
  </si>
  <si>
    <t>SIYEZA FINECHEM (PTY) LTD</t>
  </si>
  <si>
    <t>0160FBC15001229</t>
  </si>
  <si>
    <t>BKID0000160150683912</t>
  </si>
  <si>
    <t>06.04.2015</t>
  </si>
  <si>
    <t>0160FBC15000704</t>
  </si>
  <si>
    <t>16.06.2015</t>
  </si>
  <si>
    <t>BKID0000160150657563</t>
  </si>
  <si>
    <t>18.06.2015</t>
  </si>
  <si>
    <t>BKID0000160150648778</t>
  </si>
  <si>
    <t>HITECH INDUSTRIES FZE</t>
  </si>
  <si>
    <t>0160FBC15000678</t>
  </si>
  <si>
    <t>BKID0000160150620167</t>
  </si>
  <si>
    <t>ZOHAR DALIA</t>
  </si>
  <si>
    <t>0160FBC15000679</t>
  </si>
  <si>
    <t>BKID0000160150619304</t>
  </si>
  <si>
    <t>07.04.2015</t>
  </si>
  <si>
    <t>0160FBC15000747</t>
  </si>
  <si>
    <t>BKID0000160150631427</t>
  </si>
  <si>
    <t>SASOL GERMANY GMBH</t>
  </si>
  <si>
    <t>116215XUC000468</t>
  </si>
  <si>
    <t>BKDN0461162100083930</t>
  </si>
  <si>
    <t>08.04.2015</t>
  </si>
  <si>
    <t>MAGNA-KRON ASIA PACIFIC PTE. L</t>
  </si>
  <si>
    <t>0160FBC15000749</t>
  </si>
  <si>
    <t>18.05.2015</t>
  </si>
  <si>
    <t>BKID0000160150635928</t>
  </si>
  <si>
    <t>116215XSC000484</t>
  </si>
  <si>
    <t>BKDN0461162100123617</t>
  </si>
  <si>
    <t>09.04.2015</t>
  </si>
  <si>
    <t>SHANGHAI HAIYI ENVIRONMENTAL</t>
  </si>
  <si>
    <t>0160FBN15000099</t>
  </si>
  <si>
    <t>BKID0000160150629155</t>
  </si>
  <si>
    <t>0160FBC15000777</t>
  </si>
  <si>
    <t>BKID0000160150631430</t>
  </si>
  <si>
    <t>KALE KIMYA KIMYEVI MADDELER</t>
  </si>
  <si>
    <t>0173FSGC1500684</t>
  </si>
  <si>
    <t>UTIB0000173000013952</t>
  </si>
  <si>
    <t>10.04.2015</t>
  </si>
  <si>
    <t>L'OREAL CANAN KOZMETIK A.S</t>
  </si>
  <si>
    <t>0160FBC15000756</t>
  </si>
  <si>
    <t>BKID0000160150631429</t>
  </si>
  <si>
    <t>9103650031-32</t>
  </si>
  <si>
    <t>CRODA EUROPE LIMITED</t>
  </si>
  <si>
    <t>5031315NC0000198</t>
  </si>
  <si>
    <t>STBP0000313100008336</t>
  </si>
  <si>
    <t>STBP0000313100008337</t>
  </si>
  <si>
    <t>DABUR EGYPT LIMITED</t>
  </si>
  <si>
    <t>0160FBC15000750</t>
  </si>
  <si>
    <t>BKID0000160150631428</t>
  </si>
  <si>
    <t>Miwon Specialty Chemical Co.,</t>
  </si>
  <si>
    <t>0160FBC15001158</t>
  </si>
  <si>
    <t>BKID0000160150675208</t>
  </si>
  <si>
    <t>POLYRHEO INC.</t>
  </si>
  <si>
    <t>0160FBC15001157</t>
  </si>
  <si>
    <t>BKID0000160150675207</t>
  </si>
  <si>
    <t>ITALY</t>
  </si>
  <si>
    <t>0160FBC15000780</t>
  </si>
  <si>
    <t>12.08.2015</t>
  </si>
  <si>
    <t>BKID0000160150700924</t>
  </si>
  <si>
    <t>13.08.2015</t>
  </si>
  <si>
    <t>MANUCHAR NV</t>
  </si>
  <si>
    <t>38237090+38231190</t>
  </si>
  <si>
    <t>0160FBC15000748</t>
  </si>
  <si>
    <t>BKID0000160150669320/ BKID0000160150664950</t>
  </si>
  <si>
    <t>02-07-2015/ 25-06-2015</t>
  </si>
  <si>
    <t>0160FBC15001159</t>
  </si>
  <si>
    <t>BKID0000160150675209</t>
  </si>
  <si>
    <t>0160FBC15000778</t>
  </si>
  <si>
    <t>BKID0000160150631431</t>
  </si>
  <si>
    <t>0160FBN15000104</t>
  </si>
  <si>
    <t>BKID0000160150633524</t>
  </si>
  <si>
    <t>IMCD SOUTH AFRICA (PTY) LTD.</t>
  </si>
  <si>
    <t>0160FBC15000758</t>
  </si>
  <si>
    <t>BKID0000160150630533</t>
  </si>
  <si>
    <t>Chemstralia Chemicals Peru S.A</t>
  </si>
  <si>
    <t>29051700/38237090</t>
  </si>
  <si>
    <t>0160FBN15000112</t>
  </si>
  <si>
    <t>23.06.2015</t>
  </si>
  <si>
    <t>BKID0000160150663208</t>
  </si>
  <si>
    <t>24.06.2015</t>
  </si>
  <si>
    <t>COLGATE PALMOLIVE MOROCCO</t>
  </si>
  <si>
    <t>0160FBC15000776</t>
  </si>
  <si>
    <t>26.08.2015</t>
  </si>
  <si>
    <t>BKID0000160150709423</t>
  </si>
  <si>
    <t>27.08.2015</t>
  </si>
  <si>
    <t>CJP Chemicals (PTY) Ltd</t>
  </si>
  <si>
    <t>0160FBN15000102</t>
  </si>
  <si>
    <t>BKID0000160150630537</t>
  </si>
  <si>
    <t>GLOBE CHEMICALS GmbH</t>
  </si>
  <si>
    <t>ECUADOR</t>
  </si>
  <si>
    <t>0160FBC15000823</t>
  </si>
  <si>
    <t>BKID0000160150664952</t>
  </si>
  <si>
    <t>GULF CENTRE FOR SOAP AND CHEMI</t>
  </si>
  <si>
    <t>0160FBC15000879</t>
  </si>
  <si>
    <t>BKID0000160150636718</t>
  </si>
  <si>
    <t>116215XUC000502</t>
  </si>
  <si>
    <t>BKDN0461162100085719</t>
  </si>
  <si>
    <t>0160FBC15000859</t>
  </si>
  <si>
    <t>BKID0000160150635931</t>
  </si>
  <si>
    <t>50% adv &amp; 50% CAD</t>
  </si>
  <si>
    <t>UNIVAR BRASIL LTDA.</t>
  </si>
  <si>
    <t>BRAZIL</t>
  </si>
  <si>
    <t>0160FBC15000970</t>
  </si>
  <si>
    <t>22.06.2015</t>
  </si>
  <si>
    <t>BKID0000160150660863 / BKID0000160150646853</t>
  </si>
  <si>
    <t>9103650050-51</t>
  </si>
  <si>
    <t>0160FBC15000804</t>
  </si>
  <si>
    <t>28.05.2015</t>
  </si>
  <si>
    <t>BKID0000160150644070</t>
  </si>
  <si>
    <t>BKID0000160150644071</t>
  </si>
  <si>
    <t>UNIMERS S.A</t>
  </si>
  <si>
    <t>0160FBC15000809</t>
  </si>
  <si>
    <t>BKID0000160150664951</t>
  </si>
  <si>
    <t>0160FBC15000794</t>
  </si>
  <si>
    <t>BKID0000160150643369</t>
  </si>
  <si>
    <t>0160FBC15000772</t>
  </si>
  <si>
    <t>BKID0000160150634358</t>
  </si>
  <si>
    <t>16.05.2015</t>
  </si>
  <si>
    <t>20.04.2015</t>
  </si>
  <si>
    <t>0160FBC15000796</t>
  </si>
  <si>
    <t>01.07.2015</t>
  </si>
  <si>
    <t>BKID0000160150670344</t>
  </si>
  <si>
    <t>02.07.2015</t>
  </si>
  <si>
    <t>0160FBC15000795</t>
  </si>
  <si>
    <t>BKID0000160150670839 /BKID0000160150670840</t>
  </si>
  <si>
    <t>VVF/TAL/EXP/0054</t>
  </si>
  <si>
    <t>0160FBN15000109</t>
  </si>
  <si>
    <t>BKID0000160150633525</t>
  </si>
  <si>
    <t>0160FBN15000116</t>
  </si>
  <si>
    <t>BKID0000160150670345</t>
  </si>
  <si>
    <t>19451516MB1027</t>
  </si>
  <si>
    <t>UCBA0001945150149154</t>
  </si>
  <si>
    <t>21.04.2015</t>
  </si>
  <si>
    <t>0160FBC15000803</t>
  </si>
  <si>
    <t>BKID0000160150643372</t>
  </si>
  <si>
    <t>0160FBC15000802</t>
  </si>
  <si>
    <t>BKID0000160150643371</t>
  </si>
  <si>
    <t>19451516C0303</t>
  </si>
  <si>
    <t>UCBA0001945150153976</t>
  </si>
  <si>
    <t>0160FBC15000801</t>
  </si>
  <si>
    <t>BKID0000160150643370</t>
  </si>
  <si>
    <t>38231900 + 29051700</t>
  </si>
  <si>
    <t>0160FBC15000805</t>
  </si>
  <si>
    <t>BKID0000160150643373</t>
  </si>
  <si>
    <t>100% TT ADVANCE</t>
  </si>
  <si>
    <t>THOSCO</t>
  </si>
  <si>
    <t>Cameroun</t>
  </si>
  <si>
    <t>29051700 / 38231190</t>
  </si>
  <si>
    <t>0160FBC15000866</t>
  </si>
  <si>
    <t>BKID0000160150636716</t>
  </si>
  <si>
    <t>AKZO NOBEL SURFACE CHEMISTRY A</t>
  </si>
  <si>
    <t>0160FBC15000792</t>
  </si>
  <si>
    <t>07.08.2015</t>
  </si>
  <si>
    <t>BKID0000160150697670</t>
  </si>
  <si>
    <t>08.08.2015</t>
  </si>
  <si>
    <t>9103650068-69</t>
  </si>
  <si>
    <t>BAM S.A.</t>
  </si>
  <si>
    <t>COLOMBIA</t>
  </si>
  <si>
    <t>0160FBC15000979</t>
  </si>
  <si>
    <t>BKID0000160150742980</t>
  </si>
  <si>
    <t>BKID0000160150742981</t>
  </si>
  <si>
    <t>BKID0000160150742982</t>
  </si>
  <si>
    <t>9103650070-71</t>
  </si>
  <si>
    <t>OLEON NATURAL CHEMISTRY</t>
  </si>
  <si>
    <t>0160FBC15000793</t>
  </si>
  <si>
    <t>BKID0000160150644068</t>
  </si>
  <si>
    <t>BKID0000160150644067</t>
  </si>
  <si>
    <t>BKID0000160150644069</t>
  </si>
  <si>
    <t>0160FBC15001234</t>
  </si>
  <si>
    <t>BKID0000160150686708</t>
  </si>
  <si>
    <t>24.04.2015</t>
  </si>
  <si>
    <t>INDUSTRIAL QUIMICA LASEM SA</t>
  </si>
  <si>
    <t>0160FBC15000850</t>
  </si>
  <si>
    <t>15.06.2015</t>
  </si>
  <si>
    <t>BKID0000160150656560</t>
  </si>
  <si>
    <t>17.06.2015</t>
  </si>
  <si>
    <t>25.04.2015</t>
  </si>
  <si>
    <t>0160FBC15000851</t>
  </si>
  <si>
    <t>BKID0000160150656561</t>
  </si>
  <si>
    <t>0160FBC15001154</t>
  </si>
  <si>
    <t>BKID0000160150675205</t>
  </si>
  <si>
    <t>courier shipment</t>
  </si>
  <si>
    <t>PT Cahaya Bumi Cemerlang</t>
  </si>
  <si>
    <t>kgs</t>
  </si>
  <si>
    <t>9112650001-002</t>
  </si>
  <si>
    <t>VVF/DAM/EXP/001</t>
  </si>
  <si>
    <t>DAMAN</t>
  </si>
  <si>
    <t>0160FBC15000770</t>
  </si>
  <si>
    <t>BKID0000160150668963</t>
  </si>
  <si>
    <t>VVF/DAM/EXP/002</t>
  </si>
  <si>
    <t>BKID0000160150668964</t>
  </si>
  <si>
    <t>VVF/DAM/EXP/003</t>
  </si>
  <si>
    <t>BKID0000160150668965</t>
  </si>
  <si>
    <t>VVF/DAM/EXP/004</t>
  </si>
  <si>
    <t>BKID0000160150668962</t>
  </si>
  <si>
    <t>VVF/BDD/EXP/017</t>
  </si>
  <si>
    <t>BADDI</t>
  </si>
  <si>
    <t>PIPAVAV</t>
  </si>
  <si>
    <t>NO.</t>
  </si>
  <si>
    <t>9114550034-35</t>
  </si>
  <si>
    <t>VVF/BDD/EXP/019</t>
  </si>
  <si>
    <t>INLDH6</t>
  </si>
  <si>
    <t>0160FBC15000638</t>
  </si>
  <si>
    <t>BKID0000160150638489</t>
  </si>
  <si>
    <t>VVF/BDD/EXP/015</t>
  </si>
  <si>
    <t>VVF ILLINOIS SERVICES LLC</t>
  </si>
  <si>
    <t>INAPL6</t>
  </si>
  <si>
    <t>0160FBC15000782</t>
  </si>
  <si>
    <t>BKID0000160150682260</t>
  </si>
  <si>
    <t>21.07.2015</t>
  </si>
  <si>
    <t>9114550037-38</t>
  </si>
  <si>
    <t>VVF/BDD/EXP/018</t>
  </si>
  <si>
    <t>0160FBC15000781</t>
  </si>
  <si>
    <t>BKID0000160150682259</t>
  </si>
  <si>
    <t>9114550039-40</t>
  </si>
  <si>
    <t>VVF/BDD/EXP/020</t>
  </si>
  <si>
    <t>0160FBC15000759</t>
  </si>
  <si>
    <t>BKID0000160150682258</t>
  </si>
  <si>
    <t>9114550041-42</t>
  </si>
  <si>
    <t>VVF/BDD/EXP/021</t>
  </si>
  <si>
    <t>0160FBC15000752</t>
  </si>
  <si>
    <t>BKID0000160150682257</t>
  </si>
  <si>
    <t>May</t>
  </si>
  <si>
    <t>CHEMIPAMS</t>
  </si>
  <si>
    <t>0160FBC15000872</t>
  </si>
  <si>
    <t>BKID0000160150637662</t>
  </si>
  <si>
    <t>COLGATE-PALMOLIVE INDUSTRIAL L</t>
  </si>
  <si>
    <t>0160FBC15000848</t>
  </si>
  <si>
    <t>17.07.2015</t>
  </si>
  <si>
    <t>BKID0000160150683136</t>
  </si>
  <si>
    <t>0160FBC15000857</t>
  </si>
  <si>
    <t>BKID0000160150700925</t>
  </si>
  <si>
    <t>0160FBC15000858</t>
  </si>
  <si>
    <t>15.09.2015</t>
  </si>
  <si>
    <t>BKID0000160150723599</t>
  </si>
  <si>
    <t>16.09.2015</t>
  </si>
  <si>
    <t>9103650079-80</t>
  </si>
  <si>
    <t>Hwasung Industry Co., Ltd</t>
  </si>
  <si>
    <t>0160IRT15000341</t>
  </si>
  <si>
    <t>BKID0000160150684376</t>
  </si>
  <si>
    <t>0160FBC15001228</t>
  </si>
  <si>
    <t>BKID0000160150684375</t>
  </si>
  <si>
    <t>0160FBC15000900</t>
  </si>
  <si>
    <t>BKID0000160150638493</t>
  </si>
  <si>
    <t>9103650082-83</t>
  </si>
  <si>
    <t>OLEON N.V.</t>
  </si>
  <si>
    <t>0160FBC15000838</t>
  </si>
  <si>
    <t>BKID0000160150640618</t>
  </si>
  <si>
    <t>27.05.2015</t>
  </si>
  <si>
    <t>BKID0000160150640617</t>
  </si>
  <si>
    <t>9103650085 &amp; 106</t>
  </si>
  <si>
    <t>27.04.2015</t>
  </si>
  <si>
    <t>PERFECT POLYMERS FZ-LLC</t>
  </si>
  <si>
    <t>0160FBC15000800</t>
  </si>
  <si>
    <t>BKID0000160150634831</t>
  </si>
  <si>
    <t>28.04.2015</t>
  </si>
  <si>
    <t>TROPICAL DEGIL COSMETIC INDUST</t>
  </si>
  <si>
    <t>0160FBN15000119</t>
  </si>
  <si>
    <t>03.07.2015</t>
  </si>
  <si>
    <t>BKID0000160150672458</t>
  </si>
  <si>
    <t>06.07.2015</t>
  </si>
  <si>
    <t>9103650088-89-90</t>
  </si>
  <si>
    <t>UPCITY INTERNATIONAL LIMITED</t>
  </si>
  <si>
    <t>0160FBN15000118</t>
  </si>
  <si>
    <t>BKID0000160150644072</t>
  </si>
  <si>
    <t>0160FBC15000837</t>
  </si>
  <si>
    <t>04.06.2015</t>
  </si>
  <si>
    <t>BKID0000160150649208</t>
  </si>
  <si>
    <t>05.06.2015</t>
  </si>
  <si>
    <t>9103650092-93</t>
  </si>
  <si>
    <t>CREMER OLEO GMBH &amp; CO.KG</t>
  </si>
  <si>
    <t>0160FBC15000839</t>
  </si>
  <si>
    <t>BKID0000160150665454</t>
  </si>
  <si>
    <t>BKID0000160150665452</t>
  </si>
  <si>
    <t>25.06.2015</t>
  </si>
  <si>
    <t>0160FBC15000924</t>
  </si>
  <si>
    <t>BKID0000160150664959</t>
  </si>
  <si>
    <t>9103650095/0096/0104</t>
  </si>
  <si>
    <t>Peter Cremer (S) GmbH</t>
  </si>
  <si>
    <t>0160FBC15000902</t>
  </si>
  <si>
    <t>BKID0000160150653173</t>
  </si>
  <si>
    <t>BKID0000160150653174</t>
  </si>
  <si>
    <t>30.04.2015</t>
  </si>
  <si>
    <t>0160FBC15000896</t>
  </si>
  <si>
    <t>BKID0000160150656563</t>
  </si>
  <si>
    <t>0160FBC15000895</t>
  </si>
  <si>
    <t>BKID0000160150656562</t>
  </si>
  <si>
    <t>9103650099-100</t>
  </si>
  <si>
    <t>SOLVAY (ZHANGJIAGANG) SPECIALT</t>
  </si>
  <si>
    <t>0160FBN15000125</t>
  </si>
  <si>
    <t>11.08.2015</t>
  </si>
  <si>
    <t>BKID0000160150700391</t>
  </si>
  <si>
    <t>BKID0000160150700390</t>
  </si>
  <si>
    <t>50% cash and 50% 30 days from B/L date</t>
  </si>
  <si>
    <t>02.05.2015</t>
  </si>
  <si>
    <t>0160FBC15000989</t>
  </si>
  <si>
    <t>BKID0000160150660864 /BKID0000160150650041</t>
  </si>
  <si>
    <t>Alliance Tire Company LTD</t>
  </si>
  <si>
    <t>0160FBC15000828</t>
  </si>
  <si>
    <t>20.05.2015</t>
  </si>
  <si>
    <t>BKID0000160150637656</t>
  </si>
  <si>
    <t>0160FBC15000898</t>
  </si>
  <si>
    <t>BKID0000160150727133</t>
  </si>
  <si>
    <t>BKID0000160150653175</t>
  </si>
  <si>
    <t>VVF/TAL/EXP/0107</t>
  </si>
  <si>
    <t>05.05.2015</t>
  </si>
  <si>
    <t>GALIL CHEMICALS LTD</t>
  </si>
  <si>
    <t>0160FBC15000847</t>
  </si>
  <si>
    <t>15.07.2015</t>
  </si>
  <si>
    <t>BKID0000160150681374</t>
  </si>
  <si>
    <t>16.07.2015</t>
  </si>
  <si>
    <t>0160FBC15000889</t>
  </si>
  <si>
    <t>BKID0000160150643374</t>
  </si>
  <si>
    <t>0160FBC15000880</t>
  </si>
  <si>
    <t>23.07.2015</t>
  </si>
  <si>
    <t>BKID0000160150686700</t>
  </si>
  <si>
    <t>24.07.2015</t>
  </si>
  <si>
    <t>0160FBC15000890</t>
  </si>
  <si>
    <t>BKID0000160150686701</t>
  </si>
  <si>
    <t>Ivory coast</t>
  </si>
  <si>
    <t>0160FBC15000899</t>
  </si>
  <si>
    <t>BKID0000160150643375</t>
  </si>
  <si>
    <t>0160FBC15000926</t>
  </si>
  <si>
    <t>BKID0000160150652646</t>
  </si>
  <si>
    <t>9103650115-16</t>
  </si>
  <si>
    <t>0160FBC15001029</t>
  </si>
  <si>
    <t>BKID0000160150716742</t>
  </si>
  <si>
    <t>BKID0000160150661650</t>
  </si>
  <si>
    <t>09.05.2015</t>
  </si>
  <si>
    <t>PINEWOOD HEALTHCARE LTD</t>
  </si>
  <si>
    <t>0160FBC15000933</t>
  </si>
  <si>
    <t>BKID0000160150660862</t>
  </si>
  <si>
    <t>0160FBC15000932</t>
  </si>
  <si>
    <t>BKID0000160150660861</t>
  </si>
  <si>
    <t>9103650119-120</t>
  </si>
  <si>
    <t>0160FBC15000923</t>
  </si>
  <si>
    <t>01.10.2015</t>
  </si>
  <si>
    <t>BKID0000160150734730</t>
  </si>
  <si>
    <t>03.10.2015</t>
  </si>
  <si>
    <t>BKID0000160150734731</t>
  </si>
  <si>
    <t>0160FBC15001233</t>
  </si>
  <si>
    <t>BKID0000160150684835</t>
  </si>
  <si>
    <t>0160FBC15000936</t>
  </si>
  <si>
    <t>BKID0000160150669324</t>
  </si>
  <si>
    <t>0160FBC15001240</t>
  </si>
  <si>
    <t>16.02.2016</t>
  </si>
  <si>
    <t>BKID0000160160820357</t>
  </si>
  <si>
    <t>17.02.2016</t>
  </si>
  <si>
    <t>0160FBC15000935</t>
  </si>
  <si>
    <t>BKID0000160150669323</t>
  </si>
  <si>
    <t>0160FBC15000937</t>
  </si>
  <si>
    <t>BKID0000160150669325</t>
  </si>
  <si>
    <t>0160FBC15001232</t>
  </si>
  <si>
    <t>BKID0000160150686707/  BKID0000160150684834</t>
  </si>
  <si>
    <t>24-07-15/23-07-15</t>
  </si>
  <si>
    <t>13.05.2015</t>
  </si>
  <si>
    <t>0160FBC15000987</t>
  </si>
  <si>
    <t>BKID0000160150669332</t>
  </si>
  <si>
    <t>0160FBC15000984</t>
  </si>
  <si>
    <t>BKID0000160150669329</t>
  </si>
  <si>
    <t>9103650129-130-131</t>
  </si>
  <si>
    <t>0160FBC15001365</t>
  </si>
  <si>
    <t>BKID0000160150701365</t>
  </si>
  <si>
    <t>BKID0000160150701366</t>
  </si>
  <si>
    <t>0160FBC15000968</t>
  </si>
  <si>
    <t>BKID0000160150659656</t>
  </si>
  <si>
    <t>19.06.2015</t>
  </si>
  <si>
    <t>0160FBC15000974</t>
  </si>
  <si>
    <t>BKID0000160150669328</t>
  </si>
  <si>
    <t>19451516MB1088</t>
  </si>
  <si>
    <t>UCBA0001945150152358</t>
  </si>
  <si>
    <t>0160FBC15000934</t>
  </si>
  <si>
    <t>BKID0000160150669322</t>
  </si>
  <si>
    <t>0160FBC15000985</t>
  </si>
  <si>
    <t>BKID0000160150669330</t>
  </si>
  <si>
    <t>GALIL CHEMICALS</t>
  </si>
  <si>
    <t>0160FBN15000123</t>
  </si>
  <si>
    <t>BKID0000160150684836</t>
  </si>
  <si>
    <t>0160FBC15000930</t>
  </si>
  <si>
    <t>BKID0000160150648120</t>
  </si>
  <si>
    <t>LOREAL MFG MIDRAND (PTY) LTD</t>
  </si>
  <si>
    <t>0160FBC15000977</t>
  </si>
  <si>
    <t>30.07.2015</t>
  </si>
  <si>
    <t>BKID0000160150691647</t>
  </si>
  <si>
    <t>31.07.2015</t>
  </si>
  <si>
    <t>0160FBC15000980</t>
  </si>
  <si>
    <t>BKID0000160150664960</t>
  </si>
  <si>
    <t>0160FBC15000994</t>
  </si>
  <si>
    <t>BKID0000160150654847</t>
  </si>
  <si>
    <t>0160FBC15000978</t>
  </si>
  <si>
    <t>06.10.2015</t>
  </si>
  <si>
    <t>BKID0000160150736866</t>
  </si>
  <si>
    <t>07.10.2015</t>
  </si>
  <si>
    <t>9103650143-44</t>
  </si>
  <si>
    <t>19-5-15</t>
  </si>
  <si>
    <t>0160FBC15000925</t>
  </si>
  <si>
    <t>BKID0000160150648781</t>
  </si>
  <si>
    <t>20-5-15</t>
  </si>
  <si>
    <t>BKID0000160150648780</t>
  </si>
  <si>
    <t>0173FUGC1500855</t>
  </si>
  <si>
    <t>UTIB000173000016067</t>
  </si>
  <si>
    <t>19.05.2015</t>
  </si>
  <si>
    <t>ZIFRONI CHEMICALS SUPPLIERS LT</t>
  </si>
  <si>
    <t>0160FBC15000975</t>
  </si>
  <si>
    <t>BKID0000160150648122</t>
  </si>
  <si>
    <t>0160FBC15000986</t>
  </si>
  <si>
    <t>BKID0000160150669331</t>
  </si>
  <si>
    <t>0160FBC15000981</t>
  </si>
  <si>
    <t>BKID0000160150699922</t>
  </si>
  <si>
    <t>0160FBC15000931</t>
  </si>
  <si>
    <t>BKID0000160150648121</t>
  </si>
  <si>
    <t>0160FBC15000988</t>
  </si>
  <si>
    <t>30.06.2015</t>
  </si>
  <si>
    <t>BKID0000160150668523</t>
  </si>
  <si>
    <t>NOT IN SION FOLDER</t>
  </si>
  <si>
    <t>JAMES COOK UNIVERSITY</t>
  </si>
  <si>
    <t>21.05.2015</t>
  </si>
  <si>
    <t>0160FBC15000976</t>
  </si>
  <si>
    <t>BKID0000160150682263</t>
  </si>
  <si>
    <t>0160FBC15001040</t>
  </si>
  <si>
    <t>18.03.2016</t>
  </si>
  <si>
    <t>BKID0000160160843281</t>
  </si>
  <si>
    <t>19.03.2016</t>
  </si>
  <si>
    <t>0160FBC15001227</t>
  </si>
  <si>
    <t>BKID0000160150683911</t>
  </si>
  <si>
    <t>9103650155-56-57</t>
  </si>
  <si>
    <t>0160FBC15000993</t>
  </si>
  <si>
    <t>BKID0000160150740334</t>
  </si>
  <si>
    <t>BKID0000160150740333</t>
  </si>
  <si>
    <t>09.10.2015</t>
  </si>
  <si>
    <t>BKID0000160150740332</t>
  </si>
  <si>
    <t>12.10.2015</t>
  </si>
  <si>
    <t>OOO Revada - Nauchniy prz</t>
  </si>
  <si>
    <t>0160FBC15001085</t>
  </si>
  <si>
    <t>BKID0000160150686704</t>
  </si>
  <si>
    <t>0160FBC15001034</t>
  </si>
  <si>
    <t>21.10.2015</t>
  </si>
  <si>
    <t>BKID0000160150748557 + BKID0000160150765230</t>
  </si>
  <si>
    <t>26.10.2015</t>
  </si>
  <si>
    <t>Interbeauty Cosmetics Ltd.</t>
  </si>
  <si>
    <t>0160FBC15001039</t>
  </si>
  <si>
    <t>31.08.2015</t>
  </si>
  <si>
    <t>BKID0000160150712591</t>
  </si>
  <si>
    <t>01.09.2015</t>
  </si>
  <si>
    <t>0160FBC15000996</t>
  </si>
  <si>
    <t>14.08.2015</t>
  </si>
  <si>
    <t>BKID0000160150702680</t>
  </si>
  <si>
    <t>19.08.2015</t>
  </si>
  <si>
    <t>COMPANIA HULERA TORNEL,S.A. DE</t>
  </si>
  <si>
    <t>0160FBN15000142</t>
  </si>
  <si>
    <t>BKID0000160150713658</t>
  </si>
  <si>
    <t>02.09.2015</t>
  </si>
  <si>
    <t>0160FBC15001060</t>
  </si>
  <si>
    <t>BKID0000160150669333</t>
  </si>
  <si>
    <t>ADVANCE</t>
  </si>
  <si>
    <t>19451516MB1119</t>
  </si>
  <si>
    <t>UCBA0001945150155201</t>
  </si>
  <si>
    <t>0160FBC15001031</t>
  </si>
  <si>
    <t>BKID0000160150683137</t>
  </si>
  <si>
    <t>CANDID LIMITED</t>
  </si>
  <si>
    <t>0160FBC15001044</t>
  </si>
  <si>
    <t>BKID0000160150655694</t>
  </si>
  <si>
    <t>VVF/SION/ENGG/002</t>
  </si>
  <si>
    <t>TT Advance</t>
  </si>
  <si>
    <t>KUTCH</t>
  </si>
  <si>
    <t>DIRECT</t>
  </si>
  <si>
    <t>VVF LIFE SCIENCES SOUTH AFRICA</t>
  </si>
  <si>
    <t>MUMBAI AIRPORT</t>
  </si>
  <si>
    <t>PKG</t>
  </si>
  <si>
    <t>payment realised</t>
  </si>
  <si>
    <t>9114650001-02</t>
  </si>
  <si>
    <t>VVF/BDD/EXP/001</t>
  </si>
  <si>
    <t>no.</t>
  </si>
  <si>
    <t>fob</t>
  </si>
  <si>
    <t>usd</t>
  </si>
  <si>
    <t>0160FBC15000888</t>
  </si>
  <si>
    <t>BKID0000160150682262</t>
  </si>
  <si>
    <t>9114650003-04-05</t>
  </si>
  <si>
    <t>VVF/BDD/EXP/002</t>
  </si>
  <si>
    <t>JOHNSON &amp; JOHNSON</t>
  </si>
  <si>
    <t>0160FBC16000087</t>
  </si>
  <si>
    <t>BKID0000160160855395</t>
  </si>
  <si>
    <t>June</t>
  </si>
  <si>
    <t>0160FBC15001065</t>
  </si>
  <si>
    <t>BKID0000160150669335</t>
  </si>
  <si>
    <t>0160FBC15001048</t>
  </si>
  <si>
    <t>BKID0000160150674140</t>
  </si>
  <si>
    <t>07.07.2015</t>
  </si>
  <si>
    <t>0160FBC15001028</t>
  </si>
  <si>
    <t>05.08.2015</t>
  </si>
  <si>
    <t>BKID0000160150695596</t>
  </si>
  <si>
    <t>06.08.2015</t>
  </si>
  <si>
    <t>0160FBN15000141</t>
  </si>
  <si>
    <t>BKID0000160150713657</t>
  </si>
  <si>
    <t>0160FBN15000143</t>
  </si>
  <si>
    <t>BKID0000160150713659</t>
  </si>
  <si>
    <t>0160FBC15001061</t>
  </si>
  <si>
    <t>BKID0000160150669334</t>
  </si>
  <si>
    <t>0160FBC15001120</t>
  </si>
  <si>
    <t>13.07.2015</t>
  </si>
  <si>
    <t>BKID0000160150679223</t>
  </si>
  <si>
    <t>BRC partial uploaded</t>
  </si>
  <si>
    <t>30.05.2015</t>
  </si>
  <si>
    <t>BASF PERSONAL CARE AND NUTRITI</t>
  </si>
  <si>
    <t>0160FBC15001071</t>
  </si>
  <si>
    <t>03.08.2015</t>
  </si>
  <si>
    <t>BKID0000160150693718</t>
  </si>
  <si>
    <t>04.08.2015</t>
  </si>
  <si>
    <t>9103650174-175</t>
  </si>
  <si>
    <t>FUJIAN ZHONGMIN CHEMICAL CO.,L</t>
  </si>
  <si>
    <t>0160FBN15000145</t>
  </si>
  <si>
    <t>BKID0000160150668973</t>
  </si>
  <si>
    <t>BKID0000160150668974</t>
  </si>
  <si>
    <t>0160FBC15001086</t>
  </si>
  <si>
    <t>BKID0000160150697672</t>
  </si>
  <si>
    <t>0160FBC15001033</t>
  </si>
  <si>
    <t>BKID0000160150686703</t>
  </si>
  <si>
    <t>02.06.2015</t>
  </si>
  <si>
    <t>0160FBC15001070</t>
  </si>
  <si>
    <t>BKID0000160150669337</t>
  </si>
  <si>
    <t>0160FBC15001067</t>
  </si>
  <si>
    <t>BKID0000160150669336</t>
  </si>
  <si>
    <t>0160FBC15001032</t>
  </si>
  <si>
    <t>BKID0000160150702681</t>
  </si>
  <si>
    <t>0160FBC15001082</t>
  </si>
  <si>
    <t>BKID0000160150695597</t>
  </si>
  <si>
    <t>0160FBC15001084</t>
  </si>
  <si>
    <t>BKID0000160150695599</t>
  </si>
  <si>
    <t>STARSEA CHEMICALS</t>
  </si>
  <si>
    <t>0160FBC15001242</t>
  </si>
  <si>
    <t>BKID0000160150686710</t>
  </si>
  <si>
    <t>EUROPEAN COSMETICS MANUFACTURI</t>
  </si>
  <si>
    <t>0160FBC15001037</t>
  </si>
  <si>
    <t>BKID0000160150664961/BKID0000160150654848</t>
  </si>
  <si>
    <t>0160FBC15001083</t>
  </si>
  <si>
    <t>BKID0000160150695598</t>
  </si>
  <si>
    <t>COLGATE PALMOLIVE (THAILAND) C</t>
  </si>
  <si>
    <t>0160FBC15001064</t>
  </si>
  <si>
    <t>BKID0000160150697671</t>
  </si>
  <si>
    <t>COLGATE-PALMOLIVE VIETNAM LTD</t>
  </si>
  <si>
    <t>0160FBC15001066</t>
  </si>
  <si>
    <t>BKID0000160150724418</t>
  </si>
  <si>
    <t>18.09.2015</t>
  </si>
  <si>
    <t>0160FBC15001030</t>
  </si>
  <si>
    <t>BKID0000160150657565</t>
  </si>
  <si>
    <t>0160FBC15001089</t>
  </si>
  <si>
    <t>20.07.2015</t>
  </si>
  <si>
    <t>BKID0000160150683909</t>
  </si>
  <si>
    <t>0173FUGC1500982</t>
  </si>
  <si>
    <t>UTIB0000173000014569</t>
  </si>
  <si>
    <t>08.06.2015</t>
  </si>
  <si>
    <t>0160FBC15001101</t>
  </si>
  <si>
    <t>BKID0000160150695600</t>
  </si>
  <si>
    <t>0160FBC15001103</t>
  </si>
  <si>
    <t>BKID0000160150695602</t>
  </si>
  <si>
    <t>19451516MB1146</t>
  </si>
  <si>
    <t>UCBA0001945150158049</t>
  </si>
  <si>
    <t>0160FBC15001087</t>
  </si>
  <si>
    <t>BKID0000160150691649</t>
  </si>
  <si>
    <t>CHEMICALS CHILE S.A</t>
  </si>
  <si>
    <t>0160FBN15000163</t>
  </si>
  <si>
    <t>BKID0000160150704396</t>
  </si>
  <si>
    <t>20.08.2015</t>
  </si>
  <si>
    <t>0160FBC15001110</t>
  </si>
  <si>
    <t>BKID0000160150692487</t>
  </si>
  <si>
    <t>01.08.2015</t>
  </si>
  <si>
    <t>0160FBC15001102</t>
  </si>
  <si>
    <t>BKID0000160150695601</t>
  </si>
  <si>
    <t>0160FBC15001136</t>
  </si>
  <si>
    <t>BKID0000160150695607</t>
  </si>
  <si>
    <t>0160FBC15001117</t>
  </si>
  <si>
    <t>BKID0000160150695604</t>
  </si>
  <si>
    <t>0160FBC15001119</t>
  </si>
  <si>
    <t>BKID0000160150695605</t>
  </si>
  <si>
    <t>0160FBN15000161</t>
  </si>
  <si>
    <t>BKID0000160150704395</t>
  </si>
  <si>
    <t>0160FBN15000162</t>
  </si>
  <si>
    <t>BKID0000160150725512</t>
  </si>
  <si>
    <t>19.09.2015</t>
  </si>
  <si>
    <t>0160FBC15001488</t>
  </si>
  <si>
    <t>BKID0000160150716274</t>
  </si>
  <si>
    <t>11.06.2015</t>
  </si>
  <si>
    <t>0160FBC15001116</t>
  </si>
  <si>
    <t>BKID0000160150695603</t>
  </si>
  <si>
    <t>0160FBC15001172</t>
  </si>
  <si>
    <t>BKID0000160150727134</t>
  </si>
  <si>
    <t>9103650207-08</t>
  </si>
  <si>
    <t>0160FBC15001118</t>
  </si>
  <si>
    <t>BKID0000160150696096</t>
  </si>
  <si>
    <t>BKID0000160150696095</t>
  </si>
  <si>
    <t>0160FBC15001489</t>
  </si>
  <si>
    <t>BKID0000160150716275</t>
  </si>
  <si>
    <t>TRICOM L.L.C</t>
  </si>
  <si>
    <t>0160FBC15001173</t>
  </si>
  <si>
    <t>BKID0000160150676223</t>
  </si>
  <si>
    <t>13.06.2015</t>
  </si>
  <si>
    <t>0160FBC15001123</t>
  </si>
  <si>
    <t>BKID0000160150695606</t>
  </si>
  <si>
    <t>0160FBC15001140</t>
  </si>
  <si>
    <t>BKID0000160150702683</t>
  </si>
  <si>
    <t>9103650213-14-15</t>
  </si>
  <si>
    <t>12.06.2015</t>
  </si>
  <si>
    <t>0160FBC15001107</t>
  </si>
  <si>
    <t>BKID0000160150714558</t>
  </si>
  <si>
    <t>03.09.2015</t>
  </si>
  <si>
    <t>BKID0000160150714559</t>
  </si>
  <si>
    <t>9103650216-217</t>
  </si>
  <si>
    <t>19451516MB1149</t>
  </si>
  <si>
    <t>UCBA0001945150158052</t>
  </si>
  <si>
    <t>UCBA0001945150158051</t>
  </si>
  <si>
    <t>38237090/29051700/38237090</t>
  </si>
  <si>
    <t>0160FBC15001160</t>
  </si>
  <si>
    <t>BKID0000160150697673</t>
  </si>
  <si>
    <t>9103650219-220</t>
  </si>
  <si>
    <t>0160FBC15001138</t>
  </si>
  <si>
    <t>BKID0000160150696099</t>
  </si>
  <si>
    <t>9103650221-222</t>
  </si>
  <si>
    <t>20.06.2015</t>
  </si>
  <si>
    <t>0160FBC15001135</t>
  </si>
  <si>
    <t>BKID0000160150696097</t>
  </si>
  <si>
    <t>BKID0000160150696098</t>
  </si>
  <si>
    <t>0160FBC15001304</t>
  </si>
  <si>
    <t>BKID0000160150730875/ BKID0000160150727137</t>
  </si>
  <si>
    <t>SNS CORPORATION</t>
  </si>
  <si>
    <t>0160FBC15001246</t>
  </si>
  <si>
    <t>BKID0000160150687553</t>
  </si>
  <si>
    <t>0160FBC15001208</t>
  </si>
  <si>
    <t>BKID0000160150695613</t>
  </si>
  <si>
    <t>0160FBC15001254</t>
  </si>
  <si>
    <t>15.02.2016</t>
  </si>
  <si>
    <t>BKID0000160160819619</t>
  </si>
  <si>
    <t>LC AT 90 days from b/l date</t>
  </si>
  <si>
    <t>0160FBN15000164</t>
  </si>
  <si>
    <t>23.09.2015</t>
  </si>
  <si>
    <t>BKID0000160150729241</t>
  </si>
  <si>
    <t>24.09.2015</t>
  </si>
  <si>
    <t>0173FSGC1501007</t>
  </si>
  <si>
    <t>UTIB0000173000014389</t>
  </si>
  <si>
    <t>0160FBC15001164</t>
  </si>
  <si>
    <t>BKID0000160150695609</t>
  </si>
  <si>
    <t>0160FBC15001612</t>
  </si>
  <si>
    <t>05.10.2015</t>
  </si>
  <si>
    <t>BKID0000160150735838</t>
  </si>
  <si>
    <t>0160FBC15001163</t>
  </si>
  <si>
    <t>BKID0000160150695608</t>
  </si>
  <si>
    <t>ILMOR KIMYA TEKSTIL SANAYI</t>
  </si>
  <si>
    <t>0160FBC15001139</t>
  </si>
  <si>
    <t>BKID0000160150686705</t>
  </si>
  <si>
    <t>30 adv and 70% CAD</t>
  </si>
  <si>
    <t>0160FBC15001230</t>
  </si>
  <si>
    <t>BKID0000160150683913</t>
  </si>
  <si>
    <t>0160FBC15001165</t>
  </si>
  <si>
    <t>BKID0000160150695610</t>
  </si>
  <si>
    <t>0160FBC15001166</t>
  </si>
  <si>
    <t>BKID0000160150695611</t>
  </si>
  <si>
    <t>0160FBC15001134</t>
  </si>
  <si>
    <t>BKID0000160150710323</t>
  </si>
  <si>
    <t>28.08.2015</t>
  </si>
  <si>
    <t>0173FUGC1501036</t>
  </si>
  <si>
    <t>UTIB0000173000014701</t>
  </si>
  <si>
    <t>19451516MB1163</t>
  </si>
  <si>
    <t>UCBA0001945150158845</t>
  </si>
  <si>
    <t>9103650239-240</t>
  </si>
  <si>
    <t>19451516MB1162</t>
  </si>
  <si>
    <t>UCBA0001945150158843</t>
  </si>
  <si>
    <t>UCBA0001945150158844</t>
  </si>
  <si>
    <t>0160FBC15001187</t>
  </si>
  <si>
    <t>BKID0000160150695612</t>
  </si>
  <si>
    <t>9103650248-49</t>
  </si>
  <si>
    <t>0160FBC15001137</t>
  </si>
  <si>
    <t>BKID0000160150692137</t>
  </si>
  <si>
    <t>26.06.2015</t>
  </si>
  <si>
    <t>BKID0000160150692135</t>
  </si>
  <si>
    <t>BKID0000160150692136</t>
  </si>
  <si>
    <t>9103650256-257</t>
  </si>
  <si>
    <t>0160FBC15001161</t>
  </si>
  <si>
    <t>BKID0000160150704875</t>
  </si>
  <si>
    <t>BKID0000160150704874</t>
  </si>
  <si>
    <t>July</t>
  </si>
  <si>
    <t>TT at 30 days from B/l date</t>
  </si>
  <si>
    <t>0160FBC15001174</t>
  </si>
  <si>
    <t>BKID0000160150699924</t>
  </si>
  <si>
    <t>0160FBC15001175</t>
  </si>
  <si>
    <t>BKID0000160150725510</t>
  </si>
  <si>
    <t>0160FBC15001203</t>
  </si>
  <si>
    <t>BKID0000160150712595</t>
  </si>
  <si>
    <t>90 days from B/L Date</t>
  </si>
  <si>
    <t>0160FBN15000171</t>
  </si>
  <si>
    <t>BKID0000160150734308</t>
  </si>
  <si>
    <t>SEJINCOSTEC CO LTD</t>
  </si>
  <si>
    <t>0160FBN15000169</t>
  </si>
  <si>
    <t>BKID0000160150683914</t>
  </si>
  <si>
    <t>vietnam</t>
  </si>
  <si>
    <t>0160FBC15001171</t>
  </si>
  <si>
    <t>BKID0000160150704390</t>
  </si>
  <si>
    <t>0160FBC15001323</t>
  </si>
  <si>
    <t>17.08.2015</t>
  </si>
  <si>
    <t>BKID0000160150703506 + BKID0000160150697674</t>
  </si>
  <si>
    <t>27.06.2015</t>
  </si>
  <si>
    <t>0160FBC15001201</t>
  </si>
  <si>
    <t>BKID0000160150714413</t>
  </si>
  <si>
    <t>0160FBC15001515</t>
  </si>
  <si>
    <t>BKID0000160160819629</t>
  </si>
  <si>
    <t>0160FBC15001221</t>
  </si>
  <si>
    <t>BKID0000160150695615</t>
  </si>
  <si>
    <t>0160FBC15001222</t>
  </si>
  <si>
    <t>BKID0000160150695616</t>
  </si>
  <si>
    <t>VESER KIMYEVI MADDELER A.S</t>
  </si>
  <si>
    <t>0160FBC15001213</t>
  </si>
  <si>
    <t>BKID0000160150693719</t>
  </si>
  <si>
    <t>29.06.2015</t>
  </si>
  <si>
    <t>0160FBC15001220</t>
  </si>
  <si>
    <t>BKID0000160150695614</t>
  </si>
  <si>
    <t>0160FBC15001226</t>
  </si>
  <si>
    <t>BKID0000160150695619</t>
  </si>
  <si>
    <t>9103650260 &amp; 265-266</t>
  </si>
  <si>
    <t>19451516MB1164</t>
  </si>
  <si>
    <t>UCBA0001945150160453</t>
  </si>
  <si>
    <t>ALLCHEM LIMITED</t>
  </si>
  <si>
    <t>0160FBC15001215</t>
  </si>
  <si>
    <t>BKID0000160150683138</t>
  </si>
  <si>
    <t>YUCHANG F.C. CORPORATION</t>
  </si>
  <si>
    <t>0160FBC15001257</t>
  </si>
  <si>
    <t>BKID0000160150689008</t>
  </si>
  <si>
    <t>9103650263-264</t>
  </si>
  <si>
    <t>19451516C0385</t>
  </si>
  <si>
    <t>UCBA0001945150159560</t>
  </si>
  <si>
    <t>Fully uploaded</t>
  </si>
  <si>
    <t>UCBA0001945150159561</t>
  </si>
  <si>
    <t>UCBA0001945150160454</t>
  </si>
  <si>
    <t>UCBA0001945150160452</t>
  </si>
  <si>
    <t>0160FBC15001223</t>
  </si>
  <si>
    <t>BKID0000160150695617</t>
  </si>
  <si>
    <t>9103650268-269</t>
  </si>
  <si>
    <t>0160FBC15001212</t>
  </si>
  <si>
    <t>BKID0000160160852811</t>
  </si>
  <si>
    <t>BERG &amp; SCHMIDT ASIA PTE LTD</t>
  </si>
  <si>
    <t>SINGAPORE</t>
  </si>
  <si>
    <t>0173FSGC1501072</t>
  </si>
  <si>
    <t>UTIB0000173000014445</t>
  </si>
  <si>
    <t>0160FBC15001247</t>
  </si>
  <si>
    <t>BKID0000160150712597</t>
  </si>
  <si>
    <t>0160FBC15001231</t>
  </si>
  <si>
    <t>BKID0000160150695620</t>
  </si>
  <si>
    <t>0160FBC15001225</t>
  </si>
  <si>
    <t>BKID0000160150695618</t>
  </si>
  <si>
    <t>0160FBC15001613</t>
  </si>
  <si>
    <t>BKID0000160150735839</t>
  </si>
  <si>
    <t>0173FUGC1501073</t>
  </si>
  <si>
    <t>UTIB0000173000014772</t>
  </si>
  <si>
    <t>0160FBC15001256</t>
  </si>
  <si>
    <t>BKID0000160150765232</t>
  </si>
  <si>
    <t>cameroon</t>
  </si>
  <si>
    <t>0160FBC15001278</t>
  </si>
  <si>
    <t>BKID0000160150727135</t>
  </si>
  <si>
    <t>0160FBC15001224</t>
  </si>
  <si>
    <t>BKID0000160150686706</t>
  </si>
  <si>
    <t>11.07.2015</t>
  </si>
  <si>
    <t>0160FBN15000185</t>
  </si>
  <si>
    <t>BKID0000160150695621</t>
  </si>
  <si>
    <t>0160FBC15001259</t>
  </si>
  <si>
    <t>BKID0000160150693721</t>
  </si>
  <si>
    <t>9103650281-282</t>
  </si>
  <si>
    <t>Akdeniz Kimya Sanayi ve Ticare</t>
  </si>
  <si>
    <t>0160FBN15000187</t>
  </si>
  <si>
    <t>BKID0000160150712966</t>
  </si>
  <si>
    <t>9103650283-84</t>
  </si>
  <si>
    <t>AMKA PRODUCTS (PTY) LTD.</t>
  </si>
  <si>
    <t>116215XSC000754</t>
  </si>
  <si>
    <t>BKDN0461162100175536</t>
  </si>
  <si>
    <t>BKDN0461162100175539</t>
  </si>
  <si>
    <t>0160FBC15001248</t>
  </si>
  <si>
    <t>16.10.2015</t>
  </si>
  <si>
    <t>BKID0000160150744437</t>
  </si>
  <si>
    <t>17.10.2015</t>
  </si>
  <si>
    <t>Mozambique</t>
  </si>
  <si>
    <t>0160FBC15001282</t>
  </si>
  <si>
    <t>BKID0000160150727136</t>
  </si>
  <si>
    <t>0160FBC15001272</t>
  </si>
  <si>
    <t>BKID0000160150712598</t>
  </si>
  <si>
    <t>0160FBC15001249</t>
  </si>
  <si>
    <t>BKID0000160150699926</t>
  </si>
  <si>
    <t>0160FBC15001283</t>
  </si>
  <si>
    <t>BKID0000160150705348</t>
  </si>
  <si>
    <t>21.08.2015</t>
  </si>
  <si>
    <t>14.07.2015</t>
  </si>
  <si>
    <t>0160FBC15001297</t>
  </si>
  <si>
    <t>BKID0000160150723602</t>
  </si>
  <si>
    <t>0160FBC15001296</t>
  </si>
  <si>
    <t>BKID0000160150723601</t>
  </si>
  <si>
    <t>IXOM PERU S.A.C</t>
  </si>
  <si>
    <t>0160FBN15000201</t>
  </si>
  <si>
    <t>BKID0000160150727143</t>
  </si>
  <si>
    <t>0160FBC15001277</t>
  </si>
  <si>
    <t>BKID0000160150704391</t>
  </si>
  <si>
    <t>0160FBC15001255</t>
  </si>
  <si>
    <t>BKID0000160150700926</t>
  </si>
  <si>
    <t>0160FBN15000200</t>
  </si>
  <si>
    <t>BKID0000160150727142</t>
  </si>
  <si>
    <t>0160FBC15001300</t>
  </si>
  <si>
    <t>BKID0000160150723605</t>
  </si>
  <si>
    <t>0160FBN15000186</t>
  </si>
  <si>
    <t>BKID0000160150695622</t>
  </si>
  <si>
    <t>LC AT 60 days from BL</t>
  </si>
  <si>
    <t>0160FBN15000202</t>
  </si>
  <si>
    <t>BKID0000160150727144</t>
  </si>
  <si>
    <t>0160FBC15001299</t>
  </si>
  <si>
    <t>BKID0000160150723604</t>
  </si>
  <si>
    <t>9103650301 &amp; 306</t>
  </si>
  <si>
    <t>19451516C0422</t>
  </si>
  <si>
    <t>UCBA0001945150162086</t>
  </si>
  <si>
    <t>9103650302 &amp; 308</t>
  </si>
  <si>
    <t>0160FBC15001286</t>
  </si>
  <si>
    <t>BKID0000160150714561</t>
  </si>
  <si>
    <t>BKID0000160150714563</t>
  </si>
  <si>
    <t>BKID0000160150714562</t>
  </si>
  <si>
    <t>0160FBC15001284</t>
  </si>
  <si>
    <t>BKID0000160150713648</t>
  </si>
  <si>
    <t>0160FBC15001298</t>
  </si>
  <si>
    <t>BKID0000160150723603</t>
  </si>
  <si>
    <t>UCBA0001945150162085</t>
  </si>
  <si>
    <t>0160FBC15001324</t>
  </si>
  <si>
    <t>BKID0000160150723606</t>
  </si>
  <si>
    <t>0160FBC15001258</t>
  </si>
  <si>
    <t>BKID0000160150692488</t>
  </si>
  <si>
    <t>0160FBC15001329</t>
  </si>
  <si>
    <t>BKID0000160150723607</t>
  </si>
  <si>
    <t>0160FBC15001665</t>
  </si>
  <si>
    <t>BKID0000160150740748</t>
  </si>
  <si>
    <t>13.10.2015</t>
  </si>
  <si>
    <t>0160FBC15001285</t>
  </si>
  <si>
    <t>BKID0000160150723600</t>
  </si>
  <si>
    <t xml:space="preserve"> 20150004C006268 </t>
  </si>
  <si>
    <t>9103650314-15</t>
  </si>
  <si>
    <t>0160FBC15001260</t>
  </si>
  <si>
    <t>11.12.2015</t>
  </si>
  <si>
    <t>BKID0000160150780118</t>
  </si>
  <si>
    <t>14.12.2015</t>
  </si>
  <si>
    <t>0160FBC15001311</t>
  </si>
  <si>
    <t>10.09.2015</t>
  </si>
  <si>
    <t>BKID0000160150720647</t>
  </si>
  <si>
    <t>11.09.2015</t>
  </si>
  <si>
    <t>DAP</t>
  </si>
  <si>
    <t>0160FBC15001370</t>
  </si>
  <si>
    <t>BKID0000160150712600</t>
  </si>
  <si>
    <t>0160FBC15001307</t>
  </si>
  <si>
    <t>BKID0000160150759196</t>
  </si>
  <si>
    <t>07.11.2015</t>
  </si>
  <si>
    <t>PT. PARINDO AGUNG MASJAYA</t>
  </si>
  <si>
    <t>0160FBC15001372</t>
  </si>
  <si>
    <t>BKID0000160150715337</t>
  </si>
  <si>
    <t>0160FBN15000196</t>
  </si>
  <si>
    <t>BKID0000160150702685</t>
  </si>
  <si>
    <t>0160FBC15001331</t>
  </si>
  <si>
    <t>BKID0000160150723608</t>
  </si>
  <si>
    <t>0160FBC15001337</t>
  </si>
  <si>
    <t>BKID0000160150704392</t>
  </si>
  <si>
    <t>0160FBC15001381</t>
  </si>
  <si>
    <t>BKID0000160150723609</t>
  </si>
  <si>
    <t>0160FBC15001383</t>
  </si>
  <si>
    <t>BKID0000160150723610</t>
  </si>
  <si>
    <t>0173FUGC1501211</t>
  </si>
  <si>
    <t>UTIB0000173000014805</t>
  </si>
  <si>
    <t>0173FUGC1501206</t>
  </si>
  <si>
    <t>UTIB0000173000014830</t>
  </si>
  <si>
    <t>9103650333-34</t>
  </si>
  <si>
    <t>22.07.2015</t>
  </si>
  <si>
    <t>0160FBC15001339</t>
  </si>
  <si>
    <t>19.10.2015</t>
  </si>
  <si>
    <t>BKID0000160150747090</t>
  </si>
  <si>
    <t>20.10.2015</t>
  </si>
  <si>
    <t>BKID0000160150747091</t>
  </si>
  <si>
    <t>0160FBC15001614</t>
  </si>
  <si>
    <t>BKID0000160150735840</t>
  </si>
  <si>
    <t>9103650336-337</t>
  </si>
  <si>
    <t>0160FBC15001338</t>
  </si>
  <si>
    <t>BKID0000160150724094</t>
  </si>
  <si>
    <t>BKID0000160150724095</t>
  </si>
  <si>
    <t>BKID0000160150724096</t>
  </si>
  <si>
    <t>0160FBC15001375</t>
  </si>
  <si>
    <t>BKID0000160150709426</t>
  </si>
  <si>
    <t>9103650339-40</t>
  </si>
  <si>
    <t>0160FBC15001359</t>
  </si>
  <si>
    <t>BKID0000160150726061</t>
  </si>
  <si>
    <t>BKID0000160150726062</t>
  </si>
  <si>
    <t>0160FBC15001384</t>
  </si>
  <si>
    <t>BKID0000160150723611</t>
  </si>
  <si>
    <t>0160FBC15001791</t>
  </si>
  <si>
    <t>BKID0000160160819632</t>
  </si>
  <si>
    <t>0160FBN15000210</t>
  </si>
  <si>
    <t>BKID0000160150731887</t>
  </si>
  <si>
    <t>9103650344-345</t>
  </si>
  <si>
    <t>0160FBN15000209</t>
  </si>
  <si>
    <t>BKID0000160150752617</t>
  </si>
  <si>
    <t>BKID0000160150752618</t>
  </si>
  <si>
    <t>19451516MB1196</t>
  </si>
  <si>
    <t>UCBA0001945150163343</t>
  </si>
  <si>
    <t>0160FBC15001369</t>
  </si>
  <si>
    <t>BKID0000160150709425</t>
  </si>
  <si>
    <t>9103650349-50</t>
  </si>
  <si>
    <t>25.07.2015</t>
  </si>
  <si>
    <t>0160FBC15001312</t>
  </si>
  <si>
    <t>BKID0000160150724817</t>
  </si>
  <si>
    <t>BKID0000160150724816</t>
  </si>
  <si>
    <t>0160FBC15001382</t>
  </si>
  <si>
    <t>BKID0000160150721594</t>
  </si>
  <si>
    <t>14.09.2015</t>
  </si>
  <si>
    <t>0173FUGC1501199</t>
  </si>
  <si>
    <t>UTIB0000173000014897</t>
  </si>
  <si>
    <t>0160FBC15001380</t>
  </si>
  <si>
    <t>BKID0000160150710324</t>
  </si>
  <si>
    <t>0160FBC15001419</t>
  </si>
  <si>
    <t>BKID0000160150734305</t>
  </si>
  <si>
    <t>9103650359-60</t>
  </si>
  <si>
    <t>27.07.2015</t>
  </si>
  <si>
    <t>A. &amp; A. F.LLI PARODI SRL</t>
  </si>
  <si>
    <t>0160FBC15001363</t>
  </si>
  <si>
    <t>BKID0000160150730080</t>
  </si>
  <si>
    <t>9103650361-362</t>
  </si>
  <si>
    <t>116215XSC000798</t>
  </si>
  <si>
    <t>BKDN0461162100175547</t>
  </si>
  <si>
    <t>BKDN0461162100175551</t>
  </si>
  <si>
    <t>0160FBC15001358</t>
  </si>
  <si>
    <t>BKID0000160150704393</t>
  </si>
  <si>
    <t>0160FBN15000208</t>
  </si>
  <si>
    <t>BKID0000160150704397</t>
  </si>
  <si>
    <t>LASCARAY S.A.</t>
  </si>
  <si>
    <t>0160FBC15001388</t>
  </si>
  <si>
    <t>BKID0000160150713649</t>
  </si>
  <si>
    <t>Kemira Chemicals (Nanjing) Co.</t>
  </si>
  <si>
    <t>20150004M006271</t>
  </si>
  <si>
    <t>IBKL0000004000307433</t>
  </si>
  <si>
    <t>9103650367-68</t>
  </si>
  <si>
    <t>0160FBC15001345</t>
  </si>
  <si>
    <t>BKID0000160150740335</t>
  </si>
  <si>
    <t>BKID0000160150740336</t>
  </si>
  <si>
    <t>VVF/TJL/EXP/001</t>
  </si>
  <si>
    <t>TILJALA</t>
  </si>
  <si>
    <t>10.07.2015</t>
  </si>
  <si>
    <t>VVF Kansas Services, LLC</t>
  </si>
  <si>
    <t>115200</t>
  </si>
  <si>
    <t>0160FBC15001373</t>
  </si>
  <si>
    <t>BKID0000160150761391/INCCU1</t>
  </si>
  <si>
    <t>August</t>
  </si>
  <si>
    <t>18.07.2015</t>
  </si>
  <si>
    <t>0173FUGC1501187</t>
  </si>
  <si>
    <t>UTIB0000173000014899</t>
  </si>
  <si>
    <t>0173FUGC1501186</t>
  </si>
  <si>
    <t>UTIB0000173000014896</t>
  </si>
  <si>
    <t>0173FUGC1501202</t>
  </si>
  <si>
    <t>UTIB0000173000014895</t>
  </si>
  <si>
    <t>0173FUGC1501204</t>
  </si>
  <si>
    <t>UTIB0000173000014901</t>
  </si>
  <si>
    <t>0160FBC15001429</t>
  </si>
  <si>
    <t>BKID0000160150713651</t>
  </si>
  <si>
    <t>0173FUGC1501207</t>
  </si>
  <si>
    <t>UTIB0000173000014866</t>
  </si>
  <si>
    <t>9103650356-57</t>
  </si>
  <si>
    <t>0160FBC15001364</t>
  </si>
  <si>
    <t>BKID0000160150712964</t>
  </si>
  <si>
    <t>YILMAZ KIMYA INSAAT SANAYI VE</t>
  </si>
  <si>
    <t>0160FBN15000218</t>
  </si>
  <si>
    <t>07.09.2015</t>
  </si>
  <si>
    <t>BKID0000160150717771</t>
  </si>
  <si>
    <t>20150004C004793</t>
  </si>
  <si>
    <t>IBKL0000004000302840</t>
  </si>
  <si>
    <t>20150004C004795</t>
  </si>
  <si>
    <t>IBKL0000004000302839</t>
  </si>
  <si>
    <t>PNP CHEMICAL CO., LTD</t>
  </si>
  <si>
    <t>0160FBN15000235</t>
  </si>
  <si>
    <t>09.12.2015</t>
  </si>
  <si>
    <t>BKID0000160150778060</t>
  </si>
  <si>
    <t>10.12.2015</t>
  </si>
  <si>
    <t>0160FBC15001445</t>
  </si>
  <si>
    <t>BKID0000160150779655</t>
  </si>
  <si>
    <t>PETALS AGROTECH LTD</t>
  </si>
  <si>
    <t>nigeria</t>
  </si>
  <si>
    <t>0160FBN15000215</t>
  </si>
  <si>
    <t>BKID0000160150757267</t>
  </si>
  <si>
    <t>05.11.2015</t>
  </si>
  <si>
    <t>Srilanka</t>
  </si>
  <si>
    <t>0160FBC15001616</t>
  </si>
  <si>
    <t>BKID0000160150735842</t>
  </si>
  <si>
    <t>0173FSGC1501197</t>
  </si>
  <si>
    <t>UTIB0000173000014641</t>
  </si>
  <si>
    <t>9103650376-77</t>
  </si>
  <si>
    <t>0160FBC15001403</t>
  </si>
  <si>
    <t>BKID0000160160831254</t>
  </si>
  <si>
    <t>BKID0000160160831255</t>
  </si>
  <si>
    <t>116215XSC000834</t>
  </si>
  <si>
    <t>BKDN0461162100175560</t>
  </si>
  <si>
    <t>0160FBC15001395</t>
  </si>
  <si>
    <t>BKID0000160150727138</t>
  </si>
  <si>
    <t>0160FBC15001396</t>
  </si>
  <si>
    <t>BKID0000160150727139</t>
  </si>
  <si>
    <t>9103650385-86-87</t>
  </si>
  <si>
    <t>0160FBC15001397</t>
  </si>
  <si>
    <t>BKID0000160160811154</t>
  </si>
  <si>
    <t>20150004C004797</t>
  </si>
  <si>
    <t>IBKL0000004000302838</t>
  </si>
  <si>
    <t>VVF/TAL/EXP/391</t>
  </si>
  <si>
    <t>0160FBC15001389</t>
  </si>
  <si>
    <t>14.10.2015</t>
  </si>
  <si>
    <t>BKID0000160150742292</t>
  </si>
  <si>
    <t>15.10.2015</t>
  </si>
  <si>
    <t>20150004C004808</t>
  </si>
  <si>
    <t>IBKL0000004000302837</t>
  </si>
  <si>
    <t>0160FBC15001394</t>
  </si>
  <si>
    <t>BKID0000160150770717</t>
  </si>
  <si>
    <t>30 days</t>
  </si>
  <si>
    <t>GREEN PLANET INDUSTRIES L.L.C</t>
  </si>
  <si>
    <t>38237090 / 38231190</t>
  </si>
  <si>
    <t>0160FBC15001404</t>
  </si>
  <si>
    <t>BKID0000160150779653</t>
  </si>
  <si>
    <t>0160FBC15001385</t>
  </si>
  <si>
    <t>BKID0000160150715338</t>
  </si>
  <si>
    <t>0160FBC15001423</t>
  </si>
  <si>
    <t>BKID0000160150731879</t>
  </si>
  <si>
    <t>10.08.2015</t>
  </si>
  <si>
    <t>0160FBC15001422</t>
  </si>
  <si>
    <t>BKID0000160150723612</t>
  </si>
  <si>
    <t>9103650398 &amp; 403</t>
  </si>
  <si>
    <t>0160FBC15001506</t>
  </si>
  <si>
    <t>BKID0000160150724102</t>
  </si>
  <si>
    <t>0160FBC15001402</t>
  </si>
  <si>
    <t>27.10.2015</t>
  </si>
  <si>
    <t>BKID0000160150751272</t>
  </si>
  <si>
    <t>28.10.2015</t>
  </si>
  <si>
    <t>09.08.2015</t>
  </si>
  <si>
    <t>0160FBC15001428</t>
  </si>
  <si>
    <t>BKID0000160150757265</t>
  </si>
  <si>
    <t>0160FBC15001426</t>
  </si>
  <si>
    <t>BKID0000160150779654</t>
  </si>
  <si>
    <t>0160FBC15000217</t>
  </si>
  <si>
    <t>BKID0000160150719672</t>
  </si>
  <si>
    <t>BKID0000160150724101</t>
  </si>
  <si>
    <t>0173FUGC1501248</t>
  </si>
  <si>
    <t>UTIB0000173000014993</t>
  </si>
  <si>
    <t>0160FBC15001508</t>
  </si>
  <si>
    <t>BKID0000160150723618</t>
  </si>
  <si>
    <t>BRENNTAG CARIBE S.R.L</t>
  </si>
  <si>
    <t>20150004C005282</t>
  </si>
  <si>
    <t>IBKL0000004000302841</t>
  </si>
  <si>
    <t>0160FBC15001424</t>
  </si>
  <si>
    <t>BKID0000160150723613</t>
  </si>
  <si>
    <t>OOO CORPORATION SBK</t>
  </si>
  <si>
    <t>20150004C005649</t>
  </si>
  <si>
    <t>IBKL0000004000376969+IBKL0000004000376970</t>
  </si>
  <si>
    <t>vvf/tal/exp/0406</t>
  </si>
  <si>
    <t>0160FBC15001438</t>
  </si>
  <si>
    <t>BKID0000160150742294</t>
  </si>
  <si>
    <t>Iran Chemical &amp; Petrochemical</t>
  </si>
  <si>
    <t>1971516N1862</t>
  </si>
  <si>
    <t>UCBA0001979150169606</t>
  </si>
  <si>
    <t>1971516N1863</t>
  </si>
  <si>
    <t>UCBA0001979150169607</t>
  </si>
  <si>
    <t>20150004C004890</t>
  </si>
  <si>
    <t>IBKL0000004000302842</t>
  </si>
  <si>
    <t>0173FUGC1501249</t>
  </si>
  <si>
    <t>UTIB0000173000014987</t>
  </si>
  <si>
    <t>9103650415-16</t>
  </si>
  <si>
    <t>0160FBC15001466</t>
  </si>
  <si>
    <t>BKID0000160150724818</t>
  </si>
  <si>
    <t>BKID0000160150724819</t>
  </si>
  <si>
    <t>0160FBC15001505</t>
  </si>
  <si>
    <t>BKID0000160150723616</t>
  </si>
  <si>
    <t>0160FBC15001507</t>
  </si>
  <si>
    <t>BKID0000160150723617</t>
  </si>
  <si>
    <t>0160FBC15001425</t>
  </si>
  <si>
    <t>BKID0000160150713650</t>
  </si>
  <si>
    <t>0160FBC15001460</t>
  </si>
  <si>
    <t>BKID0000160150747551</t>
  </si>
  <si>
    <t>0160FBC15001457</t>
  </si>
  <si>
    <t>18.12.2015</t>
  </si>
  <si>
    <t>BKID0000160150783788</t>
  </si>
  <si>
    <t>19.12.2015</t>
  </si>
  <si>
    <t>0160FBC15001446</t>
  </si>
  <si>
    <t>BKID0000160150779656</t>
  </si>
  <si>
    <t>0160FBC15001801</t>
  </si>
  <si>
    <t>23.11.2015</t>
  </si>
  <si>
    <t>BKID0000160150767670</t>
  </si>
  <si>
    <t>24.11.2015</t>
  </si>
  <si>
    <t>19451516MB1217</t>
  </si>
  <si>
    <t>UCBA0001945150165330</t>
  </si>
  <si>
    <t>0160FBC15001546</t>
  </si>
  <si>
    <t>BKID0000160160818009</t>
  </si>
  <si>
    <t>20150004C004975</t>
  </si>
  <si>
    <t>IBKL0000004000302836</t>
  </si>
  <si>
    <t>0160IRT15000571</t>
  </si>
  <si>
    <t>BKID0000160150741479 / BKID0000160150740751</t>
  </si>
  <si>
    <t>13-10-2015,14-10-2015</t>
  </si>
  <si>
    <t>DIPOL CHEMICALS INTERNATIONAL</t>
  </si>
  <si>
    <t>20150004C005375</t>
  </si>
  <si>
    <t>IBKL0000004000304744</t>
  </si>
  <si>
    <t>0173FUGC1501286</t>
  </si>
  <si>
    <t>UTIB0000173000014998</t>
  </si>
  <si>
    <t>PAKSHOO INDUSTRIAL GROUP</t>
  </si>
  <si>
    <t>19791516N1872</t>
  </si>
  <si>
    <t>UCBA0001979150169961</t>
  </si>
  <si>
    <t>UCBA0001979150169960</t>
  </si>
  <si>
    <t>20150004C004933</t>
  </si>
  <si>
    <t>IBKL0000004000308477</t>
  </si>
  <si>
    <t>0160FBC15001663</t>
  </si>
  <si>
    <t>BKID0000160150740746</t>
  </si>
  <si>
    <t>9103650433-34</t>
  </si>
  <si>
    <t>0160FBC15001480</t>
  </si>
  <si>
    <t>29.09.2015</t>
  </si>
  <si>
    <t>BKID0000160150732536</t>
  </si>
  <si>
    <t>30.09.2015</t>
  </si>
  <si>
    <t>BKID0000160150732534</t>
  </si>
  <si>
    <t>BKID0000160150732535</t>
  </si>
  <si>
    <t>9103650435-36</t>
  </si>
  <si>
    <t>0160FBC15001483</t>
  </si>
  <si>
    <t>BKID0000160150732540</t>
  </si>
  <si>
    <t>BKID0000160150732539</t>
  </si>
  <si>
    <t>9103650437-38</t>
  </si>
  <si>
    <t>0160FBC15001499</t>
  </si>
  <si>
    <t>08.12.2015</t>
  </si>
  <si>
    <t>BKID0000160150777495</t>
  </si>
  <si>
    <t>BKID0000160150777494</t>
  </si>
  <si>
    <t>2509623/2520871/2521909</t>
  </si>
  <si>
    <t>0160FBC15001520</t>
  </si>
  <si>
    <t>BKID0000160150733811/ BKID0000160150733812/ BKID0000160150733813</t>
  </si>
  <si>
    <t>9103650440-41</t>
  </si>
  <si>
    <t>0160FBC15001484</t>
  </si>
  <si>
    <t>BKID0000160150732542</t>
  </si>
  <si>
    <t>BKID0000160150732543</t>
  </si>
  <si>
    <t>BKID0000160150732541</t>
  </si>
  <si>
    <t>0160FBC15001615</t>
  </si>
  <si>
    <t>BKID0000160150735841</t>
  </si>
  <si>
    <t>9103650443-44</t>
  </si>
  <si>
    <t>0160FBC15001481</t>
  </si>
  <si>
    <t>BKID0000160150732538</t>
  </si>
  <si>
    <t>BKID0000160150732537</t>
  </si>
  <si>
    <t>9103650445-46-47</t>
  </si>
  <si>
    <t>0160FBN15000232</t>
  </si>
  <si>
    <t>BKID0000160150726065</t>
  </si>
  <si>
    <t>BKID0000160150726066</t>
  </si>
  <si>
    <t>BKID0000160150726067</t>
  </si>
  <si>
    <t>0160FBN15001458</t>
  </si>
  <si>
    <t>BKID0000160150783789</t>
  </si>
  <si>
    <t>9103650449-450</t>
  </si>
  <si>
    <t>100% advance</t>
  </si>
  <si>
    <t>KIMIAGARAN EMRUZ CHEMICAL IND.</t>
  </si>
  <si>
    <t>0160FBC16000146</t>
  </si>
  <si>
    <t>22.01.2016</t>
  </si>
  <si>
    <t>BKID0000160160805192</t>
  </si>
  <si>
    <t>25.01.2016</t>
  </si>
  <si>
    <t>90 Days from B/L date</t>
  </si>
  <si>
    <t>BKID0000160160805193</t>
  </si>
  <si>
    <t>0160FBC16000143</t>
  </si>
  <si>
    <t>BKID0000160160804724</t>
  </si>
  <si>
    <t>9103650452-53</t>
  </si>
  <si>
    <t>0160FBC15001516</t>
  </si>
  <si>
    <t>04.01.2016</t>
  </si>
  <si>
    <t>BKID0000160160792524</t>
  </si>
  <si>
    <t>05.01.2016</t>
  </si>
  <si>
    <t>22.08.2015</t>
  </si>
  <si>
    <t>BKID0000160160792525</t>
  </si>
  <si>
    <t>0160FBC15001513</t>
  </si>
  <si>
    <t>BKID0000160150741477</t>
  </si>
  <si>
    <t>0160FBC15001539</t>
  </si>
  <si>
    <t>BKID0000160150723622</t>
  </si>
  <si>
    <t>0160FBC15001523</t>
  </si>
  <si>
    <t>BKID0000160150733338</t>
  </si>
  <si>
    <t>0160FBC15001538</t>
  </si>
  <si>
    <t>BKID0000160150723621</t>
  </si>
  <si>
    <t>0160FBC15001537</t>
  </si>
  <si>
    <t>BKID0000160150723620</t>
  </si>
  <si>
    <t>0160FBC15001556</t>
  </si>
  <si>
    <t>BKID0000160150761397</t>
  </si>
  <si>
    <t>19451516MB1226</t>
  </si>
  <si>
    <t>UCBA0001945150167913</t>
  </si>
  <si>
    <t>9103650461-462</t>
  </si>
  <si>
    <t>DARIC MATERIAL AND TRADING CO.</t>
  </si>
  <si>
    <t>19791516N1873</t>
  </si>
  <si>
    <t>UCBA0001979150168847</t>
  </si>
  <si>
    <t>UCBA0001979150168848</t>
  </si>
  <si>
    <t>UCBA0001979150168846</t>
  </si>
  <si>
    <t>9103650463-464</t>
  </si>
  <si>
    <t>0160FBC15001500</t>
  </si>
  <si>
    <t>BKID0000160150732544</t>
  </si>
  <si>
    <t>BKID0000160150732545</t>
  </si>
  <si>
    <t>9103650465-466</t>
  </si>
  <si>
    <t>25.08.2015</t>
  </si>
  <si>
    <t>0160FBC15001514</t>
  </si>
  <si>
    <t>BKID0000160150746547</t>
  </si>
  <si>
    <t>29157010/38237090</t>
  </si>
  <si>
    <t>0160FBC15001521</t>
  </si>
  <si>
    <t>BKID0000160150723619</t>
  </si>
  <si>
    <t>Welwin Europe Limited</t>
  </si>
  <si>
    <t>United Kingdom</t>
  </si>
  <si>
    <t>0160FBC15001790</t>
  </si>
  <si>
    <t>BKID0000160160820358</t>
  </si>
  <si>
    <t>0160FBC15001664</t>
  </si>
  <si>
    <t>BKID0000160150740747</t>
  </si>
  <si>
    <t>0160FBC15001524</t>
  </si>
  <si>
    <t>BKID0000160150762887</t>
  </si>
  <si>
    <t>0160FBC15001557</t>
  </si>
  <si>
    <t>BKID0000160150761398</t>
  </si>
  <si>
    <t>0160FBC15001551</t>
  </si>
  <si>
    <t>BKID0000160150761396</t>
  </si>
  <si>
    <t>0160FBC15001522</t>
  </si>
  <si>
    <t>BKID0000160150777016</t>
  </si>
  <si>
    <t>0160FBC15001670</t>
  </si>
  <si>
    <t>BKID0000160150740750</t>
  </si>
  <si>
    <t>0160FBC15001536</t>
  </si>
  <si>
    <t>BKID0000160150761393</t>
  </si>
  <si>
    <t>new zealand</t>
  </si>
  <si>
    <t>0173FSGC1501287</t>
  </si>
  <si>
    <t>UTIB0000173000014773</t>
  </si>
  <si>
    <t>0160FBN15000234</t>
  </si>
  <si>
    <t>BKID0000160150772374</t>
  </si>
  <si>
    <t>SALE OF SAMPLE</t>
  </si>
  <si>
    <t>Oriflame Research and Developm</t>
  </si>
  <si>
    <t>Sale of Sample- Adjusted Aginst CN</t>
  </si>
  <si>
    <t>VVF/TJL/EXP/002</t>
  </si>
  <si>
    <t>172800</t>
  </si>
  <si>
    <t>DDP</t>
  </si>
  <si>
    <t>0160FBC15001441</t>
  </si>
  <si>
    <t>BKID0000160150723614</t>
  </si>
  <si>
    <t>9116650005-06</t>
  </si>
  <si>
    <t>VVF/TJL/EXP/004</t>
  </si>
  <si>
    <t>0160FBC15001444</t>
  </si>
  <si>
    <t>BKID0000160150724097</t>
  </si>
  <si>
    <t>VVF/TJL/EXP/003</t>
  </si>
  <si>
    <t>BKID0000160150724098</t>
  </si>
  <si>
    <t>9116650007-08</t>
  </si>
  <si>
    <t>VVF/TJL/EXP/005</t>
  </si>
  <si>
    <t>0160FBC15001490</t>
  </si>
  <si>
    <t>BKID0000160150724100</t>
  </si>
  <si>
    <t>VVF/TJL/EXP/006</t>
  </si>
  <si>
    <t>BKID0000160150724099</t>
  </si>
  <si>
    <t>September</t>
  </si>
  <si>
    <t>HK-CHINA International USA, LL</t>
  </si>
  <si>
    <t>29054500/38231190/38237090</t>
  </si>
  <si>
    <t>BRC NOT UPLOADED</t>
  </si>
  <si>
    <t>0160FBC15001540</t>
  </si>
  <si>
    <t>BKID0000160150742297</t>
  </si>
  <si>
    <t>0160FBC15001571</t>
  </si>
  <si>
    <t>BKID0000160160828644</t>
  </si>
  <si>
    <t>0160FBC15001545</t>
  </si>
  <si>
    <t>BKID0000160150731881</t>
  </si>
  <si>
    <t>0160FBC15001669</t>
  </si>
  <si>
    <t>BKID0000160150740749</t>
  </si>
  <si>
    <t>0160FBN15000233</t>
  </si>
  <si>
    <t>BKID0000160150758224</t>
  </si>
  <si>
    <t>0160FBC15001498</t>
  </si>
  <si>
    <t>BKID0000160150725511</t>
  </si>
  <si>
    <t>0160FBN15000237</t>
  </si>
  <si>
    <t>22.12.2015</t>
  </si>
  <si>
    <t>BKID0000160150785906</t>
  </si>
  <si>
    <t>23.12.2015</t>
  </si>
  <si>
    <t>29.08.2015</t>
  </si>
  <si>
    <t>EVYAP SABUN YAG GLISERIN SAN.V</t>
  </si>
  <si>
    <t>0160FBC15001553</t>
  </si>
  <si>
    <t>BKID0000160150735837</t>
  </si>
  <si>
    <t>0160FBC15001574</t>
  </si>
  <si>
    <t>BKID0000160150761400</t>
  </si>
  <si>
    <t>MIWON CHEMICALS CO. LTD</t>
  </si>
  <si>
    <t>0160FBN15000241</t>
  </si>
  <si>
    <t>BKID0000160150735845</t>
  </si>
  <si>
    <t>0160FBC15001558</t>
  </si>
  <si>
    <t>BKID0000160150761399</t>
  </si>
  <si>
    <t>0160FBC15001559</t>
  </si>
  <si>
    <t>BKID0000160150765879</t>
  </si>
  <si>
    <t>9103650490-491</t>
  </si>
  <si>
    <t>VVF/TAL/EXP/491</t>
  </si>
  <si>
    <t>04.09.2015</t>
  </si>
  <si>
    <t>WOOJIN INDUSTRIAL CO. LTD.</t>
  </si>
  <si>
    <t>0160FBN15000238</t>
  </si>
  <si>
    <t>BKID0000160150736293</t>
  </si>
  <si>
    <t>VVF/TAL/EXP/489</t>
  </si>
  <si>
    <t>BKID0000160150736292</t>
  </si>
  <si>
    <t>0173FSGC1501362</t>
  </si>
  <si>
    <t>UTIB0000173000014900</t>
  </si>
  <si>
    <t>VVF/TAL/EXP/494</t>
  </si>
  <si>
    <t>0160FBC15001576</t>
  </si>
  <si>
    <t>BKID0000160150762225</t>
  </si>
  <si>
    <t xml:space="preserve">2820802 +2829803 </t>
  </si>
  <si>
    <t>0160FBC15001584</t>
  </si>
  <si>
    <t>BKID0000160150741109 +BKID0000160150741110</t>
  </si>
  <si>
    <t>0160FBC15001572</t>
  </si>
  <si>
    <t>12.02.2016</t>
  </si>
  <si>
    <t>BKID0000160160818852</t>
  </si>
  <si>
    <t>0160FBC15001550</t>
  </si>
  <si>
    <t>21.01.2016</t>
  </si>
  <si>
    <t>BKID0000160160803608</t>
  </si>
  <si>
    <t>VVF/TAL/EXP/500</t>
  </si>
  <si>
    <t>0160FBC15001578</t>
  </si>
  <si>
    <t>BKID0000160150761403</t>
  </si>
  <si>
    <t>05.09.2015</t>
  </si>
  <si>
    <t>0160FBN15000239</t>
  </si>
  <si>
    <t>BKID0000160150779663</t>
  </si>
  <si>
    <t>VVF/TAL/EXP/498</t>
  </si>
  <si>
    <t>0160FBC15001575</t>
  </si>
  <si>
    <t>BKID0000160150761401</t>
  </si>
  <si>
    <t>VVF/TAL/EXP/502</t>
  </si>
  <si>
    <t>OBETECH PACIFIC SDN.BHD</t>
  </si>
  <si>
    <t>0160FBC15001698</t>
  </si>
  <si>
    <t>BKID0000160150743470</t>
  </si>
  <si>
    <t>VVF/TAL/EXP/501</t>
  </si>
  <si>
    <t>38237090  /  29051700</t>
  </si>
  <si>
    <t>0160FBC15001583</t>
  </si>
  <si>
    <t>BKID0000160150751273</t>
  </si>
  <si>
    <t>VVF/TAL/EXP/503</t>
  </si>
  <si>
    <t>0160FBC15001577</t>
  </si>
  <si>
    <t>BKID0000160150761402</t>
  </si>
  <si>
    <t>9103650503-504</t>
  </si>
  <si>
    <t>VVF/TAL/EXP/504</t>
  </si>
  <si>
    <t>19451516MB1238</t>
  </si>
  <si>
    <t>UCBA0001945150169228</t>
  </si>
  <si>
    <t>VVF/TAL/EXP/507</t>
  </si>
  <si>
    <t>UCBA0001945150169227</t>
  </si>
  <si>
    <t>VVF/TAL/EXP/508</t>
  </si>
  <si>
    <t>20150004C005584</t>
  </si>
  <si>
    <t>IBKL0000004000305766</t>
  </si>
  <si>
    <t>9103650506-507</t>
  </si>
  <si>
    <t>VVF/TAL/EXP/505</t>
  </si>
  <si>
    <t>19791516N1905</t>
  </si>
  <si>
    <t>UCBA0001979150170920</t>
  </si>
  <si>
    <t>VVF/TAL/EXP/506</t>
  </si>
  <si>
    <t>UCBA0001979150170918</t>
  </si>
  <si>
    <t>VVF/TAL/EXP/509</t>
  </si>
  <si>
    <t>VVF/TAL/EXP/510</t>
  </si>
  <si>
    <t>PADIDEH SHIMI JAM CO.</t>
  </si>
  <si>
    <t>0160FBC16000147</t>
  </si>
  <si>
    <t>BKID0000160160804727</t>
  </si>
  <si>
    <t>VVF/TAL/EXP/511</t>
  </si>
  <si>
    <t>20150004C005466</t>
  </si>
  <si>
    <t>IBKL0000004000308478</t>
  </si>
  <si>
    <t>09.09.2015</t>
  </si>
  <si>
    <t>0160FBC15001582</t>
  </si>
  <si>
    <t>BKID0000160150742299</t>
  </si>
  <si>
    <t>VVF/TAL/EXP/513</t>
  </si>
  <si>
    <t>0160FBC15001984</t>
  </si>
  <si>
    <t>BKID0000160150775680</t>
  </si>
  <si>
    <t>VVF/TAL/EXP/514</t>
  </si>
  <si>
    <t>0160FBC15001590</t>
  </si>
  <si>
    <t>BKID0000160150764538</t>
  </si>
  <si>
    <t>VVF/TAL/EXP/517</t>
  </si>
  <si>
    <t>0160FBC15001618</t>
  </si>
  <si>
    <t>BKID0000160160828645</t>
  </si>
  <si>
    <t>9103650514-515</t>
  </si>
  <si>
    <t>VVF/TAL/EXP/516</t>
  </si>
  <si>
    <t>19791516N1904</t>
  </si>
  <si>
    <t>UCBA000197915017933</t>
  </si>
  <si>
    <t>VVF/TAL/EXP/518</t>
  </si>
  <si>
    <t>UCBA000197915017932</t>
  </si>
  <si>
    <t>VVF/TAL/EXP/519</t>
  </si>
  <si>
    <t>REUSE TRADING NV</t>
  </si>
  <si>
    <t xml:space="preserve">Ivory Coast </t>
  </si>
  <si>
    <t>20150004M006014</t>
  </si>
  <si>
    <t>IBKL0000004000304369</t>
  </si>
  <si>
    <t>VVF/TAL/EXP/521</t>
  </si>
  <si>
    <t>0160FBC15001579</t>
  </si>
  <si>
    <t>BKID0000160150734306</t>
  </si>
  <si>
    <t>VVF/TAL/EXP/520</t>
  </si>
  <si>
    <t>0160FBC15001633</t>
  </si>
  <si>
    <t>BKID0000160150774715</t>
  </si>
  <si>
    <t>VVF/TAL/EXP/515</t>
  </si>
  <si>
    <t>0160FBC16000011</t>
  </si>
  <si>
    <t>BKID0000160160819638</t>
  </si>
  <si>
    <t>VVF/TAL/EXP/522</t>
  </si>
  <si>
    <t>BASF ESPANOLA S.L</t>
  </si>
  <si>
    <t>0160FBC15001632</t>
  </si>
  <si>
    <t>BKID0000160150768736</t>
  </si>
  <si>
    <t>VVF/TAL/EXP/523</t>
  </si>
  <si>
    <t>0160FBC15001603</t>
  </si>
  <si>
    <t>BKID0000160150750357</t>
  </si>
  <si>
    <t>VVF/TAL/EXP/524</t>
  </si>
  <si>
    <t>0160FBC15001619</t>
  </si>
  <si>
    <t>BKID0000160160828646</t>
  </si>
  <si>
    <t>VVF/TAL/EXP/525</t>
  </si>
  <si>
    <t>0160FBC15001593</t>
  </si>
  <si>
    <t>BKID0000160150734307</t>
  </si>
  <si>
    <t>VVF/TAL/EXP/526</t>
  </si>
  <si>
    <t>0160FBC15001803</t>
  </si>
  <si>
    <t>BKID0000160160828648</t>
  </si>
  <si>
    <t>VVF/TAL/EXP/527</t>
  </si>
  <si>
    <t>CAYLEY CHEMICAL CORP</t>
  </si>
  <si>
    <t>20150004M006018</t>
  </si>
  <si>
    <t>IBKL0000004000304370</t>
  </si>
  <si>
    <t>9103650526-527</t>
  </si>
  <si>
    <t>VVF/TAL/EXP/528</t>
  </si>
  <si>
    <t>0173FUGC1501396</t>
  </si>
  <si>
    <t>UTIB0000173000015143</t>
  </si>
  <si>
    <t>VVF/TAL/EXP/529</t>
  </si>
  <si>
    <t>UTIB0000173000015142</t>
  </si>
  <si>
    <t>VVF/TAL/EXP/531</t>
  </si>
  <si>
    <t>0160FBC15001591</t>
  </si>
  <si>
    <t>BKID0000160150762226</t>
  </si>
  <si>
    <t>VVF/TAL/EXP/530</t>
  </si>
  <si>
    <t>Sun Jin Chemical Co. Ltd</t>
  </si>
  <si>
    <t>0160FBN15000253</t>
  </si>
  <si>
    <t>BKID0000160160792109</t>
  </si>
  <si>
    <t>9103650530-31</t>
  </si>
  <si>
    <t>VVF/TAL/EXP/532</t>
  </si>
  <si>
    <t>0160FBC15001617</t>
  </si>
  <si>
    <t>BKID0000160150752613</t>
  </si>
  <si>
    <t>BKID0000160150752614</t>
  </si>
  <si>
    <t>VVF/TAL/EXP/536</t>
  </si>
  <si>
    <t>0160FBC15001620</t>
  </si>
  <si>
    <t>BKID0000160160828647</t>
  </si>
  <si>
    <t>VVF/TAL/EXP/537</t>
  </si>
  <si>
    <t>ERCA POLAND SP.ZO.O.</t>
  </si>
  <si>
    <t>0160FBC15001636</t>
  </si>
  <si>
    <t>BKID0000160150744439</t>
  </si>
  <si>
    <t>VVF/TAL/EXP/535</t>
  </si>
  <si>
    <t>0160FBC15001658</t>
  </si>
  <si>
    <t>BKID0000160150763763</t>
  </si>
  <si>
    <t>VVF/TAL/EXP/534</t>
  </si>
  <si>
    <t>0160FBC15001659</t>
  </si>
  <si>
    <t>BKID0000160150763764</t>
  </si>
  <si>
    <t>VVF/TAL/EXP/538</t>
  </si>
  <si>
    <t>0160FBC15001631</t>
  </si>
  <si>
    <t>BKID0000160150761404</t>
  </si>
  <si>
    <t>VVF/TAL/EXP/539</t>
  </si>
  <si>
    <t>0160FBC15001635</t>
  </si>
  <si>
    <t>BKID0000160150742300</t>
  </si>
  <si>
    <t>VVF/TAL/EXP/540</t>
  </si>
  <si>
    <t>0173FSGC1501410</t>
  </si>
  <si>
    <t>UTIB0000173000014949</t>
  </si>
  <si>
    <t>VVF/TAL/EXP/543</t>
  </si>
  <si>
    <t>0160FBN15000255</t>
  </si>
  <si>
    <t>18.01.2016</t>
  </si>
  <si>
    <t>BKID0000160160800901</t>
  </si>
  <si>
    <t>19.01.2016</t>
  </si>
  <si>
    <t>VVF/TAL/EXP/541</t>
  </si>
  <si>
    <t>0160FBC15001793</t>
  </si>
  <si>
    <t>BKID0000160150767669</t>
  </si>
  <si>
    <t>VVF/TAL/EXP/542</t>
  </si>
  <si>
    <t>0160FBC15001662</t>
  </si>
  <si>
    <t>BKID0000160160827673</t>
  </si>
  <si>
    <t>VVF/TAL/EXP/547</t>
  </si>
  <si>
    <t>20150004C005781</t>
  </si>
  <si>
    <t>IBKL0000004000304755</t>
  </si>
  <si>
    <t>VVF/TAL/EXP/546</t>
  </si>
  <si>
    <t>0160FBC15001668</t>
  </si>
  <si>
    <t>BKID0000160150770721</t>
  </si>
  <si>
    <t>VVF/TAL/EXP/544</t>
  </si>
  <si>
    <t>0160FBC15001661</t>
  </si>
  <si>
    <t>BKID0000160150764539</t>
  </si>
  <si>
    <t>VVF/TAL/EXP/545</t>
  </si>
  <si>
    <t>0160IRT15000640</t>
  </si>
  <si>
    <t>08-12-2015, 09-12-2015</t>
  </si>
  <si>
    <t>BKID0000160150777025/ BKID0000160150778058</t>
  </si>
  <si>
    <t>9-12-2015, 10-12-2015</t>
  </si>
  <si>
    <t>VVF/TAL/EXP/548</t>
  </si>
  <si>
    <t>0160FBC15001677</t>
  </si>
  <si>
    <t>BKID0000160150768738</t>
  </si>
  <si>
    <t>VVF/TAL/EXP/549</t>
  </si>
  <si>
    <t>20160004M000209</t>
  </si>
  <si>
    <t>IBKL0000004000325028</t>
  </si>
  <si>
    <t>VVF/TAL/EXP/550</t>
  </si>
  <si>
    <t>0173FUGC1501399</t>
  </si>
  <si>
    <t>UTIB0000173000015205</t>
  </si>
  <si>
    <t>VVF/TAL/EXP/551</t>
  </si>
  <si>
    <t>0160FBC15001674</t>
  </si>
  <si>
    <t>BKID0000160150761406</t>
  </si>
  <si>
    <t>VVF/TAL/EXP/552</t>
  </si>
  <si>
    <t>0160FBC15001673</t>
  </si>
  <si>
    <t>BKID0000160150761405</t>
  </si>
  <si>
    <t>VVF/TAL/EXP/553</t>
  </si>
  <si>
    <t>0160FBC15001634</t>
  </si>
  <si>
    <t>BKID0000160150744438</t>
  </si>
  <si>
    <t>VVF/TAL/EXP/554</t>
  </si>
  <si>
    <t xml:space="preserve">0160FBC15001676 </t>
  </si>
  <si>
    <t>BKID0000160150777017</t>
  </si>
  <si>
    <t>VVF/TAL/EXP/557</t>
  </si>
  <si>
    <t>0173FUGC1501397</t>
  </si>
  <si>
    <t>UTIB0000173000015202</t>
  </si>
  <si>
    <t>9103650555-556</t>
  </si>
  <si>
    <t>VVF/TAL/EXP/555</t>
  </si>
  <si>
    <t>19791516N1941</t>
  </si>
  <si>
    <t>UCBA0001979150174304</t>
  </si>
  <si>
    <t>VVF/TAL/EXP/556</t>
  </si>
  <si>
    <t>UCBA0001979150174306</t>
  </si>
  <si>
    <t>VVF/TAL/EXP/558</t>
  </si>
  <si>
    <t>VVF/TAL/EXP/564</t>
  </si>
  <si>
    <t>19451516MB1252</t>
  </si>
  <si>
    <t>UCBA0001945150171099</t>
  </si>
  <si>
    <t>9103650560-561</t>
  </si>
  <si>
    <t>VVF/TAL/EXP/559</t>
  </si>
  <si>
    <t>19791516N1942</t>
  </si>
  <si>
    <t>UCBA0001979150174500</t>
  </si>
  <si>
    <t>VVF/TAL/EXP/562</t>
  </si>
  <si>
    <t>UCBA0001979150174499</t>
  </si>
  <si>
    <t>VVF/TAL/EXP/563</t>
  </si>
  <si>
    <t>UCBA0001979150174501</t>
  </si>
  <si>
    <t>October</t>
  </si>
  <si>
    <t>VVF/TAL/EXP/566</t>
  </si>
  <si>
    <t>26.09.2015</t>
  </si>
  <si>
    <t>0160FBC15001722</t>
  </si>
  <si>
    <t>BKID0000160150762890</t>
  </si>
  <si>
    <t>VVF/TAL/EXP/567</t>
  </si>
  <si>
    <t>0160FBC15001693</t>
  </si>
  <si>
    <t>BKID0000160150751275</t>
  </si>
  <si>
    <t>VVF/TJL/EXP/007</t>
  </si>
  <si>
    <t>0160FBC15001715</t>
  </si>
  <si>
    <t>BKID0000160150761410/INCCU1</t>
  </si>
  <si>
    <t>VVF/TAL/EXP/568</t>
  </si>
  <si>
    <t>0160FBC15001691</t>
  </si>
  <si>
    <t>BKID0000160150761407</t>
  </si>
  <si>
    <t>VVF/TAL/EXP/570</t>
  </si>
  <si>
    <t>0160FBC15001692</t>
  </si>
  <si>
    <t>BKID0000160150761408</t>
  </si>
  <si>
    <t>VVF/TAL/EXP/576</t>
  </si>
  <si>
    <t>0160FBC15001704</t>
  </si>
  <si>
    <t>BKID0000160150761409</t>
  </si>
  <si>
    <t>VVF/TAL/EXP/584</t>
  </si>
  <si>
    <t>Royal Marck Comercial Ltda</t>
  </si>
  <si>
    <t>0160FBC16000010</t>
  </si>
  <si>
    <t>BKID0000160160819637</t>
  </si>
  <si>
    <t>VVF/TAL/EXP/569</t>
  </si>
  <si>
    <t>28.09.2015</t>
  </si>
  <si>
    <t>0160FBC15001981</t>
  </si>
  <si>
    <t>BKID0000160150777031</t>
  </si>
  <si>
    <t>9103650572-573</t>
  </si>
  <si>
    <t>VVF/TAL/EXP/574</t>
  </si>
  <si>
    <t>116215XUC001229</t>
  </si>
  <si>
    <t>BKDN0461162100175357</t>
  </si>
  <si>
    <t>VVF/TAL/EXP/579</t>
  </si>
  <si>
    <t>BKDN0461162100175353</t>
  </si>
  <si>
    <t>VVF/TAL/EXP/565</t>
  </si>
  <si>
    <t>0160FBC15001675</t>
  </si>
  <si>
    <t>BKID0000160150784473</t>
  </si>
  <si>
    <t>VVF/TAL/EXP/571</t>
  </si>
  <si>
    <t>0173FUGC1501448 </t>
  </si>
  <si>
    <t>UTIB0000173000015217</t>
  </si>
  <si>
    <t>VVF/TAL/EXP/572</t>
  </si>
  <si>
    <t>0160FBN15000259</t>
  </si>
  <si>
    <t>BKID0000160160793006</t>
  </si>
  <si>
    <t>06.01.2016</t>
  </si>
  <si>
    <t>VVF/TAL/EXP/573</t>
  </si>
  <si>
    <t>0173FUGC1501449</t>
  </si>
  <si>
    <t>UTIB000173000015267</t>
  </si>
  <si>
    <t>VVF/TAL/EXP/577</t>
  </si>
  <si>
    <t>UTIB000173000015266</t>
  </si>
  <si>
    <t>VVF/TAL/EXP/578</t>
  </si>
  <si>
    <t>0160FBC15001740</t>
  </si>
  <si>
    <t>BKID0000160160862971</t>
  </si>
  <si>
    <t>VVF/TAL/EXP/583</t>
  </si>
  <si>
    <t>BKID0000160160862970</t>
  </si>
  <si>
    <t>VVF/TAL/EXP/585</t>
  </si>
  <si>
    <t>0160FBC15001806</t>
  </si>
  <si>
    <t>BKID0000160150759197</t>
  </si>
  <si>
    <t>VVF/TAL/EXP/582</t>
  </si>
  <si>
    <t>0173FUGC1501458</t>
  </si>
  <si>
    <t>UTIB0000173000015263</t>
  </si>
  <si>
    <t>VVF/TAL/EXP/586</t>
  </si>
  <si>
    <t>0173FUGC1501460</t>
  </si>
  <si>
    <t>UTIB0000173000015276</t>
  </si>
  <si>
    <t>VVF/TAL/EXP/588</t>
  </si>
  <si>
    <t>0160FBC15001982</t>
  </si>
  <si>
    <t>BKID0000160150777032</t>
  </si>
  <si>
    <t>VVF/TAL/EXP/589</t>
  </si>
  <si>
    <t>0160FBC15001717</t>
  </si>
  <si>
    <t>BKID0000160150746548</t>
  </si>
  <si>
    <t>VVF/TAL/EXP/587</t>
  </si>
  <si>
    <t>29157020/38237090</t>
  </si>
  <si>
    <t>20150004M006020</t>
  </si>
  <si>
    <t>IBKL0000004000304371</t>
  </si>
  <si>
    <t>VVF/TAL/EXP/560</t>
  </si>
  <si>
    <t>0160FBN15000269</t>
  </si>
  <si>
    <t>BKID0000160160792110</t>
  </si>
  <si>
    <t>VVF/TAL/EXP/580</t>
  </si>
  <si>
    <t>0160FBN15000271</t>
  </si>
  <si>
    <t>BKID0000160160792112</t>
  </si>
  <si>
    <t>VVF/TAL/EXP/581</t>
  </si>
  <si>
    <t>0160FBN15000270</t>
  </si>
  <si>
    <t>BKID0000160160792111</t>
  </si>
  <si>
    <t>VVF/TAL/EXP/590</t>
  </si>
  <si>
    <t>0160FBC15001756</t>
  </si>
  <si>
    <t>BKID0000160150761412</t>
  </si>
  <si>
    <t>VVF/TAL/EXP/591</t>
  </si>
  <si>
    <t>20150004C005995</t>
  </si>
  <si>
    <t>IBKL0000004000305775</t>
  </si>
  <si>
    <t>VVF/TAL/EXP/592</t>
  </si>
  <si>
    <t>0160FBC15001754</t>
  </si>
  <si>
    <t>BKID0000160150761411</t>
  </si>
  <si>
    <t>VVF/TAL/EXP/595</t>
  </si>
  <si>
    <t>08.10.2015</t>
  </si>
  <si>
    <t>0160FBC15001782</t>
  </si>
  <si>
    <t>04.12.2015</t>
  </si>
  <si>
    <t>BKID0000160150773965</t>
  </si>
  <si>
    <t>05.12.2015</t>
  </si>
  <si>
    <t>VVF/TAL/EXP/561</t>
  </si>
  <si>
    <t>0160FBC15001714</t>
  </si>
  <si>
    <t>BKID0000160160871108</t>
  </si>
  <si>
    <t>VVF/TAL/EXP/593</t>
  </si>
  <si>
    <t>0160FBC15001720</t>
  </si>
  <si>
    <t>BKID0000160150762889</t>
  </si>
  <si>
    <t>VVF/TAL/EXP/594</t>
  </si>
  <si>
    <t>0160FBC15001724</t>
  </si>
  <si>
    <t>BKID0000160150780577</t>
  </si>
  <si>
    <t>15.12.2015</t>
  </si>
  <si>
    <t>VVF/TAL/EXP/602</t>
  </si>
  <si>
    <t>0160FBN15000276</t>
  </si>
  <si>
    <t>BKID0000160150757268</t>
  </si>
  <si>
    <t>0160FBC15001932</t>
  </si>
  <si>
    <t>BKID0000160150779661+BKID0000160160114229</t>
  </si>
  <si>
    <t>Realised; USD  9683 received on 06.11.2015</t>
  </si>
  <si>
    <t>VVF/TAL/EXP/598</t>
  </si>
  <si>
    <t>0160FBC15001931</t>
  </si>
  <si>
    <t>BKID0000160150778057/ BKID0000160150772364</t>
  </si>
  <si>
    <t>10-12-15/ 02-12-15</t>
  </si>
  <si>
    <t>VVF/TAL/EXP/596</t>
  </si>
  <si>
    <t>0160FBC15001723</t>
  </si>
  <si>
    <t>BKID0000160150780576</t>
  </si>
  <si>
    <t>VVF/TAL/EXP/597</t>
  </si>
  <si>
    <t>GNO CO., LTD</t>
  </si>
  <si>
    <t>0160FBN15000277</t>
  </si>
  <si>
    <t>29.01.2016</t>
  </si>
  <si>
    <t>BKID0000160160808296</t>
  </si>
  <si>
    <t>30.01.2016</t>
  </si>
  <si>
    <t>VVF/TAL/EXP/600</t>
  </si>
  <si>
    <t>0160FBC15001762</t>
  </si>
  <si>
    <t>BKID0000160150764540</t>
  </si>
  <si>
    <t>VVF/TAL/EXP/610</t>
  </si>
  <si>
    <t>SUZHOU WOOJIN CHEMICAL CO. LTD</t>
  </si>
  <si>
    <t>0160FBN15000279</t>
  </si>
  <si>
    <t>BKID0000160150785907</t>
  </si>
  <si>
    <t>VVF/TAL/EXP/616</t>
  </si>
  <si>
    <t>38237090/29051700</t>
  </si>
  <si>
    <t>0173FUGC1501598</t>
  </si>
  <si>
    <t>UTIB000173000015312</t>
  </si>
  <si>
    <t>VVF/TAL/EXP/601</t>
  </si>
  <si>
    <t>0160FBC15001780</t>
  </si>
  <si>
    <t>BKID0000160150761415</t>
  </si>
  <si>
    <t>VVF/TAL/EXP/603</t>
  </si>
  <si>
    <t>0160FBC15001779</t>
  </si>
  <si>
    <t>BKID0000160150761414</t>
  </si>
  <si>
    <t>VVF/TAL/EXP/604</t>
  </si>
  <si>
    <t>0160FBC15001778</t>
  </si>
  <si>
    <t>BKID0000160150761413</t>
  </si>
  <si>
    <t>VVF/TAL/EXP/608</t>
  </si>
  <si>
    <t>0160FBC15001776</t>
  </si>
  <si>
    <t>BKID0000160150773964</t>
  </si>
  <si>
    <t>VVF/TAL/EXP/613</t>
  </si>
  <si>
    <t>0160FBC15001781</t>
  </si>
  <si>
    <t>BKID0000160160871109</t>
  </si>
  <si>
    <t>VVF/TAL/EXP/622</t>
  </si>
  <si>
    <t>TEC IMPORTS</t>
  </si>
  <si>
    <t>0160FBC15001809</t>
  </si>
  <si>
    <t>BKID0000160150767671</t>
  </si>
  <si>
    <t>VVF/TAL/EXP/623</t>
  </si>
  <si>
    <t>0173FUGC1501530</t>
  </si>
  <si>
    <t>UTIB0000173000015320</t>
  </si>
  <si>
    <t>9103650625-26</t>
  </si>
  <si>
    <t>VVF/TAL/EXP/615</t>
  </si>
  <si>
    <t>19791516N1987</t>
  </si>
  <si>
    <t>UCBA0001979150174320</t>
  </si>
  <si>
    <t>VVF/TAL/EXP/614</t>
  </si>
  <si>
    <t>UCBA0001979150174319</t>
  </si>
  <si>
    <t>VVF/TAL/EXP/621</t>
  </si>
  <si>
    <t>UCBA0001979150174318</t>
  </si>
  <si>
    <t>VVF/TAL/EXP/575</t>
  </si>
  <si>
    <t>peru</t>
  </si>
  <si>
    <t>0160FBC15001996</t>
  </si>
  <si>
    <t>BKID0000160150780579</t>
  </si>
  <si>
    <t>VVF/TAL/EXP/611</t>
  </si>
  <si>
    <t>0160FBC15001773</t>
  </si>
  <si>
    <t>BKID0000160150779659</t>
  </si>
  <si>
    <t>VVF/TAL/EXP/620</t>
  </si>
  <si>
    <t>0160FBC15001783</t>
  </si>
  <si>
    <t>BKID0000160150774718</t>
  </si>
  <si>
    <t>9103650609-10</t>
  </si>
  <si>
    <t>VVF/TAL/EXP/618</t>
  </si>
  <si>
    <t>0160FBC15001784</t>
  </si>
  <si>
    <t>BKID0000160150775207</t>
  </si>
  <si>
    <t>VVF/TAL/EXP/619</t>
  </si>
  <si>
    <t>BKID0000160150775206</t>
  </si>
  <si>
    <t>VVF/TAL/EXP/626</t>
  </si>
  <si>
    <t>0160FBC15001777</t>
  </si>
  <si>
    <t>07.01.2016</t>
  </si>
  <si>
    <t>BKID0000160160794669</t>
  </si>
  <si>
    <t>08.01.2016</t>
  </si>
  <si>
    <t>VVF/TAL/EXP/625</t>
  </si>
  <si>
    <t>29159020 / 38231900</t>
  </si>
  <si>
    <t>0160FBN15000295</t>
  </si>
  <si>
    <t>BKID0000160160792113</t>
  </si>
  <si>
    <t>VVF/TAL/EXP/609</t>
  </si>
  <si>
    <t>0160FBC15002002</t>
  </si>
  <si>
    <t>BKID0000160150786338</t>
  </si>
  <si>
    <t>VVF/TAL/EXP/617</t>
  </si>
  <si>
    <t>BKID0000160150786337</t>
  </si>
  <si>
    <t>VVF/TAL/EXP/624</t>
  </si>
  <si>
    <t>0160FBC15001788</t>
  </si>
  <si>
    <t>BKID0000160150757266</t>
  </si>
  <si>
    <t>November</t>
  </si>
  <si>
    <t>VVF/TAL/EXP/612</t>
  </si>
  <si>
    <t>Uchumi Chemicals Ltd</t>
  </si>
  <si>
    <t>MTS</t>
  </si>
  <si>
    <t>0160FBC15001989</t>
  </si>
  <si>
    <t>BKID0000160150777035</t>
  </si>
  <si>
    <t>VVF/TAL/EXP/606</t>
  </si>
  <si>
    <t>0160FBC15001802</t>
  </si>
  <si>
    <t>BKID0000160160811155</t>
  </si>
  <si>
    <t>VVF/TAL/EXP/627</t>
  </si>
  <si>
    <t>0160FBC15001798</t>
  </si>
  <si>
    <t>BKID0000160150761416</t>
  </si>
  <si>
    <t>VVF/TAL/EXP/630</t>
  </si>
  <si>
    <t>0160FBC15001800</t>
  </si>
  <si>
    <t>BKID0000160150786749</t>
  </si>
  <si>
    <t>28.12.2015</t>
  </si>
  <si>
    <t>VVF/TAL/EXP/634</t>
  </si>
  <si>
    <t>0160FBC15001799</t>
  </si>
  <si>
    <t>BKID0000160150761417 + BKID0000160160124722</t>
  </si>
  <si>
    <t>VVF/TAL/EXP/629</t>
  </si>
  <si>
    <t>THODE + SCOBEL GMBH &amp; CO.</t>
  </si>
  <si>
    <t>Cameroon</t>
  </si>
  <si>
    <t>0160FBC15001978</t>
  </si>
  <si>
    <t>BKID0000160150777028</t>
  </si>
  <si>
    <t>VVF/TAL/EXP/628</t>
  </si>
  <si>
    <t>20150004C006324</t>
  </si>
  <si>
    <t>IBKL0000004000311214</t>
  </si>
  <si>
    <t>VVF/TAL/EXP/631</t>
  </si>
  <si>
    <t>PHILEXPORT</t>
  </si>
  <si>
    <t>Phillippines</t>
  </si>
  <si>
    <t>20150004M006408</t>
  </si>
  <si>
    <t>IBKL0000004000309360</t>
  </si>
  <si>
    <t>VVF/TAL/EXP/637</t>
  </si>
  <si>
    <t>0160FBC15001827</t>
  </si>
  <si>
    <t>31.12.2015</t>
  </si>
  <si>
    <t>BKID0000160160790094</t>
  </si>
  <si>
    <t>01.01.2016</t>
  </si>
  <si>
    <t>VVF/TAL/EXP/636</t>
  </si>
  <si>
    <t>0160FBC15001842</t>
  </si>
  <si>
    <t>BKID0000160160790098</t>
  </si>
  <si>
    <t>VVF/TAL/EXP/632</t>
  </si>
  <si>
    <t>0173FUGC1501532</t>
  </si>
  <si>
    <t>UTIB0000173000015319</t>
  </si>
  <si>
    <t>VVF/TAL/EXP/633</t>
  </si>
  <si>
    <t>0173FUGC1501531</t>
  </si>
  <si>
    <t>UTIB0000173000015321</t>
  </si>
  <si>
    <t>VVF/TAL/EXP/635</t>
  </si>
  <si>
    <t>0160FBC15001993</t>
  </si>
  <si>
    <t>BKID0000160150777037</t>
  </si>
  <si>
    <t>VVF/TAL/EXP/641</t>
  </si>
  <si>
    <t>0160FBC15001839</t>
  </si>
  <si>
    <t>BKID0000160160790097</t>
  </si>
  <si>
    <t>9103650634 &amp; 637</t>
  </si>
  <si>
    <t>VVF/TAL/EXP/640</t>
  </si>
  <si>
    <t>0160FBC15001845</t>
  </si>
  <si>
    <t>BKID0000160160790526</t>
  </si>
  <si>
    <t>VVF/TAL/EXP/638</t>
  </si>
  <si>
    <t>0160FBC15001837</t>
  </si>
  <si>
    <t>BKID0000160160790096</t>
  </si>
  <si>
    <t>VVF/TAL/EXP/639</t>
  </si>
  <si>
    <t>0160FBC15001992</t>
  </si>
  <si>
    <t>BKID0000160150777036</t>
  </si>
  <si>
    <t>VVF/TAL/EXP/642</t>
  </si>
  <si>
    <t>BKID0000160160790527</t>
  </si>
  <si>
    <t>VVF/TAL/EXP/646</t>
  </si>
  <si>
    <t>19791516N2010</t>
  </si>
  <si>
    <t>UCBA0001979150175454</t>
  </si>
  <si>
    <t>VVF/TAL/EXP/607</t>
  </si>
  <si>
    <t>291517010/29157020/29051700</t>
  </si>
  <si>
    <t>0160FBC15001808</t>
  </si>
  <si>
    <t>BKID0000160160871110</t>
  </si>
  <si>
    <t>VVF/TAL/EXP/605</t>
  </si>
  <si>
    <t>20150004M006524</t>
  </si>
  <si>
    <t>IBKL0000004000310675</t>
  </si>
  <si>
    <t>VVF/TAL/EXP/643</t>
  </si>
  <si>
    <t>23.10.2015</t>
  </si>
  <si>
    <t>0160FBC15001807</t>
  </si>
  <si>
    <t>29.12.2015</t>
  </si>
  <si>
    <t>BKID0000160150788415</t>
  </si>
  <si>
    <t>30.12.2015</t>
  </si>
  <si>
    <t>VVF/TAL/EXP/645</t>
  </si>
  <si>
    <t>0160FBC15001979</t>
  </si>
  <si>
    <t>BKID0000160150777029</t>
  </si>
  <si>
    <t>VVF/TAL/EXP/648</t>
  </si>
  <si>
    <t>0160FBC15001816</t>
  </si>
  <si>
    <t>BKID0000160160862359</t>
  </si>
  <si>
    <t>VVF/TAL/EXP/647</t>
  </si>
  <si>
    <t>24.10.2015</t>
  </si>
  <si>
    <t>0160FBC15001869</t>
  </si>
  <si>
    <t>BKID0000160150779660</t>
  </si>
  <si>
    <t>VVF/TAL/EXP/652</t>
  </si>
  <si>
    <t>20150004C006455</t>
  </si>
  <si>
    <t>IBKL0000004000311906</t>
  </si>
  <si>
    <t>VVF/TAL/EXP/655</t>
  </si>
  <si>
    <t>0160FBC15001980</t>
  </si>
  <si>
    <t>BKID0000160150777030</t>
  </si>
  <si>
    <t>VVF/TAL/EXP/656</t>
  </si>
  <si>
    <t>20150004C006454</t>
  </si>
  <si>
    <t>IBKL0000004000311905</t>
  </si>
  <si>
    <t>VVF/TAL/EXP/644</t>
  </si>
  <si>
    <t>0160FBN15000291</t>
  </si>
  <si>
    <t>BKID0000160160810223</t>
  </si>
  <si>
    <t>VVF/TAL/EXP/649</t>
  </si>
  <si>
    <t>0160FBC15001834</t>
  </si>
  <si>
    <t>BKID0000160160790095</t>
  </si>
  <si>
    <t>VVF/TAL/EXP/653</t>
  </si>
  <si>
    <t>MH &amp; Gustav Heess Ukraine GmbH</t>
  </si>
  <si>
    <t>0160FBC15001960</t>
  </si>
  <si>
    <t>BKID0000160150778059</t>
  </si>
  <si>
    <t>VVF/TAL/EXP/651</t>
  </si>
  <si>
    <t>19791516N2037</t>
  </si>
  <si>
    <t>UCBA0001979150176616</t>
  </si>
  <si>
    <t>VVF/TAL/EXP/654</t>
  </si>
  <si>
    <t>19791516N2036</t>
  </si>
  <si>
    <t>UCBA0001979150176615</t>
  </si>
  <si>
    <t>9103650652-653</t>
  </si>
  <si>
    <t>VVF/TAL/EXP/658</t>
  </si>
  <si>
    <t>advance</t>
  </si>
  <si>
    <t>GOLTASH COMPANY</t>
  </si>
  <si>
    <t>19451516MB1288</t>
  </si>
  <si>
    <t>UCBA0001945150176072</t>
  </si>
  <si>
    <t>VVF/TAL/EXP/660</t>
  </si>
  <si>
    <t>UCBA0001945150176073</t>
  </si>
  <si>
    <t>9103650655-656</t>
  </si>
  <si>
    <t>VVF/TAL/EXP/659</t>
  </si>
  <si>
    <t>NAHAL SOBH OMID CO.</t>
  </si>
  <si>
    <t>19451516MB1275</t>
  </si>
  <si>
    <t>UCBA0001945150174281</t>
  </si>
  <si>
    <t>VVF/TAL/EXP/664</t>
  </si>
  <si>
    <t>UCBA0001945150174280</t>
  </si>
  <si>
    <t>9103650644</t>
  </si>
  <si>
    <t>VVF/TAL/EXP/650</t>
  </si>
  <si>
    <t>20150004C006519</t>
  </si>
  <si>
    <t>IBKL0000004000313633</t>
  </si>
  <si>
    <t>9103650654</t>
  </si>
  <si>
    <t>VVF/TAL/EXP/662</t>
  </si>
  <si>
    <t>38237090  /  38231190</t>
  </si>
  <si>
    <t>0160FBC15001983</t>
  </si>
  <si>
    <t>BKID0000160150775679</t>
  </si>
  <si>
    <t>9103650657</t>
  </si>
  <si>
    <t>VVF/TAL/EXP/665</t>
  </si>
  <si>
    <t>COLGATE PALMOLIVE TEMIZLIK URU</t>
  </si>
  <si>
    <t>0160FBC15001910</t>
  </si>
  <si>
    <t>BKID0000160150773184</t>
  </si>
  <si>
    <t>9103650658</t>
  </si>
  <si>
    <t>VVF/TAL/EXP/663</t>
  </si>
  <si>
    <t>0160FBC15001871</t>
  </si>
  <si>
    <t>BKID0000160150786750</t>
  </si>
  <si>
    <t>9103650659-660</t>
  </si>
  <si>
    <t>VVF/TAL/EXP/667</t>
  </si>
  <si>
    <t>0160FBC15001829</t>
  </si>
  <si>
    <t>BKID0000160150775208</t>
  </si>
  <si>
    <t>VVF/TAL/EXP/669</t>
  </si>
  <si>
    <t>BKID0000160150775209</t>
  </si>
  <si>
    <t>VVF/TAL/EXP/671</t>
  </si>
  <si>
    <t>0160FBC15001870</t>
  </si>
  <si>
    <t>BKID0000160150774720</t>
  </si>
  <si>
    <t>9103650662-663</t>
  </si>
  <si>
    <t>VVF/TAL/EXP/668</t>
  </si>
  <si>
    <t>0160FBC15001830</t>
  </si>
  <si>
    <t>BKID0000160150775210</t>
  </si>
  <si>
    <t>VVF/TAL/EXP/670</t>
  </si>
  <si>
    <t>BKID0000160150775211</t>
  </si>
  <si>
    <t>VVF/TAL/EXP/673</t>
  </si>
  <si>
    <t>0160FBC15001835</t>
  </si>
  <si>
    <t>BKID0000160150777021</t>
  </si>
  <si>
    <t>9103650665</t>
  </si>
  <si>
    <t>VVF/TAL/EXP/674</t>
  </si>
  <si>
    <t>Trade Brilliance Inc.</t>
  </si>
  <si>
    <t>0160FBC16000190</t>
  </si>
  <si>
    <t>BKID0000160160809307</t>
  </si>
  <si>
    <t>9103650666</t>
  </si>
  <si>
    <t>VVF/TAL/EXP/676</t>
  </si>
  <si>
    <t>0160FBC15001897</t>
  </si>
  <si>
    <t>BKID0000160160790099</t>
  </si>
  <si>
    <t>9103650667-668</t>
  </si>
  <si>
    <t>VVF/TAL/EXP/675</t>
  </si>
  <si>
    <t>116215XUC001392</t>
  </si>
  <si>
    <t>BKDN0461162100188552</t>
  </si>
  <si>
    <t>VVF/TAL/EXP/677</t>
  </si>
  <si>
    <t>BKDN0461162100188554</t>
  </si>
  <si>
    <t>9103650669</t>
  </si>
  <si>
    <t>VVF/TAL/EXP/678</t>
  </si>
  <si>
    <t>0160FBC15001877</t>
  </si>
  <si>
    <t>BKID0000160150763765</t>
  </si>
  <si>
    <t>9103650670</t>
  </si>
  <si>
    <t>VVF/TAL/EXP/680</t>
  </si>
  <si>
    <t>0160FBC15001840</t>
  </si>
  <si>
    <t>BKID0000160160871111</t>
  </si>
  <si>
    <t>9103650671</t>
  </si>
  <si>
    <t>VVF/TAL/EXP/682</t>
  </si>
  <si>
    <t>0160FBN15000294</t>
  </si>
  <si>
    <t>BKID0000160150772378</t>
  </si>
  <si>
    <t>9103650672</t>
  </si>
  <si>
    <t>VVF/TAL/EXP/681</t>
  </si>
  <si>
    <t>0160FBC15001878</t>
  </si>
  <si>
    <t>BKID0000160160811156</t>
  </si>
  <si>
    <t>VVF/TAL/EXP/679</t>
  </si>
  <si>
    <t>0160FBC15001833</t>
  </si>
  <si>
    <t>BKID0000160150765234</t>
  </si>
  <si>
    <t>9103650674</t>
  </si>
  <si>
    <t>VVF/TAL/EXP/657</t>
  </si>
  <si>
    <t>cfr</t>
  </si>
  <si>
    <t>20150004C006586</t>
  </si>
  <si>
    <t>IBKL0000004000303640</t>
  </si>
  <si>
    <t>9103650675</t>
  </si>
  <si>
    <t>VVF/TAL/EXP/661</t>
  </si>
  <si>
    <t>IBKL0000004000313638</t>
  </si>
  <si>
    <t>9103650676</t>
  </si>
  <si>
    <t>VVF/TAL/EXP/672</t>
  </si>
  <si>
    <t>IBKL0000004000313639</t>
  </si>
  <si>
    <t>9103650677</t>
  </si>
  <si>
    <t>VVF/TAL/EXP/683</t>
  </si>
  <si>
    <t>0160FBC16000016</t>
  </si>
  <si>
    <t>BKID0000160160819641</t>
  </si>
  <si>
    <t>9103650678</t>
  </si>
  <si>
    <t>VVF/TAL/EXP/685</t>
  </si>
  <si>
    <t>0160FBC15001926</t>
  </si>
  <si>
    <t>BKID0000160150777022</t>
  </si>
  <si>
    <t>VVF/TAL/EXP/687</t>
  </si>
  <si>
    <t>0160FBC15001915</t>
  </si>
  <si>
    <t>BKID0000160160875873</t>
  </si>
  <si>
    <t>9103650681</t>
  </si>
  <si>
    <t>VVF/TAL/EXP/689</t>
  </si>
  <si>
    <t>20150004C006639</t>
  </si>
  <si>
    <t>IBKL0000004000315162</t>
  </si>
  <si>
    <t>9103650682</t>
  </si>
  <si>
    <t>VVF/TAL/EXP/686</t>
  </si>
  <si>
    <t>0160FBN15000296</t>
  </si>
  <si>
    <t>BKID0000160150772379</t>
  </si>
  <si>
    <t>VVF/TAL/EXP/690</t>
  </si>
  <si>
    <t>0160FBC15001896</t>
  </si>
  <si>
    <t>BKID0000160160875872</t>
  </si>
  <si>
    <t>0160FBC15001884</t>
  </si>
  <si>
    <t>BKID0000160160799544</t>
  </si>
  <si>
    <t>9103650686</t>
  </si>
  <si>
    <t>VVF/TAL/EXP/691</t>
  </si>
  <si>
    <t>0160FBN15000297</t>
  </si>
  <si>
    <t>BKID0000160150777039</t>
  </si>
  <si>
    <t>9103650687</t>
  </si>
  <si>
    <t>VVF/TAL/EXP/692</t>
  </si>
  <si>
    <t>0160FBN15000293</t>
  </si>
  <si>
    <t>BKID0000160160796763</t>
  </si>
  <si>
    <t>9103650688</t>
  </si>
  <si>
    <t>VVF/TAL/EXP/693</t>
  </si>
  <si>
    <t>0160FBC15001912</t>
  </si>
  <si>
    <t>BKID0000160150786751</t>
  </si>
  <si>
    <t>9103650689</t>
  </si>
  <si>
    <t>VVF/TAL/EXP/694</t>
  </si>
  <si>
    <t>0160FBC15001933</t>
  </si>
  <si>
    <t>BKID0000160160822183</t>
  </si>
  <si>
    <t>9103650690</t>
  </si>
  <si>
    <t>VVF/TAL/EXP/695</t>
  </si>
  <si>
    <t>0160FBC15001911</t>
  </si>
  <si>
    <t>BKID0000160160793867</t>
  </si>
  <si>
    <t>9103650691</t>
  </si>
  <si>
    <t>VVF/TAL/EXP/697</t>
  </si>
  <si>
    <t>Noor Chemicals DMCC</t>
  </si>
  <si>
    <t>0160FBC16000015</t>
  </si>
  <si>
    <t>BKID0000160160811160</t>
  </si>
  <si>
    <t>VVF/TAL/EXP/702</t>
  </si>
  <si>
    <t>0160FBC15001936</t>
  </si>
  <si>
    <t>BKID0000160150781345</t>
  </si>
  <si>
    <t>9103650693</t>
  </si>
  <si>
    <t>VVF/TAL/EXP/701</t>
  </si>
  <si>
    <t>0160FBC15001934</t>
  </si>
  <si>
    <t>BKID0000160160803611</t>
  </si>
  <si>
    <t>9103650694</t>
  </si>
  <si>
    <t>VVF/TAL/EXP/699</t>
  </si>
  <si>
    <t>0160FBC15001935</t>
  </si>
  <si>
    <t>BKID0000160160822184</t>
  </si>
  <si>
    <t>VVF/TAL/EXP/700</t>
  </si>
  <si>
    <t>0160FBC15002018</t>
  </si>
  <si>
    <t>BKID0000160150788417</t>
  </si>
  <si>
    <t>VVF/TAL/EXP/698</t>
  </si>
  <si>
    <t>0160FBC15002019</t>
  </si>
  <si>
    <t>BKID0000160150788418</t>
  </si>
  <si>
    <t>VVF/TAL/EXP/696</t>
  </si>
  <si>
    <t>0160FBC16000014</t>
  </si>
  <si>
    <t>BKID0000160160819640</t>
  </si>
  <si>
    <t>9103650698</t>
  </si>
  <si>
    <t>VVF/TAL/EXP/703</t>
  </si>
  <si>
    <t>Bouyahia Abdelkader (VOBONO)</t>
  </si>
  <si>
    <t>0160FBN15000304</t>
  </si>
  <si>
    <t>BKID0000160160793870</t>
  </si>
  <si>
    <t>0160IRT15000781</t>
  </si>
  <si>
    <t>29-12-15/5-3-16</t>
  </si>
  <si>
    <t>BKID0000160160834331/ BKID0000160150788416</t>
  </si>
  <si>
    <t>9103650700</t>
  </si>
  <si>
    <t>VVF/TAL/EXP/706</t>
  </si>
  <si>
    <t>0160FBC15001972</t>
  </si>
  <si>
    <t>BKID0000160160790100</t>
  </si>
  <si>
    <t>VVF/TAL/EXP/705</t>
  </si>
  <si>
    <t>0160FBN15000307</t>
  </si>
  <si>
    <t>BKID0000160160825122</t>
  </si>
  <si>
    <t>VVF/TAL/EXP/707</t>
  </si>
  <si>
    <t>BKID0000160160825123</t>
  </si>
  <si>
    <t>VVF/TAL/EXP/708</t>
  </si>
  <si>
    <t>0160FBC15001954</t>
  </si>
  <si>
    <t>BKID0000160160832629</t>
  </si>
  <si>
    <t>9103650704</t>
  </si>
  <si>
    <t>VVF/TAL/EXP/710</t>
  </si>
  <si>
    <t>29051700 /38231900 / 38231190</t>
  </si>
  <si>
    <t>0160FBC15001961</t>
  </si>
  <si>
    <t>BKID0000160160797681</t>
  </si>
  <si>
    <t>9103650705</t>
  </si>
  <si>
    <t>VVF/TAL/EXP/709</t>
  </si>
  <si>
    <t>0160FBC16000404</t>
  </si>
  <si>
    <t>BKID0000160160842320</t>
  </si>
  <si>
    <t>9103650706</t>
  </si>
  <si>
    <t>VVF/TAL/EXP/712</t>
  </si>
  <si>
    <t>0160FBC15001937</t>
  </si>
  <si>
    <t>BKID0000160160794671</t>
  </si>
  <si>
    <t>9103650707</t>
  </si>
  <si>
    <t>VVF/TAL/EXP/711</t>
  </si>
  <si>
    <t>0160FBN15000306</t>
  </si>
  <si>
    <t>BKID0000160150785198</t>
  </si>
  <si>
    <t>9103650708</t>
  </si>
  <si>
    <t>VVF/TAL/EXP/713</t>
  </si>
  <si>
    <t>congo</t>
  </si>
  <si>
    <t>0160FBC16000180</t>
  </si>
  <si>
    <t>BKID0000160160809298</t>
  </si>
  <si>
    <t>9103650709</t>
  </si>
  <si>
    <t>VVF/TAL/EXP/714</t>
  </si>
  <si>
    <t>0160FBC16000012</t>
  </si>
  <si>
    <t>BKID0000160160819639</t>
  </si>
  <si>
    <t>9103650710</t>
  </si>
  <si>
    <t>VVF/TAL/EXP/715</t>
  </si>
  <si>
    <t>0160FBC16000189</t>
  </si>
  <si>
    <t>BKID0000160160809306</t>
  </si>
  <si>
    <t>9103650711</t>
  </si>
  <si>
    <t>VVF/TAL/EXP/716</t>
  </si>
  <si>
    <t>0160FBC15002003</t>
  </si>
  <si>
    <t>BKID0000160160790101</t>
  </si>
  <si>
    <t>9103650712</t>
  </si>
  <si>
    <t>VVF/TAL/EXP/717</t>
  </si>
  <si>
    <t>0160FBC15002004</t>
  </si>
  <si>
    <t>BKID0000160160790102</t>
  </si>
  <si>
    <t>9103650713-14</t>
  </si>
  <si>
    <t>VVF/TAL/EXP/718</t>
  </si>
  <si>
    <t>0160FBC15001997</t>
  </si>
  <si>
    <t>BKID0000160160807910</t>
  </si>
  <si>
    <t>VVF/TAL/EXP/719</t>
  </si>
  <si>
    <t>BKID0000160160807909</t>
  </si>
  <si>
    <t>0160FBC15001974</t>
  </si>
  <si>
    <t>BKID0000160160962055</t>
  </si>
  <si>
    <t>9103650716</t>
  </si>
  <si>
    <t>VVF/TAL/EXP/721</t>
  </si>
  <si>
    <t>0160FBN15000313</t>
  </si>
  <si>
    <t>BKID0000160160806532</t>
  </si>
  <si>
    <t>9103650717</t>
  </si>
  <si>
    <t>VVF/TAL/EXP/722</t>
  </si>
  <si>
    <t xml:space="preserve"> cif</t>
  </si>
  <si>
    <t>0160FBC15001995</t>
  </si>
  <si>
    <t>BKID0000160160794672</t>
  </si>
  <si>
    <t>VVF/TAL/EXP/723</t>
  </si>
  <si>
    <t>0160FBC15002027</t>
  </si>
  <si>
    <t>14.01.2016</t>
  </si>
  <si>
    <t>BKID0000160160798576</t>
  </si>
  <si>
    <t>15.01.2016</t>
  </si>
  <si>
    <t>VVF/TAL/EXP/725</t>
  </si>
  <si>
    <t>0160FBC15001990</t>
  </si>
  <si>
    <t>BKID0000160160803612</t>
  </si>
  <si>
    <t>9103650721</t>
  </si>
  <si>
    <t>VVF/TAL/EXP/726</t>
  </si>
  <si>
    <t>0160FBC15001977</t>
  </si>
  <si>
    <t>BKID0000160160833498</t>
  </si>
  <si>
    <t>0160FBC15002023</t>
  </si>
  <si>
    <t>BKID0000160160795408</t>
  </si>
  <si>
    <t>11.01.2016</t>
  </si>
  <si>
    <t>Realised;USD  19433 received on 11.12.2015</t>
  </si>
  <si>
    <t>short uploaded</t>
  </si>
  <si>
    <t>9103650725-26</t>
  </si>
  <si>
    <t>19791516N2118</t>
  </si>
  <si>
    <t>UCBA0001979150179161</t>
  </si>
  <si>
    <t>UCBA0001979150179160</t>
  </si>
  <si>
    <t>30% cad/70% 30 days</t>
  </si>
  <si>
    <t>0160FBC15002028</t>
  </si>
  <si>
    <t>BKID0000160160795410</t>
  </si>
  <si>
    <t>9103650719</t>
  </si>
  <si>
    <t>December</t>
  </si>
  <si>
    <t>VVF/TAL/EXP/724</t>
  </si>
  <si>
    <t>CV. Sari Barokah Agrindo</t>
  </si>
  <si>
    <t xml:space="preserve">29051700/38237090  </t>
  </si>
  <si>
    <t>0160FBC16000184</t>
  </si>
  <si>
    <t>BKID0000160160809301</t>
  </si>
  <si>
    <t>VVF/TAL/EXP/729</t>
  </si>
  <si>
    <t>0160FBC15002024</t>
  </si>
  <si>
    <t>BKID0000160160790103</t>
  </si>
  <si>
    <t>9103650723</t>
  </si>
  <si>
    <t>VVF/TAL/EXP/728</t>
  </si>
  <si>
    <t>0160FBC15002008</t>
  </si>
  <si>
    <t>BKID0000160160811158</t>
  </si>
  <si>
    <t>9103650727</t>
  </si>
  <si>
    <t>VVF/TAL/EXP/732</t>
  </si>
  <si>
    <t>0160FBN15000311</t>
  </si>
  <si>
    <t>BKID0000160160792114</t>
  </si>
  <si>
    <t>9103650729</t>
  </si>
  <si>
    <t>VVF/TAL/EXP/734</t>
  </si>
  <si>
    <t>AKZO NOBEL SURFACE CHEMISTRY P</t>
  </si>
  <si>
    <t>0160FBC15002011</t>
  </si>
  <si>
    <t>BKID0000160160867084</t>
  </si>
  <si>
    <t>9103650730</t>
  </si>
  <si>
    <t>VVF/TAL/EXP/735</t>
  </si>
  <si>
    <t>0160FBC15002020</t>
  </si>
  <si>
    <t>BKID0000160150787585</t>
  </si>
  <si>
    <t>9103650731</t>
  </si>
  <si>
    <t>VVF/TAL/EXP/738</t>
  </si>
  <si>
    <t>0160FBC15002025</t>
  </si>
  <si>
    <t>BKID0000160160790104</t>
  </si>
  <si>
    <t>9103650732</t>
  </si>
  <si>
    <t>VVF/TAL/EXP/737</t>
  </si>
  <si>
    <t>0160FBC16000183</t>
  </si>
  <si>
    <t>BKID0000160160809300</t>
  </si>
  <si>
    <t>9103650733</t>
  </si>
  <si>
    <t>VVF/TAL/EXP/736</t>
  </si>
  <si>
    <t>DONGNAM CHEMICAL CO., LTD</t>
  </si>
  <si>
    <t>0160FBN15000314</t>
  </si>
  <si>
    <t>BKID0000160150787586</t>
  </si>
  <si>
    <t>9103650734</t>
  </si>
  <si>
    <t>VVF/TAL/EXP/739</t>
  </si>
  <si>
    <t>19791516N2129</t>
  </si>
  <si>
    <t>UCBA0001979160180318</t>
  </si>
  <si>
    <t>9103650735</t>
  </si>
  <si>
    <t>VVF/TAL/EXP/740</t>
  </si>
  <si>
    <t>0160FBC15002033</t>
  </si>
  <si>
    <t>BKID0000160160824646</t>
  </si>
  <si>
    <t>9103650736</t>
  </si>
  <si>
    <t>VVF/TAL/EXP/742</t>
  </si>
  <si>
    <t>0160FBC16000179</t>
  </si>
  <si>
    <t>BKID0000160160809297</t>
  </si>
  <si>
    <t>9103650737</t>
  </si>
  <si>
    <t>VVF/TAL/EXP/741</t>
  </si>
  <si>
    <t>0160FBC15002040</t>
  </si>
  <si>
    <t>BKID0000160160790106</t>
  </si>
  <si>
    <t>VVF/TAL/EXP/744</t>
  </si>
  <si>
    <t>116215XUC001507</t>
  </si>
  <si>
    <t>BKDN0461162100213592</t>
  </si>
  <si>
    <t>9103650739</t>
  </si>
  <si>
    <t>VVF/TAL/EXP/748</t>
  </si>
  <si>
    <t>COPOLEO SAS</t>
  </si>
  <si>
    <t>0160FBC16000187</t>
  </si>
  <si>
    <t>BKID0000160160809304</t>
  </si>
  <si>
    <t>9103650740</t>
  </si>
  <si>
    <t>VVF/TAL/EXP/746</t>
  </si>
  <si>
    <t>0160FBC15002026</t>
  </si>
  <si>
    <t>BKID0000160160790105</t>
  </si>
  <si>
    <t>9103650741</t>
  </si>
  <si>
    <t>VVF/TAL/EXP/747</t>
  </si>
  <si>
    <t>0160FBC16000185</t>
  </si>
  <si>
    <t>BKID0000160160809302</t>
  </si>
  <si>
    <t>9103650742-43</t>
  </si>
  <si>
    <t>VVF/TAL/EXP/743</t>
  </si>
  <si>
    <t>19791516N2130</t>
  </si>
  <si>
    <t>UCBA0001979160180320</t>
  </si>
  <si>
    <t>VVF/TAL/EXP/745</t>
  </si>
  <si>
    <t>UCBA0001979160180319</t>
  </si>
  <si>
    <t>0160FBC16000082</t>
  </si>
  <si>
    <t>BKID0000160160807483+BKID0000160160806527</t>
  </si>
  <si>
    <t xml:space="preserve">Realised;Balance USD 10920 Credit note issued </t>
  </si>
  <si>
    <t>9103650745</t>
  </si>
  <si>
    <t>VVF/TAL/EXP/749</t>
  </si>
  <si>
    <t>United Arab Emirates</t>
  </si>
  <si>
    <t>0160FBC15002021</t>
  </si>
  <si>
    <t>BKID0000160160841180</t>
  </si>
  <si>
    <t>9103650746</t>
  </si>
  <si>
    <t>VVF/TAL/EXP/750</t>
  </si>
  <si>
    <t>0160FBC15002035</t>
  </si>
  <si>
    <t>BKID0000160160824648</t>
  </si>
  <si>
    <t>9103650747</t>
  </si>
  <si>
    <t>VVF/TAL/EXP/751</t>
  </si>
  <si>
    <t>0160FBC15002063</t>
  </si>
  <si>
    <t>BKID0000160160790107</t>
  </si>
  <si>
    <t>9103650748</t>
  </si>
  <si>
    <t>VVF/TAL/EXP/753</t>
  </si>
  <si>
    <t>0160FBC15002066</t>
  </si>
  <si>
    <t>BKID0000160160863525</t>
  </si>
  <si>
    <t>9103650749</t>
  </si>
  <si>
    <t>VVF/TAL/EXP/754</t>
  </si>
  <si>
    <t>0160FBC15002064</t>
  </si>
  <si>
    <t>BKID0000160160790108</t>
  </si>
  <si>
    <t>9103650750</t>
  </si>
  <si>
    <t>VVF/TAL/EXP/755</t>
  </si>
  <si>
    <t>0160FBC15002043</t>
  </si>
  <si>
    <t>BKID0000160160794673</t>
  </si>
  <si>
    <t>9103650753</t>
  </si>
  <si>
    <t>VVF/TAL/EXP/760</t>
  </si>
  <si>
    <t>0160FBC15002034</t>
  </si>
  <si>
    <t>BKID0000160160824647</t>
  </si>
  <si>
    <t>9103650754</t>
  </si>
  <si>
    <t>VVF/TAL/EXP/759</t>
  </si>
  <si>
    <t>0160FBC15002044</t>
  </si>
  <si>
    <t>BKID0000160160805589</t>
  </si>
  <si>
    <t>9103650755</t>
  </si>
  <si>
    <t>VVF/TAL/EXP/758</t>
  </si>
  <si>
    <t>0160FBC15002065</t>
  </si>
  <si>
    <t>BKID0000160160790109</t>
  </si>
  <si>
    <t>9103650756</t>
  </si>
  <si>
    <t>VVF/TAL/EXP/762</t>
  </si>
  <si>
    <t>0173FSGC1501702</t>
  </si>
  <si>
    <t>UTIB0000173000015423</t>
  </si>
  <si>
    <t>VVF/TAL/EXP/761</t>
  </si>
  <si>
    <t>India</t>
  </si>
  <si>
    <t>19451516MB1316</t>
  </si>
  <si>
    <t>UCBA0001945150179130</t>
  </si>
  <si>
    <t>VVF/TAL/EXP/764</t>
  </si>
  <si>
    <t>0160FBC15002036</t>
  </si>
  <si>
    <t>BKID0000160160825507</t>
  </si>
  <si>
    <t>9103650759</t>
  </si>
  <si>
    <t>VVF/TAL/EXP/763</t>
  </si>
  <si>
    <t>0160FBC16000186</t>
  </si>
  <si>
    <t>BKID0000160160809303</t>
  </si>
  <si>
    <t>9103650760</t>
  </si>
  <si>
    <t>VVF/TAL/EXP/765</t>
  </si>
  <si>
    <t>0160FBN15000320</t>
  </si>
  <si>
    <t>BKID0000160160811573</t>
  </si>
  <si>
    <t>VVF/TAL/EXP/766</t>
  </si>
  <si>
    <t>BKID0000160160811574</t>
  </si>
  <si>
    <t>9103650761</t>
  </si>
  <si>
    <t>VVF/TAL/EXP/767</t>
  </si>
  <si>
    <t>0160FBC16000083</t>
  </si>
  <si>
    <t>27-01-2016, 28-01-2016</t>
  </si>
  <si>
    <t>BKID0000160160806528 / BKID0000160160807484</t>
  </si>
  <si>
    <t>28-01-2016, 29-01-2016</t>
  </si>
  <si>
    <t>VVF/TAL/EXP/768</t>
  </si>
  <si>
    <t>0160FBC15002042</t>
  </si>
  <si>
    <t>BKID0000160160810221</t>
  </si>
  <si>
    <t>9103650763-764</t>
  </si>
  <si>
    <t>0173FSGC1600189</t>
  </si>
  <si>
    <t>UTIB0000173000015537</t>
  </si>
  <si>
    <t>UTIB0000173000015538</t>
  </si>
  <si>
    <t>9103650765-766</t>
  </si>
  <si>
    <t>VVF/TAL/EXP/770</t>
  </si>
  <si>
    <t>38237090/29151700</t>
  </si>
  <si>
    <t>0160FBC16000009</t>
  </si>
  <si>
    <t>BKID0000160160825509</t>
  </si>
  <si>
    <t>9103650767</t>
  </si>
  <si>
    <t>VVF/TAL/EXP/774</t>
  </si>
  <si>
    <t>20150004M007322</t>
  </si>
  <si>
    <t>IBKL0000004000320488</t>
  </si>
  <si>
    <t>9103650768</t>
  </si>
  <si>
    <t>VVF/TAL/EXP/777</t>
  </si>
  <si>
    <t>0160FBC15002096</t>
  </si>
  <si>
    <t>BKID0000160160790111</t>
  </si>
  <si>
    <t>9103650769</t>
  </si>
  <si>
    <t>VVF/TAL/EXP/776</t>
  </si>
  <si>
    <t>0160FBC15002097</t>
  </si>
  <si>
    <t>BKID0000160160790112</t>
  </si>
  <si>
    <t>VVF/TAL/EXP/773</t>
  </si>
  <si>
    <t>0160FBC15002095</t>
  </si>
  <si>
    <t>BKID0000160160790110</t>
  </si>
  <si>
    <t>9103650771</t>
  </si>
  <si>
    <t>VVF/TAL/EXP/779</t>
  </si>
  <si>
    <t>0160FBN15000323</t>
  </si>
  <si>
    <t>BKID0000160160813018</t>
  </si>
  <si>
    <t>0160FBC15002045</t>
  </si>
  <si>
    <t>BKID0000160160803613</t>
  </si>
  <si>
    <t>VVF/TAL/EXP/781</t>
  </si>
  <si>
    <t>0160FBN15000316</t>
  </si>
  <si>
    <t>BKID0000160160822190</t>
  </si>
  <si>
    <t>9103650774</t>
  </si>
  <si>
    <t>VVF/TAL/EXP/782</t>
  </si>
  <si>
    <t>20160004M000414</t>
  </si>
  <si>
    <t>IBKL0000004000327394</t>
  </si>
  <si>
    <t>9103650775-776</t>
  </si>
  <si>
    <t>VVF/TAL/EXP/775</t>
  </si>
  <si>
    <t>British Virgin Islands</t>
  </si>
  <si>
    <t>0160FBN15000324</t>
  </si>
  <si>
    <t>BKID0000160160795642</t>
  </si>
  <si>
    <t>VVF/TAL/EXP/783</t>
  </si>
  <si>
    <t>BKID0000160160795643</t>
  </si>
  <si>
    <t>VVF/TAL/EXP/778</t>
  </si>
  <si>
    <t>0173FUGC1501705</t>
  </si>
  <si>
    <t>UTIB0000173000015566</t>
  </si>
  <si>
    <t>9103650778</t>
  </si>
  <si>
    <t>VVF/TAL/EXP/772</t>
  </si>
  <si>
    <t>0160FBC15002039</t>
  </si>
  <si>
    <t>BKID0000160160827674</t>
  </si>
  <si>
    <t>9103650779</t>
  </si>
  <si>
    <t>VVF/TAL/EXP/789</t>
  </si>
  <si>
    <t>UTIB0000173000015565</t>
  </si>
  <si>
    <t>9103650780</t>
  </si>
  <si>
    <t>VVF/TAL/EXP/787</t>
  </si>
  <si>
    <t>HOBİ KOZMETİK A.Ş.</t>
  </si>
  <si>
    <t>0160FBC15002094</t>
  </si>
  <si>
    <t>BKID0000160160867085</t>
  </si>
  <si>
    <t>9103650781</t>
  </si>
  <si>
    <t>VVF/TAL/EXP/786</t>
  </si>
  <si>
    <t>0160FBC16000029</t>
  </si>
  <si>
    <t>BKID0000160160799549</t>
  </si>
  <si>
    <t>VVF/TAL/EXP/785</t>
  </si>
  <si>
    <t>0160FBN15000319</t>
  </si>
  <si>
    <t>BKID0000160160792115</t>
  </si>
  <si>
    <t>VVF/TAL/EXP/784</t>
  </si>
  <si>
    <t>0160FBC16000004</t>
  </si>
  <si>
    <t>BKID0000160160842316</t>
  </si>
  <si>
    <t>9103650784</t>
  </si>
  <si>
    <t>VVF/TAL/EXP/788</t>
  </si>
  <si>
    <t>PT INTERCHEM PRIMA MITRA</t>
  </si>
  <si>
    <t>0160FBC16000188</t>
  </si>
  <si>
    <t>BKID0000160160809305</t>
  </si>
  <si>
    <t>9103650785</t>
  </si>
  <si>
    <t>VVF/TAL/EXP/790</t>
  </si>
  <si>
    <t>0160FBC16000026</t>
  </si>
  <si>
    <t>BKID0000160160799546</t>
  </si>
  <si>
    <t>VVF/TAL/EXP/791</t>
  </si>
  <si>
    <t>38237090/38231900</t>
  </si>
  <si>
    <t>0160FBC16000030</t>
  </si>
  <si>
    <t>BKID0000160160799550</t>
  </si>
  <si>
    <t>9103650787-788</t>
  </si>
  <si>
    <t>VVF/TAL/EXP/794</t>
  </si>
  <si>
    <t>0160FBC16000008</t>
  </si>
  <si>
    <t>BKID0000160160825508</t>
  </si>
  <si>
    <t>VVF/TAL/EXP/797</t>
  </si>
  <si>
    <t>50% adv. 50% cad</t>
  </si>
  <si>
    <t>0160FBC16000194</t>
  </si>
  <si>
    <t>BKID0000160160809311</t>
  </si>
  <si>
    <t>VVF/TAL/EXP/798</t>
  </si>
  <si>
    <t>38237090/38231190</t>
  </si>
  <si>
    <t>20160004C000941</t>
  </si>
  <si>
    <t>IBKL0000004000334443</t>
  </si>
  <si>
    <t>VVF/TAL/EXP/793</t>
  </si>
  <si>
    <t>0160FBC16000068</t>
  </si>
  <si>
    <t>BKID0000160160811162</t>
  </si>
  <si>
    <t>9103650792-793</t>
  </si>
  <si>
    <t>VVF/TAL/EXP/795</t>
  </si>
  <si>
    <t>0160FBC16000067</t>
  </si>
  <si>
    <t>BKID0000160160811161</t>
  </si>
  <si>
    <t>vvf/tal/exp/0796</t>
  </si>
  <si>
    <t>0160FBC16000027</t>
  </si>
  <si>
    <t>BKID0000160160799547</t>
  </si>
  <si>
    <t>vvf/tal/exp/0800</t>
  </si>
  <si>
    <t>0160FBC16000028</t>
  </si>
  <si>
    <t>BKID0000160160799548</t>
  </si>
  <si>
    <t>KEMCARE LIMITED</t>
  </si>
  <si>
    <t>0160FBC16000191</t>
  </si>
  <si>
    <t>BKID0000160160809308</t>
  </si>
  <si>
    <t>0160FBC16000178</t>
  </si>
  <si>
    <t>BKID0000160160809296</t>
  </si>
  <si>
    <t>0173FUGC1600005</t>
  </si>
  <si>
    <t>UTIB0000173000015561</t>
  </si>
  <si>
    <t>0173FBFP1600143</t>
  </si>
  <si>
    <t>UTIB0000173000015501</t>
  </si>
  <si>
    <t>9103650800-801</t>
  </si>
  <si>
    <t>0160FBC16000025</t>
  </si>
  <si>
    <t>BKID0000160160799984</t>
  </si>
  <si>
    <t>BKID0000160160799983</t>
  </si>
  <si>
    <t>Polyrheo (Canada) Inc</t>
  </si>
  <si>
    <t>0160FBC16000405</t>
  </si>
  <si>
    <t>BKID0000160160841188</t>
  </si>
  <si>
    <t>9103650803-804</t>
  </si>
  <si>
    <t>VVF/V-BULK/EXP/001</t>
  </si>
  <si>
    <t>KANDLA</t>
  </si>
  <si>
    <t>INBOM1</t>
  </si>
  <si>
    <t>0173FSGC1501706</t>
  </si>
  <si>
    <t>UTIB0000173000015341</t>
  </si>
  <si>
    <t>0160FBN15000328</t>
  </si>
  <si>
    <t>BKID0000160160811165</t>
  </si>
  <si>
    <t>9103650806-807</t>
  </si>
  <si>
    <t xml:space="preserve">30% ADV 70% </t>
  </si>
  <si>
    <t>0160FBC16000086</t>
  </si>
  <si>
    <t>BKID0000160160807039</t>
  </si>
  <si>
    <t>BKID0000160160807911/ BKID0000160160807040</t>
  </si>
  <si>
    <t>28,29-01-2016</t>
  </si>
  <si>
    <t>9103650808-809</t>
  </si>
  <si>
    <t>0160FBN16000002</t>
  </si>
  <si>
    <t>BKID0000160160799196</t>
  </si>
  <si>
    <t>BKID0000160160799197</t>
  </si>
  <si>
    <t>BKID0000160160799198</t>
  </si>
  <si>
    <t>9103650810</t>
  </si>
  <si>
    <t>VVF/TAL/EXP/815</t>
  </si>
  <si>
    <t>0160FBC16000103</t>
  </si>
  <si>
    <t>28-01-2016,18-02-2016</t>
  </si>
  <si>
    <t>BKID0000160160822185/BKID0000160160807487</t>
  </si>
  <si>
    <t>29-01-2016,20-02-2016</t>
  </si>
  <si>
    <t>VVF/TAL/EXP/817</t>
  </si>
  <si>
    <t>0160FBC16000013</t>
  </si>
  <si>
    <t>BKID0000160160811159</t>
  </si>
  <si>
    <t>9103650812-813-814</t>
  </si>
  <si>
    <t>19791516N2167</t>
  </si>
  <si>
    <t>UCBA0001979160181953</t>
  </si>
  <si>
    <t>UCBA0001979160181951</t>
  </si>
  <si>
    <t>UCBA0001979160181952</t>
  </si>
  <si>
    <t>9103650815</t>
  </si>
  <si>
    <t>VVF/TAL/EXP/818</t>
  </si>
  <si>
    <t>0160FBC16000085</t>
  </si>
  <si>
    <t>27-01-2016,28-01-2016</t>
  </si>
  <si>
    <t>BKID0000160160806530/BKID0000160160807486</t>
  </si>
  <si>
    <t>28-01-2016,29-01-2016</t>
  </si>
  <si>
    <t>VVF/TAL/EXP/816</t>
  </si>
  <si>
    <t>0160FBC16000031</t>
  </si>
  <si>
    <t>BKID0000160160836179</t>
  </si>
  <si>
    <t>9103650817</t>
  </si>
  <si>
    <t>VVF/TAL/EXP/820</t>
  </si>
  <si>
    <t>0160FBC16000084</t>
  </si>
  <si>
    <t>BKID0000160160806529/BKID0000160160807485</t>
  </si>
  <si>
    <t>VVF/TAL/EXP/821</t>
  </si>
  <si>
    <t>0160FBC16000182</t>
  </si>
  <si>
    <t>BKID0000160160809299</t>
  </si>
  <si>
    <t>VVF/TAL/EXP/822</t>
  </si>
  <si>
    <t>0173FUGC1600006</t>
  </si>
  <si>
    <t>UTIB0000173000015595</t>
  </si>
  <si>
    <t>VVF/TAL/EXP/823</t>
  </si>
  <si>
    <t>0173FUGC1600097</t>
  </si>
  <si>
    <t>UTIB0000173000015590</t>
  </si>
  <si>
    <t>VVF/TAL/EXP/819</t>
  </si>
  <si>
    <t>0160FBN16000005</t>
  </si>
  <si>
    <t>BKID0000160160847726</t>
  </si>
  <si>
    <t>20160004M000212</t>
  </si>
  <si>
    <t>IBKL0000004000325029</t>
  </si>
  <si>
    <t>0160FBC16000051</t>
  </si>
  <si>
    <t>BKID0000160160799551 + BKID0000160160124723</t>
  </si>
  <si>
    <t>Realised; USD  9274.29 received on 19.10.2016</t>
  </si>
  <si>
    <t>0160FBC16000069</t>
  </si>
  <si>
    <t>BKID0000160160875874</t>
  </si>
  <si>
    <t>0173FUGC1600093</t>
  </si>
  <si>
    <t>UTIB0000173000015705</t>
  </si>
  <si>
    <t>0160FBN16000009</t>
  </si>
  <si>
    <t>BKID0000160160825513</t>
  </si>
  <si>
    <t>0173FSGC1600096</t>
  </si>
  <si>
    <t>UTIB0000173000015466</t>
  </si>
  <si>
    <t>9103650829&amp; 836</t>
  </si>
  <si>
    <t>20160004C000082</t>
  </si>
  <si>
    <t>IBKL0000004000326488</t>
  </si>
  <si>
    <t>0173FUGC1600019</t>
  </si>
  <si>
    <t>UTIB0000173000015593</t>
  </si>
  <si>
    <t>0160FBC16000054</t>
  </si>
  <si>
    <t>BKID0000160160799553</t>
  </si>
  <si>
    <t>0160FBC16000053</t>
  </si>
  <si>
    <t>BKID0000160160799552</t>
  </si>
  <si>
    <t>0173FUGC1600095</t>
  </si>
  <si>
    <t>UTIB0000173000015587</t>
  </si>
  <si>
    <t>9103650834</t>
  </si>
  <si>
    <t>VVF/TAL/EXP/836</t>
  </si>
  <si>
    <t>0160FBC16000052</t>
  </si>
  <si>
    <t>BKID0000160160799985</t>
  </si>
  <si>
    <t>9103650835</t>
  </si>
  <si>
    <t>VVF/TAL/EXP/838</t>
  </si>
  <si>
    <t>BKID0000160160799986</t>
  </si>
  <si>
    <t>IBKL0000004000326489</t>
  </si>
  <si>
    <t>9103650837</t>
  </si>
  <si>
    <t>VVF/TAL/EXP/841</t>
  </si>
  <si>
    <t>0160FBN16000008</t>
  </si>
  <si>
    <t>BKID0000160160863545</t>
  </si>
  <si>
    <t>9103650838</t>
  </si>
  <si>
    <t>VVF/TAL/EXP/839</t>
  </si>
  <si>
    <t>0160FBC16000034</t>
  </si>
  <si>
    <t>BKID0000160160829539</t>
  </si>
  <si>
    <t>VVF/TAL/EXP/828</t>
  </si>
  <si>
    <t>IXOM CHILE</t>
  </si>
  <si>
    <t>38231900/29159020/29051700</t>
  </si>
  <si>
    <t>0160FBN16000012</t>
  </si>
  <si>
    <t>BKID0000160160829543</t>
  </si>
  <si>
    <t>70% ADV 30% CAD</t>
  </si>
  <si>
    <t>0160FBC16000176</t>
  </si>
  <si>
    <t>BKID0000160160818018</t>
  </si>
  <si>
    <t>Realised; INR 1,285,914.92 RTGS received on 13.01.2016 equivaluent to USD 19500</t>
  </si>
  <si>
    <t>VVF/TJL/EXP/008</t>
  </si>
  <si>
    <t>KOLKATA</t>
  </si>
  <si>
    <t>CASES</t>
  </si>
  <si>
    <t>0160FBC16000092</t>
  </si>
  <si>
    <t>BKID0000160160846801</t>
  </si>
  <si>
    <t>VVF/TJL/EXP/009</t>
  </si>
  <si>
    <t>0160FBC16000091</t>
  </si>
  <si>
    <t>BKID0000160160846800</t>
  </si>
  <si>
    <t>9103650841</t>
  </si>
  <si>
    <t>2016_Jan</t>
  </si>
  <si>
    <t>VVF/TAL/EXP/843</t>
  </si>
  <si>
    <t>20160004C000194</t>
  </si>
  <si>
    <t>IBKL0000004000328761</t>
  </si>
  <si>
    <t>9103650842</t>
  </si>
  <si>
    <t>VVF/TAL/EXP/845</t>
  </si>
  <si>
    <t>20160004C000242</t>
  </si>
  <si>
    <t>IBKL0000004000327058</t>
  </si>
  <si>
    <t>9103650843</t>
  </si>
  <si>
    <t>VVF/TAL/EXP/844</t>
  </si>
  <si>
    <t>cif</t>
  </si>
  <si>
    <t>0160FBC16000105</t>
  </si>
  <si>
    <t>BKID0000160160807488</t>
  </si>
  <si>
    <t>9103650844</t>
  </si>
  <si>
    <t>VVF/TAL/EXP/846</t>
  </si>
  <si>
    <t>0160FBC16000115</t>
  </si>
  <si>
    <t>BKID0000160160824652</t>
  </si>
  <si>
    <t>9103650845</t>
  </si>
  <si>
    <t>VVF/TAL/EXP/847</t>
  </si>
  <si>
    <t>0160FBC16000114</t>
  </si>
  <si>
    <t>BKID0000160160824651</t>
  </si>
  <si>
    <t>9103650846</t>
  </si>
  <si>
    <t>VVF/TAL/EXP/849</t>
  </si>
  <si>
    <t>0160FBC16000160</t>
  </si>
  <si>
    <t>BKID0000160160807491</t>
  </si>
  <si>
    <t>9103650847</t>
  </si>
  <si>
    <t>VVF/TAL/EXP/851</t>
  </si>
  <si>
    <t>0160FBC16000159</t>
  </si>
  <si>
    <t>BKID0000160160807490</t>
  </si>
  <si>
    <t>9103650848</t>
  </si>
  <si>
    <t>VVF/TAL/EXP/850</t>
  </si>
  <si>
    <t>LC AT 30 days from BL</t>
  </si>
  <si>
    <t>0160FBN16000013</t>
  </si>
  <si>
    <t>BKID0000160160816734</t>
  </si>
  <si>
    <t>9103650849</t>
  </si>
  <si>
    <t>VVF/TAL/EXP/852</t>
  </si>
  <si>
    <t>BKID0000160160816733</t>
  </si>
  <si>
    <t>9103650850-51</t>
  </si>
  <si>
    <t>VVF/TAL/EXP/848</t>
  </si>
  <si>
    <t>0160FBC16000148</t>
  </si>
  <si>
    <t>02-02-2016,18-02-2016</t>
  </si>
  <si>
    <t>BKID0000160160822733+BKID0000160160811572</t>
  </si>
  <si>
    <t>03-02-2016,20-02-2016</t>
  </si>
  <si>
    <t>VVF/TAL/EXP/853</t>
  </si>
  <si>
    <t>0160IRT16000036</t>
  </si>
  <si>
    <t>BKID0000160160822734</t>
  </si>
  <si>
    <t>9103650852</t>
  </si>
  <si>
    <t>VVF/TAL/EXP/855</t>
  </si>
  <si>
    <t>Peter cremer (S) GMBH</t>
  </si>
  <si>
    <t>0160FBC16000116</t>
  </si>
  <si>
    <t>BKID0000160160811163</t>
  </si>
  <si>
    <t>9103650853</t>
  </si>
  <si>
    <t>VVF/TAL/EXP/856</t>
  </si>
  <si>
    <t>0160FBC16000117</t>
  </si>
  <si>
    <t>BKID0000160160811164</t>
  </si>
  <si>
    <t>VVF/TAL/EXP/854</t>
  </si>
  <si>
    <t>19451516MB1348</t>
  </si>
  <si>
    <t>UCBA0001945160214840</t>
  </si>
  <si>
    <t>9103650855-856</t>
  </si>
  <si>
    <t>VVF/TAL/EXP/857</t>
  </si>
  <si>
    <t>19451516MB1349</t>
  </si>
  <si>
    <t>UCBA0001945160214842</t>
  </si>
  <si>
    <t>VVF/TAL/EXP/858</t>
  </si>
  <si>
    <t>UCBA0001945160214841</t>
  </si>
  <si>
    <t>9103650857</t>
  </si>
  <si>
    <t>VVF/TAL/EXP/859</t>
  </si>
  <si>
    <t>0173FUGC1600091</t>
  </si>
  <si>
    <t>UTIB0000173000015710</t>
  </si>
  <si>
    <t>9103650858</t>
  </si>
  <si>
    <t>VVF/TAL/EXP/860</t>
  </si>
  <si>
    <t>0173FUGC1600073</t>
  </si>
  <si>
    <t>UTIB0000173000015709</t>
  </si>
  <si>
    <t>9103650859</t>
  </si>
  <si>
    <t>VVF/TAL/EXP/861</t>
  </si>
  <si>
    <t>0160FBC16000150</t>
  </si>
  <si>
    <t>BKID0000160160820360</t>
  </si>
  <si>
    <t>9103650860</t>
  </si>
  <si>
    <t>VVF/TAL/EXP/862</t>
  </si>
  <si>
    <t>CABB AG</t>
  </si>
  <si>
    <t>Swaziland</t>
  </si>
  <si>
    <t>0173FBFP1600163</t>
  </si>
  <si>
    <t>UTIB0000173000015531</t>
  </si>
  <si>
    <t>9103650861</t>
  </si>
  <si>
    <t>VVF/TAL/EXP/863</t>
  </si>
  <si>
    <t>0160FBC16000163</t>
  </si>
  <si>
    <t>BKID0000160160807494</t>
  </si>
  <si>
    <t>9103650862</t>
  </si>
  <si>
    <t>VVF/TAL/EXP/864</t>
  </si>
  <si>
    <t>0160FBC16000158</t>
  </si>
  <si>
    <t>BKID0000160160807489</t>
  </si>
  <si>
    <t>9103650863</t>
  </si>
  <si>
    <t>VVF/TAL/EXP/865</t>
  </si>
  <si>
    <t>0160FBC16000142</t>
  </si>
  <si>
    <t>BKID0000160160820359</t>
  </si>
  <si>
    <t>9103650864</t>
  </si>
  <si>
    <t>VVF/TAL/EXP/867</t>
  </si>
  <si>
    <t>0160FBC16000162</t>
  </si>
  <si>
    <t>BKID0000160160807493</t>
  </si>
  <si>
    <t>9103650865</t>
  </si>
  <si>
    <t>VVF/TAL/EXP/866</t>
  </si>
  <si>
    <t>0160FBN16000021</t>
  </si>
  <si>
    <t>BKID0000160160840699</t>
  </si>
  <si>
    <t>9103650866</t>
  </si>
  <si>
    <t>VVF/TAL/EXP/870</t>
  </si>
  <si>
    <t>0160FBC16000110</t>
  </si>
  <si>
    <t>BKID0000160160841182</t>
  </si>
  <si>
    <t>9103650867</t>
  </si>
  <si>
    <t>VVF/TAL/EXP/868</t>
  </si>
  <si>
    <t>0160FBC16000154</t>
  </si>
  <si>
    <t>BKID0000160160805596</t>
  </si>
  <si>
    <t>9103650868</t>
  </si>
  <si>
    <t>VVF/TAL/EXP/869</t>
  </si>
  <si>
    <t>0160FBC16000165</t>
  </si>
  <si>
    <t>BKID0000160160824653</t>
  </si>
  <si>
    <t>9103650869</t>
  </si>
  <si>
    <t>VVF/TAL/EXP/874</t>
  </si>
  <si>
    <t>BKID0000160160840698</t>
  </si>
  <si>
    <t>9103650870</t>
  </si>
  <si>
    <t>VVF/TAL/EXP/871</t>
  </si>
  <si>
    <t>0160FBC16000161</t>
  </si>
  <si>
    <t>BKID0000160160807492</t>
  </si>
  <si>
    <t>9103650871</t>
  </si>
  <si>
    <t>VVF/TAL/EXP/873</t>
  </si>
  <si>
    <t>0160FBC16000164</t>
  </si>
  <si>
    <t>BKID0000160160830678</t>
  </si>
  <si>
    <t>9103650872</t>
  </si>
  <si>
    <t>VVF/TAL/EXP/875</t>
  </si>
  <si>
    <t>0160FBC16000212</t>
  </si>
  <si>
    <t>BKID0000160160840157</t>
  </si>
  <si>
    <t>9103650873</t>
  </si>
  <si>
    <t>VVF/TAL/EXP/872</t>
  </si>
  <si>
    <t>0160FBC16000291</t>
  </si>
  <si>
    <t>BKID0000160160836181</t>
  </si>
  <si>
    <t>VVF/TAL/EXP/877</t>
  </si>
  <si>
    <t>0160FBC16000141</t>
  </si>
  <si>
    <t>BKID0000160160833499</t>
  </si>
  <si>
    <t>9103650875</t>
  </si>
  <si>
    <t>VVF/TAL/EXP/879</t>
  </si>
  <si>
    <t>0160FBC16000214</t>
  </si>
  <si>
    <t>BKID0000160160827676</t>
  </si>
  <si>
    <t>9103650876</t>
  </si>
  <si>
    <t>VVF/TAL/EXP/878</t>
  </si>
  <si>
    <t>0173FUGC1600141</t>
  </si>
  <si>
    <t>UTIB0000173000015838</t>
  </si>
  <si>
    <t>9103650877</t>
  </si>
  <si>
    <t>VVF/TAL/EXP/876</t>
  </si>
  <si>
    <t>0160FBC16000222</t>
  </si>
  <si>
    <t>BKID0000160160840158</t>
  </si>
  <si>
    <t>9103650878</t>
  </si>
  <si>
    <t>VVF/TAL/EXP/880</t>
  </si>
  <si>
    <t>0160FBC16000151</t>
  </si>
  <si>
    <t>BKID0000160160843284</t>
  </si>
  <si>
    <t>VVF/TAL/EXP/883</t>
  </si>
  <si>
    <t>ESPECIALIDADES INDUSTRIALES Y</t>
  </si>
  <si>
    <t>0160FBN16000025</t>
  </si>
  <si>
    <t>BKID0000160160832632</t>
  </si>
  <si>
    <t>9103650880</t>
  </si>
  <si>
    <t>VVF/TAL/EXP/885</t>
  </si>
  <si>
    <t>0160FBC16000177</t>
  </si>
  <si>
    <t>BKID0000160160875875</t>
  </si>
  <si>
    <t>VVF/TAL/EXP/886</t>
  </si>
  <si>
    <t>0160FBC16000167</t>
  </si>
  <si>
    <t>BKID0000160160924278</t>
  </si>
  <si>
    <t>9103650882-883</t>
  </si>
  <si>
    <t>VVF/TAL/EXP/884</t>
  </si>
  <si>
    <t>100% ADVANCE</t>
  </si>
  <si>
    <t>19451516MB1356</t>
  </si>
  <si>
    <t>UCBA0001945160184243</t>
  </si>
  <si>
    <t>VVF/TAL/EXP/887</t>
  </si>
  <si>
    <t>UCBA0001945160184244</t>
  </si>
  <si>
    <t>9103650884</t>
  </si>
  <si>
    <t>VVF/TAL/EXP/888</t>
  </si>
  <si>
    <t>0160FBC16000206</t>
  </si>
  <si>
    <t>BKID0000160160840694</t>
  </si>
  <si>
    <t>9103650885</t>
  </si>
  <si>
    <t>VVF/TAL/EXP/889</t>
  </si>
  <si>
    <t>BKID0000160160840695</t>
  </si>
  <si>
    <t>9103650886</t>
  </si>
  <si>
    <t>VVF/TAL/EXP/890</t>
  </si>
  <si>
    <t>0173FUGC1600135</t>
  </si>
  <si>
    <t>UTIB0000173000015767</t>
  </si>
  <si>
    <t>9103650887</t>
  </si>
  <si>
    <t>VVF/TAL/EXP/891</t>
  </si>
  <si>
    <t>0160FBN16000027</t>
  </si>
  <si>
    <t>BKID0000160160813020</t>
  </si>
  <si>
    <t>9103650888</t>
  </si>
  <si>
    <t>VVF/TAL/EXP/892</t>
  </si>
  <si>
    <t>0160FBC16000403</t>
  </si>
  <si>
    <t>BKID0000160160842319</t>
  </si>
  <si>
    <t>9103650889</t>
  </si>
  <si>
    <t>VVF/TAL/EXP/893</t>
  </si>
  <si>
    <t>0160FBC16000220</t>
  </si>
  <si>
    <t>BKID0000160160835140</t>
  </si>
  <si>
    <t>9103650890</t>
  </si>
  <si>
    <t>VVF/TAL/EXP/894</t>
  </si>
  <si>
    <t>0173FUGC1600137</t>
  </si>
  <si>
    <t>UTIB0000173000015762</t>
  </si>
  <si>
    <t>9103650891</t>
  </si>
  <si>
    <t>VVF/TAL/EXP/895</t>
  </si>
  <si>
    <t>0160FBC16000205</t>
  </si>
  <si>
    <t>BKID0000160160840156</t>
  </si>
  <si>
    <t>VVF/TAL/EXP/896</t>
  </si>
  <si>
    <t>CosmoPharm</t>
  </si>
  <si>
    <t>20160004C000589</t>
  </si>
  <si>
    <t>IBKL0000004000332124</t>
  </si>
  <si>
    <t>9103650893</t>
  </si>
  <si>
    <t>VVF/TAL/EXP/897</t>
  </si>
  <si>
    <t>0160FBN16000028</t>
  </si>
  <si>
    <t>BKID0000160160864150</t>
  </si>
  <si>
    <t>9103650894</t>
  </si>
  <si>
    <t>VVF/TAL/EXP/898</t>
  </si>
  <si>
    <t>BKID0000160160864151</t>
  </si>
  <si>
    <t>VVF/TAL/EXP/899</t>
  </si>
  <si>
    <t>0160FBC16000209</t>
  </si>
  <si>
    <t>BKID0000160160855397</t>
  </si>
  <si>
    <t>VVF/TAL/EXP/900</t>
  </si>
  <si>
    <t>0173FUGC1600172</t>
  </si>
  <si>
    <t>UTIB0000173000015692</t>
  </si>
  <si>
    <t>9103650897</t>
  </si>
  <si>
    <t>VVF/TAL/EXP/901</t>
  </si>
  <si>
    <t>0160FBC16000419</t>
  </si>
  <si>
    <t>BKID0000160160841193</t>
  </si>
  <si>
    <t>9103650898</t>
  </si>
  <si>
    <t>VVF/TAL/EXP/902</t>
  </si>
  <si>
    <t>0160FBN16000023</t>
  </si>
  <si>
    <t>BKID0000160160846816</t>
  </si>
  <si>
    <t>9103650899</t>
  </si>
  <si>
    <t>VVF/TAL/EXP/903</t>
  </si>
  <si>
    <t>0160FBC16000215</t>
  </si>
  <si>
    <t>BKID0000160160826168</t>
  </si>
  <si>
    <t>VVF/TAL/EXP/904</t>
  </si>
  <si>
    <t>BKID0000160160826169</t>
  </si>
  <si>
    <t>VVF/TAL/EXP/905</t>
  </si>
  <si>
    <t>BKID0000160160826170</t>
  </si>
  <si>
    <t>9103650901</t>
  </si>
  <si>
    <t>VVF/TAL/EXP/906</t>
  </si>
  <si>
    <t>0160FBC16000207</t>
  </si>
  <si>
    <t>BKID0000160160855396</t>
  </si>
  <si>
    <t>9103650902</t>
  </si>
  <si>
    <t>VVF/TAL/EXP/907</t>
  </si>
  <si>
    <t>0160FBC16000204</t>
  </si>
  <si>
    <t>BKID0000160160835139</t>
  </si>
  <si>
    <t>9103650903</t>
  </si>
  <si>
    <t>VVF/TAL/EXP/908</t>
  </si>
  <si>
    <t>0160FBC16000221</t>
  </si>
  <si>
    <t>BKID0000160160827677</t>
  </si>
  <si>
    <t>9103650904</t>
  </si>
  <si>
    <t>VVF/TAL/EXP/909</t>
  </si>
  <si>
    <t>0160FBC16000166</t>
  </si>
  <si>
    <t>BKID0000160160835138</t>
  </si>
  <si>
    <t>9103650905</t>
  </si>
  <si>
    <t>VVF/TAL/EXP/910</t>
  </si>
  <si>
    <t>0160FBC16000402</t>
  </si>
  <si>
    <t>BKID0000160160842318</t>
  </si>
  <si>
    <t>9103650906</t>
  </si>
  <si>
    <t>VVF/TAL/EXP/911</t>
  </si>
  <si>
    <t>0160FBC16000262</t>
  </si>
  <si>
    <t>BKID0000160160840162</t>
  </si>
  <si>
    <t>9103650907-08</t>
  </si>
  <si>
    <t>VVF/TAL/EXP/912</t>
  </si>
  <si>
    <t>0160FBC16000213</t>
  </si>
  <si>
    <t>BKID0000160160845136</t>
  </si>
  <si>
    <t>9103650909</t>
  </si>
  <si>
    <t>VVF/TAL/EXP/913</t>
  </si>
  <si>
    <t>0160FBC16000232</t>
  </si>
  <si>
    <t>BKID0000160160824654</t>
  </si>
  <si>
    <t>9103650910</t>
  </si>
  <si>
    <t>VVF/TAL/EXP/881</t>
  </si>
  <si>
    <t>38237090 / 29051700</t>
  </si>
  <si>
    <t>0173FSGC1600171</t>
  </si>
  <si>
    <t>16-02-2016, 17-02-2016</t>
  </si>
  <si>
    <t>UTIB0000173000015536/UTIB0000173000015539</t>
  </si>
  <si>
    <t>9103650911</t>
  </si>
  <si>
    <t>VVF/TAL/EXP/882</t>
  </si>
  <si>
    <t>0173FSGC1600180</t>
  </si>
  <si>
    <t>UTIB0000173000015535</t>
  </si>
  <si>
    <t>9103650912</t>
  </si>
  <si>
    <t>VVF/TAL/EXP/914</t>
  </si>
  <si>
    <t>20160004C000805</t>
  </si>
  <si>
    <t>IBKL0000004000334789</t>
  </si>
  <si>
    <t>9103650913</t>
  </si>
  <si>
    <t>VVF/TAL/EXP/915</t>
  </si>
  <si>
    <t>IBKL0000004000334788</t>
  </si>
  <si>
    <t>9103650914</t>
  </si>
  <si>
    <t>VVF/TAL/EXP/916</t>
  </si>
  <si>
    <t>0173FBFP1600198</t>
  </si>
  <si>
    <t>UTIB0000173000015548</t>
  </si>
  <si>
    <t>9103650915</t>
  </si>
  <si>
    <t>VVF/TAL/EXP/917</t>
  </si>
  <si>
    <t>0173FUGC1600136</t>
  </si>
  <si>
    <t>UTIB0000173000015768</t>
  </si>
  <si>
    <t>9103650916</t>
  </si>
  <si>
    <t>VVF/TAL/EXP/920</t>
  </si>
  <si>
    <t>0160FBC16000239</t>
  </si>
  <si>
    <t>BKID0000160160840161</t>
  </si>
  <si>
    <t>9103650917</t>
  </si>
  <si>
    <t>VVF/TAL/EXP/919</t>
  </si>
  <si>
    <t>0160FBC16000238</t>
  </si>
  <si>
    <t>BKID0000160160840160</t>
  </si>
  <si>
    <t>9103650918</t>
  </si>
  <si>
    <t>VVF/TAL/EXP/918</t>
  </si>
  <si>
    <t>0160FBC16000407</t>
  </si>
  <si>
    <t>BKID0000160160841189</t>
  </si>
  <si>
    <t>9103650919</t>
  </si>
  <si>
    <t>VVF/TAL/EXP/923</t>
  </si>
  <si>
    <t xml:space="preserve">100% Advance </t>
  </si>
  <si>
    <t>Y.S.ASHKENAZI AGENCIES LTD</t>
  </si>
  <si>
    <t>0160FBC16000400</t>
  </si>
  <si>
    <t>BKID0000160160842317</t>
  </si>
  <si>
    <t>VVF/TAL/EXP/921</t>
  </si>
  <si>
    <t>0160FBP16000001</t>
  </si>
  <si>
    <t>BKID0000160160843747</t>
  </si>
  <si>
    <t>VVF/TAL/EXP/924</t>
  </si>
  <si>
    <t>BKID0000160160843748</t>
  </si>
  <si>
    <t>9103650922</t>
  </si>
  <si>
    <t>VVF/TAL/EXP/925</t>
  </si>
  <si>
    <t>0160FBC16000233</t>
  </si>
  <si>
    <t>BKID0000160160830185</t>
  </si>
  <si>
    <t>9103650923</t>
  </si>
  <si>
    <t>VVF/TAL/EXP/928</t>
  </si>
  <si>
    <t>BKID0000160160830184</t>
  </si>
  <si>
    <t>9103650924</t>
  </si>
  <si>
    <t>VVF/TAL/EXP/929</t>
  </si>
  <si>
    <t>0160FBC16000235</t>
  </si>
  <si>
    <t>BKID0000160160840159</t>
  </si>
  <si>
    <t>9103650925-926</t>
  </si>
  <si>
    <t>VVF/TAL/EXP/922</t>
  </si>
  <si>
    <t>0160FBC16000228</t>
  </si>
  <si>
    <t>BKID0000160160833181</t>
  </si>
  <si>
    <t>VVF/TAL/EXP/930</t>
  </si>
  <si>
    <t>BKID0000160160833180</t>
  </si>
  <si>
    <t>9103650927</t>
  </si>
  <si>
    <t>VVF/TAL/EXP/931</t>
  </si>
  <si>
    <t>0160FBC16000344</t>
  </si>
  <si>
    <t>BKID0000160160838382</t>
  </si>
  <si>
    <t>9103650928</t>
  </si>
  <si>
    <t>VVF/TAL/EXP/926</t>
  </si>
  <si>
    <t>0160FBN16000032</t>
  </si>
  <si>
    <t>BKID0000160160822192</t>
  </si>
  <si>
    <t>VVF/TAL/EXP/934</t>
  </si>
  <si>
    <t>0160FBC16000270</t>
  </si>
  <si>
    <t>BKID0000160160833500</t>
  </si>
  <si>
    <t>9103650930</t>
  </si>
  <si>
    <t>VVF/TAL/EXP/935</t>
  </si>
  <si>
    <t>0160FBC16000260</t>
  </si>
  <si>
    <t>BKID0000160160830679</t>
  </si>
  <si>
    <t>9103650932</t>
  </si>
  <si>
    <t>VVF/TAL/EXP/940</t>
  </si>
  <si>
    <t>0160FBC16000269</t>
  </si>
  <si>
    <t>BKID0000160160852813</t>
  </si>
  <si>
    <t>9103650933</t>
  </si>
  <si>
    <t>VVF/TAL/EXP/937</t>
  </si>
  <si>
    <t>0160FBC16000411</t>
  </si>
  <si>
    <t>BKID0000160160841191</t>
  </si>
  <si>
    <t>9103650934</t>
  </si>
  <si>
    <t>VVF/TAL/EXP/936</t>
  </si>
  <si>
    <t>0160FBC16000261</t>
  </si>
  <si>
    <t>BKID0000160160833183</t>
  </si>
  <si>
    <t>VVF/TAL/EXP/941</t>
  </si>
  <si>
    <t>BKID0000160160833182</t>
  </si>
  <si>
    <t>9103650935</t>
  </si>
  <si>
    <t>VVF/TAL/EXP/938</t>
  </si>
  <si>
    <t>0160FBC16000263</t>
  </si>
  <si>
    <t>BKID0000160160845138</t>
  </si>
  <si>
    <t>9103650936</t>
  </si>
  <si>
    <t>VVF/TAL/EXP/932</t>
  </si>
  <si>
    <t>38231190/38237090</t>
  </si>
  <si>
    <t>0160FBC16000236</t>
  </si>
  <si>
    <t>BKID0000160160841184</t>
  </si>
  <si>
    <t>9103650937</t>
  </si>
  <si>
    <t>VVF/TAL/EXP/933</t>
  </si>
  <si>
    <t>0160FBC16000237</t>
  </si>
  <si>
    <t>BKID0000160160824655</t>
  </si>
  <si>
    <t>9103650938</t>
  </si>
  <si>
    <t>VVF/TAL/EXP/943</t>
  </si>
  <si>
    <t>19791516N2291</t>
  </si>
  <si>
    <t>UCBA0001979160186961</t>
  </si>
  <si>
    <t>VVF/TAL/EXP/942</t>
  </si>
  <si>
    <t>UCBA0001979160186962</t>
  </si>
  <si>
    <t>9103650939</t>
  </si>
  <si>
    <t>VVF/TAL/EXP/944</t>
  </si>
  <si>
    <t>0173FUGC1600191</t>
  </si>
  <si>
    <t>UTIB0000173000015763</t>
  </si>
  <si>
    <t>9103650942</t>
  </si>
  <si>
    <t>VVF/TAL/EXP/945</t>
  </si>
  <si>
    <t>0173FUGC1600192</t>
  </si>
  <si>
    <t>UTIB0000173000015765</t>
  </si>
  <si>
    <t>VVF/TJL/EXP/010</t>
  </si>
  <si>
    <t>0160FBC16000090</t>
  </si>
  <si>
    <t>BKID0000160160846799</t>
  </si>
  <si>
    <t>VVF/TJL/EXP/011</t>
  </si>
  <si>
    <t>0160FBC16000094</t>
  </si>
  <si>
    <t>BKID0000160160846803</t>
  </si>
  <si>
    <t>9116650016</t>
  </si>
  <si>
    <t>VVF/TJL/EXP/012</t>
  </si>
  <si>
    <t>0160FBC16000089</t>
  </si>
  <si>
    <t>BKID0000160160846798</t>
  </si>
  <si>
    <t>9116650017</t>
  </si>
  <si>
    <t>VVF/TJL/EXP/013</t>
  </si>
  <si>
    <t>0160FBC16000093</t>
  </si>
  <si>
    <t>BKID0000160160846802</t>
  </si>
  <si>
    <t>2016_Feb</t>
  </si>
  <si>
    <t>VVF/TAL/EXP/927</t>
  </si>
  <si>
    <t>0173FUGC1600193</t>
  </si>
  <si>
    <t>UTIB0000173000015794</t>
  </si>
  <si>
    <t>VVF/TAL/EXP/939</t>
  </si>
  <si>
    <t>GOLDWARD FINE CHEMICALS LTD</t>
  </si>
  <si>
    <t>0173FBFP1600197</t>
  </si>
  <si>
    <t>UTIB0000173000015556</t>
  </si>
  <si>
    <t>VVF/TAL/EXP/946</t>
  </si>
  <si>
    <t>27.01.2016</t>
  </si>
  <si>
    <t>0160FBC16000281</t>
  </si>
  <si>
    <t>BKID0000160160840164</t>
  </si>
  <si>
    <t>VVF/TAL/EXP/948</t>
  </si>
  <si>
    <t>0173FUGC1600182</t>
  </si>
  <si>
    <t>UTIB0000173000015842</t>
  </si>
  <si>
    <t>VVF/TAL/EXP/950</t>
  </si>
  <si>
    <t>0173FUGC1600181</t>
  </si>
  <si>
    <t>UTIB0000173000015761</t>
  </si>
  <si>
    <t>VVF/TAL/EXP/951</t>
  </si>
  <si>
    <t>0160FBC16000278</t>
  </si>
  <si>
    <t>BKID0000160160840163</t>
  </si>
  <si>
    <t>VVF/TAL/EXP/954</t>
  </si>
  <si>
    <t>0173FUGC1600203</t>
  </si>
  <si>
    <t>06-04-2016,11-04-2016</t>
  </si>
  <si>
    <t>UTIB0000173000015769/UTIB0000173000015783</t>
  </si>
  <si>
    <t>VVF/TAL/EXP/949</t>
  </si>
  <si>
    <t>0160FBN16000039</t>
  </si>
  <si>
    <t>BKID0000160160839210</t>
  </si>
  <si>
    <t>VVF/TAL/EXP/952</t>
  </si>
  <si>
    <t>0160FBC16000298</t>
  </si>
  <si>
    <t>BKID0000160160832631</t>
  </si>
  <si>
    <t>9103650948-949</t>
  </si>
  <si>
    <t>VVF/TAL/EXP/953</t>
  </si>
  <si>
    <t>0160FBC16000285</t>
  </si>
  <si>
    <t>BKID0000160160837857</t>
  </si>
  <si>
    <t>VVF/TAL/EXP/958</t>
  </si>
  <si>
    <t>BKID0000160160837856</t>
  </si>
  <si>
    <t>9103650950-951</t>
  </si>
  <si>
    <t>VVF/TAL/EXP/956</t>
  </si>
  <si>
    <t>19451516MB1369</t>
  </si>
  <si>
    <t>UCBA0001945160214844</t>
  </si>
  <si>
    <t>VVF/TAL/EXP/957</t>
  </si>
  <si>
    <t>UCBA0001945160214845</t>
  </si>
  <si>
    <t>VVF/TAL/EXP/961</t>
  </si>
  <si>
    <t>0160FBC16000297</t>
  </si>
  <si>
    <t>BKID0000160160924279</t>
  </si>
  <si>
    <t>VVF/TAL/EXP/963</t>
  </si>
  <si>
    <t>0160FBC16000280</t>
  </si>
  <si>
    <t>BKID0000160160832630</t>
  </si>
  <si>
    <t>VVF/TAL/EXP/964</t>
  </si>
  <si>
    <t>0160FBC16000440</t>
  </si>
  <si>
    <t>BKID0000160160842322</t>
  </si>
  <si>
    <t>VVF/TAL/EXP/960</t>
  </si>
  <si>
    <t>0173FBFP1600200</t>
  </si>
  <si>
    <t>UTIB0000173000015547</t>
  </si>
  <si>
    <t>VVF/TAL/EXP/959</t>
  </si>
  <si>
    <t>0160FBC16000296</t>
  </si>
  <si>
    <t>BKID0000160160846804</t>
  </si>
  <si>
    <t>VVF/TAL/EXP/955</t>
  </si>
  <si>
    <t>19791516N2301</t>
  </si>
  <si>
    <t>UCBA0001979160188566</t>
  </si>
  <si>
    <t>VVF/TAL/EXP/962</t>
  </si>
  <si>
    <t>UCBA0001979160188567</t>
  </si>
  <si>
    <t>VVF/TAL/EXP/965</t>
  </si>
  <si>
    <t>UCBA0001979160188568</t>
  </si>
  <si>
    <t>VVF/TAL/EXP/966</t>
  </si>
  <si>
    <t>0160FBC16000286</t>
  </si>
  <si>
    <t>BKID0000160160838869</t>
  </si>
  <si>
    <t>VVF/TAL/EXP/967</t>
  </si>
  <si>
    <t>BKID0000160160838868</t>
  </si>
  <si>
    <t>VVF/TAL/EXP/969</t>
  </si>
  <si>
    <t>02.02.2016</t>
  </si>
  <si>
    <t>0160FBC16000418</t>
  </si>
  <si>
    <t>16.03.2016</t>
  </si>
  <si>
    <t>BKID0000160160841192</t>
  </si>
  <si>
    <t>17.03.2016</t>
  </si>
  <si>
    <t>VVF/TAL/EXP/968</t>
  </si>
  <si>
    <t>0160FBC16000295</t>
  </si>
  <si>
    <t>14.03.2016</t>
  </si>
  <si>
    <t>BKID0000160160839207</t>
  </si>
  <si>
    <t>15.03.2016</t>
  </si>
  <si>
    <t>VVF/TAL/EXP/970</t>
  </si>
  <si>
    <t>19451516MB1368</t>
  </si>
  <si>
    <t>UCBA0001945160214843</t>
  </si>
  <si>
    <t>FULLY UPLOADED</t>
  </si>
  <si>
    <t>VVF/TAL/EXP/971</t>
  </si>
  <si>
    <t>0160FBC16000273</t>
  </si>
  <si>
    <t>BKID0000160160829540</t>
  </si>
  <si>
    <t>VVF/TAL/EXP/972</t>
  </si>
  <si>
    <t>0160FBC16000457</t>
  </si>
  <si>
    <t>BKID0000160160846807</t>
  </si>
  <si>
    <t>VVF/TAL/EXP/973</t>
  </si>
  <si>
    <t>03.02.2016</t>
  </si>
  <si>
    <t>0160FBC16000306</t>
  </si>
  <si>
    <t>21.03.2016</t>
  </si>
  <si>
    <t>BKID0000160160845139</t>
  </si>
  <si>
    <t>22.03.2016</t>
  </si>
  <si>
    <t>VVF/TAL/EXP/977</t>
  </si>
  <si>
    <t>0160FBC16000313</t>
  </si>
  <si>
    <t>BKID0000160160840168</t>
  </si>
  <si>
    <t>VVF/TAL/EXP/976</t>
  </si>
  <si>
    <t>0160FBC16000420</t>
  </si>
  <si>
    <t>BKID0000160160841194</t>
  </si>
  <si>
    <t>VVF/TAL/EXP/975</t>
  </si>
  <si>
    <t>0160FBC16000312</t>
  </si>
  <si>
    <t>BKID0000160160840167</t>
  </si>
  <si>
    <t>VVF/TAL/EXP/974</t>
  </si>
  <si>
    <t>0173FUGC1600205</t>
  </si>
  <si>
    <t>UTIB0000173000015820</t>
  </si>
  <si>
    <t>VVF/TAL/EXP/978</t>
  </si>
  <si>
    <t>SAFIC - ALCAN CHIMSNAB EAD</t>
  </si>
  <si>
    <t>Bulgaria</t>
  </si>
  <si>
    <t>0160FBC16000665</t>
  </si>
  <si>
    <t>BKID0000160160871888</t>
  </si>
  <si>
    <t>VVF/TAL/EXP/980</t>
  </si>
  <si>
    <t>04.02.2016</t>
  </si>
  <si>
    <t>0160FBC16000304</t>
  </si>
  <si>
    <t>04.03.2016</t>
  </si>
  <si>
    <t>BKID0000160160833501</t>
  </si>
  <si>
    <t>05.03.2016</t>
  </si>
  <si>
    <t>VVF/TAL/EXP/982</t>
  </si>
  <si>
    <t>0160FBC16000463</t>
  </si>
  <si>
    <t>23.03.2016</t>
  </si>
  <si>
    <t>BKID0000160160846812</t>
  </si>
  <si>
    <t>28.03.2016</t>
  </si>
  <si>
    <t>VVF/TAL/EXP/981</t>
  </si>
  <si>
    <t>0160FBN16000040</t>
  </si>
  <si>
    <t>BKID0000160160839211</t>
  </si>
  <si>
    <t>VVF/TAL/EXP/983</t>
  </si>
  <si>
    <t>0173ACBU1600282</t>
  </si>
  <si>
    <t>UTIB0000173000015828</t>
  </si>
  <si>
    <t>VVF/TAL/EXP/979</t>
  </si>
  <si>
    <t>0160FBC16000474</t>
  </si>
  <si>
    <t>BKID0000160160849496</t>
  </si>
  <si>
    <t>VVF/TAL/EXP/985</t>
  </si>
  <si>
    <t>28-03-2016, 02-04-2016</t>
  </si>
  <si>
    <t>BKID0000160160849497/BKID0000160160852527</t>
  </si>
  <si>
    <t>30-03-2016, 04-04-2016</t>
  </si>
  <si>
    <t>VVF/TAL/EXP/984</t>
  </si>
  <si>
    <t>0160FBC16000388</t>
  </si>
  <si>
    <t>16-03-2016,28-03-2016</t>
  </si>
  <si>
    <t>BKID0000160160841186/BKID0000160160847723</t>
  </si>
  <si>
    <t>17-03-2016,29-03-2016</t>
  </si>
  <si>
    <t>VVF/TAL/EXP/987</t>
  </si>
  <si>
    <t>06.02.2016</t>
  </si>
  <si>
    <t>0160FBC16000299</t>
  </si>
  <si>
    <t>BKID0000160160840165</t>
  </si>
  <si>
    <t>VVF/TAL/EXP/988</t>
  </si>
  <si>
    <t>0160FBC16000307</t>
  </si>
  <si>
    <t>BKID0000160160863526</t>
  </si>
  <si>
    <t>VVF/TAL/EXP/989</t>
  </si>
  <si>
    <t>0160FBC16000332</t>
  </si>
  <si>
    <t>BKID0000160160864598</t>
  </si>
  <si>
    <t>VVF/TAL/EXP/990</t>
  </si>
  <si>
    <t>0160FBC16000333</t>
  </si>
  <si>
    <t>BKID0000160160924280</t>
  </si>
  <si>
    <t>VVF/TAL/EXP/991</t>
  </si>
  <si>
    <t>0160FBC16000410</t>
  </si>
  <si>
    <t>BKID0000160160841190</t>
  </si>
  <si>
    <t>VVF/TAL/EXP/992</t>
  </si>
  <si>
    <t>20160004C001123</t>
  </si>
  <si>
    <t>IBKL0000004000340162</t>
  </si>
  <si>
    <t>VVF/TAL/EXP/993</t>
  </si>
  <si>
    <t>09.02.2016</t>
  </si>
  <si>
    <t>0160FBC16000303</t>
  </si>
  <si>
    <t>BKID0000160160839208</t>
  </si>
  <si>
    <t>VVF/TAL/EXP/995</t>
  </si>
  <si>
    <t>0160FBN16000037</t>
  </si>
  <si>
    <t>BKID0000160160862363</t>
  </si>
  <si>
    <t>VVF/TAL/EXP/996</t>
  </si>
  <si>
    <t>0160FBC16000331</t>
  </si>
  <si>
    <t>BKID0000160160864597</t>
  </si>
  <si>
    <t>VVF/TAL/EXP/994</t>
  </si>
  <si>
    <t>0160FBC16000302</t>
  </si>
  <si>
    <t>BKID0000160160840166</t>
  </si>
  <si>
    <t>VVF/TAL/EXP/997</t>
  </si>
  <si>
    <t>10.02.2016</t>
  </si>
  <si>
    <t>0160FBC16000346</t>
  </si>
  <si>
    <t>BKID0000160160840169</t>
  </si>
  <si>
    <t>VVF/TAL/EXP/998</t>
  </si>
  <si>
    <t>0160FBC16000368</t>
  </si>
  <si>
    <t>BKID0000160160840172</t>
  </si>
  <si>
    <t>11.02.2016</t>
  </si>
  <si>
    <t>0160FBC16000326</t>
  </si>
  <si>
    <t>BKID0000160160845140</t>
  </si>
  <si>
    <t>0160FBC16000343</t>
  </si>
  <si>
    <t>BKID0000160160891223</t>
  </si>
  <si>
    <t>0160FBC16000345</t>
  </si>
  <si>
    <t>BKID0000160160944663</t>
  </si>
  <si>
    <t>13.02.2016</t>
  </si>
  <si>
    <t>FUJIAN ZHONGMIN CHEMICAL CO.LT</t>
  </si>
  <si>
    <t>0160FBN16000045</t>
  </si>
  <si>
    <t>11.03.2016</t>
  </si>
  <si>
    <t>BKID0000160160838384</t>
  </si>
  <si>
    <t>0160FBC16000462</t>
  </si>
  <si>
    <t>BKID0000160160846811</t>
  </si>
  <si>
    <t>BRENNTAG LATIN AMERICA</t>
  </si>
  <si>
    <t>29051700/38231190/38237090</t>
  </si>
  <si>
    <t>0160FBC16000461</t>
  </si>
  <si>
    <t>BKID0000160160846810</t>
  </si>
  <si>
    <t>0160FBC16000369</t>
  </si>
  <si>
    <t>BKID0000160160840697</t>
  </si>
  <si>
    <t>BKID0000160160840696</t>
  </si>
  <si>
    <t>0160FBC16000342</t>
  </si>
  <si>
    <t>BKID0000160160867965</t>
  </si>
  <si>
    <t>0160FBC16000464</t>
  </si>
  <si>
    <t>BKID0000160160846813</t>
  </si>
  <si>
    <t>TOYOTSU CHEMIPLAS CORPORATION</t>
  </si>
  <si>
    <t>0160FBC16000455</t>
  </si>
  <si>
    <t>BKID0000160160846806</t>
  </si>
  <si>
    <t>9103651002-1003</t>
  </si>
  <si>
    <t>0160FBN16000048</t>
  </si>
  <si>
    <t>BKID0000160160843286</t>
  </si>
  <si>
    <t>BRC Recd for 2 diff. S/Bs</t>
  </si>
  <si>
    <t>0160FBC16000367</t>
  </si>
  <si>
    <t>BKID0000160160840171</t>
  </si>
  <si>
    <t>0160FBC16000362</t>
  </si>
  <si>
    <t>BKID0000160160840170</t>
  </si>
  <si>
    <t>0160FBN16000046</t>
  </si>
  <si>
    <t>09.03.2016</t>
  </si>
  <si>
    <t>BKID0000160160836184</t>
  </si>
  <si>
    <t>10.03.2016</t>
  </si>
  <si>
    <t>0160FBC16000383</t>
  </si>
  <si>
    <t>BKID0000160160874297</t>
  </si>
  <si>
    <t>0160FBC16000645</t>
  </si>
  <si>
    <t>BKID0000160160870291</t>
  </si>
  <si>
    <t>19791516N2338</t>
  </si>
  <si>
    <t>UCBA0001979160189332</t>
  </si>
  <si>
    <t>UCBA0001979160189331</t>
  </si>
  <si>
    <t>19791516N2339</t>
  </si>
  <si>
    <t>UCBA0001979160189333</t>
  </si>
  <si>
    <t>CAD</t>
  </si>
  <si>
    <t>19.02.2016</t>
  </si>
  <si>
    <t>0160FBC16000460</t>
  </si>
  <si>
    <t>BKID0000160160846809</t>
  </si>
  <si>
    <t>0160FBC16000663</t>
  </si>
  <si>
    <t>BKID0000160160870297</t>
  </si>
  <si>
    <t>0160FBN16000047</t>
  </si>
  <si>
    <t>BKID0000160160867089</t>
  </si>
  <si>
    <t>0173FUGC1600270</t>
  </si>
  <si>
    <t>UTIB0000173000015860</t>
  </si>
  <si>
    <t>0160FBC16000394</t>
  </si>
  <si>
    <t>BKID0000160160869158</t>
  </si>
  <si>
    <t>0160FBN16000052</t>
  </si>
  <si>
    <t>BKID0000160160889533/BKID0000160160890340</t>
  </si>
  <si>
    <t>27-05-2016, 30-05-2016</t>
  </si>
  <si>
    <t>9103651022-1023</t>
  </si>
  <si>
    <t>0160FBC16000421</t>
  </si>
  <si>
    <t>BKID0000160160862360</t>
  </si>
  <si>
    <t>38237090/ 29051700</t>
  </si>
  <si>
    <t>0160FBC16000392</t>
  </si>
  <si>
    <t>BKID0000160160859092</t>
  </si>
  <si>
    <t>24.02.2016</t>
  </si>
  <si>
    <t>0160FBC16000432</t>
  </si>
  <si>
    <t>BKID0000160160842321</t>
  </si>
  <si>
    <t>0160FBC16000458</t>
  </si>
  <si>
    <t>BKID0000160160846808</t>
  </si>
  <si>
    <t>0160FBN16000060</t>
  </si>
  <si>
    <t>BKID0000160160891991</t>
  </si>
  <si>
    <t>PCS</t>
  </si>
  <si>
    <t>Not Realised</t>
  </si>
  <si>
    <t>payment not realised;</t>
  </si>
  <si>
    <t>2016_Mar</t>
  </si>
  <si>
    <t>20.02.2016</t>
  </si>
  <si>
    <t>0160FBN16000065</t>
  </si>
  <si>
    <t>BKID0000160160847727</t>
  </si>
  <si>
    <t>29.03.2016</t>
  </si>
  <si>
    <t>0160FBC16000634</t>
  </si>
  <si>
    <t>BKID0000160160869160</t>
  </si>
  <si>
    <t>0160FBC16000408</t>
  </si>
  <si>
    <t>BKID0000160160950321</t>
  </si>
  <si>
    <t>0160FBC16000414</t>
  </si>
  <si>
    <t>BKID0000160160863527</t>
  </si>
  <si>
    <t>0160FBC16000425</t>
  </si>
  <si>
    <t>BKID0000160160852820</t>
  </si>
  <si>
    <t>0160FBC16000391</t>
  </si>
  <si>
    <t>BKID0000160160851102</t>
  </si>
  <si>
    <t>0160FBC16000636</t>
  </si>
  <si>
    <t>BKID0000160160869162</t>
  </si>
  <si>
    <t>0160FBC16000452</t>
  </si>
  <si>
    <t>BKID0000160160867966</t>
  </si>
  <si>
    <t>0160FBC16000393</t>
  </si>
  <si>
    <t>BKID0000160160852817</t>
  </si>
  <si>
    <t>0160FBC16000406</t>
  </si>
  <si>
    <t>BKID0000160160852818</t>
  </si>
  <si>
    <t>0160FBC16000451</t>
  </si>
  <si>
    <t>BKID0000160160860517</t>
  </si>
  <si>
    <t>0160FBN16000064</t>
  </si>
  <si>
    <t>BKID0000160160856761</t>
  </si>
  <si>
    <t>0160FBC16000412</t>
  </si>
  <si>
    <t>BKID0000160160852819</t>
  </si>
  <si>
    <t>26.02.2016</t>
  </si>
  <si>
    <t>0160FBN16000063</t>
  </si>
  <si>
    <t>BKID0000160160842323</t>
  </si>
  <si>
    <t>0160FBC16000387</t>
  </si>
  <si>
    <t>BKID0000160160876920</t>
  </si>
  <si>
    <t>0160FBC16000413</t>
  </si>
  <si>
    <t>BKID0000160160872558</t>
  </si>
  <si>
    <t>0160FBC16000638</t>
  </si>
  <si>
    <t>BKID0000160160869164</t>
  </si>
  <si>
    <t>0173FBFP1600322</t>
  </si>
  <si>
    <t>UTIB0000173000015699</t>
  </si>
  <si>
    <t>0160FBN16000067</t>
  </si>
  <si>
    <t>BKID0000160160877905</t>
  </si>
  <si>
    <t>0160FBC16000662</t>
  </si>
  <si>
    <t>30-04-2016,09-05-2016</t>
  </si>
  <si>
    <t>BKID0000160160875876/BKID0000160160870296</t>
  </si>
  <si>
    <t>02-05-2016,10-05-2016</t>
  </si>
  <si>
    <t>0160FBC16000543</t>
  </si>
  <si>
    <t>BKID0000160160906319</t>
  </si>
  <si>
    <t>0160FBC16000417</t>
  </si>
  <si>
    <t>BKID0000160160863528</t>
  </si>
  <si>
    <t>0160FBC16000424</t>
  </si>
  <si>
    <t>BKID0000160160876921</t>
  </si>
  <si>
    <t>0173FUGC1600304</t>
  </si>
  <si>
    <t>UTIB0000173000015906</t>
  </si>
  <si>
    <t>0160FBC16000389</t>
  </si>
  <si>
    <t>BKID0000160160878860</t>
  </si>
  <si>
    <t>QUIMICOS INTEGRALES SAS NIT</t>
  </si>
  <si>
    <t>0160FBC16000454</t>
  </si>
  <si>
    <t>BKID0000160160846805</t>
  </si>
  <si>
    <t>0160FBC16000445</t>
  </si>
  <si>
    <t>BKID0000160160863529</t>
  </si>
  <si>
    <t>0160FBC16000446</t>
  </si>
  <si>
    <t>BKID0000160160863530</t>
  </si>
  <si>
    <t>0160FBC16000459</t>
  </si>
  <si>
    <t>BKID0000160160863531</t>
  </si>
  <si>
    <t>0160FBC16000653</t>
  </si>
  <si>
    <t>BKID0000160160870295</t>
  </si>
  <si>
    <t>0160FBC16000447</t>
  </si>
  <si>
    <t>BKID0000160160876922</t>
  </si>
  <si>
    <t>Mohammad Navid Adham</t>
  </si>
  <si>
    <t>0160FBC16000600</t>
  </si>
  <si>
    <t>BKID0000160160860519</t>
  </si>
  <si>
    <t>0160FBC16000647</t>
  </si>
  <si>
    <t>BKID0000160160870293</t>
  </si>
  <si>
    <t>0160FBN16000066</t>
  </si>
  <si>
    <t>BKID0000160160860974</t>
  </si>
  <si>
    <t>BKID0000160160860973</t>
  </si>
  <si>
    <t>0173FUGC1600329</t>
  </si>
  <si>
    <t>UTIB0000173000015905</t>
  </si>
  <si>
    <t>MIRALIFE S.A</t>
  </si>
  <si>
    <t>Uruguay</t>
  </si>
  <si>
    <t>0173FBFP1600396</t>
  </si>
  <si>
    <t>UTIB0000173000015807</t>
  </si>
  <si>
    <t>OPSONIN PHARMA LIMITED</t>
  </si>
  <si>
    <t>Bangladesh</t>
  </si>
  <si>
    <t>0160FBN16000070</t>
  </si>
  <si>
    <t>BKID0000160160850047</t>
  </si>
  <si>
    <t>0160FBC16000472</t>
  </si>
  <si>
    <t>BKID0000160160863536</t>
  </si>
  <si>
    <t>0160FBC16000433</t>
  </si>
  <si>
    <t>BKID0000160160855633</t>
  </si>
  <si>
    <t>0160FBC16000471</t>
  </si>
  <si>
    <t>BKID0000160160863535</t>
  </si>
  <si>
    <t>0173FUGC1600327</t>
  </si>
  <si>
    <t>UTIB0000173000015936</t>
  </si>
  <si>
    <t>0160FBC16000473</t>
  </si>
  <si>
    <t>BKID0000160160863537</t>
  </si>
  <si>
    <t>0160FBC16000470</t>
  </si>
  <si>
    <t>BKID0000160160863534</t>
  </si>
  <si>
    <t>0160FBC16000468</t>
  </si>
  <si>
    <t>BKID0000160160863533</t>
  </si>
  <si>
    <t>0160FBC16000467</t>
  </si>
  <si>
    <t>BKID0000160160863532</t>
  </si>
  <si>
    <t>0160FBC16000637</t>
  </si>
  <si>
    <t>BKID0000160160869163</t>
  </si>
  <si>
    <t>0160FBN16000072</t>
  </si>
  <si>
    <t>BKID0000160160850048</t>
  </si>
  <si>
    <t>0160FBC16000494</t>
  </si>
  <si>
    <t>BKID0000160160956783</t>
  </si>
  <si>
    <t>0160FBC16000476</t>
  </si>
  <si>
    <t>BKID0000160160888382</t>
  </si>
  <si>
    <t>19791516N2427</t>
  </si>
  <si>
    <t>UCBA0001979160194032</t>
  </si>
  <si>
    <t>0160FBC16000635</t>
  </si>
  <si>
    <t>BKID0000160160869161</t>
  </si>
  <si>
    <t>0160FBN16000076</t>
  </si>
  <si>
    <t>BKID0000160160872563</t>
  </si>
  <si>
    <t>0160FBC16000533</t>
  </si>
  <si>
    <t>BKID0000160160863539</t>
  </si>
  <si>
    <t>0160FBC16000536</t>
  </si>
  <si>
    <t>BKID0000160160950322</t>
  </si>
  <si>
    <t>0160FBC16000532</t>
  </si>
  <si>
    <t>BKID0000160160863538</t>
  </si>
  <si>
    <t>0160FBC16000646</t>
  </si>
  <si>
    <t>BKID0000160160870292</t>
  </si>
  <si>
    <t>0173FUGC1600376</t>
  </si>
  <si>
    <t>UTIB0000173000015932</t>
  </si>
  <si>
    <t>0160FBC16000664</t>
  </si>
  <si>
    <t>BKID0000160160870298</t>
  </si>
  <si>
    <t>0160FBN16000077</t>
  </si>
  <si>
    <t>BKID0000160160863546</t>
  </si>
  <si>
    <t>0160FBN16000074</t>
  </si>
  <si>
    <t>BKID0000160160906321</t>
  </si>
  <si>
    <t>19791617N2430</t>
  </si>
  <si>
    <t>UCBA0001979160193473</t>
  </si>
  <si>
    <t>Trees for People GmbH</t>
  </si>
  <si>
    <t>0173FBFP1600476</t>
  </si>
  <si>
    <t>UTIB0000173000015944</t>
  </si>
  <si>
    <t>0173FUGC1600383</t>
  </si>
  <si>
    <t>UTIB0000173000015958</t>
  </si>
  <si>
    <t>0160FBN16000075</t>
  </si>
  <si>
    <t>BKID0000160160909183</t>
  </si>
  <si>
    <t>0173FUGC1600377</t>
  </si>
  <si>
    <t>UTIB0000173000015960</t>
  </si>
  <si>
    <t>UTIB0000173000015959</t>
  </si>
  <si>
    <t>Pathwel Co Ltd</t>
  </si>
  <si>
    <t>North Korea</t>
  </si>
  <si>
    <t>0160FBN16000081</t>
  </si>
  <si>
    <t>BKID0000160160871119</t>
  </si>
  <si>
    <t>VIKUDHA OVERSEAS CORPORATION L</t>
  </si>
  <si>
    <t>0160FBC16000695</t>
  </si>
  <si>
    <t>BKID0000160160874301</t>
  </si>
  <si>
    <t>0160FBC16000535</t>
  </si>
  <si>
    <t>BKID0000160160960453</t>
  </si>
  <si>
    <t>0160FBC16000534</t>
  </si>
  <si>
    <t>BKID0000160160960452</t>
  </si>
  <si>
    <t>0160FBC16000595</t>
  </si>
  <si>
    <t>BKID0000160160863541</t>
  </si>
  <si>
    <t>free samples</t>
  </si>
  <si>
    <t>0160FBC16000527</t>
  </si>
  <si>
    <t>BKID0000160160867967</t>
  </si>
  <si>
    <t>0160FBC16000493</t>
  </si>
  <si>
    <t>BKID0000160160879889</t>
  </si>
  <si>
    <t>0160FBC16000505</t>
  </si>
  <si>
    <t>BKID0000160160867086</t>
  </si>
  <si>
    <t>0160FBN16000080</t>
  </si>
  <si>
    <t>BKID0000160160864152</t>
  </si>
  <si>
    <t>BKID0000160160864153</t>
  </si>
  <si>
    <t>0160FBC16000593</t>
  </si>
  <si>
    <t>BKID0000160160863540</t>
  </si>
  <si>
    <t>Vesta Corporation</t>
  </si>
  <si>
    <t>0160FBC16000599</t>
  </si>
  <si>
    <t>BKID0000160160860518</t>
  </si>
  <si>
    <t>19791617N2470</t>
  </si>
  <si>
    <t>UCBA0001979160200616</t>
  </si>
  <si>
    <t>0160FBC16000674</t>
  </si>
  <si>
    <t>BKID0000160160918890</t>
  </si>
  <si>
    <t>DEQ</t>
  </si>
  <si>
    <t>0160FBC16000592</t>
  </si>
  <si>
    <t>BKID0000160160878861</t>
  </si>
  <si>
    <t>SOLVAY (BANGPOO) SPECIALTY CHE</t>
  </si>
  <si>
    <t>0160FBC16000553</t>
  </si>
  <si>
    <t>BKID0000160160900210</t>
  </si>
  <si>
    <t>CANCELLED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</si>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</sst>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yy"/>
    <numFmt numFmtId="165" formatCode="_(* #,##0.00_);_(* \(#,##0.00\);_(* &quot;-&quot;???_);_(@_)"/>
    <numFmt numFmtId="166" formatCode="_(* #,##0.0000_);_(* \(#,##0.0000\);_(* &quot;-&quot;????_);_(@_)"/>
    <numFmt numFmtId="167" formatCode="_(* #,##0.000_);_(* \(#,##0.000\);_(* &quot;-&quot;???_);_(@_)"/>
    <numFmt numFmtId="168" formatCode="[$-409]d\-mmm\-yy;@"/>
    <numFmt numFmtId="169" formatCode="0_);\(0\)"/>
    <numFmt numFmtId="170" formatCode="_(* #,##0.00_);_(* \(#,##0.00\);_(* &quot;-&quot;????_);_(@_)"/>
    <numFmt numFmtId="171" formatCode="_(* #,##0_);_(* \(#,##0\);_(* &quot;-&quot;?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8"/>
      <name val="Verdana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Gisha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</cellStyleXfs>
  <cellXfs count="199">
    <xf numFmtId="0" fontId="0" fillId="0" borderId="0" xfId="0"/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2" fontId="2" fillId="0" borderId="6" xfId="0" applyNumberFormat="1" applyFont="1" applyBorder="1" applyAlignment="1">
      <alignment horizontal="left" vertical="top"/>
    </xf>
    <xf numFmtId="43" fontId="2" fillId="0" borderId="1" xfId="0" applyNumberFormat="1" applyFont="1" applyBorder="1" applyAlignment="1">
      <alignment horizontal="left" vertical="top"/>
    </xf>
    <xf numFmtId="43" fontId="2" fillId="0" borderId="1" xfId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43" fontId="2" fillId="2" borderId="1" xfId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6" borderId="0" xfId="3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center" vertical="top"/>
    </xf>
    <xf numFmtId="0" fontId="7" fillId="0" borderId="0" xfId="0" applyFont="1"/>
    <xf numFmtId="164" fontId="2" fillId="0" borderId="1" xfId="0" applyNumberFormat="1" applyFont="1" applyFill="1" applyBorder="1" applyAlignment="1">
      <alignment horizontal="left" vertical="top"/>
    </xf>
    <xf numFmtId="43" fontId="2" fillId="0" borderId="1" xfId="0" applyNumberFormat="1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/>
    </xf>
    <xf numFmtId="166" fontId="2" fillId="0" borderId="1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2" fillId="0" borderId="1" xfId="0" quotePrefix="1" applyNumberFormat="1" applyFont="1" applyBorder="1" applyAlignment="1">
      <alignment horizontal="left" vertical="top"/>
    </xf>
    <xf numFmtId="43" fontId="2" fillId="3" borderId="1" xfId="0" applyNumberFormat="1" applyFont="1" applyFill="1" applyBorder="1" applyAlignment="1">
      <alignment horizontal="left" vertical="top"/>
    </xf>
    <xf numFmtId="0" fontId="6" fillId="6" borderId="1" xfId="3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8" fillId="4" borderId="1" xfId="0" applyFont="1" applyFill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14" fontId="8" fillId="4" borderId="1" xfId="0" applyNumberFormat="1" applyFont="1" applyFill="1" applyBorder="1" applyAlignment="1">
      <alignment horizontal="left" vertical="top" wrapText="1"/>
    </xf>
    <xf numFmtId="164" fontId="8" fillId="4" borderId="1" xfId="0" applyNumberFormat="1" applyFont="1" applyFill="1" applyBorder="1" applyAlignment="1">
      <alignment horizontal="left" vertical="top" wrapText="1"/>
    </xf>
    <xf numFmtId="49" fontId="9" fillId="4" borderId="1" xfId="0" applyNumberFormat="1" applyFont="1" applyFill="1" applyBorder="1" applyAlignment="1">
      <alignment horizontal="left" vertical="top" wrapText="1"/>
    </xf>
    <xf numFmtId="165" fontId="8" fillId="4" borderId="1" xfId="0" applyNumberFormat="1" applyFont="1" applyFill="1" applyBorder="1" applyAlignment="1">
      <alignment horizontal="left" vertical="top" wrapText="1"/>
    </xf>
    <xf numFmtId="43" fontId="8" fillId="4" borderId="1" xfId="0" applyNumberFormat="1" applyFont="1" applyFill="1" applyBorder="1" applyAlignment="1">
      <alignment horizontal="left" vertical="top" wrapText="1"/>
    </xf>
    <xf numFmtId="43" fontId="8" fillId="4" borderId="1" xfId="1" applyFont="1" applyFill="1" applyBorder="1" applyAlignment="1">
      <alignment horizontal="center" vertical="top" wrapText="1"/>
    </xf>
    <xf numFmtId="43" fontId="8" fillId="4" borderId="1" xfId="1" applyFont="1" applyFill="1" applyBorder="1" applyAlignment="1">
      <alignment horizontal="left" vertical="top" wrapText="1"/>
    </xf>
    <xf numFmtId="43" fontId="8" fillId="4" borderId="1" xfId="1" applyNumberFormat="1" applyFont="1" applyFill="1" applyBorder="1" applyAlignment="1">
      <alignment horizontal="left" vertical="top" wrapText="1"/>
    </xf>
    <xf numFmtId="166" fontId="8" fillId="4" borderId="1" xfId="0" applyNumberFormat="1" applyFont="1" applyFill="1" applyBorder="1" applyAlignment="1">
      <alignment horizontal="left" vertical="top" wrapText="1"/>
    </xf>
    <xf numFmtId="43" fontId="8" fillId="4" borderId="1" xfId="1" applyFont="1" applyFill="1" applyBorder="1" applyAlignment="1">
      <alignment horizontal="left" vertical="top"/>
    </xf>
    <xf numFmtId="0" fontId="8" fillId="4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5" fontId="2" fillId="0" borderId="1" xfId="0" applyNumberFormat="1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2" fontId="2" fillId="0" borderId="6" xfId="0" applyNumberFormat="1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2" fontId="2" fillId="0" borderId="9" xfId="0" applyNumberFormat="1" applyFont="1" applyBorder="1" applyAlignment="1">
      <alignment horizontal="left" vertical="top"/>
    </xf>
    <xf numFmtId="43" fontId="2" fillId="0" borderId="3" xfId="1" applyFont="1" applyFill="1" applyBorder="1" applyAlignment="1">
      <alignment horizontal="center" vertical="top"/>
    </xf>
    <xf numFmtId="43" fontId="2" fillId="0" borderId="3" xfId="0" applyNumberFormat="1" applyFont="1" applyBorder="1" applyAlignment="1">
      <alignment horizontal="left" vertical="top"/>
    </xf>
    <xf numFmtId="43" fontId="2" fillId="0" borderId="3" xfId="1" applyFont="1" applyBorder="1" applyAlignment="1">
      <alignment horizontal="left" vertical="top"/>
    </xf>
    <xf numFmtId="14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2" fontId="2" fillId="0" borderId="10" xfId="0" applyNumberFormat="1" applyFont="1" applyBorder="1" applyAlignment="1">
      <alignment horizontal="left" vertical="top"/>
    </xf>
    <xf numFmtId="43" fontId="2" fillId="0" borderId="2" xfId="1" applyFont="1" applyFill="1" applyBorder="1" applyAlignment="1">
      <alignment horizontal="center" vertical="top"/>
    </xf>
    <xf numFmtId="43" fontId="2" fillId="0" borderId="2" xfId="0" applyNumberFormat="1" applyFont="1" applyBorder="1" applyAlignment="1">
      <alignment horizontal="left" vertical="top"/>
    </xf>
    <xf numFmtId="43" fontId="2" fillId="0" borderId="2" xfId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43" fontId="2" fillId="3" borderId="1" xfId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2" fontId="2" fillId="2" borderId="6" xfId="0" applyNumberFormat="1" applyFont="1" applyFill="1" applyBorder="1" applyAlignment="1">
      <alignment horizontal="left" vertical="top"/>
    </xf>
    <xf numFmtId="43" fontId="2" fillId="2" borderId="1" xfId="1" applyFont="1" applyFill="1" applyBorder="1" applyAlignment="1">
      <alignment horizontal="center" vertical="top"/>
    </xf>
    <xf numFmtId="43" fontId="2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166" fontId="2" fillId="3" borderId="1" xfId="0" applyNumberFormat="1" applyFont="1" applyFill="1" applyBorder="1" applyAlignment="1">
      <alignment horizontal="left" vertical="top"/>
    </xf>
    <xf numFmtId="0" fontId="7" fillId="0" borderId="0" xfId="0" applyFont="1" applyFill="1"/>
    <xf numFmtId="43" fontId="2" fillId="0" borderId="1" xfId="1" applyFont="1" applyBorder="1" applyAlignment="1">
      <alignment horizontal="left" vertical="top" wrapText="1"/>
    </xf>
    <xf numFmtId="14" fontId="2" fillId="0" borderId="1" xfId="0" quotePrefix="1" applyNumberFormat="1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7" fontId="2" fillId="0" borderId="1" xfId="0" applyNumberFormat="1" applyFont="1" applyBorder="1" applyAlignment="1">
      <alignment horizontal="left" vertical="top"/>
    </xf>
    <xf numFmtId="167" fontId="2" fillId="0" borderId="1" xfId="0" applyNumberFormat="1" applyFont="1" applyFill="1" applyBorder="1" applyAlignment="1">
      <alignment horizontal="center" vertical="center"/>
    </xf>
    <xf numFmtId="169" fontId="2" fillId="0" borderId="1" xfId="1" applyNumberFormat="1" applyFont="1" applyFill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164" fontId="8" fillId="4" borderId="1" xfId="0" applyNumberFormat="1" applyFont="1" applyFill="1" applyBorder="1" applyAlignment="1">
      <alignment horizontal="left" vertical="top"/>
    </xf>
    <xf numFmtId="165" fontId="8" fillId="4" borderId="1" xfId="0" applyNumberFormat="1" applyFont="1" applyFill="1" applyBorder="1" applyAlignment="1">
      <alignment horizontal="left" vertical="top"/>
    </xf>
    <xf numFmtId="2" fontId="8" fillId="4" borderId="1" xfId="0" applyNumberFormat="1" applyFont="1" applyFill="1" applyBorder="1" applyAlignment="1">
      <alignment horizontal="left" vertical="top"/>
    </xf>
    <xf numFmtId="43" fontId="8" fillId="4" borderId="1" xfId="0" applyNumberFormat="1" applyFont="1" applyFill="1" applyBorder="1" applyAlignment="1">
      <alignment horizontal="left" vertical="top"/>
    </xf>
    <xf numFmtId="43" fontId="8" fillId="5" borderId="1" xfId="0" applyNumberFormat="1" applyFont="1" applyFill="1" applyBorder="1" applyAlignment="1">
      <alignment horizontal="left" vertical="top"/>
    </xf>
    <xf numFmtId="43" fontId="8" fillId="5" borderId="1" xfId="1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14" fontId="8" fillId="5" borderId="1" xfId="0" applyNumberFormat="1" applyFont="1" applyFill="1" applyBorder="1" applyAlignment="1">
      <alignment horizontal="left" vertical="top"/>
    </xf>
    <xf numFmtId="166" fontId="8" fillId="5" borderId="1" xfId="0" applyNumberFormat="1" applyFont="1" applyFill="1" applyBorder="1" applyAlignment="1">
      <alignment horizontal="left" vertical="top"/>
    </xf>
    <xf numFmtId="14" fontId="8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43" fontId="3" fillId="0" borderId="0" xfId="1" applyFont="1" applyFill="1" applyAlignment="1">
      <alignment horizontal="center" vertical="top"/>
    </xf>
    <xf numFmtId="43" fontId="3" fillId="0" borderId="0" xfId="1" applyFont="1" applyAlignment="1">
      <alignment horizontal="left" vertical="top"/>
    </xf>
    <xf numFmtId="43" fontId="3" fillId="0" borderId="0" xfId="1" applyFont="1" applyFill="1" applyAlignment="1">
      <alignment horizontal="left" vertical="top"/>
    </xf>
    <xf numFmtId="14" fontId="2" fillId="0" borderId="4" xfId="0" applyNumberFormat="1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 wrapText="1"/>
    </xf>
    <xf numFmtId="14" fontId="9" fillId="7" borderId="1" xfId="0" applyNumberFormat="1" applyFont="1" applyFill="1" applyBorder="1" applyAlignment="1">
      <alignment horizontal="left" vertical="top" wrapText="1"/>
    </xf>
    <xf numFmtId="49" fontId="9" fillId="7" borderId="1" xfId="0" applyNumberFormat="1" applyFont="1" applyFill="1" applyBorder="1" applyAlignment="1">
      <alignment horizontal="left" vertical="top" wrapText="1"/>
    </xf>
    <xf numFmtId="43" fontId="9" fillId="7" borderId="1" xfId="1" applyNumberFormat="1" applyFont="1" applyFill="1" applyBorder="1" applyAlignment="1">
      <alignment horizontal="left" vertical="top" wrapText="1"/>
    </xf>
    <xf numFmtId="165" fontId="9" fillId="7" borderId="1" xfId="0" applyNumberFormat="1" applyFont="1" applyFill="1" applyBorder="1" applyAlignment="1">
      <alignment horizontal="left" vertical="top" wrapText="1"/>
    </xf>
    <xf numFmtId="43" fontId="9" fillId="7" borderId="1" xfId="0" applyNumberFormat="1" applyFont="1" applyFill="1" applyBorder="1" applyAlignment="1">
      <alignment horizontal="left" vertical="top" wrapText="1"/>
    </xf>
    <xf numFmtId="164" fontId="9" fillId="7" borderId="1" xfId="0" applyNumberFormat="1" applyFont="1" applyFill="1" applyBorder="1" applyAlignment="1">
      <alignment horizontal="left" vertical="top" wrapText="1"/>
    </xf>
    <xf numFmtId="0" fontId="9" fillId="7" borderId="1" xfId="0" applyNumberFormat="1" applyFont="1" applyFill="1" applyBorder="1" applyAlignment="1">
      <alignment horizontal="left" vertical="top" wrapText="1"/>
    </xf>
    <xf numFmtId="43" fontId="9" fillId="7" borderId="1" xfId="1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14" fontId="7" fillId="0" borderId="2" xfId="0" applyNumberFormat="1" applyFont="1" applyFill="1" applyBorder="1" applyAlignment="1">
      <alignment horizontal="left" vertical="top"/>
    </xf>
    <xf numFmtId="14" fontId="7" fillId="0" borderId="1" xfId="0" applyNumberFormat="1" applyFont="1" applyFill="1" applyBorder="1" applyAlignment="1">
      <alignment horizontal="left" vertical="top"/>
    </xf>
    <xf numFmtId="2" fontId="7" fillId="0" borderId="1" xfId="0" applyNumberFormat="1" applyFont="1" applyFill="1" applyBorder="1" applyAlignment="1">
      <alignment horizontal="left" vertical="top"/>
    </xf>
    <xf numFmtId="43" fontId="7" fillId="0" borderId="2" xfId="0" applyNumberFormat="1" applyFont="1" applyFill="1" applyBorder="1" applyAlignment="1">
      <alignment horizontal="left" vertical="top"/>
    </xf>
    <xf numFmtId="0" fontId="7" fillId="0" borderId="2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43" fontId="7" fillId="0" borderId="2" xfId="1" applyFont="1" applyFill="1" applyBorder="1" applyAlignment="1">
      <alignment horizontal="left" vertical="top"/>
    </xf>
    <xf numFmtId="2" fontId="7" fillId="0" borderId="2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top"/>
    </xf>
    <xf numFmtId="14" fontId="7" fillId="0" borderId="1" xfId="0" applyNumberFormat="1" applyFont="1" applyFill="1" applyBorder="1" applyAlignment="1">
      <alignment horizontal="left" vertical="top" wrapText="1"/>
    </xf>
    <xf numFmtId="167" fontId="7" fillId="0" borderId="1" xfId="0" applyNumberFormat="1" applyFont="1" applyFill="1" applyBorder="1" applyAlignment="1">
      <alignment horizontal="left" vertical="top"/>
    </xf>
    <xf numFmtId="14" fontId="7" fillId="0" borderId="6" xfId="0" applyNumberFormat="1" applyFont="1" applyFill="1" applyBorder="1" applyAlignment="1">
      <alignment horizontal="left" vertical="top"/>
    </xf>
    <xf numFmtId="43" fontId="7" fillId="0" borderId="1" xfId="1" applyFont="1" applyFill="1" applyBorder="1" applyAlignment="1">
      <alignment horizontal="left" vertical="top"/>
    </xf>
    <xf numFmtId="170" fontId="7" fillId="0" borderId="1" xfId="1" applyNumberFormat="1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4" fontId="7" fillId="0" borderId="1" xfId="0" applyNumberFormat="1" applyFont="1" applyFill="1" applyBorder="1" applyAlignment="1">
      <alignment horizontal="left" vertical="top"/>
    </xf>
    <xf numFmtId="43" fontId="11" fillId="0" borderId="0" xfId="1" applyFont="1"/>
    <xf numFmtId="1" fontId="7" fillId="0" borderId="1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left" vertical="top" wrapText="1"/>
    </xf>
    <xf numFmtId="167" fontId="2" fillId="0" borderId="1" xfId="0" quotePrefix="1" applyNumberFormat="1" applyFont="1" applyFill="1" applyBorder="1" applyAlignment="1">
      <alignment horizontal="center" vertical="center"/>
    </xf>
    <xf numFmtId="0" fontId="12" fillId="0" borderId="0" xfId="0" applyFont="1"/>
    <xf numFmtId="14" fontId="7" fillId="0" borderId="0" xfId="0" applyNumberFormat="1" applyFont="1" applyFill="1" applyAlignment="1">
      <alignment horizontal="left" vertical="top"/>
    </xf>
    <xf numFmtId="0" fontId="7" fillId="0" borderId="11" xfId="0" applyFont="1" applyFill="1" applyBorder="1" applyAlignment="1">
      <alignment horizontal="left" vertical="top"/>
    </xf>
    <xf numFmtId="14" fontId="7" fillId="0" borderId="3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/>
    <xf numFmtId="171" fontId="2" fillId="0" borderId="1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top"/>
    </xf>
    <xf numFmtId="0" fontId="7" fillId="0" borderId="1" xfId="5" applyFont="1" applyFill="1" applyBorder="1" applyAlignment="1">
      <alignment horizontal="left" vertical="top"/>
    </xf>
    <xf numFmtId="169" fontId="7" fillId="0" borderId="1" xfId="1" applyNumberFormat="1" applyFont="1" applyFill="1" applyBorder="1" applyAlignment="1">
      <alignment horizontal="left" vertical="top"/>
    </xf>
    <xf numFmtId="16" fontId="7" fillId="0" borderId="1" xfId="0" applyNumberFormat="1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left" vertical="top"/>
    </xf>
    <xf numFmtId="0" fontId="7" fillId="0" borderId="3" xfId="5" applyFont="1" applyFill="1" applyBorder="1" applyAlignment="1">
      <alignment horizontal="left" vertical="top"/>
    </xf>
    <xf numFmtId="2" fontId="7" fillId="0" borderId="3" xfId="0" applyNumberFormat="1" applyFont="1" applyFill="1" applyBorder="1" applyAlignment="1">
      <alignment horizontal="left" vertical="top"/>
    </xf>
    <xf numFmtId="14" fontId="7" fillId="0" borderId="12" xfId="0" applyNumberFormat="1" applyFont="1" applyFill="1" applyBorder="1" applyAlignment="1">
      <alignment horizontal="left" vertical="top"/>
    </xf>
    <xf numFmtId="43" fontId="7" fillId="0" borderId="12" xfId="0" applyNumberFormat="1" applyFont="1" applyFill="1" applyBorder="1" applyAlignment="1">
      <alignment horizontal="left" vertical="top"/>
    </xf>
    <xf numFmtId="0" fontId="7" fillId="8" borderId="13" xfId="0" applyFont="1" applyFill="1" applyBorder="1" applyAlignment="1">
      <alignment horizontal="left" vertical="top"/>
    </xf>
    <xf numFmtId="0" fontId="9" fillId="8" borderId="13" xfId="0" applyFont="1" applyFill="1" applyBorder="1" applyAlignment="1">
      <alignment horizontal="left" vertical="top"/>
    </xf>
    <xf numFmtId="14" fontId="7" fillId="8" borderId="13" xfId="0" applyNumberFormat="1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8" borderId="14" xfId="0" applyFont="1" applyFill="1" applyBorder="1" applyAlignment="1">
      <alignment horizontal="left" vertical="top"/>
    </xf>
    <xf numFmtId="43" fontId="7" fillId="8" borderId="13" xfId="0" applyNumberFormat="1" applyFont="1" applyFill="1" applyBorder="1" applyAlignment="1">
      <alignment horizontal="left" vertical="top"/>
    </xf>
    <xf numFmtId="2" fontId="7" fillId="8" borderId="13" xfId="0" applyNumberFormat="1" applyFont="1" applyFill="1" applyBorder="1" applyAlignment="1">
      <alignment horizontal="left" vertical="top"/>
    </xf>
    <xf numFmtId="43" fontId="9" fillId="8" borderId="13" xfId="1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43" fontId="7" fillId="0" borderId="0" xfId="0" applyNumberFormat="1" applyFont="1" applyAlignment="1">
      <alignment horizontal="left" vertical="top"/>
    </xf>
    <xf numFmtId="0" fontId="7" fillId="0" borderId="0" xfId="0" applyNumberFormat="1" applyFont="1" applyAlignment="1">
      <alignment horizontal="left" vertical="top"/>
    </xf>
    <xf numFmtId="43" fontId="7" fillId="0" borderId="0" xfId="1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3" fontId="2" fillId="0" borderId="3" xfId="1" applyFont="1" applyBorder="1" applyAlignment="1">
      <alignment horizontal="left" vertical="top"/>
    </xf>
    <xf numFmtId="43" fontId="2" fillId="0" borderId="2" xfId="1" applyFont="1" applyBorder="1" applyAlignment="1">
      <alignment horizontal="left" vertical="top"/>
    </xf>
    <xf numFmtId="43" fontId="2" fillId="0" borderId="3" xfId="0" applyNumberFormat="1" applyFont="1" applyBorder="1" applyAlignment="1">
      <alignment horizontal="left" vertical="top"/>
    </xf>
    <xf numFmtId="43" fontId="2" fillId="0" borderId="2" xfId="0" applyNumberFormat="1" applyFont="1" applyBorder="1" applyAlignment="1">
      <alignment horizontal="left" vertical="top"/>
    </xf>
    <xf numFmtId="43" fontId="2" fillId="0" borderId="3" xfId="1" applyFont="1" applyFill="1" applyBorder="1" applyAlignment="1">
      <alignment horizontal="center" vertical="top"/>
    </xf>
    <xf numFmtId="43" fontId="2" fillId="0" borderId="2" xfId="1" applyFont="1" applyFill="1" applyBorder="1" applyAlignment="1">
      <alignment horizontal="center" vertical="top"/>
    </xf>
    <xf numFmtId="43" fontId="2" fillId="0" borderId="3" xfId="1" applyFont="1" applyFill="1" applyBorder="1" applyAlignment="1">
      <alignment horizontal="left" vertical="top"/>
    </xf>
    <xf numFmtId="43" fontId="2" fillId="0" borderId="2" xfId="1" applyFont="1" applyFill="1" applyBorder="1" applyAlignment="1">
      <alignment horizontal="left" vertical="top"/>
    </xf>
    <xf numFmtId="14" fontId="2" fillId="0" borderId="3" xfId="0" applyNumberFormat="1" applyFont="1" applyBorder="1" applyAlignment="1">
      <alignment horizontal="left" vertical="top"/>
    </xf>
    <xf numFmtId="14" fontId="2" fillId="0" borderId="2" xfId="0" applyNumberFormat="1" applyFont="1" applyBorder="1" applyAlignment="1">
      <alignment horizontal="left" vertical="top"/>
    </xf>
    <xf numFmtId="43" fontId="2" fillId="0" borderId="1" xfId="0" applyNumberFormat="1" applyFont="1" applyBorder="1" applyAlignment="1">
      <alignment horizontal="left" vertical="top"/>
    </xf>
  </cellXfs>
  <cellStyles count="6">
    <cellStyle name="Comma" xfId="1" builtinId="3"/>
    <cellStyle name="Comma 2" xfId="2"/>
    <cellStyle name="Normal" xfId="0" builtinId="0"/>
    <cellStyle name="Normal 2 2" xfId="3"/>
    <cellStyle name="Normal 2 39" xfId="4"/>
    <cellStyle name="Normal 4" xf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17"/>
  <sheetViews>
    <sheetView zoomScaleNormal="100" workbookViewId="0">
      <pane xSplit="1" ySplit="1" topLeftCell="AC77" activePane="bottomRight" state="frozen"/>
      <selection pane="topRight" activeCell="B1" sqref="B1"/>
      <selection pane="bottomLeft" activeCell="A2" sqref="A2"/>
      <selection pane="bottomRight" activeCell="AP185" sqref="AP185"/>
    </sheetView>
  </sheetViews>
  <sheetFormatPr defaultColWidth="9.140625" defaultRowHeight="15" x14ac:dyDescent="0.25"/>
  <cols>
    <col min="1" max="1" width="7.42578125" style="15" customWidth="1"/>
    <col min="2" max="2" width="9.140625" style="15" customWidth="1"/>
    <col min="3" max="3" width="6" style="15" customWidth="1"/>
    <col min="4" max="4" width="16.140625" style="15" customWidth="1"/>
    <col min="5" max="5" width="11.7109375" style="15" customWidth="1"/>
    <col min="6" max="6" width="16.42578125" style="15" customWidth="1"/>
    <col min="7" max="8" width="9.140625" style="15" customWidth="1"/>
    <col min="9" max="9" width="7.140625" style="15" customWidth="1"/>
    <col min="10" max="10" width="20.140625" style="47" customWidth="1"/>
    <col min="11" max="11" width="10.140625" style="15" customWidth="1"/>
    <col min="12" max="12" width="10.42578125" style="15" customWidth="1"/>
    <col min="13" max="13" width="9.140625" style="15" customWidth="1"/>
    <col min="14" max="14" width="8.28515625" style="15" customWidth="1"/>
    <col min="15" max="15" width="9.140625" style="15" customWidth="1"/>
    <col min="16" max="16" width="8.28515625" style="15" customWidth="1"/>
    <col min="17" max="17" width="15.42578125" style="115" customWidth="1"/>
    <col min="18" max="18" width="10.42578125" style="15" hidden="1" customWidth="1"/>
    <col min="19" max="19" width="9.140625" style="15" hidden="1" customWidth="1"/>
    <col min="20" max="20" width="11.28515625" style="15" hidden="1" customWidth="1"/>
    <col min="21" max="21" width="10.7109375" style="116" hidden="1" customWidth="1"/>
    <col min="22" max="22" width="11.28515625" style="15" hidden="1" customWidth="1"/>
    <col min="23" max="23" width="11.85546875" style="15" hidden="1" customWidth="1"/>
    <col min="24" max="24" width="9.140625" style="15" customWidth="1"/>
    <col min="25" max="25" width="11.7109375" style="15" customWidth="1"/>
    <col min="26" max="26" width="13" style="15" hidden="1" customWidth="1"/>
    <col min="27" max="27" width="13.85546875" style="15" customWidth="1"/>
    <col min="28" max="28" width="9.140625" style="15" customWidth="1"/>
    <col min="29" max="29" width="16.42578125" style="15" customWidth="1"/>
    <col min="30" max="30" width="14.28515625" style="15" customWidth="1"/>
    <col min="31" max="31" width="9.42578125" style="15" customWidth="1"/>
    <col min="32" max="32" width="4.28515625" style="15" customWidth="1"/>
    <col min="33" max="33" width="13.7109375" style="117" customWidth="1"/>
    <col min="34" max="34" width="13.42578125" style="116" customWidth="1"/>
    <col min="35" max="37" width="13.42578125" style="116" hidden="1" customWidth="1"/>
    <col min="38" max="38" width="12.5703125" style="116" hidden="1" customWidth="1"/>
    <col min="39" max="39" width="9.140625" style="15" hidden="1" customWidth="1"/>
    <col min="40" max="40" width="17" style="15" hidden="1" customWidth="1"/>
    <col min="41" max="41" width="7.85546875" style="15" hidden="1" customWidth="1"/>
    <col min="42" max="42" width="17" style="15" customWidth="1"/>
    <col min="43" max="43" width="11.7109375" style="119" customWidth="1"/>
    <col min="44" max="44" width="18.7109375" style="15" customWidth="1"/>
    <col min="45" max="45" width="10.28515625" style="15" customWidth="1"/>
    <col min="46" max="46" width="12.85546875" style="15" customWidth="1"/>
    <col min="47" max="47" width="36.42578125" style="15" bestFit="1" customWidth="1"/>
    <col min="48" max="16384" width="9.140625" style="15"/>
  </cols>
  <sheetData>
    <row r="1" spans="1:47" ht="36.75" customHeight="1" x14ac:dyDescent="0.25">
      <c r="A1" s="32" t="s">
        <v>4159</v>
      </c>
      <c r="B1" s="33" t="s">
        <v>0</v>
      </c>
      <c r="C1" s="34" t="s">
        <v>1</v>
      </c>
      <c r="D1" s="33" t="s">
        <v>2</v>
      </c>
      <c r="E1" s="35" t="s">
        <v>3</v>
      </c>
      <c r="F1" s="33" t="s">
        <v>4</v>
      </c>
      <c r="G1" s="33" t="s">
        <v>5</v>
      </c>
      <c r="H1" s="33" t="s">
        <v>6</v>
      </c>
      <c r="I1" s="33" t="s">
        <v>2808</v>
      </c>
      <c r="J1" s="36" t="s">
        <v>7</v>
      </c>
      <c r="K1" s="33" t="s">
        <v>8</v>
      </c>
      <c r="L1" s="37" t="s">
        <v>9</v>
      </c>
      <c r="M1" s="33" t="s">
        <v>10</v>
      </c>
      <c r="N1" s="33" t="s">
        <v>11</v>
      </c>
      <c r="O1" s="33" t="s">
        <v>12</v>
      </c>
      <c r="P1" s="38" t="s">
        <v>13</v>
      </c>
      <c r="Q1" s="39" t="s">
        <v>14</v>
      </c>
      <c r="R1" s="38" t="s">
        <v>15</v>
      </c>
      <c r="S1" s="38" t="s">
        <v>16</v>
      </c>
      <c r="T1" s="38" t="s">
        <v>17</v>
      </c>
      <c r="U1" s="40" t="s">
        <v>18</v>
      </c>
      <c r="V1" s="41" t="s">
        <v>19</v>
      </c>
      <c r="W1" s="33" t="s">
        <v>20</v>
      </c>
      <c r="X1" s="33" t="s">
        <v>21</v>
      </c>
      <c r="Y1" s="35" t="s">
        <v>22</v>
      </c>
      <c r="Z1" s="35" t="s">
        <v>23</v>
      </c>
      <c r="AA1" s="38" t="s">
        <v>24</v>
      </c>
      <c r="AB1" s="42" t="s">
        <v>25</v>
      </c>
      <c r="AC1" s="38" t="s">
        <v>26</v>
      </c>
      <c r="AD1" s="41" t="s">
        <v>27</v>
      </c>
      <c r="AE1" s="33" t="s">
        <v>28</v>
      </c>
      <c r="AF1" s="33" t="s">
        <v>12</v>
      </c>
      <c r="AG1" s="43" t="s">
        <v>3312</v>
      </c>
      <c r="AH1" s="40" t="s">
        <v>4161</v>
      </c>
      <c r="AI1" s="40" t="s">
        <v>3308</v>
      </c>
      <c r="AJ1" s="40" t="s">
        <v>3309</v>
      </c>
      <c r="AK1" s="40" t="s">
        <v>3310</v>
      </c>
      <c r="AL1" s="40" t="s">
        <v>3311</v>
      </c>
      <c r="AM1" s="42" t="s">
        <v>30</v>
      </c>
      <c r="AN1" s="38" t="s">
        <v>31</v>
      </c>
      <c r="AO1" s="42" t="s">
        <v>32</v>
      </c>
      <c r="AP1" s="33" t="s">
        <v>29</v>
      </c>
      <c r="AQ1" s="38" t="s">
        <v>33</v>
      </c>
      <c r="AR1" s="44" t="s">
        <v>34</v>
      </c>
      <c r="AS1" s="34" t="s">
        <v>35</v>
      </c>
      <c r="AT1" s="33" t="s">
        <v>36</v>
      </c>
      <c r="AU1" s="33" t="s">
        <v>4313</v>
      </c>
    </row>
    <row r="2" spans="1:47" ht="14.45" customHeight="1" x14ac:dyDescent="0.25">
      <c r="A2" s="1">
        <v>1</v>
      </c>
      <c r="B2" s="1" t="s">
        <v>37</v>
      </c>
      <c r="C2" s="1" t="s">
        <v>38</v>
      </c>
      <c r="D2" s="45">
        <v>9114450049</v>
      </c>
      <c r="E2" s="5">
        <v>41736</v>
      </c>
      <c r="F2" s="1" t="s">
        <v>87</v>
      </c>
      <c r="G2" s="1" t="s">
        <v>65</v>
      </c>
      <c r="H2" s="1" t="s">
        <v>66</v>
      </c>
      <c r="I2" s="1" t="s">
        <v>2809</v>
      </c>
      <c r="J2" s="1" t="s">
        <v>80</v>
      </c>
      <c r="K2" s="1">
        <v>34011110</v>
      </c>
      <c r="L2" s="6">
        <v>11.664</v>
      </c>
      <c r="M2" s="1" t="s">
        <v>70</v>
      </c>
      <c r="N2" s="7" t="s">
        <v>67</v>
      </c>
      <c r="O2" s="1" t="s">
        <v>53</v>
      </c>
      <c r="P2" s="8">
        <v>2688.8883888800001</v>
      </c>
      <c r="Q2" s="17">
        <f>L2*P2</f>
        <v>31363.194167896319</v>
      </c>
      <c r="R2" s="9">
        <v>0</v>
      </c>
      <c r="S2" s="9">
        <v>0</v>
      </c>
      <c r="T2" s="9">
        <v>0</v>
      </c>
      <c r="U2" s="4">
        <v>0</v>
      </c>
      <c r="V2" s="1" t="s">
        <v>83</v>
      </c>
      <c r="W2" s="1" t="s">
        <v>81</v>
      </c>
      <c r="X2" s="1">
        <v>1855366</v>
      </c>
      <c r="Y2" s="5">
        <v>41726</v>
      </c>
      <c r="Z2" s="5">
        <v>41727</v>
      </c>
      <c r="AA2" s="9">
        <f t="shared" ref="AA2:AA11" si="0">Q2-R2-S2</f>
        <v>31363.194167896319</v>
      </c>
      <c r="AB2" s="12">
        <v>60.75</v>
      </c>
      <c r="AC2" s="9">
        <f>Q2*AB2</f>
        <v>1905314.0456997014</v>
      </c>
      <c r="AD2" s="9">
        <f>AA2*AB2</f>
        <v>1905314.0456997014</v>
      </c>
      <c r="AE2" s="1" t="s">
        <v>48</v>
      </c>
      <c r="AF2" s="1" t="s">
        <v>53</v>
      </c>
      <c r="AG2" s="4">
        <f t="shared" ref="AG2:AG65" si="1">Q2</f>
        <v>31363.194167896319</v>
      </c>
      <c r="AH2" s="9">
        <v>31353.200000000001</v>
      </c>
      <c r="AI2" s="9"/>
      <c r="AJ2" s="9"/>
      <c r="AK2" s="9"/>
      <c r="AL2" s="9">
        <f t="shared" ref="AL2:AL65" si="2">AH2-(AI2+AJ2+AK2)</f>
        <v>31353.200000000001</v>
      </c>
      <c r="AM2" s="12"/>
      <c r="AN2" s="9"/>
      <c r="AO2" s="12" t="e">
        <f>AB2/#REF!</f>
        <v>#REF!</v>
      </c>
      <c r="AP2" s="1" t="s">
        <v>88</v>
      </c>
      <c r="AQ2" s="11">
        <v>41792</v>
      </c>
      <c r="AR2" s="1" t="s">
        <v>89</v>
      </c>
      <c r="AS2" s="11">
        <v>41793</v>
      </c>
      <c r="AT2" s="1" t="s">
        <v>49</v>
      </c>
      <c r="AU2" s="1" t="s">
        <v>4171</v>
      </c>
    </row>
    <row r="3" spans="1:47" ht="15" customHeight="1" x14ac:dyDescent="0.25">
      <c r="A3" s="1">
        <v>2</v>
      </c>
      <c r="B3" s="1" t="s">
        <v>37</v>
      </c>
      <c r="C3" s="1" t="s">
        <v>38</v>
      </c>
      <c r="D3" s="1">
        <v>9103451693</v>
      </c>
      <c r="E3" s="5">
        <v>41739</v>
      </c>
      <c r="F3" s="1" t="s">
        <v>1126</v>
      </c>
      <c r="G3" s="1" t="s">
        <v>40</v>
      </c>
      <c r="H3" s="1" t="s">
        <v>41</v>
      </c>
      <c r="I3" s="1" t="s">
        <v>2809</v>
      </c>
      <c r="J3" s="1" t="s">
        <v>919</v>
      </c>
      <c r="K3" s="1">
        <v>38237090</v>
      </c>
      <c r="L3" s="6">
        <v>44</v>
      </c>
      <c r="M3" s="1" t="s">
        <v>70</v>
      </c>
      <c r="N3" s="7" t="s">
        <v>52</v>
      </c>
      <c r="O3" s="1" t="s">
        <v>53</v>
      </c>
      <c r="P3" s="8">
        <v>1700</v>
      </c>
      <c r="Q3" s="17">
        <f t="shared" ref="Q3:Q11" si="3">+L3*P3</f>
        <v>74800</v>
      </c>
      <c r="R3" s="9">
        <v>4200</v>
      </c>
      <c r="S3" s="9">
        <v>0</v>
      </c>
      <c r="T3" s="9">
        <v>0</v>
      </c>
      <c r="U3" s="10">
        <v>0</v>
      </c>
      <c r="V3" s="1" t="s">
        <v>46</v>
      </c>
      <c r="W3" s="1" t="s">
        <v>243</v>
      </c>
      <c r="X3" s="1">
        <v>1605039</v>
      </c>
      <c r="Y3" s="11">
        <v>41712</v>
      </c>
      <c r="Z3" s="11">
        <v>41714</v>
      </c>
      <c r="AA3" s="9">
        <f t="shared" si="0"/>
        <v>70600</v>
      </c>
      <c r="AB3" s="12">
        <v>61</v>
      </c>
      <c r="AC3" s="9">
        <f t="shared" ref="AC3:AC11" si="4">+Q3*AB3</f>
        <v>4562800</v>
      </c>
      <c r="AD3" s="9">
        <f t="shared" ref="AD3:AD11" si="5">+AA3*AB3</f>
        <v>4306600</v>
      </c>
      <c r="AE3" s="1" t="s">
        <v>48</v>
      </c>
      <c r="AF3" s="1" t="s">
        <v>53</v>
      </c>
      <c r="AG3" s="4">
        <f t="shared" si="1"/>
        <v>74800</v>
      </c>
      <c r="AH3" s="10">
        <v>74706.2</v>
      </c>
      <c r="AI3" s="10">
        <f>1969.68+1969.32</f>
        <v>3939</v>
      </c>
      <c r="AJ3" s="10">
        <v>0</v>
      </c>
      <c r="AK3" s="10">
        <v>0</v>
      </c>
      <c r="AL3" s="9">
        <f t="shared" si="2"/>
        <v>70767.199999999997</v>
      </c>
      <c r="AM3" s="1"/>
      <c r="AN3" s="1"/>
      <c r="AO3" s="12" t="e">
        <f>AB3/#REF!</f>
        <v>#REF!</v>
      </c>
      <c r="AP3" s="1" t="s">
        <v>1127</v>
      </c>
      <c r="AQ3" s="11">
        <v>41768</v>
      </c>
      <c r="AR3" s="1" t="s">
        <v>1128</v>
      </c>
      <c r="AS3" s="11">
        <v>41769</v>
      </c>
      <c r="AT3" s="1" t="s">
        <v>49</v>
      </c>
      <c r="AU3" s="1" t="s">
        <v>4171</v>
      </c>
    </row>
    <row r="4" spans="1:47" ht="15" customHeight="1" x14ac:dyDescent="0.25">
      <c r="A4" s="1">
        <v>3</v>
      </c>
      <c r="B4" s="1" t="s">
        <v>37</v>
      </c>
      <c r="C4" s="1" t="s">
        <v>38</v>
      </c>
      <c r="D4" s="1">
        <v>9103451697</v>
      </c>
      <c r="E4" s="5">
        <v>41739</v>
      </c>
      <c r="F4" s="1" t="s">
        <v>1129</v>
      </c>
      <c r="G4" s="1" t="s">
        <v>40</v>
      </c>
      <c r="H4" s="1" t="s">
        <v>41</v>
      </c>
      <c r="I4" s="1" t="s">
        <v>2809</v>
      </c>
      <c r="J4" s="1" t="s">
        <v>924</v>
      </c>
      <c r="K4" s="1">
        <v>38237090</v>
      </c>
      <c r="L4" s="6">
        <v>24</v>
      </c>
      <c r="M4" s="1" t="s">
        <v>70</v>
      </c>
      <c r="N4" s="7" t="s">
        <v>44</v>
      </c>
      <c r="O4" s="1" t="s">
        <v>53</v>
      </c>
      <c r="P4" s="8">
        <v>1915</v>
      </c>
      <c r="Q4" s="17">
        <f t="shared" si="3"/>
        <v>45960</v>
      </c>
      <c r="R4" s="9">
        <v>2500</v>
      </c>
      <c r="S4" s="9">
        <v>9.1</v>
      </c>
      <c r="T4" s="9">
        <v>0</v>
      </c>
      <c r="U4" s="10">
        <v>0</v>
      </c>
      <c r="V4" s="1" t="s">
        <v>46</v>
      </c>
      <c r="W4" s="1" t="s">
        <v>123</v>
      </c>
      <c r="X4" s="1">
        <v>1623808</v>
      </c>
      <c r="Y4" s="11">
        <v>41713</v>
      </c>
      <c r="Z4" s="11">
        <v>41716</v>
      </c>
      <c r="AA4" s="9">
        <f t="shared" si="0"/>
        <v>43450.9</v>
      </c>
      <c r="AB4" s="12">
        <v>61</v>
      </c>
      <c r="AC4" s="9">
        <f t="shared" si="4"/>
        <v>2803560</v>
      </c>
      <c r="AD4" s="9">
        <f t="shared" si="5"/>
        <v>2650504.9</v>
      </c>
      <c r="AE4" s="1" t="s">
        <v>48</v>
      </c>
      <c r="AF4" s="1" t="s">
        <v>53</v>
      </c>
      <c r="AG4" s="4">
        <f t="shared" si="1"/>
        <v>45960</v>
      </c>
      <c r="AH4" s="10">
        <v>45960</v>
      </c>
      <c r="AI4" s="10">
        <v>2563</v>
      </c>
      <c r="AJ4" s="10">
        <v>9.1</v>
      </c>
      <c r="AK4" s="10">
        <v>0</v>
      </c>
      <c r="AL4" s="9">
        <f t="shared" si="2"/>
        <v>43387.9</v>
      </c>
      <c r="AM4" s="1"/>
      <c r="AN4" s="1"/>
      <c r="AO4" s="12" t="e">
        <f>AB4/#REF!</f>
        <v>#REF!</v>
      </c>
      <c r="AP4" s="1" t="s">
        <v>1130</v>
      </c>
      <c r="AQ4" s="11">
        <v>41888</v>
      </c>
      <c r="AR4" s="1" t="s">
        <v>1131</v>
      </c>
      <c r="AS4" s="11">
        <v>41890</v>
      </c>
      <c r="AT4" s="1" t="s">
        <v>49</v>
      </c>
      <c r="AU4" s="1" t="s">
        <v>4171</v>
      </c>
    </row>
    <row r="5" spans="1:47" ht="15" customHeight="1" x14ac:dyDescent="0.25">
      <c r="A5" s="1">
        <v>4</v>
      </c>
      <c r="B5" s="1" t="s">
        <v>37</v>
      </c>
      <c r="C5" s="1" t="s">
        <v>38</v>
      </c>
      <c r="D5" s="1">
        <v>9103451707</v>
      </c>
      <c r="E5" s="5">
        <v>41732</v>
      </c>
      <c r="F5" s="1" t="s">
        <v>1132</v>
      </c>
      <c r="G5" s="1" t="s">
        <v>40</v>
      </c>
      <c r="H5" s="1" t="s">
        <v>41</v>
      </c>
      <c r="I5" s="1" t="s">
        <v>2810</v>
      </c>
      <c r="J5" s="1" t="s">
        <v>1116</v>
      </c>
      <c r="K5" s="1">
        <v>38237090</v>
      </c>
      <c r="L5" s="6">
        <v>55.67</v>
      </c>
      <c r="M5" s="1" t="s">
        <v>70</v>
      </c>
      <c r="N5" s="7" t="s">
        <v>67</v>
      </c>
      <c r="O5" s="1" t="s">
        <v>1117</v>
      </c>
      <c r="P5" s="8">
        <v>96820</v>
      </c>
      <c r="Q5" s="17">
        <f>+L5*P5</f>
        <v>5389969.4000000004</v>
      </c>
      <c r="R5" s="9">
        <v>0</v>
      </c>
      <c r="S5" s="9">
        <v>0</v>
      </c>
      <c r="T5" s="9">
        <v>0</v>
      </c>
      <c r="U5" s="10">
        <v>0</v>
      </c>
      <c r="V5" s="1" t="s">
        <v>46</v>
      </c>
      <c r="W5" s="1" t="s">
        <v>361</v>
      </c>
      <c r="X5" s="1">
        <v>1701036</v>
      </c>
      <c r="Y5" s="11">
        <v>41718</v>
      </c>
      <c r="Z5" s="11">
        <v>41719</v>
      </c>
      <c r="AA5" s="9">
        <f t="shared" si="0"/>
        <v>5389969.4000000004</v>
      </c>
      <c r="AB5" s="12">
        <v>1</v>
      </c>
      <c r="AC5" s="9">
        <f t="shared" si="4"/>
        <v>5389969.4000000004</v>
      </c>
      <c r="AD5" s="9">
        <f t="shared" si="5"/>
        <v>5389969.4000000004</v>
      </c>
      <c r="AE5" s="1" t="s">
        <v>4162</v>
      </c>
      <c r="AF5" s="1" t="s">
        <v>1117</v>
      </c>
      <c r="AG5" s="4">
        <f t="shared" si="1"/>
        <v>5389969.4000000004</v>
      </c>
      <c r="AH5" s="10">
        <v>5389969.4000000004</v>
      </c>
      <c r="AI5" s="10"/>
      <c r="AJ5" s="10"/>
      <c r="AK5" s="10"/>
      <c r="AL5" s="9">
        <f t="shared" si="2"/>
        <v>5389969.4000000004</v>
      </c>
      <c r="AM5" s="1"/>
      <c r="AN5" s="1"/>
      <c r="AO5" s="12" t="e">
        <f>AB5/#REF!</f>
        <v>#REF!</v>
      </c>
      <c r="AP5" s="1" t="s">
        <v>4143</v>
      </c>
      <c r="AQ5" s="11">
        <v>41778</v>
      </c>
      <c r="AR5" s="1" t="s">
        <v>4141</v>
      </c>
      <c r="AS5" s="11">
        <v>41779</v>
      </c>
      <c r="AT5" s="1" t="s">
        <v>49</v>
      </c>
      <c r="AU5" s="1" t="s">
        <v>4171</v>
      </c>
    </row>
    <row r="6" spans="1:47" ht="15" customHeight="1" x14ac:dyDescent="0.25">
      <c r="A6" s="1">
        <v>5</v>
      </c>
      <c r="B6" s="1" t="s">
        <v>37</v>
      </c>
      <c r="C6" s="1" t="s">
        <v>38</v>
      </c>
      <c r="D6" s="1">
        <v>9103451724</v>
      </c>
      <c r="E6" s="5">
        <v>41732</v>
      </c>
      <c r="F6" s="1" t="s">
        <v>1134</v>
      </c>
      <c r="G6" s="1" t="s">
        <v>40</v>
      </c>
      <c r="H6" s="1" t="s">
        <v>41</v>
      </c>
      <c r="I6" s="1" t="s">
        <v>2809</v>
      </c>
      <c r="J6" s="1" t="s">
        <v>50</v>
      </c>
      <c r="K6" s="1">
        <v>38237090</v>
      </c>
      <c r="L6" s="6">
        <v>56.14</v>
      </c>
      <c r="M6" s="1" t="s">
        <v>70</v>
      </c>
      <c r="N6" s="7" t="s">
        <v>52</v>
      </c>
      <c r="O6" s="1" t="s">
        <v>45</v>
      </c>
      <c r="P6" s="8">
        <v>1000</v>
      </c>
      <c r="Q6" s="17">
        <f t="shared" si="3"/>
        <v>56140</v>
      </c>
      <c r="R6" s="9">
        <v>2892.86</v>
      </c>
      <c r="S6" s="9">
        <v>0</v>
      </c>
      <c r="T6" s="9">
        <v>0</v>
      </c>
      <c r="U6" s="10">
        <v>0</v>
      </c>
      <c r="V6" s="1" t="s">
        <v>46</v>
      </c>
      <c r="W6" s="1" t="s">
        <v>2657</v>
      </c>
      <c r="X6" s="1">
        <v>1747057</v>
      </c>
      <c r="Y6" s="11">
        <v>41720</v>
      </c>
      <c r="Z6" s="11">
        <v>41724</v>
      </c>
      <c r="AA6" s="9">
        <f t="shared" si="0"/>
        <v>53247.14</v>
      </c>
      <c r="AB6" s="12">
        <v>83.65</v>
      </c>
      <c r="AC6" s="9">
        <f t="shared" si="4"/>
        <v>4696111</v>
      </c>
      <c r="AD6" s="9">
        <f t="shared" si="5"/>
        <v>4454123.2609999999</v>
      </c>
      <c r="AE6" s="1" t="s">
        <v>51</v>
      </c>
      <c r="AF6" s="1" t="s">
        <v>45</v>
      </c>
      <c r="AG6" s="4">
        <f t="shared" si="1"/>
        <v>56140</v>
      </c>
      <c r="AH6" s="10">
        <v>56010</v>
      </c>
      <c r="AI6" s="10">
        <v>1811.89</v>
      </c>
      <c r="AJ6" s="10">
        <v>0</v>
      </c>
      <c r="AK6" s="10">
        <v>0</v>
      </c>
      <c r="AL6" s="9">
        <f t="shared" si="2"/>
        <v>54198.11</v>
      </c>
      <c r="AM6" s="1"/>
      <c r="AN6" s="1"/>
      <c r="AO6" s="12" t="e">
        <f>AB6/#REF!</f>
        <v>#REF!</v>
      </c>
      <c r="AP6" s="1" t="s">
        <v>1135</v>
      </c>
      <c r="AQ6" s="11">
        <v>41744</v>
      </c>
      <c r="AR6" s="1" t="s">
        <v>1136</v>
      </c>
      <c r="AS6" s="11">
        <v>41843</v>
      </c>
      <c r="AT6" s="1" t="s">
        <v>49</v>
      </c>
      <c r="AU6" s="1" t="s">
        <v>4171</v>
      </c>
    </row>
    <row r="7" spans="1:47" ht="15" customHeight="1" x14ac:dyDescent="0.25">
      <c r="A7" s="1">
        <v>6</v>
      </c>
      <c r="B7" s="1" t="s">
        <v>37</v>
      </c>
      <c r="C7" s="1" t="s">
        <v>38</v>
      </c>
      <c r="D7" s="1">
        <v>9103451725</v>
      </c>
      <c r="E7" s="5">
        <v>41732</v>
      </c>
      <c r="F7" s="1" t="s">
        <v>1137</v>
      </c>
      <c r="G7" s="1" t="s">
        <v>40</v>
      </c>
      <c r="H7" s="1" t="s">
        <v>41</v>
      </c>
      <c r="I7" s="1" t="s">
        <v>2810</v>
      </c>
      <c r="J7" s="1" t="s">
        <v>1116</v>
      </c>
      <c r="K7" s="1">
        <v>38231200</v>
      </c>
      <c r="L7" s="6">
        <v>57.6</v>
      </c>
      <c r="M7" s="1" t="s">
        <v>70</v>
      </c>
      <c r="N7" s="7" t="s">
        <v>67</v>
      </c>
      <c r="O7" s="1" t="s">
        <v>1117</v>
      </c>
      <c r="P7" s="8">
        <v>82100</v>
      </c>
      <c r="Q7" s="17">
        <f t="shared" si="3"/>
        <v>4728960</v>
      </c>
      <c r="R7" s="9">
        <v>0</v>
      </c>
      <c r="S7" s="9">
        <v>0</v>
      </c>
      <c r="T7" s="9">
        <v>0</v>
      </c>
      <c r="U7" s="10">
        <v>0</v>
      </c>
      <c r="V7" s="1" t="s">
        <v>46</v>
      </c>
      <c r="W7" s="1" t="s">
        <v>361</v>
      </c>
      <c r="X7" s="1">
        <v>1748139</v>
      </c>
      <c r="Y7" s="11">
        <v>41720</v>
      </c>
      <c r="Z7" s="11">
        <v>41721</v>
      </c>
      <c r="AA7" s="9">
        <f t="shared" si="0"/>
        <v>4728960</v>
      </c>
      <c r="AB7" s="12">
        <v>1</v>
      </c>
      <c r="AC7" s="9">
        <f t="shared" si="4"/>
        <v>4728960</v>
      </c>
      <c r="AD7" s="9">
        <f t="shared" si="5"/>
        <v>4728960</v>
      </c>
      <c r="AE7" s="1" t="s">
        <v>4162</v>
      </c>
      <c r="AF7" s="1" t="s">
        <v>1117</v>
      </c>
      <c r="AG7" s="4">
        <f t="shared" si="1"/>
        <v>4728960</v>
      </c>
      <c r="AH7" s="10">
        <v>4728960</v>
      </c>
      <c r="AI7" s="10"/>
      <c r="AJ7" s="10"/>
      <c r="AK7" s="10"/>
      <c r="AL7" s="9">
        <f t="shared" si="2"/>
        <v>4728960</v>
      </c>
      <c r="AM7" s="1"/>
      <c r="AN7" s="1"/>
      <c r="AO7" s="12" t="e">
        <f>AB7/#REF!</f>
        <v>#REF!</v>
      </c>
      <c r="AP7" s="1" t="s">
        <v>4158</v>
      </c>
      <c r="AQ7" s="11">
        <v>41778</v>
      </c>
      <c r="AR7" s="1" t="s">
        <v>4157</v>
      </c>
      <c r="AS7" s="11">
        <v>41779</v>
      </c>
      <c r="AT7" s="1" t="s">
        <v>49</v>
      </c>
      <c r="AU7" s="1" t="s">
        <v>4171</v>
      </c>
    </row>
    <row r="8" spans="1:47" ht="15" customHeight="1" x14ac:dyDescent="0.25">
      <c r="A8" s="1">
        <v>7</v>
      </c>
      <c r="B8" s="1" t="s">
        <v>37</v>
      </c>
      <c r="C8" s="1" t="s">
        <v>38</v>
      </c>
      <c r="D8" s="1">
        <v>9103451728</v>
      </c>
      <c r="E8" s="5">
        <v>41731</v>
      </c>
      <c r="F8" s="1" t="s">
        <v>1138</v>
      </c>
      <c r="G8" s="1" t="s">
        <v>40</v>
      </c>
      <c r="H8" s="1" t="s">
        <v>41</v>
      </c>
      <c r="I8" s="1" t="s">
        <v>2809</v>
      </c>
      <c r="J8" s="1" t="s">
        <v>50</v>
      </c>
      <c r="K8" s="1">
        <v>38237090</v>
      </c>
      <c r="L8" s="6">
        <v>36.86</v>
      </c>
      <c r="M8" s="1" t="s">
        <v>70</v>
      </c>
      <c r="N8" s="7" t="s">
        <v>52</v>
      </c>
      <c r="O8" s="1" t="s">
        <v>45</v>
      </c>
      <c r="P8" s="8">
        <v>1000</v>
      </c>
      <c r="Q8" s="17">
        <f t="shared" si="3"/>
        <v>36860</v>
      </c>
      <c r="R8" s="9">
        <v>2259.2600000000002</v>
      </c>
      <c r="S8" s="9">
        <v>0</v>
      </c>
      <c r="T8" s="9">
        <v>0</v>
      </c>
      <c r="U8" s="10">
        <v>0</v>
      </c>
      <c r="V8" s="1" t="s">
        <v>46</v>
      </c>
      <c r="W8" s="1" t="s">
        <v>2657</v>
      </c>
      <c r="X8" s="1">
        <v>1820565</v>
      </c>
      <c r="Y8" s="11">
        <v>41724</v>
      </c>
      <c r="Z8" s="11">
        <v>41725</v>
      </c>
      <c r="AA8" s="9">
        <f t="shared" si="0"/>
        <v>34600.74</v>
      </c>
      <c r="AB8" s="12">
        <v>83.65</v>
      </c>
      <c r="AC8" s="9">
        <f t="shared" si="4"/>
        <v>3083339</v>
      </c>
      <c r="AD8" s="9">
        <f t="shared" si="5"/>
        <v>2894351.9010000001</v>
      </c>
      <c r="AE8" s="1" t="s">
        <v>51</v>
      </c>
      <c r="AF8" s="1" t="s">
        <v>45</v>
      </c>
      <c r="AG8" s="4">
        <f t="shared" si="1"/>
        <v>36860</v>
      </c>
      <c r="AH8" s="10">
        <v>36730</v>
      </c>
      <c r="AI8" s="10">
        <v>1811.89</v>
      </c>
      <c r="AJ8" s="10">
        <v>0</v>
      </c>
      <c r="AK8" s="10">
        <v>0</v>
      </c>
      <c r="AL8" s="9">
        <f t="shared" si="2"/>
        <v>34918.11</v>
      </c>
      <c r="AM8" s="1"/>
      <c r="AN8" s="1"/>
      <c r="AO8" s="12" t="e">
        <f>AB8/#REF!</f>
        <v>#REF!</v>
      </c>
      <c r="AP8" s="1" t="s">
        <v>1139</v>
      </c>
      <c r="AQ8" s="11">
        <v>41794</v>
      </c>
      <c r="AR8" s="1" t="s">
        <v>1140</v>
      </c>
      <c r="AS8" s="11">
        <v>41843</v>
      </c>
      <c r="AT8" s="1" t="s">
        <v>49</v>
      </c>
      <c r="AU8" s="1" t="s">
        <v>4171</v>
      </c>
    </row>
    <row r="9" spans="1:47" ht="15" customHeight="1" x14ac:dyDescent="0.25">
      <c r="A9" s="1">
        <v>8</v>
      </c>
      <c r="B9" s="1" t="s">
        <v>37</v>
      </c>
      <c r="C9" s="1" t="s">
        <v>38</v>
      </c>
      <c r="D9" s="1">
        <v>9103451737</v>
      </c>
      <c r="E9" s="5">
        <v>41732</v>
      </c>
      <c r="F9" s="1" t="s">
        <v>1142</v>
      </c>
      <c r="G9" s="1" t="s">
        <v>40</v>
      </c>
      <c r="H9" s="1" t="s">
        <v>41</v>
      </c>
      <c r="I9" s="1" t="s">
        <v>2809</v>
      </c>
      <c r="J9" s="1" t="s">
        <v>2716</v>
      </c>
      <c r="K9" s="1">
        <v>29159090</v>
      </c>
      <c r="L9" s="6">
        <v>19.829999999999998</v>
      </c>
      <c r="M9" s="1" t="s">
        <v>70</v>
      </c>
      <c r="N9" s="7" t="s">
        <v>44</v>
      </c>
      <c r="O9" s="1" t="s">
        <v>45</v>
      </c>
      <c r="P9" s="8">
        <v>1366</v>
      </c>
      <c r="Q9" s="17">
        <f t="shared" si="3"/>
        <v>27087.78</v>
      </c>
      <c r="R9" s="9">
        <v>1928.57</v>
      </c>
      <c r="S9" s="9">
        <v>5.36</v>
      </c>
      <c r="T9" s="9">
        <v>0</v>
      </c>
      <c r="U9" s="10">
        <v>0</v>
      </c>
      <c r="V9" s="1" t="s">
        <v>46</v>
      </c>
      <c r="W9" s="1" t="s">
        <v>47</v>
      </c>
      <c r="X9" s="1">
        <v>1824322</v>
      </c>
      <c r="Y9" s="11">
        <v>41724</v>
      </c>
      <c r="Z9" s="11">
        <v>41726</v>
      </c>
      <c r="AA9" s="9">
        <f t="shared" si="0"/>
        <v>25153.85</v>
      </c>
      <c r="AB9" s="12">
        <v>83.65</v>
      </c>
      <c r="AC9" s="9">
        <f t="shared" si="4"/>
        <v>2265892.7970000003</v>
      </c>
      <c r="AD9" s="9">
        <f t="shared" si="5"/>
        <v>2104119.5525000002</v>
      </c>
      <c r="AE9" s="1" t="s">
        <v>48</v>
      </c>
      <c r="AF9" s="1" t="s">
        <v>45</v>
      </c>
      <c r="AG9" s="4">
        <f t="shared" si="1"/>
        <v>27087.78</v>
      </c>
      <c r="AH9" s="10">
        <v>27047.78</v>
      </c>
      <c r="AI9" s="10">
        <v>1393.71</v>
      </c>
      <c r="AJ9" s="10">
        <v>5.36</v>
      </c>
      <c r="AK9" s="10">
        <v>0</v>
      </c>
      <c r="AL9" s="9">
        <f t="shared" si="2"/>
        <v>25648.71</v>
      </c>
      <c r="AM9" s="1"/>
      <c r="AN9" s="1"/>
      <c r="AO9" s="12" t="e">
        <f>AB9/#REF!</f>
        <v>#REF!</v>
      </c>
      <c r="AP9" s="1" t="s">
        <v>1143</v>
      </c>
      <c r="AQ9" s="11">
        <v>41778</v>
      </c>
      <c r="AR9" s="1" t="s">
        <v>1144</v>
      </c>
      <c r="AS9" s="11">
        <v>41779</v>
      </c>
      <c r="AT9" s="1" t="s">
        <v>49</v>
      </c>
      <c r="AU9" s="1" t="s">
        <v>4171</v>
      </c>
    </row>
    <row r="10" spans="1:47" ht="15" customHeight="1" x14ac:dyDescent="0.25">
      <c r="A10" s="1">
        <v>9</v>
      </c>
      <c r="B10" s="1" t="s">
        <v>37</v>
      </c>
      <c r="C10" s="1" t="s">
        <v>38</v>
      </c>
      <c r="D10" s="1" t="s">
        <v>1145</v>
      </c>
      <c r="E10" s="5">
        <v>41732</v>
      </c>
      <c r="F10" s="1" t="s">
        <v>1146</v>
      </c>
      <c r="G10" s="1" t="s">
        <v>40</v>
      </c>
      <c r="H10" s="1" t="s">
        <v>41</v>
      </c>
      <c r="I10" s="1" t="s">
        <v>2810</v>
      </c>
      <c r="J10" s="1" t="s">
        <v>1116</v>
      </c>
      <c r="K10" s="1">
        <v>38237090</v>
      </c>
      <c r="L10" s="6">
        <v>130.88999999999999</v>
      </c>
      <c r="M10" s="1" t="s">
        <v>70</v>
      </c>
      <c r="N10" s="7" t="s">
        <v>67</v>
      </c>
      <c r="O10" s="1" t="s">
        <v>1117</v>
      </c>
      <c r="P10" s="8">
        <v>111476</v>
      </c>
      <c r="Q10" s="17">
        <f t="shared" si="3"/>
        <v>14591093.639999999</v>
      </c>
      <c r="R10" s="9">
        <v>0</v>
      </c>
      <c r="S10" s="9">
        <v>0</v>
      </c>
      <c r="T10" s="9">
        <v>0</v>
      </c>
      <c r="U10" s="10">
        <v>0</v>
      </c>
      <c r="V10" s="1" t="s">
        <v>46</v>
      </c>
      <c r="W10" s="1" t="s">
        <v>361</v>
      </c>
      <c r="X10" s="1">
        <v>1806923</v>
      </c>
      <c r="Y10" s="11">
        <v>41724</v>
      </c>
      <c r="Z10" s="11">
        <v>41724</v>
      </c>
      <c r="AA10" s="9">
        <f t="shared" si="0"/>
        <v>14591093.639999999</v>
      </c>
      <c r="AB10" s="12">
        <v>1</v>
      </c>
      <c r="AC10" s="9">
        <f t="shared" si="4"/>
        <v>14591093.639999999</v>
      </c>
      <c r="AD10" s="9">
        <f t="shared" si="5"/>
        <v>14591093.639999999</v>
      </c>
      <c r="AE10" s="1" t="s">
        <v>4162</v>
      </c>
      <c r="AF10" s="1" t="s">
        <v>1117</v>
      </c>
      <c r="AG10" s="4">
        <f t="shared" si="1"/>
        <v>14591093.639999999</v>
      </c>
      <c r="AH10" s="10">
        <v>14591093.640000001</v>
      </c>
      <c r="AI10" s="10"/>
      <c r="AJ10" s="10"/>
      <c r="AK10" s="10"/>
      <c r="AL10" s="9">
        <f t="shared" si="2"/>
        <v>14591093.640000001</v>
      </c>
      <c r="AM10" s="1"/>
      <c r="AN10" s="1"/>
      <c r="AO10" s="12" t="e">
        <f>AB10/#REF!</f>
        <v>#REF!</v>
      </c>
      <c r="AP10" s="1" t="s">
        <v>4155</v>
      </c>
      <c r="AQ10" s="11" t="s">
        <v>4144</v>
      </c>
      <c r="AR10" s="1" t="s">
        <v>4156</v>
      </c>
      <c r="AS10" s="1" t="s">
        <v>4142</v>
      </c>
      <c r="AT10" s="1" t="s">
        <v>49</v>
      </c>
      <c r="AU10" s="1" t="s">
        <v>4171</v>
      </c>
    </row>
    <row r="11" spans="1:47" ht="15" customHeight="1" x14ac:dyDescent="0.25">
      <c r="A11" s="1">
        <v>10</v>
      </c>
      <c r="B11" s="1" t="s">
        <v>37</v>
      </c>
      <c r="C11" s="1" t="s">
        <v>38</v>
      </c>
      <c r="D11" s="1" t="s">
        <v>1145</v>
      </c>
      <c r="E11" s="5">
        <v>41732</v>
      </c>
      <c r="F11" s="1" t="s">
        <v>1147</v>
      </c>
      <c r="G11" s="1" t="s">
        <v>40</v>
      </c>
      <c r="H11" s="1" t="s">
        <v>41</v>
      </c>
      <c r="I11" s="1" t="s">
        <v>2810</v>
      </c>
      <c r="J11" s="1" t="s">
        <v>1116</v>
      </c>
      <c r="K11" s="1">
        <v>38237090</v>
      </c>
      <c r="L11" s="6">
        <v>75.17</v>
      </c>
      <c r="M11" s="1" t="s">
        <v>70</v>
      </c>
      <c r="N11" s="7" t="s">
        <v>67</v>
      </c>
      <c r="O11" s="1" t="s">
        <v>1117</v>
      </c>
      <c r="P11" s="8">
        <v>111476</v>
      </c>
      <c r="Q11" s="17">
        <f t="shared" si="3"/>
        <v>8379650.9199999999</v>
      </c>
      <c r="R11" s="9">
        <v>0</v>
      </c>
      <c r="S11" s="9">
        <v>0</v>
      </c>
      <c r="T11" s="9">
        <v>0</v>
      </c>
      <c r="U11" s="10">
        <v>0</v>
      </c>
      <c r="V11" s="1" t="s">
        <v>46</v>
      </c>
      <c r="W11" s="1" t="s">
        <v>361</v>
      </c>
      <c r="X11" s="1">
        <v>1820571</v>
      </c>
      <c r="Y11" s="11">
        <v>41724</v>
      </c>
      <c r="Z11" s="11">
        <v>41725</v>
      </c>
      <c r="AA11" s="9">
        <f t="shared" si="0"/>
        <v>8379650.9199999999</v>
      </c>
      <c r="AB11" s="12">
        <v>1</v>
      </c>
      <c r="AC11" s="9">
        <f t="shared" si="4"/>
        <v>8379650.9199999999</v>
      </c>
      <c r="AD11" s="9">
        <f t="shared" si="5"/>
        <v>8379650.9199999999</v>
      </c>
      <c r="AE11" s="1" t="s">
        <v>4162</v>
      </c>
      <c r="AF11" s="1" t="s">
        <v>1117</v>
      </c>
      <c r="AG11" s="4">
        <f t="shared" si="1"/>
        <v>8379650.9199999999</v>
      </c>
      <c r="AH11" s="10">
        <v>8379650.9199999999</v>
      </c>
      <c r="AI11" s="10"/>
      <c r="AJ11" s="10"/>
      <c r="AK11" s="10"/>
      <c r="AL11" s="9">
        <f t="shared" si="2"/>
        <v>8379650.9199999999</v>
      </c>
      <c r="AM11" s="1"/>
      <c r="AN11" s="1"/>
      <c r="AO11" s="12" t="e">
        <f>AB11/#REF!</f>
        <v>#REF!</v>
      </c>
      <c r="AP11" s="1" t="s">
        <v>4155</v>
      </c>
      <c r="AQ11" s="11" t="s">
        <v>4144</v>
      </c>
      <c r="AR11" s="1" t="s">
        <v>4154</v>
      </c>
      <c r="AS11" s="1" t="s">
        <v>4142</v>
      </c>
      <c r="AT11" s="1" t="s">
        <v>49</v>
      </c>
      <c r="AU11" s="1" t="s">
        <v>4171</v>
      </c>
    </row>
    <row r="12" spans="1:47" ht="15" customHeight="1" x14ac:dyDescent="0.25">
      <c r="A12" s="1">
        <v>11</v>
      </c>
      <c r="B12" s="1" t="s">
        <v>37</v>
      </c>
      <c r="C12" s="1" t="s">
        <v>38</v>
      </c>
      <c r="D12" s="1" t="s">
        <v>1148</v>
      </c>
      <c r="E12" s="5">
        <v>41731</v>
      </c>
      <c r="F12" s="1" t="s">
        <v>1149</v>
      </c>
      <c r="G12" s="1" t="s">
        <v>40</v>
      </c>
      <c r="H12" s="1" t="s">
        <v>41</v>
      </c>
      <c r="I12" s="1" t="s">
        <v>2809</v>
      </c>
      <c r="J12" s="1" t="s">
        <v>55</v>
      </c>
      <c r="K12" s="1">
        <v>38237090</v>
      </c>
      <c r="L12" s="6">
        <v>18.14</v>
      </c>
      <c r="M12" s="1" t="s">
        <v>70</v>
      </c>
      <c r="N12" s="7" t="s">
        <v>44</v>
      </c>
      <c r="O12" s="1" t="s">
        <v>53</v>
      </c>
      <c r="P12" s="8">
        <v>1575</v>
      </c>
      <c r="Q12" s="17">
        <f t="shared" ref="Q12:Q75" si="6">+L12*P12</f>
        <v>28570.5</v>
      </c>
      <c r="R12" s="9">
        <v>2175</v>
      </c>
      <c r="S12" s="9">
        <v>5.66</v>
      </c>
      <c r="T12" s="9">
        <v>0</v>
      </c>
      <c r="U12" s="10">
        <v>0</v>
      </c>
      <c r="V12" s="1" t="s">
        <v>46</v>
      </c>
      <c r="W12" s="1" t="s">
        <v>56</v>
      </c>
      <c r="X12" s="1">
        <v>1821609</v>
      </c>
      <c r="Y12" s="11">
        <v>41724</v>
      </c>
      <c r="Z12" s="11">
        <v>41725</v>
      </c>
      <c r="AA12" s="9">
        <f t="shared" ref="AA12:AA53" si="7">Q12-R12-S12</f>
        <v>26389.84</v>
      </c>
      <c r="AB12" s="12">
        <v>60.75</v>
      </c>
      <c r="AC12" s="9">
        <f t="shared" ref="AC12:AC52" si="8">+Q12*AB12</f>
        <v>1735657.875</v>
      </c>
      <c r="AD12" s="9">
        <f t="shared" ref="AD12:AD52" si="9">+AA12*AB12</f>
        <v>1603182.78</v>
      </c>
      <c r="AE12" s="1" t="s">
        <v>48</v>
      </c>
      <c r="AF12" s="1" t="s">
        <v>53</v>
      </c>
      <c r="AG12" s="4">
        <f t="shared" si="1"/>
        <v>28570.5</v>
      </c>
      <c r="AH12" s="10">
        <v>28570</v>
      </c>
      <c r="AI12" s="9">
        <v>2485</v>
      </c>
      <c r="AJ12" s="9">
        <v>5.66</v>
      </c>
      <c r="AK12" s="9">
        <v>0</v>
      </c>
      <c r="AL12" s="9">
        <f t="shared" si="2"/>
        <v>26079.34</v>
      </c>
      <c r="AM12" s="1"/>
      <c r="AN12" s="1"/>
      <c r="AO12" s="12" t="e">
        <f>AB12/#REF!</f>
        <v>#REF!</v>
      </c>
      <c r="AP12" s="1" t="s">
        <v>1150</v>
      </c>
      <c r="AQ12" s="11">
        <v>41789</v>
      </c>
      <c r="AR12" s="1" t="s">
        <v>1151</v>
      </c>
      <c r="AS12" s="11">
        <v>41790</v>
      </c>
      <c r="AT12" s="1" t="s">
        <v>49</v>
      </c>
      <c r="AU12" s="1" t="s">
        <v>4171</v>
      </c>
    </row>
    <row r="13" spans="1:47" ht="15" customHeight="1" x14ac:dyDescent="0.25">
      <c r="A13" s="1">
        <v>12</v>
      </c>
      <c r="B13" s="1" t="s">
        <v>37</v>
      </c>
      <c r="C13" s="1" t="s">
        <v>38</v>
      </c>
      <c r="D13" s="1" t="s">
        <v>1148</v>
      </c>
      <c r="E13" s="5">
        <v>41731</v>
      </c>
      <c r="F13" s="1" t="s">
        <v>1152</v>
      </c>
      <c r="G13" s="1" t="s">
        <v>40</v>
      </c>
      <c r="H13" s="1" t="s">
        <v>41</v>
      </c>
      <c r="I13" s="1" t="s">
        <v>2809</v>
      </c>
      <c r="J13" s="1" t="s">
        <v>55</v>
      </c>
      <c r="K13" s="1">
        <v>38237090</v>
      </c>
      <c r="L13" s="6">
        <v>18.14</v>
      </c>
      <c r="M13" s="1" t="s">
        <v>70</v>
      </c>
      <c r="N13" s="7" t="s">
        <v>44</v>
      </c>
      <c r="O13" s="1" t="s">
        <v>53</v>
      </c>
      <c r="P13" s="8">
        <v>1575</v>
      </c>
      <c r="Q13" s="17">
        <f t="shared" si="6"/>
        <v>28570.5</v>
      </c>
      <c r="R13" s="9">
        <v>2175</v>
      </c>
      <c r="S13" s="9">
        <v>5.66</v>
      </c>
      <c r="T13" s="9">
        <v>0</v>
      </c>
      <c r="U13" s="10">
        <v>0</v>
      </c>
      <c r="V13" s="1" t="s">
        <v>46</v>
      </c>
      <c r="W13" s="1" t="s">
        <v>56</v>
      </c>
      <c r="X13" s="1">
        <v>1840361</v>
      </c>
      <c r="Y13" s="11">
        <v>41725</v>
      </c>
      <c r="Z13" s="11">
        <v>41726</v>
      </c>
      <c r="AA13" s="9">
        <f t="shared" si="7"/>
        <v>26389.84</v>
      </c>
      <c r="AB13" s="12">
        <v>60.75</v>
      </c>
      <c r="AC13" s="9">
        <f t="shared" si="8"/>
        <v>1735657.875</v>
      </c>
      <c r="AD13" s="9">
        <f t="shared" si="9"/>
        <v>1603182.78</v>
      </c>
      <c r="AE13" s="1" t="s">
        <v>48</v>
      </c>
      <c r="AF13" s="1" t="s">
        <v>53</v>
      </c>
      <c r="AG13" s="4">
        <f t="shared" si="1"/>
        <v>28570.5</v>
      </c>
      <c r="AH13" s="10">
        <v>28571</v>
      </c>
      <c r="AI13" s="9">
        <v>2485</v>
      </c>
      <c r="AJ13" s="9">
        <v>5.65</v>
      </c>
      <c r="AK13" s="9">
        <v>0</v>
      </c>
      <c r="AL13" s="9">
        <f t="shared" si="2"/>
        <v>26080.35</v>
      </c>
      <c r="AM13" s="1"/>
      <c r="AN13" s="1"/>
      <c r="AO13" s="12" t="e">
        <f>AB13/#REF!</f>
        <v>#REF!</v>
      </c>
      <c r="AP13" s="1" t="s">
        <v>1150</v>
      </c>
      <c r="AQ13" s="11">
        <v>41789</v>
      </c>
      <c r="AR13" s="1" t="s">
        <v>1153</v>
      </c>
      <c r="AS13" s="11">
        <v>41790</v>
      </c>
      <c r="AT13" s="1" t="s">
        <v>49</v>
      </c>
      <c r="AU13" s="1" t="s">
        <v>4171</v>
      </c>
    </row>
    <row r="14" spans="1:47" ht="15" customHeight="1" x14ac:dyDescent="0.25">
      <c r="A14" s="1">
        <v>13</v>
      </c>
      <c r="B14" s="1" t="s">
        <v>37</v>
      </c>
      <c r="C14" s="1" t="s">
        <v>38</v>
      </c>
      <c r="D14" s="1">
        <v>9103451752</v>
      </c>
      <c r="E14" s="5">
        <v>41731</v>
      </c>
      <c r="F14" s="1" t="s">
        <v>1154</v>
      </c>
      <c r="G14" s="1" t="s">
        <v>40</v>
      </c>
      <c r="H14" s="1" t="s">
        <v>41</v>
      </c>
      <c r="I14" s="1" t="s">
        <v>2809</v>
      </c>
      <c r="J14" s="1" t="s">
        <v>55</v>
      </c>
      <c r="K14" s="1">
        <v>38237090</v>
      </c>
      <c r="L14" s="6">
        <v>36.28</v>
      </c>
      <c r="M14" s="1" t="s">
        <v>70</v>
      </c>
      <c r="N14" s="7" t="s">
        <v>44</v>
      </c>
      <c r="O14" s="1" t="s">
        <v>53</v>
      </c>
      <c r="P14" s="8">
        <v>1600</v>
      </c>
      <c r="Q14" s="17">
        <f t="shared" si="6"/>
        <v>58048</v>
      </c>
      <c r="R14" s="9">
        <v>4350</v>
      </c>
      <c r="S14" s="9">
        <v>11.49</v>
      </c>
      <c r="T14" s="9">
        <v>0</v>
      </c>
      <c r="U14" s="10">
        <v>0</v>
      </c>
      <c r="V14" s="1" t="s">
        <v>46</v>
      </c>
      <c r="W14" s="1" t="s">
        <v>56</v>
      </c>
      <c r="X14" s="1">
        <v>1820226</v>
      </c>
      <c r="Y14" s="11">
        <v>41724</v>
      </c>
      <c r="Z14" s="11">
        <v>41725</v>
      </c>
      <c r="AA14" s="9">
        <f t="shared" si="7"/>
        <v>53686.51</v>
      </c>
      <c r="AB14" s="12">
        <v>60.75</v>
      </c>
      <c r="AC14" s="9">
        <f t="shared" si="8"/>
        <v>3526416</v>
      </c>
      <c r="AD14" s="9">
        <f t="shared" si="9"/>
        <v>3261455.4824999999</v>
      </c>
      <c r="AE14" s="1" t="s">
        <v>48</v>
      </c>
      <c r="AF14" s="1" t="s">
        <v>53</v>
      </c>
      <c r="AG14" s="4">
        <f t="shared" si="1"/>
        <v>58048</v>
      </c>
      <c r="AH14" s="10">
        <v>58048</v>
      </c>
      <c r="AI14" s="10">
        <v>4970</v>
      </c>
      <c r="AJ14" s="10">
        <v>11.49</v>
      </c>
      <c r="AK14" s="10">
        <v>0</v>
      </c>
      <c r="AL14" s="9">
        <f t="shared" si="2"/>
        <v>53066.51</v>
      </c>
      <c r="AM14" s="1"/>
      <c r="AN14" s="1"/>
      <c r="AO14" s="12" t="e">
        <f>AB14/#REF!</f>
        <v>#REF!</v>
      </c>
      <c r="AP14" s="1" t="s">
        <v>1155</v>
      </c>
      <c r="AQ14" s="11">
        <v>41789</v>
      </c>
      <c r="AR14" s="1" t="s">
        <v>1156</v>
      </c>
      <c r="AS14" s="11">
        <v>41790</v>
      </c>
      <c r="AT14" s="1" t="s">
        <v>49</v>
      </c>
      <c r="AU14" s="1" t="s">
        <v>4171</v>
      </c>
    </row>
    <row r="15" spans="1:47" ht="15" customHeight="1" x14ac:dyDescent="0.25">
      <c r="A15" s="1">
        <v>14</v>
      </c>
      <c r="B15" s="1" t="s">
        <v>37</v>
      </c>
      <c r="C15" s="1" t="s">
        <v>38</v>
      </c>
      <c r="D15" s="1" t="s">
        <v>1157</v>
      </c>
      <c r="E15" s="5">
        <v>41732</v>
      </c>
      <c r="F15" s="1" t="s">
        <v>1158</v>
      </c>
      <c r="G15" s="1" t="s">
        <v>40</v>
      </c>
      <c r="H15" s="1" t="s">
        <v>41</v>
      </c>
      <c r="I15" s="1" t="s">
        <v>2809</v>
      </c>
      <c r="J15" s="1" t="s">
        <v>386</v>
      </c>
      <c r="K15" s="1">
        <v>38237090</v>
      </c>
      <c r="L15" s="6">
        <v>98.49</v>
      </c>
      <c r="M15" s="1" t="s">
        <v>70</v>
      </c>
      <c r="N15" s="7" t="s">
        <v>52</v>
      </c>
      <c r="O15" s="1" t="s">
        <v>53</v>
      </c>
      <c r="P15" s="8">
        <v>1858</v>
      </c>
      <c r="Q15" s="17">
        <f t="shared" si="6"/>
        <v>182994.41999999998</v>
      </c>
      <c r="R15" s="9">
        <v>5750</v>
      </c>
      <c r="S15" s="9">
        <v>0</v>
      </c>
      <c r="T15" s="9">
        <v>0</v>
      </c>
      <c r="U15" s="10">
        <v>0</v>
      </c>
      <c r="V15" s="1" t="s">
        <v>46</v>
      </c>
      <c r="W15" s="1" t="s">
        <v>241</v>
      </c>
      <c r="X15" s="1">
        <v>1800152</v>
      </c>
      <c r="Y15" s="11">
        <v>41723</v>
      </c>
      <c r="Z15" s="11">
        <v>41725</v>
      </c>
      <c r="AA15" s="9">
        <f t="shared" si="7"/>
        <v>177244.41999999998</v>
      </c>
      <c r="AB15" s="12">
        <v>60.75</v>
      </c>
      <c r="AC15" s="9">
        <f t="shared" si="8"/>
        <v>11116911.014999999</v>
      </c>
      <c r="AD15" s="9">
        <f t="shared" si="9"/>
        <v>10767598.514999999</v>
      </c>
      <c r="AE15" s="1" t="s">
        <v>51</v>
      </c>
      <c r="AF15" s="1" t="s">
        <v>53</v>
      </c>
      <c r="AG15" s="4">
        <f t="shared" si="1"/>
        <v>182994.41999999998</v>
      </c>
      <c r="AH15" s="10">
        <v>182994</v>
      </c>
      <c r="AI15" s="10">
        <v>4520</v>
      </c>
      <c r="AJ15" s="10">
        <v>0</v>
      </c>
      <c r="AK15" s="10">
        <v>0</v>
      </c>
      <c r="AL15" s="9">
        <f t="shared" si="2"/>
        <v>178474</v>
      </c>
      <c r="AM15" s="1"/>
      <c r="AN15" s="1"/>
      <c r="AO15" s="12" t="e">
        <f>AB15/#REF!</f>
        <v>#REF!</v>
      </c>
      <c r="AP15" s="1" t="s">
        <v>1159</v>
      </c>
      <c r="AQ15" s="11">
        <v>41815</v>
      </c>
      <c r="AR15" s="1" t="s">
        <v>1160</v>
      </c>
      <c r="AS15" s="11">
        <v>41905</v>
      </c>
      <c r="AT15" s="1" t="s">
        <v>49</v>
      </c>
      <c r="AU15" s="1" t="s">
        <v>4171</v>
      </c>
    </row>
    <row r="16" spans="1:47" ht="15" customHeight="1" x14ac:dyDescent="0.25">
      <c r="A16" s="1">
        <v>15</v>
      </c>
      <c r="B16" s="1" t="s">
        <v>37</v>
      </c>
      <c r="C16" s="1" t="s">
        <v>38</v>
      </c>
      <c r="D16" s="1" t="s">
        <v>1157</v>
      </c>
      <c r="E16" s="5">
        <v>41732</v>
      </c>
      <c r="F16" s="1" t="s">
        <v>1146</v>
      </c>
      <c r="G16" s="1" t="s">
        <v>40</v>
      </c>
      <c r="H16" s="1" t="s">
        <v>41</v>
      </c>
      <c r="I16" s="1" t="s">
        <v>2809</v>
      </c>
      <c r="J16" s="1" t="s">
        <v>386</v>
      </c>
      <c r="K16" s="1">
        <v>38237090</v>
      </c>
      <c r="L16" s="6">
        <v>39.53</v>
      </c>
      <c r="M16" s="1" t="s">
        <v>70</v>
      </c>
      <c r="N16" s="7" t="s">
        <v>52</v>
      </c>
      <c r="O16" s="1" t="s">
        <v>53</v>
      </c>
      <c r="P16" s="8">
        <v>1858</v>
      </c>
      <c r="Q16" s="17">
        <f t="shared" si="6"/>
        <v>73446.740000000005</v>
      </c>
      <c r="R16" s="9">
        <v>2300</v>
      </c>
      <c r="S16" s="9">
        <v>0</v>
      </c>
      <c r="T16" s="9">
        <v>0</v>
      </c>
      <c r="U16" s="10">
        <v>0</v>
      </c>
      <c r="V16" s="1" t="s">
        <v>46</v>
      </c>
      <c r="W16" s="1" t="s">
        <v>241</v>
      </c>
      <c r="X16" s="1">
        <v>1818567</v>
      </c>
      <c r="Y16" s="11">
        <v>41724</v>
      </c>
      <c r="Z16" s="11">
        <v>41726</v>
      </c>
      <c r="AA16" s="9">
        <f t="shared" si="7"/>
        <v>71146.740000000005</v>
      </c>
      <c r="AB16" s="12">
        <v>60.75</v>
      </c>
      <c r="AC16" s="9">
        <f t="shared" si="8"/>
        <v>4461889.4550000001</v>
      </c>
      <c r="AD16" s="9">
        <f t="shared" si="9"/>
        <v>4322164.4550000001</v>
      </c>
      <c r="AE16" s="1" t="s">
        <v>51</v>
      </c>
      <c r="AF16" s="1" t="s">
        <v>53</v>
      </c>
      <c r="AG16" s="4">
        <f t="shared" si="1"/>
        <v>73446.740000000005</v>
      </c>
      <c r="AH16" s="10">
        <v>73447</v>
      </c>
      <c r="AI16" s="10">
        <v>2300</v>
      </c>
      <c r="AJ16" s="10">
        <v>0</v>
      </c>
      <c r="AK16" s="10">
        <v>0</v>
      </c>
      <c r="AL16" s="9">
        <f t="shared" si="2"/>
        <v>71147</v>
      </c>
      <c r="AM16" s="1"/>
      <c r="AN16" s="1"/>
      <c r="AO16" s="12" t="e">
        <f>AB16/#REF!</f>
        <v>#REF!</v>
      </c>
      <c r="AP16" s="1" t="s">
        <v>1159</v>
      </c>
      <c r="AQ16" s="11">
        <v>41815</v>
      </c>
      <c r="AR16" s="1" t="s">
        <v>1161</v>
      </c>
      <c r="AS16" s="11">
        <v>41864</v>
      </c>
      <c r="AT16" s="1" t="s">
        <v>49</v>
      </c>
      <c r="AU16" s="1" t="s">
        <v>4171</v>
      </c>
    </row>
    <row r="17" spans="1:47" ht="15" customHeight="1" x14ac:dyDescent="0.25">
      <c r="A17" s="1">
        <v>16</v>
      </c>
      <c r="B17" s="1" t="s">
        <v>37</v>
      </c>
      <c r="C17" s="1" t="s">
        <v>38</v>
      </c>
      <c r="D17" s="1">
        <v>9103451763</v>
      </c>
      <c r="E17" s="5">
        <v>41736</v>
      </c>
      <c r="F17" s="1" t="s">
        <v>1162</v>
      </c>
      <c r="G17" s="1" t="s">
        <v>40</v>
      </c>
      <c r="H17" s="1" t="s">
        <v>41</v>
      </c>
      <c r="I17" s="1" t="s">
        <v>2809</v>
      </c>
      <c r="J17" s="1" t="s">
        <v>43</v>
      </c>
      <c r="K17" s="1">
        <v>38231900</v>
      </c>
      <c r="L17" s="6">
        <v>20.2</v>
      </c>
      <c r="M17" s="1" t="s">
        <v>70</v>
      </c>
      <c r="N17" s="7" t="s">
        <v>44</v>
      </c>
      <c r="O17" s="1" t="s">
        <v>45</v>
      </c>
      <c r="P17" s="8">
        <v>2670</v>
      </c>
      <c r="Q17" s="17">
        <f t="shared" si="6"/>
        <v>53934</v>
      </c>
      <c r="R17" s="9">
        <v>1379.76</v>
      </c>
      <c r="S17" s="9">
        <v>10.68</v>
      </c>
      <c r="T17" s="9">
        <v>0</v>
      </c>
      <c r="U17" s="10">
        <v>0</v>
      </c>
      <c r="V17" s="1" t="s">
        <v>46</v>
      </c>
      <c r="W17" s="1" t="s">
        <v>47</v>
      </c>
      <c r="X17" s="1">
        <v>1775457</v>
      </c>
      <c r="Y17" s="11">
        <v>41722</v>
      </c>
      <c r="Z17" s="11">
        <v>41723</v>
      </c>
      <c r="AA17" s="9">
        <f t="shared" si="7"/>
        <v>52543.56</v>
      </c>
      <c r="AB17" s="12">
        <v>83.65</v>
      </c>
      <c r="AC17" s="9">
        <f t="shared" si="8"/>
        <v>4511579.1000000006</v>
      </c>
      <c r="AD17" s="9">
        <f t="shared" si="9"/>
        <v>4395268.7939999998</v>
      </c>
      <c r="AE17" s="1" t="s">
        <v>57</v>
      </c>
      <c r="AF17" s="1" t="s">
        <v>45</v>
      </c>
      <c r="AG17" s="4">
        <f t="shared" si="1"/>
        <v>53934</v>
      </c>
      <c r="AH17" s="10">
        <v>53934</v>
      </c>
      <c r="AI17" s="9">
        <v>1410.21</v>
      </c>
      <c r="AJ17" s="9">
        <v>10.68</v>
      </c>
      <c r="AK17" s="9">
        <v>0</v>
      </c>
      <c r="AL17" s="9">
        <f t="shared" si="2"/>
        <v>52513.11</v>
      </c>
      <c r="AM17" s="1"/>
      <c r="AN17" s="1"/>
      <c r="AO17" s="12" t="e">
        <f>AB17/#REF!</f>
        <v>#REF!</v>
      </c>
      <c r="AP17" s="1" t="s">
        <v>3300</v>
      </c>
      <c r="AQ17" s="11">
        <v>42090</v>
      </c>
      <c r="AR17" s="1" t="s">
        <v>3301</v>
      </c>
      <c r="AS17" s="11">
        <v>42118</v>
      </c>
      <c r="AT17" s="1" t="s">
        <v>49</v>
      </c>
      <c r="AU17" s="1" t="s">
        <v>4171</v>
      </c>
    </row>
    <row r="18" spans="1:47" ht="15" customHeight="1" x14ac:dyDescent="0.25">
      <c r="A18" s="1">
        <v>17</v>
      </c>
      <c r="B18" s="1" t="s">
        <v>37</v>
      </c>
      <c r="C18" s="1" t="s">
        <v>38</v>
      </c>
      <c r="D18" s="1">
        <v>9103451764</v>
      </c>
      <c r="E18" s="5">
        <v>41732</v>
      </c>
      <c r="F18" s="1" t="s">
        <v>1163</v>
      </c>
      <c r="G18" s="1" t="s">
        <v>40</v>
      </c>
      <c r="H18" s="1" t="s">
        <v>41</v>
      </c>
      <c r="I18" s="1" t="s">
        <v>2809</v>
      </c>
      <c r="J18" s="1" t="s">
        <v>307</v>
      </c>
      <c r="K18" s="1">
        <v>38237090</v>
      </c>
      <c r="L18" s="6">
        <v>8.4</v>
      </c>
      <c r="M18" s="1" t="s">
        <v>70</v>
      </c>
      <c r="N18" s="7" t="s">
        <v>52</v>
      </c>
      <c r="O18" s="1" t="s">
        <v>53</v>
      </c>
      <c r="P18" s="8">
        <v>4605</v>
      </c>
      <c r="Q18" s="17">
        <f t="shared" si="6"/>
        <v>38682</v>
      </c>
      <c r="R18" s="9">
        <v>1600</v>
      </c>
      <c r="S18" s="9">
        <v>0</v>
      </c>
      <c r="T18" s="9">
        <v>0</v>
      </c>
      <c r="U18" s="10">
        <v>0</v>
      </c>
      <c r="V18" s="1" t="s">
        <v>46</v>
      </c>
      <c r="W18" s="1" t="s">
        <v>308</v>
      </c>
      <c r="X18" s="1">
        <v>1871813</v>
      </c>
      <c r="Y18" s="11">
        <v>41726</v>
      </c>
      <c r="Z18" s="11">
        <v>41727</v>
      </c>
      <c r="AA18" s="9">
        <f t="shared" si="7"/>
        <v>37082</v>
      </c>
      <c r="AB18" s="12">
        <v>60.75</v>
      </c>
      <c r="AC18" s="9">
        <f t="shared" si="8"/>
        <v>2349931.5</v>
      </c>
      <c r="AD18" s="9">
        <f t="shared" si="9"/>
        <v>2252731.5</v>
      </c>
      <c r="AE18" s="1" t="s">
        <v>48</v>
      </c>
      <c r="AF18" s="1" t="s">
        <v>53</v>
      </c>
      <c r="AG18" s="4">
        <f t="shared" si="1"/>
        <v>38682</v>
      </c>
      <c r="AH18" s="10">
        <v>38637</v>
      </c>
      <c r="AI18" s="10">
        <v>1680</v>
      </c>
      <c r="AJ18" s="10">
        <v>0</v>
      </c>
      <c r="AK18" s="10">
        <v>0</v>
      </c>
      <c r="AL18" s="9">
        <f t="shared" si="2"/>
        <v>36957</v>
      </c>
      <c r="AM18" s="1"/>
      <c r="AN18" s="1"/>
      <c r="AO18" s="12" t="e">
        <f>AB18/#REF!</f>
        <v>#REF!</v>
      </c>
      <c r="AP18" s="1" t="s">
        <v>1164</v>
      </c>
      <c r="AQ18" s="11">
        <v>41835</v>
      </c>
      <c r="AR18" s="1" t="s">
        <v>1165</v>
      </c>
      <c r="AS18" s="11">
        <v>41836</v>
      </c>
      <c r="AT18" s="1" t="s">
        <v>49</v>
      </c>
      <c r="AU18" s="1" t="s">
        <v>4171</v>
      </c>
    </row>
    <row r="19" spans="1:47" ht="15" customHeight="1" x14ac:dyDescent="0.25">
      <c r="A19" s="1">
        <v>18</v>
      </c>
      <c r="B19" s="1" t="s">
        <v>37</v>
      </c>
      <c r="C19" s="1" t="s">
        <v>38</v>
      </c>
      <c r="D19" s="1">
        <v>9103451766</v>
      </c>
      <c r="E19" s="5">
        <v>41732</v>
      </c>
      <c r="F19" s="1" t="s">
        <v>1166</v>
      </c>
      <c r="G19" s="1" t="s">
        <v>40</v>
      </c>
      <c r="H19" s="1" t="s">
        <v>41</v>
      </c>
      <c r="I19" s="1" t="s">
        <v>2809</v>
      </c>
      <c r="J19" s="1" t="s">
        <v>50</v>
      </c>
      <c r="K19" s="1">
        <v>38237090</v>
      </c>
      <c r="L19" s="6">
        <v>24</v>
      </c>
      <c r="M19" s="1" t="s">
        <v>70</v>
      </c>
      <c r="N19" s="7" t="s">
        <v>52</v>
      </c>
      <c r="O19" s="1" t="s">
        <v>53</v>
      </c>
      <c r="P19" s="8">
        <v>1680</v>
      </c>
      <c r="Q19" s="17">
        <f t="shared" si="6"/>
        <v>40320</v>
      </c>
      <c r="R19" s="9">
        <v>1600</v>
      </c>
      <c r="S19" s="9">
        <v>0</v>
      </c>
      <c r="T19" s="9">
        <v>0</v>
      </c>
      <c r="U19" s="10">
        <v>0</v>
      </c>
      <c r="V19" s="1" t="s">
        <v>46</v>
      </c>
      <c r="W19" s="1" t="s">
        <v>223</v>
      </c>
      <c r="X19" s="1">
        <v>1841254</v>
      </c>
      <c r="Y19" s="11">
        <v>41725</v>
      </c>
      <c r="Z19" s="11">
        <v>41727</v>
      </c>
      <c r="AA19" s="9">
        <f t="shared" si="7"/>
        <v>38720</v>
      </c>
      <c r="AB19" s="12">
        <v>60.75</v>
      </c>
      <c r="AC19" s="9">
        <f t="shared" si="8"/>
        <v>2449440</v>
      </c>
      <c r="AD19" s="9">
        <f t="shared" si="9"/>
        <v>2352240</v>
      </c>
      <c r="AE19" s="1" t="s">
        <v>51</v>
      </c>
      <c r="AF19" s="1" t="s">
        <v>53</v>
      </c>
      <c r="AG19" s="4">
        <f t="shared" si="1"/>
        <v>40320</v>
      </c>
      <c r="AH19" s="10">
        <v>40142</v>
      </c>
      <c r="AI19" s="10">
        <v>1755</v>
      </c>
      <c r="AJ19" s="10">
        <v>0</v>
      </c>
      <c r="AK19" s="10">
        <v>0</v>
      </c>
      <c r="AL19" s="9">
        <f t="shared" si="2"/>
        <v>38387</v>
      </c>
      <c r="AM19" s="1"/>
      <c r="AN19" s="1"/>
      <c r="AO19" s="12" t="e">
        <f>AB19/#REF!</f>
        <v>#REF!</v>
      </c>
      <c r="AP19" s="1" t="s">
        <v>1167</v>
      </c>
      <c r="AQ19" s="11">
        <v>41794</v>
      </c>
      <c r="AR19" s="1" t="s">
        <v>1168</v>
      </c>
      <c r="AS19" s="11">
        <v>41843</v>
      </c>
      <c r="AT19" s="1" t="s">
        <v>49</v>
      </c>
      <c r="AU19" s="1" t="s">
        <v>4171</v>
      </c>
    </row>
    <row r="20" spans="1:47" ht="15" customHeight="1" x14ac:dyDescent="0.25">
      <c r="A20" s="1">
        <v>19</v>
      </c>
      <c r="B20" s="1" t="s">
        <v>37</v>
      </c>
      <c r="C20" s="1" t="s">
        <v>38</v>
      </c>
      <c r="D20" s="1">
        <v>9103451767</v>
      </c>
      <c r="E20" s="5">
        <v>41737</v>
      </c>
      <c r="F20" s="1" t="s">
        <v>1169</v>
      </c>
      <c r="G20" s="1" t="s">
        <v>40</v>
      </c>
      <c r="H20" s="1" t="s">
        <v>41</v>
      </c>
      <c r="I20" s="1" t="s">
        <v>2809</v>
      </c>
      <c r="J20" s="1" t="s">
        <v>2716</v>
      </c>
      <c r="K20" s="1">
        <v>38237090</v>
      </c>
      <c r="L20" s="6">
        <v>12</v>
      </c>
      <c r="M20" s="1" t="s">
        <v>70</v>
      </c>
      <c r="N20" s="7" t="s">
        <v>44</v>
      </c>
      <c r="O20" s="1" t="s">
        <v>53</v>
      </c>
      <c r="P20" s="8">
        <v>1750</v>
      </c>
      <c r="Q20" s="17">
        <f t="shared" si="6"/>
        <v>21000</v>
      </c>
      <c r="R20" s="9">
        <v>1300</v>
      </c>
      <c r="S20" s="9">
        <v>4.16</v>
      </c>
      <c r="T20" s="9">
        <v>0</v>
      </c>
      <c r="U20" s="10">
        <v>0</v>
      </c>
      <c r="V20" s="1" t="s">
        <v>46</v>
      </c>
      <c r="W20" s="1" t="s">
        <v>47</v>
      </c>
      <c r="X20" s="1">
        <v>1871814</v>
      </c>
      <c r="Y20" s="11">
        <v>41726</v>
      </c>
      <c r="Z20" s="11">
        <v>41728</v>
      </c>
      <c r="AA20" s="9">
        <f t="shared" si="7"/>
        <v>19695.84</v>
      </c>
      <c r="AB20" s="12">
        <v>60.75</v>
      </c>
      <c r="AC20" s="9">
        <f t="shared" si="8"/>
        <v>1275750</v>
      </c>
      <c r="AD20" s="9">
        <f t="shared" si="9"/>
        <v>1196522.28</v>
      </c>
      <c r="AE20" s="1" t="s">
        <v>48</v>
      </c>
      <c r="AF20" s="1" t="s">
        <v>53</v>
      </c>
      <c r="AG20" s="4">
        <f t="shared" si="1"/>
        <v>21000</v>
      </c>
      <c r="AH20" s="10">
        <v>20990</v>
      </c>
      <c r="AI20" s="9">
        <v>1390</v>
      </c>
      <c r="AJ20" s="9">
        <v>4.16</v>
      </c>
      <c r="AK20" s="9">
        <v>0</v>
      </c>
      <c r="AL20" s="9">
        <f t="shared" si="2"/>
        <v>19595.84</v>
      </c>
      <c r="AM20" s="1"/>
      <c r="AN20" s="1"/>
      <c r="AO20" s="12" t="e">
        <f>AB20/#REF!</f>
        <v>#REF!</v>
      </c>
      <c r="AP20" s="1" t="s">
        <v>1170</v>
      </c>
      <c r="AQ20" s="11">
        <v>41792</v>
      </c>
      <c r="AR20" s="1" t="s">
        <v>1171</v>
      </c>
      <c r="AS20" s="11">
        <v>41793</v>
      </c>
      <c r="AT20" s="1" t="s">
        <v>49</v>
      </c>
      <c r="AU20" s="1" t="s">
        <v>4171</v>
      </c>
    </row>
    <row r="21" spans="1:47" ht="15" customHeight="1" x14ac:dyDescent="0.25">
      <c r="A21" s="1">
        <v>20</v>
      </c>
      <c r="B21" s="1" t="s">
        <v>37</v>
      </c>
      <c r="C21" s="1" t="s">
        <v>38</v>
      </c>
      <c r="D21" s="1" t="s">
        <v>1172</v>
      </c>
      <c r="E21" s="5">
        <v>41732</v>
      </c>
      <c r="F21" s="1" t="s">
        <v>1173</v>
      </c>
      <c r="G21" s="1" t="s">
        <v>40</v>
      </c>
      <c r="H21" s="1" t="s">
        <v>41</v>
      </c>
      <c r="I21" s="1" t="s">
        <v>2810</v>
      </c>
      <c r="J21" s="1" t="s">
        <v>1116</v>
      </c>
      <c r="K21" s="1">
        <v>38237090</v>
      </c>
      <c r="L21" s="6">
        <v>93.15</v>
      </c>
      <c r="M21" s="1" t="s">
        <v>70</v>
      </c>
      <c r="N21" s="7" t="s">
        <v>67</v>
      </c>
      <c r="O21" s="1" t="s">
        <v>1117</v>
      </c>
      <c r="P21" s="8">
        <v>111476</v>
      </c>
      <c r="Q21" s="17">
        <f t="shared" si="6"/>
        <v>10383989.4</v>
      </c>
      <c r="R21" s="9">
        <v>0</v>
      </c>
      <c r="S21" s="9">
        <v>0</v>
      </c>
      <c r="T21" s="9">
        <v>0</v>
      </c>
      <c r="U21" s="10">
        <v>0</v>
      </c>
      <c r="V21" s="1" t="s">
        <v>46</v>
      </c>
      <c r="W21" s="1" t="s">
        <v>361</v>
      </c>
      <c r="X21" s="1">
        <v>1847097</v>
      </c>
      <c r="Y21" s="11">
        <v>41725</v>
      </c>
      <c r="Z21" s="11">
        <v>41726</v>
      </c>
      <c r="AA21" s="9">
        <f t="shared" si="7"/>
        <v>10383989.4</v>
      </c>
      <c r="AB21" s="12">
        <v>1</v>
      </c>
      <c r="AC21" s="9">
        <f t="shared" si="8"/>
        <v>10383989.4</v>
      </c>
      <c r="AD21" s="9">
        <f t="shared" si="9"/>
        <v>10383989.4</v>
      </c>
      <c r="AE21" s="1" t="s">
        <v>4162</v>
      </c>
      <c r="AF21" s="1" t="s">
        <v>1117</v>
      </c>
      <c r="AG21" s="4">
        <f t="shared" si="1"/>
        <v>10383989.4</v>
      </c>
      <c r="AH21" s="10">
        <v>10383989.4</v>
      </c>
      <c r="AI21" s="10"/>
      <c r="AJ21" s="10"/>
      <c r="AK21" s="10"/>
      <c r="AL21" s="9">
        <f t="shared" si="2"/>
        <v>10383989.4</v>
      </c>
      <c r="AM21" s="1"/>
      <c r="AN21" s="1"/>
      <c r="AO21" s="12" t="e">
        <f>AB21/#REF!</f>
        <v>#REF!</v>
      </c>
      <c r="AP21" s="1" t="s">
        <v>4152</v>
      </c>
      <c r="AQ21" s="11" t="s">
        <v>4144</v>
      </c>
      <c r="AR21" s="1" t="s">
        <v>4151</v>
      </c>
      <c r="AS21" s="1" t="s">
        <v>4142</v>
      </c>
      <c r="AT21" s="1" t="s">
        <v>49</v>
      </c>
      <c r="AU21" s="1" t="s">
        <v>4171</v>
      </c>
    </row>
    <row r="22" spans="1:47" ht="15" customHeight="1" x14ac:dyDescent="0.25">
      <c r="A22" s="1">
        <v>21</v>
      </c>
      <c r="B22" s="1" t="s">
        <v>37</v>
      </c>
      <c r="C22" s="1" t="s">
        <v>38</v>
      </c>
      <c r="D22" s="1" t="s">
        <v>1172</v>
      </c>
      <c r="E22" s="5">
        <v>41732</v>
      </c>
      <c r="F22" s="1" t="s">
        <v>1174</v>
      </c>
      <c r="G22" s="1" t="s">
        <v>40</v>
      </c>
      <c r="H22" s="1" t="s">
        <v>41</v>
      </c>
      <c r="I22" s="1" t="s">
        <v>2810</v>
      </c>
      <c r="J22" s="1" t="s">
        <v>1116</v>
      </c>
      <c r="K22" s="1">
        <v>38237090</v>
      </c>
      <c r="L22" s="6">
        <v>112.55</v>
      </c>
      <c r="M22" s="1" t="s">
        <v>70</v>
      </c>
      <c r="N22" s="7" t="s">
        <v>67</v>
      </c>
      <c r="O22" s="1" t="s">
        <v>1117</v>
      </c>
      <c r="P22" s="8">
        <v>111476</v>
      </c>
      <c r="Q22" s="17">
        <f t="shared" si="6"/>
        <v>12546623.799999999</v>
      </c>
      <c r="R22" s="9">
        <v>0</v>
      </c>
      <c r="S22" s="9">
        <v>0</v>
      </c>
      <c r="T22" s="9">
        <v>0</v>
      </c>
      <c r="U22" s="10">
        <v>0</v>
      </c>
      <c r="V22" s="1" t="s">
        <v>46</v>
      </c>
      <c r="W22" s="1" t="s">
        <v>361</v>
      </c>
      <c r="X22" s="1">
        <v>1874386</v>
      </c>
      <c r="Y22" s="11">
        <v>41726</v>
      </c>
      <c r="Z22" s="11">
        <v>41727</v>
      </c>
      <c r="AA22" s="9">
        <f t="shared" si="7"/>
        <v>12546623.799999999</v>
      </c>
      <c r="AB22" s="12">
        <v>1</v>
      </c>
      <c r="AC22" s="9">
        <f t="shared" si="8"/>
        <v>12546623.799999999</v>
      </c>
      <c r="AD22" s="9">
        <f t="shared" si="9"/>
        <v>12546623.799999999</v>
      </c>
      <c r="AE22" s="1" t="s">
        <v>4162</v>
      </c>
      <c r="AF22" s="1" t="s">
        <v>1117</v>
      </c>
      <c r="AG22" s="4">
        <f t="shared" si="1"/>
        <v>12546623.799999999</v>
      </c>
      <c r="AH22" s="10">
        <v>12546623.800000001</v>
      </c>
      <c r="AI22" s="10"/>
      <c r="AJ22" s="10"/>
      <c r="AK22" s="10"/>
      <c r="AL22" s="9">
        <f t="shared" si="2"/>
        <v>12546623.800000001</v>
      </c>
      <c r="AM22" s="1"/>
      <c r="AN22" s="1"/>
      <c r="AO22" s="12" t="e">
        <f>AB22/#REF!</f>
        <v>#REF!</v>
      </c>
      <c r="AP22" s="1" t="s">
        <v>4152</v>
      </c>
      <c r="AQ22" s="11" t="s">
        <v>4144</v>
      </c>
      <c r="AR22" s="1" t="s">
        <v>4153</v>
      </c>
      <c r="AS22" s="1" t="s">
        <v>4142</v>
      </c>
      <c r="AT22" s="1" t="s">
        <v>49</v>
      </c>
      <c r="AU22" s="1" t="s">
        <v>4171</v>
      </c>
    </row>
    <row r="23" spans="1:47" ht="15" customHeight="1" x14ac:dyDescent="0.25">
      <c r="A23" s="1">
        <v>22</v>
      </c>
      <c r="B23" s="1" t="s">
        <v>37</v>
      </c>
      <c r="C23" s="1" t="s">
        <v>38</v>
      </c>
      <c r="D23" s="1" t="s">
        <v>1175</v>
      </c>
      <c r="E23" s="5">
        <v>41736</v>
      </c>
      <c r="F23" s="1" t="s">
        <v>1176</v>
      </c>
      <c r="G23" s="1" t="s">
        <v>40</v>
      </c>
      <c r="H23" s="1" t="s">
        <v>41</v>
      </c>
      <c r="I23" s="1" t="s">
        <v>2809</v>
      </c>
      <c r="J23" s="1" t="s">
        <v>386</v>
      </c>
      <c r="K23" s="1">
        <v>38237090</v>
      </c>
      <c r="L23" s="6">
        <v>157.29</v>
      </c>
      <c r="M23" s="1" t="s">
        <v>70</v>
      </c>
      <c r="N23" s="7" t="s">
        <v>52</v>
      </c>
      <c r="O23" s="1" t="s">
        <v>53</v>
      </c>
      <c r="P23" s="8">
        <v>1858</v>
      </c>
      <c r="Q23" s="17">
        <f t="shared" si="6"/>
        <v>292244.82</v>
      </c>
      <c r="R23" s="9">
        <v>9200</v>
      </c>
      <c r="S23" s="9">
        <v>0</v>
      </c>
      <c r="T23" s="9">
        <v>0</v>
      </c>
      <c r="U23" s="10">
        <v>0</v>
      </c>
      <c r="V23" s="1" t="s">
        <v>46</v>
      </c>
      <c r="W23" s="1" t="s">
        <v>241</v>
      </c>
      <c r="X23" s="1">
        <v>1907189</v>
      </c>
      <c r="Y23" s="11">
        <v>41728</v>
      </c>
      <c r="Z23" s="11">
        <v>41729</v>
      </c>
      <c r="AA23" s="9">
        <f t="shared" si="7"/>
        <v>283044.82</v>
      </c>
      <c r="AB23" s="12">
        <v>60.75</v>
      </c>
      <c r="AC23" s="9">
        <f t="shared" si="8"/>
        <v>17753872.815000001</v>
      </c>
      <c r="AD23" s="9">
        <f t="shared" si="9"/>
        <v>17194972.815000001</v>
      </c>
      <c r="AE23" s="1" t="s">
        <v>48</v>
      </c>
      <c r="AF23" s="1" t="s">
        <v>53</v>
      </c>
      <c r="AG23" s="4">
        <f t="shared" si="1"/>
        <v>292244.82</v>
      </c>
      <c r="AH23" s="10">
        <v>292244.82</v>
      </c>
      <c r="AI23" s="10">
        <v>5986.99</v>
      </c>
      <c r="AJ23" s="10">
        <v>0</v>
      </c>
      <c r="AK23" s="10">
        <v>0</v>
      </c>
      <c r="AL23" s="9">
        <f t="shared" si="2"/>
        <v>286257.83</v>
      </c>
      <c r="AM23" s="1"/>
      <c r="AN23" s="1"/>
      <c r="AO23" s="12" t="e">
        <f>AB23/#REF!</f>
        <v>#REF!</v>
      </c>
      <c r="AP23" s="1" t="s">
        <v>1177</v>
      </c>
      <c r="AQ23" s="11">
        <v>41828</v>
      </c>
      <c r="AR23" s="1" t="s">
        <v>1178</v>
      </c>
      <c r="AS23" s="11">
        <v>41830</v>
      </c>
      <c r="AT23" s="1" t="s">
        <v>49</v>
      </c>
      <c r="AU23" s="1" t="s">
        <v>4171</v>
      </c>
    </row>
    <row r="24" spans="1:47" ht="15" customHeight="1" x14ac:dyDescent="0.25">
      <c r="A24" s="1">
        <v>23</v>
      </c>
      <c r="B24" s="1" t="s">
        <v>37</v>
      </c>
      <c r="C24" s="1" t="s">
        <v>38</v>
      </c>
      <c r="D24" s="1" t="s">
        <v>1175</v>
      </c>
      <c r="E24" s="5">
        <v>41736</v>
      </c>
      <c r="F24" s="1" t="s">
        <v>1179</v>
      </c>
      <c r="G24" s="1" t="s">
        <v>40</v>
      </c>
      <c r="H24" s="1" t="s">
        <v>41</v>
      </c>
      <c r="I24" s="1" t="s">
        <v>2809</v>
      </c>
      <c r="J24" s="1" t="s">
        <v>386</v>
      </c>
      <c r="K24" s="1">
        <v>38237090</v>
      </c>
      <c r="L24" s="6">
        <v>236.79</v>
      </c>
      <c r="M24" s="1" t="s">
        <v>70</v>
      </c>
      <c r="N24" s="7" t="s">
        <v>52</v>
      </c>
      <c r="O24" s="1" t="s">
        <v>53</v>
      </c>
      <c r="P24" s="8">
        <v>1858</v>
      </c>
      <c r="Q24" s="17">
        <f t="shared" si="6"/>
        <v>439955.82</v>
      </c>
      <c r="R24" s="9">
        <v>13800</v>
      </c>
      <c r="S24" s="9">
        <v>0</v>
      </c>
      <c r="T24" s="9">
        <v>0</v>
      </c>
      <c r="U24" s="10">
        <v>0</v>
      </c>
      <c r="V24" s="1" t="s">
        <v>46</v>
      </c>
      <c r="W24" s="1" t="s">
        <v>241</v>
      </c>
      <c r="X24" s="1">
        <v>1936567</v>
      </c>
      <c r="Y24" s="11">
        <v>41730</v>
      </c>
      <c r="Z24" s="11">
        <v>41732</v>
      </c>
      <c r="AA24" s="9">
        <f t="shared" si="7"/>
        <v>426155.82</v>
      </c>
      <c r="AB24" s="12">
        <v>60.75</v>
      </c>
      <c r="AC24" s="9">
        <f t="shared" si="8"/>
        <v>26727316.065000001</v>
      </c>
      <c r="AD24" s="9">
        <f t="shared" si="9"/>
        <v>25888966.065000001</v>
      </c>
      <c r="AE24" s="1" t="s">
        <v>48</v>
      </c>
      <c r="AF24" s="1" t="s">
        <v>53</v>
      </c>
      <c r="AG24" s="4">
        <f t="shared" si="1"/>
        <v>439955.82</v>
      </c>
      <c r="AH24" s="10">
        <v>439955.82</v>
      </c>
      <c r="AI24" s="10">
        <v>9013.01</v>
      </c>
      <c r="AJ24" s="10">
        <v>0</v>
      </c>
      <c r="AK24" s="10">
        <v>0</v>
      </c>
      <c r="AL24" s="9">
        <f t="shared" si="2"/>
        <v>430942.81</v>
      </c>
      <c r="AM24" s="1"/>
      <c r="AN24" s="1"/>
      <c r="AO24" s="12" t="e">
        <f>AB24/#REF!</f>
        <v>#REF!</v>
      </c>
      <c r="AP24" s="1" t="s">
        <v>1177</v>
      </c>
      <c r="AQ24" s="11">
        <v>41828</v>
      </c>
      <c r="AR24" s="1" t="s">
        <v>1180</v>
      </c>
      <c r="AS24" s="11">
        <v>41830</v>
      </c>
      <c r="AT24" s="1" t="s">
        <v>49</v>
      </c>
      <c r="AU24" s="1" t="s">
        <v>4171</v>
      </c>
    </row>
    <row r="25" spans="1:47" ht="15" customHeight="1" x14ac:dyDescent="0.25">
      <c r="A25" s="1">
        <v>24</v>
      </c>
      <c r="B25" s="1" t="s">
        <v>37</v>
      </c>
      <c r="C25" s="1" t="s">
        <v>38</v>
      </c>
      <c r="D25" s="1">
        <v>9103451773</v>
      </c>
      <c r="E25" s="5">
        <v>41730</v>
      </c>
      <c r="F25" s="1" t="s">
        <v>1181</v>
      </c>
      <c r="G25" s="1" t="s">
        <v>40</v>
      </c>
      <c r="H25" s="1" t="s">
        <v>41</v>
      </c>
      <c r="I25" s="1" t="s">
        <v>2809</v>
      </c>
      <c r="J25" s="1" t="s">
        <v>386</v>
      </c>
      <c r="K25" s="1">
        <v>38237090</v>
      </c>
      <c r="L25" s="6">
        <v>75.88</v>
      </c>
      <c r="M25" s="1" t="s">
        <v>70</v>
      </c>
      <c r="N25" s="7" t="s">
        <v>52</v>
      </c>
      <c r="O25" s="1" t="s">
        <v>53</v>
      </c>
      <c r="P25" s="8">
        <v>1396</v>
      </c>
      <c r="Q25" s="17">
        <f t="shared" si="6"/>
        <v>105928.48</v>
      </c>
      <c r="R25" s="9">
        <v>4400</v>
      </c>
      <c r="S25" s="9">
        <v>0</v>
      </c>
      <c r="T25" s="9">
        <v>0</v>
      </c>
      <c r="U25" s="10">
        <v>0</v>
      </c>
      <c r="V25" s="1" t="s">
        <v>46</v>
      </c>
      <c r="W25" s="1" t="s">
        <v>241</v>
      </c>
      <c r="X25" s="1">
        <v>1907414</v>
      </c>
      <c r="Y25" s="11">
        <v>41728</v>
      </c>
      <c r="Z25" s="11">
        <v>41729</v>
      </c>
      <c r="AA25" s="9">
        <f t="shared" si="7"/>
        <v>101528.48</v>
      </c>
      <c r="AB25" s="12">
        <v>60.75</v>
      </c>
      <c r="AC25" s="9">
        <f t="shared" si="8"/>
        <v>6435155.1600000001</v>
      </c>
      <c r="AD25" s="9">
        <f t="shared" si="9"/>
        <v>6167855.1600000001</v>
      </c>
      <c r="AE25" s="1" t="s">
        <v>48</v>
      </c>
      <c r="AF25" s="1" t="s">
        <v>53</v>
      </c>
      <c r="AG25" s="4">
        <f t="shared" si="1"/>
        <v>105928.48</v>
      </c>
      <c r="AH25" s="10">
        <v>105928.48</v>
      </c>
      <c r="AI25" s="9">
        <v>4000</v>
      </c>
      <c r="AJ25" s="9">
        <v>0</v>
      </c>
      <c r="AK25" s="9">
        <v>0</v>
      </c>
      <c r="AL25" s="9">
        <f t="shared" si="2"/>
        <v>101928.48</v>
      </c>
      <c r="AM25" s="1"/>
      <c r="AN25" s="1"/>
      <c r="AO25" s="12" t="e">
        <f>AB25/#REF!</f>
        <v>#REF!</v>
      </c>
      <c r="AP25" s="1" t="s">
        <v>1182</v>
      </c>
      <c r="AQ25" s="11">
        <v>41794</v>
      </c>
      <c r="AR25" s="1" t="s">
        <v>1183</v>
      </c>
      <c r="AS25" s="11">
        <v>41797</v>
      </c>
      <c r="AT25" s="1" t="s">
        <v>49</v>
      </c>
      <c r="AU25" s="1" t="s">
        <v>4171</v>
      </c>
    </row>
    <row r="26" spans="1:47" ht="15" customHeight="1" x14ac:dyDescent="0.25">
      <c r="A26" s="1">
        <v>25</v>
      </c>
      <c r="B26" s="1" t="s">
        <v>37</v>
      </c>
      <c r="C26" s="1" t="s">
        <v>38</v>
      </c>
      <c r="D26" s="1" t="s">
        <v>1184</v>
      </c>
      <c r="E26" s="5">
        <v>41733</v>
      </c>
      <c r="F26" s="1" t="s">
        <v>1185</v>
      </c>
      <c r="G26" s="1" t="s">
        <v>40</v>
      </c>
      <c r="H26" s="1" t="s">
        <v>41</v>
      </c>
      <c r="I26" s="1" t="s">
        <v>2810</v>
      </c>
      <c r="J26" s="1" t="s">
        <v>1116</v>
      </c>
      <c r="K26" s="1">
        <v>38237090</v>
      </c>
      <c r="L26" s="6">
        <v>131.4</v>
      </c>
      <c r="M26" s="1" t="s">
        <v>70</v>
      </c>
      <c r="N26" s="7" t="s">
        <v>67</v>
      </c>
      <c r="O26" s="1" t="s">
        <v>1117</v>
      </c>
      <c r="P26" s="8">
        <v>109887.63</v>
      </c>
      <c r="Q26" s="17">
        <f t="shared" si="6"/>
        <v>14439234.582</v>
      </c>
      <c r="R26" s="9">
        <v>0</v>
      </c>
      <c r="S26" s="9">
        <v>0</v>
      </c>
      <c r="T26" s="9">
        <v>0</v>
      </c>
      <c r="U26" s="10">
        <v>0</v>
      </c>
      <c r="V26" s="1" t="s">
        <v>46</v>
      </c>
      <c r="W26" s="1" t="s">
        <v>361</v>
      </c>
      <c r="X26" s="1">
        <v>1903013</v>
      </c>
      <c r="Y26" s="11">
        <v>41727</v>
      </c>
      <c r="Z26" s="11">
        <v>41729</v>
      </c>
      <c r="AA26" s="9">
        <f t="shared" si="7"/>
        <v>14439234.582</v>
      </c>
      <c r="AB26" s="12">
        <v>1</v>
      </c>
      <c r="AC26" s="9">
        <f t="shared" si="8"/>
        <v>14439234.582</v>
      </c>
      <c r="AD26" s="9">
        <f t="shared" si="9"/>
        <v>14439234.582</v>
      </c>
      <c r="AE26" s="1" t="s">
        <v>4162</v>
      </c>
      <c r="AF26" s="1" t="s">
        <v>1117</v>
      </c>
      <c r="AG26" s="4">
        <f t="shared" si="1"/>
        <v>14439234.582</v>
      </c>
      <c r="AH26" s="10">
        <v>14439234.58</v>
      </c>
      <c r="AI26" s="10"/>
      <c r="AJ26" s="10"/>
      <c r="AK26" s="10"/>
      <c r="AL26" s="9">
        <f t="shared" si="2"/>
        <v>14439234.58</v>
      </c>
      <c r="AM26" s="1"/>
      <c r="AN26" s="1"/>
      <c r="AO26" s="12" t="e">
        <f>AB26/#REF!</f>
        <v>#REF!</v>
      </c>
      <c r="AP26" s="1" t="s">
        <v>4146</v>
      </c>
      <c r="AQ26" s="11" t="s">
        <v>4144</v>
      </c>
      <c r="AR26" s="1" t="s">
        <v>4147</v>
      </c>
      <c r="AS26" s="1" t="s">
        <v>4142</v>
      </c>
      <c r="AT26" s="1" t="s">
        <v>49</v>
      </c>
      <c r="AU26" s="1" t="s">
        <v>4171</v>
      </c>
    </row>
    <row r="27" spans="1:47" ht="15" customHeight="1" x14ac:dyDescent="0.25">
      <c r="A27" s="1">
        <v>26</v>
      </c>
      <c r="B27" s="1" t="s">
        <v>37</v>
      </c>
      <c r="C27" s="1" t="s">
        <v>38</v>
      </c>
      <c r="D27" s="1" t="s">
        <v>1184</v>
      </c>
      <c r="E27" s="5">
        <v>41733</v>
      </c>
      <c r="F27" s="1" t="s">
        <v>1186</v>
      </c>
      <c r="G27" s="1" t="s">
        <v>40</v>
      </c>
      <c r="H27" s="1" t="s">
        <v>41</v>
      </c>
      <c r="I27" s="1" t="s">
        <v>2810</v>
      </c>
      <c r="J27" s="1" t="s">
        <v>1116</v>
      </c>
      <c r="K27" s="1">
        <v>38237090</v>
      </c>
      <c r="L27" s="6">
        <v>74.55</v>
      </c>
      <c r="M27" s="1" t="s">
        <v>70</v>
      </c>
      <c r="N27" s="7" t="s">
        <v>67</v>
      </c>
      <c r="O27" s="1" t="s">
        <v>1117</v>
      </c>
      <c r="P27" s="8">
        <v>109887.63</v>
      </c>
      <c r="Q27" s="17">
        <f t="shared" si="6"/>
        <v>8192122.8164999997</v>
      </c>
      <c r="R27" s="9">
        <v>0</v>
      </c>
      <c r="S27" s="9">
        <v>0</v>
      </c>
      <c r="T27" s="9">
        <v>0</v>
      </c>
      <c r="U27" s="10">
        <v>0</v>
      </c>
      <c r="V27" s="1" t="s">
        <v>46</v>
      </c>
      <c r="W27" s="1" t="s">
        <v>361</v>
      </c>
      <c r="X27" s="1">
        <v>1907309</v>
      </c>
      <c r="Y27" s="11">
        <v>41728</v>
      </c>
      <c r="Z27" s="11">
        <v>41729</v>
      </c>
      <c r="AA27" s="9">
        <f t="shared" si="7"/>
        <v>8192122.8164999997</v>
      </c>
      <c r="AB27" s="12">
        <v>1</v>
      </c>
      <c r="AC27" s="9">
        <f t="shared" si="8"/>
        <v>8192122.8164999997</v>
      </c>
      <c r="AD27" s="9">
        <f t="shared" si="9"/>
        <v>8192122.8164999997</v>
      </c>
      <c r="AE27" s="1" t="s">
        <v>4162</v>
      </c>
      <c r="AF27" s="1" t="s">
        <v>1117</v>
      </c>
      <c r="AG27" s="4">
        <f t="shared" si="1"/>
        <v>8192122.8164999997</v>
      </c>
      <c r="AH27" s="10">
        <v>8192122.8300000001</v>
      </c>
      <c r="AI27" s="10"/>
      <c r="AJ27" s="10"/>
      <c r="AK27" s="10"/>
      <c r="AL27" s="9">
        <f t="shared" si="2"/>
        <v>8192122.8300000001</v>
      </c>
      <c r="AM27" s="1"/>
      <c r="AN27" s="1"/>
      <c r="AO27" s="12" t="e">
        <f>AB27/#REF!</f>
        <v>#REF!</v>
      </c>
      <c r="AP27" s="1" t="s">
        <v>4146</v>
      </c>
      <c r="AQ27" s="11" t="s">
        <v>4144</v>
      </c>
      <c r="AR27" s="1" t="s">
        <v>4145</v>
      </c>
      <c r="AS27" s="1" t="s">
        <v>4142</v>
      </c>
      <c r="AT27" s="1" t="s">
        <v>49</v>
      </c>
      <c r="AU27" s="1" t="s">
        <v>4171</v>
      </c>
    </row>
    <row r="28" spans="1:47" ht="15" customHeight="1" x14ac:dyDescent="0.25">
      <c r="A28" s="1">
        <v>27</v>
      </c>
      <c r="B28" s="1" t="s">
        <v>37</v>
      </c>
      <c r="C28" s="1" t="s">
        <v>38</v>
      </c>
      <c r="D28" s="1">
        <v>9103451776</v>
      </c>
      <c r="E28" s="5">
        <v>41732</v>
      </c>
      <c r="F28" s="1" t="s">
        <v>1187</v>
      </c>
      <c r="G28" s="1" t="s">
        <v>40</v>
      </c>
      <c r="H28" s="1" t="s">
        <v>41</v>
      </c>
      <c r="I28" s="1" t="s">
        <v>2809</v>
      </c>
      <c r="J28" s="1" t="s">
        <v>50</v>
      </c>
      <c r="K28" s="1">
        <v>38237090</v>
      </c>
      <c r="L28" s="6">
        <v>12</v>
      </c>
      <c r="M28" s="1" t="s">
        <v>70</v>
      </c>
      <c r="N28" s="7" t="s">
        <v>52</v>
      </c>
      <c r="O28" s="1" t="s">
        <v>53</v>
      </c>
      <c r="P28" s="8">
        <v>1680</v>
      </c>
      <c r="Q28" s="17">
        <f t="shared" si="6"/>
        <v>20160</v>
      </c>
      <c r="R28" s="9">
        <v>1600</v>
      </c>
      <c r="S28" s="9">
        <v>0</v>
      </c>
      <c r="T28" s="9">
        <v>0</v>
      </c>
      <c r="U28" s="10">
        <v>0</v>
      </c>
      <c r="V28" s="1" t="s">
        <v>46</v>
      </c>
      <c r="W28" s="1" t="s">
        <v>223</v>
      </c>
      <c r="X28" s="1">
        <v>1907330</v>
      </c>
      <c r="Y28" s="11">
        <v>41728</v>
      </c>
      <c r="Z28" s="11">
        <v>41729</v>
      </c>
      <c r="AA28" s="9">
        <f t="shared" si="7"/>
        <v>18560</v>
      </c>
      <c r="AB28" s="12">
        <v>60.75</v>
      </c>
      <c r="AC28" s="9">
        <f t="shared" si="8"/>
        <v>1224720</v>
      </c>
      <c r="AD28" s="9">
        <f t="shared" si="9"/>
        <v>1127520</v>
      </c>
      <c r="AE28" s="1" t="s">
        <v>51</v>
      </c>
      <c r="AF28" s="1" t="s">
        <v>53</v>
      </c>
      <c r="AG28" s="4">
        <f t="shared" si="1"/>
        <v>20160</v>
      </c>
      <c r="AH28" s="10">
        <v>20160</v>
      </c>
      <c r="AI28" s="10">
        <v>777</v>
      </c>
      <c r="AJ28" s="10">
        <v>0</v>
      </c>
      <c r="AK28" s="10">
        <v>0</v>
      </c>
      <c r="AL28" s="9">
        <f t="shared" si="2"/>
        <v>19383</v>
      </c>
      <c r="AM28" s="1"/>
      <c r="AN28" s="1"/>
      <c r="AO28" s="12" t="e">
        <f>AB28/#REF!</f>
        <v>#REF!</v>
      </c>
      <c r="AP28" s="1" t="s">
        <v>1188</v>
      </c>
      <c r="AQ28" s="11">
        <v>41794</v>
      </c>
      <c r="AR28" s="1" t="s">
        <v>1189</v>
      </c>
      <c r="AS28" s="11">
        <v>41843</v>
      </c>
      <c r="AT28" s="1" t="s">
        <v>49</v>
      </c>
      <c r="AU28" s="1" t="s">
        <v>4171</v>
      </c>
    </row>
    <row r="29" spans="1:47" ht="15" customHeight="1" x14ac:dyDescent="0.25">
      <c r="A29" s="1">
        <v>28</v>
      </c>
      <c r="B29" s="1" t="s">
        <v>37</v>
      </c>
      <c r="C29" s="1" t="s">
        <v>38</v>
      </c>
      <c r="D29" s="1">
        <v>9103451776</v>
      </c>
      <c r="E29" s="5">
        <v>41732</v>
      </c>
      <c r="F29" s="1" t="s">
        <v>1187</v>
      </c>
      <c r="G29" s="1" t="s">
        <v>40</v>
      </c>
      <c r="H29" s="1" t="s">
        <v>41</v>
      </c>
      <c r="I29" s="1" t="s">
        <v>2809</v>
      </c>
      <c r="J29" s="1" t="s">
        <v>50</v>
      </c>
      <c r="K29" s="1">
        <v>29051700</v>
      </c>
      <c r="L29" s="6">
        <v>12</v>
      </c>
      <c r="M29" s="1" t="s">
        <v>70</v>
      </c>
      <c r="N29" s="7" t="s">
        <v>52</v>
      </c>
      <c r="O29" s="1" t="s">
        <v>53</v>
      </c>
      <c r="P29" s="8">
        <v>1930</v>
      </c>
      <c r="Q29" s="17">
        <f t="shared" si="6"/>
        <v>23160</v>
      </c>
      <c r="R29" s="9">
        <v>1600</v>
      </c>
      <c r="S29" s="9">
        <v>0</v>
      </c>
      <c r="T29" s="9">
        <v>0</v>
      </c>
      <c r="U29" s="10">
        <v>0</v>
      </c>
      <c r="V29" s="1" t="s">
        <v>46</v>
      </c>
      <c r="W29" s="1" t="s">
        <v>223</v>
      </c>
      <c r="X29" s="1">
        <v>1907330</v>
      </c>
      <c r="Y29" s="11">
        <v>41728</v>
      </c>
      <c r="Z29" s="11">
        <v>41729</v>
      </c>
      <c r="AA29" s="9">
        <f t="shared" si="7"/>
        <v>21560</v>
      </c>
      <c r="AB29" s="12">
        <v>60.75</v>
      </c>
      <c r="AC29" s="9">
        <f t="shared" si="8"/>
        <v>1406970</v>
      </c>
      <c r="AD29" s="9">
        <f t="shared" si="9"/>
        <v>1309770</v>
      </c>
      <c r="AE29" s="1" t="s">
        <v>51</v>
      </c>
      <c r="AF29" s="1" t="s">
        <v>53</v>
      </c>
      <c r="AG29" s="4">
        <f t="shared" si="1"/>
        <v>23160</v>
      </c>
      <c r="AH29" s="10">
        <v>22982</v>
      </c>
      <c r="AI29" s="10">
        <v>978</v>
      </c>
      <c r="AJ29" s="10">
        <v>0</v>
      </c>
      <c r="AK29" s="10">
        <v>0</v>
      </c>
      <c r="AL29" s="9">
        <f t="shared" si="2"/>
        <v>22004</v>
      </c>
      <c r="AM29" s="1"/>
      <c r="AN29" s="1"/>
      <c r="AO29" s="12" t="e">
        <f>AB29/#REF!</f>
        <v>#REF!</v>
      </c>
      <c r="AP29" s="1" t="s">
        <v>1188</v>
      </c>
      <c r="AQ29" s="11">
        <v>41794</v>
      </c>
      <c r="AR29" s="1" t="s">
        <v>1189</v>
      </c>
      <c r="AS29" s="11">
        <v>41843</v>
      </c>
      <c r="AT29" s="1" t="s">
        <v>49</v>
      </c>
      <c r="AU29" s="1" t="s">
        <v>4171</v>
      </c>
    </row>
    <row r="30" spans="1:47" ht="15" customHeight="1" x14ac:dyDescent="0.25">
      <c r="A30" s="1">
        <v>29</v>
      </c>
      <c r="B30" s="1" t="s">
        <v>37</v>
      </c>
      <c r="C30" s="1" t="s">
        <v>38</v>
      </c>
      <c r="D30" s="1" t="s">
        <v>1190</v>
      </c>
      <c r="E30" s="5">
        <v>41733</v>
      </c>
      <c r="F30" s="1" t="s">
        <v>1191</v>
      </c>
      <c r="G30" s="1" t="s">
        <v>40</v>
      </c>
      <c r="H30" s="1" t="s">
        <v>41</v>
      </c>
      <c r="I30" s="1" t="s">
        <v>2809</v>
      </c>
      <c r="J30" s="1" t="s">
        <v>2641</v>
      </c>
      <c r="K30" s="1">
        <v>38237090</v>
      </c>
      <c r="L30" s="6">
        <v>58.03</v>
      </c>
      <c r="M30" s="1" t="s">
        <v>70</v>
      </c>
      <c r="N30" s="7" t="s">
        <v>44</v>
      </c>
      <c r="O30" s="1" t="s">
        <v>53</v>
      </c>
      <c r="P30" s="8">
        <v>1360</v>
      </c>
      <c r="Q30" s="17">
        <f t="shared" si="6"/>
        <v>78920.800000000003</v>
      </c>
      <c r="R30" s="9">
        <v>3150</v>
      </c>
      <c r="S30" s="9">
        <v>15.63</v>
      </c>
      <c r="T30" s="9">
        <v>0</v>
      </c>
      <c r="U30" s="10">
        <v>0</v>
      </c>
      <c r="V30" s="1" t="s">
        <v>46</v>
      </c>
      <c r="W30" s="1" t="s">
        <v>54</v>
      </c>
      <c r="X30" s="1">
        <v>1910515</v>
      </c>
      <c r="Y30" s="11">
        <v>41729</v>
      </c>
      <c r="Z30" s="11">
        <v>41729</v>
      </c>
      <c r="AA30" s="9">
        <f t="shared" si="7"/>
        <v>75755.17</v>
      </c>
      <c r="AB30" s="12">
        <v>60.75</v>
      </c>
      <c r="AC30" s="9">
        <f t="shared" si="8"/>
        <v>4794438.6000000006</v>
      </c>
      <c r="AD30" s="9">
        <f t="shared" si="9"/>
        <v>4602126.5774999997</v>
      </c>
      <c r="AE30" s="1" t="s">
        <v>48</v>
      </c>
      <c r="AF30" s="1" t="s">
        <v>53</v>
      </c>
      <c r="AG30" s="4">
        <f t="shared" si="1"/>
        <v>78920.800000000003</v>
      </c>
      <c r="AH30" s="10">
        <v>78920.800000000003</v>
      </c>
      <c r="AI30" s="10">
        <v>3000</v>
      </c>
      <c r="AJ30" s="10">
        <v>5.63</v>
      </c>
      <c r="AK30" s="10">
        <v>0</v>
      </c>
      <c r="AL30" s="9">
        <f t="shared" si="2"/>
        <v>75915.17</v>
      </c>
      <c r="AM30" s="1"/>
      <c r="AN30" s="1"/>
      <c r="AO30" s="12" t="e">
        <f>AB30/#REF!</f>
        <v>#REF!</v>
      </c>
      <c r="AP30" s="1" t="s">
        <v>1192</v>
      </c>
      <c r="AQ30" s="11">
        <v>41886</v>
      </c>
      <c r="AR30" s="1" t="s">
        <v>1193</v>
      </c>
      <c r="AS30" s="11">
        <v>41887</v>
      </c>
      <c r="AT30" s="1" t="s">
        <v>49</v>
      </c>
      <c r="AU30" s="1" t="s">
        <v>4171</v>
      </c>
    </row>
    <row r="31" spans="1:47" ht="15" customHeight="1" x14ac:dyDescent="0.25">
      <c r="A31" s="1">
        <v>30</v>
      </c>
      <c r="B31" s="1" t="s">
        <v>37</v>
      </c>
      <c r="C31" s="1" t="s">
        <v>38</v>
      </c>
      <c r="D31" s="1" t="s">
        <v>1190</v>
      </c>
      <c r="E31" s="5">
        <v>41733</v>
      </c>
      <c r="F31" s="1" t="s">
        <v>1194</v>
      </c>
      <c r="G31" s="1" t="s">
        <v>40</v>
      </c>
      <c r="H31" s="1" t="s">
        <v>41</v>
      </c>
      <c r="I31" s="1" t="s">
        <v>2809</v>
      </c>
      <c r="J31" s="1" t="s">
        <v>2641</v>
      </c>
      <c r="K31" s="1">
        <v>38237090</v>
      </c>
      <c r="L31" s="6">
        <v>38.49</v>
      </c>
      <c r="M31" s="1" t="s">
        <v>70</v>
      </c>
      <c r="N31" s="7" t="s">
        <v>44</v>
      </c>
      <c r="O31" s="1" t="s">
        <v>53</v>
      </c>
      <c r="P31" s="8">
        <v>1360</v>
      </c>
      <c r="Q31" s="17">
        <f t="shared" si="6"/>
        <v>52346.400000000001</v>
      </c>
      <c r="R31" s="9">
        <v>2100</v>
      </c>
      <c r="S31" s="9">
        <v>10.36</v>
      </c>
      <c r="T31" s="9">
        <v>0</v>
      </c>
      <c r="U31" s="10">
        <v>0</v>
      </c>
      <c r="V31" s="1" t="s">
        <v>46</v>
      </c>
      <c r="W31" s="1" t="s">
        <v>54</v>
      </c>
      <c r="X31" s="1">
        <v>1907213</v>
      </c>
      <c r="Y31" s="11">
        <v>41728</v>
      </c>
      <c r="Z31" s="11">
        <v>41729</v>
      </c>
      <c r="AA31" s="9">
        <f t="shared" si="7"/>
        <v>50236.04</v>
      </c>
      <c r="AB31" s="12">
        <v>60.75</v>
      </c>
      <c r="AC31" s="9">
        <f t="shared" si="8"/>
        <v>3180043.8000000003</v>
      </c>
      <c r="AD31" s="9">
        <f t="shared" si="9"/>
        <v>3051839.43</v>
      </c>
      <c r="AE31" s="1" t="s">
        <v>48</v>
      </c>
      <c r="AF31" s="1" t="s">
        <v>53</v>
      </c>
      <c r="AG31" s="4">
        <f t="shared" si="1"/>
        <v>52346.400000000001</v>
      </c>
      <c r="AH31" s="10">
        <v>52346.400000000001</v>
      </c>
      <c r="AI31" s="10">
        <v>2000</v>
      </c>
      <c r="AJ31" s="10">
        <v>10.36</v>
      </c>
      <c r="AK31" s="10">
        <v>0</v>
      </c>
      <c r="AL31" s="9">
        <f t="shared" si="2"/>
        <v>50336.04</v>
      </c>
      <c r="AM31" s="1"/>
      <c r="AN31" s="1"/>
      <c r="AO31" s="12" t="e">
        <f>AB31/#REF!</f>
        <v>#REF!</v>
      </c>
      <c r="AP31" s="1" t="s">
        <v>1192</v>
      </c>
      <c r="AQ31" s="11">
        <v>41886</v>
      </c>
      <c r="AR31" s="1" t="s">
        <v>1195</v>
      </c>
      <c r="AS31" s="11">
        <v>41887</v>
      </c>
      <c r="AT31" s="1" t="s">
        <v>49</v>
      </c>
      <c r="AU31" s="1" t="s">
        <v>4171</v>
      </c>
    </row>
    <row r="32" spans="1:47" ht="15" customHeight="1" x14ac:dyDescent="0.25">
      <c r="A32" s="1">
        <v>31</v>
      </c>
      <c r="B32" s="1" t="s">
        <v>37</v>
      </c>
      <c r="C32" s="1" t="s">
        <v>38</v>
      </c>
      <c r="D32" s="1" t="s">
        <v>1196</v>
      </c>
      <c r="E32" s="5">
        <v>41730</v>
      </c>
      <c r="F32" s="1" t="s">
        <v>1197</v>
      </c>
      <c r="G32" s="1" t="s">
        <v>40</v>
      </c>
      <c r="H32" s="1" t="s">
        <v>41</v>
      </c>
      <c r="I32" s="1" t="s">
        <v>2809</v>
      </c>
      <c r="J32" s="1" t="s">
        <v>386</v>
      </c>
      <c r="K32" s="1">
        <v>38237090</v>
      </c>
      <c r="L32" s="6">
        <v>92.15</v>
      </c>
      <c r="M32" s="1" t="s">
        <v>70</v>
      </c>
      <c r="N32" s="7" t="s">
        <v>52</v>
      </c>
      <c r="O32" s="1" t="s">
        <v>53</v>
      </c>
      <c r="P32" s="8">
        <v>1396</v>
      </c>
      <c r="Q32" s="17">
        <f t="shared" si="6"/>
        <v>128641.40000000001</v>
      </c>
      <c r="R32" s="9">
        <v>5500</v>
      </c>
      <c r="S32" s="9">
        <v>0</v>
      </c>
      <c r="T32" s="9">
        <v>0</v>
      </c>
      <c r="U32" s="10">
        <v>0</v>
      </c>
      <c r="V32" s="1" t="s">
        <v>46</v>
      </c>
      <c r="W32" s="1" t="s">
        <v>241</v>
      </c>
      <c r="X32" s="1">
        <v>1876716</v>
      </c>
      <c r="Y32" s="11">
        <v>41726</v>
      </c>
      <c r="Z32" s="11">
        <v>41727</v>
      </c>
      <c r="AA32" s="9">
        <f t="shared" si="7"/>
        <v>123141.40000000001</v>
      </c>
      <c r="AB32" s="12">
        <v>60.75</v>
      </c>
      <c r="AC32" s="9">
        <f t="shared" si="8"/>
        <v>7814965.0500000007</v>
      </c>
      <c r="AD32" s="9">
        <f t="shared" si="9"/>
        <v>7480840.0500000007</v>
      </c>
      <c r="AE32" s="1" t="s">
        <v>48</v>
      </c>
      <c r="AF32" s="1" t="s">
        <v>53</v>
      </c>
      <c r="AG32" s="4">
        <f t="shared" si="1"/>
        <v>128641.40000000001</v>
      </c>
      <c r="AH32" s="10">
        <v>128641.4</v>
      </c>
      <c r="AI32" s="10">
        <v>5000</v>
      </c>
      <c r="AJ32" s="10">
        <v>0</v>
      </c>
      <c r="AK32" s="10">
        <v>0</v>
      </c>
      <c r="AL32" s="9">
        <f t="shared" si="2"/>
        <v>123641.4</v>
      </c>
      <c r="AM32" s="1"/>
      <c r="AN32" s="1"/>
      <c r="AO32" s="12" t="e">
        <f>AB32/#REF!</f>
        <v>#REF!</v>
      </c>
      <c r="AP32" s="1" t="s">
        <v>1198</v>
      </c>
      <c r="AQ32" s="11">
        <v>41794</v>
      </c>
      <c r="AR32" s="1" t="s">
        <v>1199</v>
      </c>
      <c r="AS32" s="11">
        <v>41797</v>
      </c>
      <c r="AT32" s="1" t="s">
        <v>49</v>
      </c>
      <c r="AU32" s="1" t="s">
        <v>4171</v>
      </c>
    </row>
    <row r="33" spans="1:47" ht="15" customHeight="1" x14ac:dyDescent="0.25">
      <c r="A33" s="1">
        <v>32</v>
      </c>
      <c r="B33" s="1" t="s">
        <v>37</v>
      </c>
      <c r="C33" s="1" t="s">
        <v>38</v>
      </c>
      <c r="D33" s="1" t="s">
        <v>1196</v>
      </c>
      <c r="E33" s="5">
        <v>41730</v>
      </c>
      <c r="F33" s="1" t="s">
        <v>1200</v>
      </c>
      <c r="G33" s="1" t="s">
        <v>40</v>
      </c>
      <c r="H33" s="1" t="s">
        <v>41</v>
      </c>
      <c r="I33" s="1" t="s">
        <v>2809</v>
      </c>
      <c r="J33" s="1" t="s">
        <v>386</v>
      </c>
      <c r="K33" s="1">
        <v>38237090</v>
      </c>
      <c r="L33" s="6">
        <v>36.869999999999997</v>
      </c>
      <c r="M33" s="1" t="s">
        <v>70</v>
      </c>
      <c r="N33" s="7" t="s">
        <v>52</v>
      </c>
      <c r="O33" s="1" t="s">
        <v>53</v>
      </c>
      <c r="P33" s="8">
        <v>1396</v>
      </c>
      <c r="Q33" s="17">
        <f t="shared" si="6"/>
        <v>51470.52</v>
      </c>
      <c r="R33" s="9">
        <v>2200</v>
      </c>
      <c r="S33" s="9">
        <v>0</v>
      </c>
      <c r="T33" s="9">
        <v>0</v>
      </c>
      <c r="U33" s="10">
        <v>0</v>
      </c>
      <c r="V33" s="1" t="s">
        <v>46</v>
      </c>
      <c r="W33" s="1" t="s">
        <v>241</v>
      </c>
      <c r="X33" s="1">
        <v>1900431</v>
      </c>
      <c r="Y33" s="11">
        <v>41727</v>
      </c>
      <c r="Z33" s="11">
        <v>41729</v>
      </c>
      <c r="AA33" s="9">
        <f t="shared" si="7"/>
        <v>49270.52</v>
      </c>
      <c r="AB33" s="12">
        <v>60.75</v>
      </c>
      <c r="AC33" s="9">
        <f t="shared" si="8"/>
        <v>3126834.09</v>
      </c>
      <c r="AD33" s="9">
        <f t="shared" si="9"/>
        <v>2993184.09</v>
      </c>
      <c r="AE33" s="1" t="s">
        <v>48</v>
      </c>
      <c r="AF33" s="1" t="s">
        <v>53</v>
      </c>
      <c r="AG33" s="4">
        <f t="shared" si="1"/>
        <v>51470.52</v>
      </c>
      <c r="AH33" s="10">
        <v>51470.52</v>
      </c>
      <c r="AI33" s="10">
        <v>2000</v>
      </c>
      <c r="AJ33" s="10">
        <v>0</v>
      </c>
      <c r="AK33" s="10">
        <v>0</v>
      </c>
      <c r="AL33" s="9">
        <f t="shared" si="2"/>
        <v>49470.52</v>
      </c>
      <c r="AM33" s="1"/>
      <c r="AN33" s="1"/>
      <c r="AO33" s="12" t="e">
        <f>AB33/#REF!</f>
        <v>#REF!</v>
      </c>
      <c r="AP33" s="1" t="s">
        <v>1198</v>
      </c>
      <c r="AQ33" s="11">
        <v>41794</v>
      </c>
      <c r="AR33" s="1" t="s">
        <v>1201</v>
      </c>
      <c r="AS33" s="11">
        <v>41797</v>
      </c>
      <c r="AT33" s="1" t="s">
        <v>49</v>
      </c>
      <c r="AU33" s="1" t="s">
        <v>4171</v>
      </c>
    </row>
    <row r="34" spans="1:47" ht="15" customHeight="1" x14ac:dyDescent="0.25">
      <c r="A34" s="1">
        <v>33</v>
      </c>
      <c r="B34" s="1" t="s">
        <v>37</v>
      </c>
      <c r="C34" s="1" t="s">
        <v>38</v>
      </c>
      <c r="D34" s="1" t="s">
        <v>1196</v>
      </c>
      <c r="E34" s="5">
        <v>41730</v>
      </c>
      <c r="F34" s="1" t="s">
        <v>1202</v>
      </c>
      <c r="G34" s="1" t="s">
        <v>40</v>
      </c>
      <c r="H34" s="1" t="s">
        <v>41</v>
      </c>
      <c r="I34" s="1" t="s">
        <v>2809</v>
      </c>
      <c r="J34" s="1" t="s">
        <v>386</v>
      </c>
      <c r="K34" s="1">
        <v>38237090</v>
      </c>
      <c r="L34" s="6">
        <v>18.41</v>
      </c>
      <c r="M34" s="1" t="s">
        <v>70</v>
      </c>
      <c r="N34" s="7" t="s">
        <v>52</v>
      </c>
      <c r="O34" s="1" t="s">
        <v>53</v>
      </c>
      <c r="P34" s="8">
        <v>1396</v>
      </c>
      <c r="Q34" s="17">
        <f t="shared" si="6"/>
        <v>25700.36</v>
      </c>
      <c r="R34" s="9">
        <v>1100</v>
      </c>
      <c r="S34" s="9">
        <v>0</v>
      </c>
      <c r="T34" s="9">
        <v>0</v>
      </c>
      <c r="U34" s="10">
        <v>0</v>
      </c>
      <c r="V34" s="1" t="s">
        <v>46</v>
      </c>
      <c r="W34" s="1" t="s">
        <v>241</v>
      </c>
      <c r="X34" s="1">
        <v>1910498</v>
      </c>
      <c r="Y34" s="11">
        <v>41729</v>
      </c>
      <c r="Z34" s="11">
        <v>41729</v>
      </c>
      <c r="AA34" s="9">
        <f t="shared" si="7"/>
        <v>24600.36</v>
      </c>
      <c r="AB34" s="12">
        <v>60.75</v>
      </c>
      <c r="AC34" s="9">
        <f t="shared" si="8"/>
        <v>1561296.87</v>
      </c>
      <c r="AD34" s="9">
        <f t="shared" si="9"/>
        <v>1494471.87</v>
      </c>
      <c r="AE34" s="1" t="s">
        <v>48</v>
      </c>
      <c r="AF34" s="1" t="s">
        <v>53</v>
      </c>
      <c r="AG34" s="4">
        <f t="shared" si="1"/>
        <v>25700.36</v>
      </c>
      <c r="AH34" s="10">
        <v>25700.36</v>
      </c>
      <c r="AI34" s="10">
        <v>1000</v>
      </c>
      <c r="AJ34" s="10">
        <v>0</v>
      </c>
      <c r="AK34" s="10">
        <v>0</v>
      </c>
      <c r="AL34" s="9">
        <f t="shared" si="2"/>
        <v>24700.36</v>
      </c>
      <c r="AM34" s="1"/>
      <c r="AN34" s="1"/>
      <c r="AO34" s="12" t="e">
        <f>AB34/#REF!</f>
        <v>#REF!</v>
      </c>
      <c r="AP34" s="1" t="s">
        <v>1198</v>
      </c>
      <c r="AQ34" s="11">
        <v>41794</v>
      </c>
      <c r="AR34" s="1" t="s">
        <v>1203</v>
      </c>
      <c r="AS34" s="11">
        <v>41797</v>
      </c>
      <c r="AT34" s="1" t="s">
        <v>49</v>
      </c>
      <c r="AU34" s="1" t="s">
        <v>4171</v>
      </c>
    </row>
    <row r="35" spans="1:47" ht="15" customHeight="1" x14ac:dyDescent="0.25">
      <c r="A35" s="1">
        <v>34</v>
      </c>
      <c r="B35" s="1" t="s">
        <v>37</v>
      </c>
      <c r="C35" s="1" t="s">
        <v>38</v>
      </c>
      <c r="D35" s="1">
        <v>9103451782</v>
      </c>
      <c r="E35" s="5">
        <v>41730</v>
      </c>
      <c r="F35" s="1" t="s">
        <v>1204</v>
      </c>
      <c r="G35" s="1" t="s">
        <v>40</v>
      </c>
      <c r="H35" s="1" t="s">
        <v>41</v>
      </c>
      <c r="I35" s="1" t="s">
        <v>2809</v>
      </c>
      <c r="J35" s="1" t="s">
        <v>386</v>
      </c>
      <c r="K35" s="1">
        <v>38237090</v>
      </c>
      <c r="L35" s="6">
        <v>36.979999999999997</v>
      </c>
      <c r="M35" s="1" t="s">
        <v>70</v>
      </c>
      <c r="N35" s="7" t="s">
        <v>52</v>
      </c>
      <c r="O35" s="1" t="s">
        <v>53</v>
      </c>
      <c r="P35" s="8">
        <v>1396</v>
      </c>
      <c r="Q35" s="17">
        <f t="shared" si="6"/>
        <v>51624.079999999994</v>
      </c>
      <c r="R35" s="9">
        <v>2200</v>
      </c>
      <c r="S35" s="9">
        <v>0</v>
      </c>
      <c r="T35" s="9">
        <v>0</v>
      </c>
      <c r="U35" s="10">
        <v>0</v>
      </c>
      <c r="V35" s="1" t="s">
        <v>46</v>
      </c>
      <c r="W35" s="1" t="s">
        <v>241</v>
      </c>
      <c r="X35" s="1">
        <v>1900802</v>
      </c>
      <c r="Y35" s="11">
        <v>41727</v>
      </c>
      <c r="Z35" s="11">
        <v>41729</v>
      </c>
      <c r="AA35" s="9">
        <f t="shared" si="7"/>
        <v>49424.079999999994</v>
      </c>
      <c r="AB35" s="12">
        <v>60.75</v>
      </c>
      <c r="AC35" s="9">
        <f t="shared" si="8"/>
        <v>3136162.86</v>
      </c>
      <c r="AD35" s="9">
        <f t="shared" si="9"/>
        <v>3002512.86</v>
      </c>
      <c r="AE35" s="1" t="s">
        <v>48</v>
      </c>
      <c r="AF35" s="1" t="s">
        <v>53</v>
      </c>
      <c r="AG35" s="4">
        <f t="shared" si="1"/>
        <v>51624.079999999994</v>
      </c>
      <c r="AH35" s="10">
        <v>51624.08</v>
      </c>
      <c r="AI35" s="9">
        <v>2200</v>
      </c>
      <c r="AJ35" s="9">
        <v>0</v>
      </c>
      <c r="AK35" s="9">
        <v>0</v>
      </c>
      <c r="AL35" s="9">
        <f t="shared" si="2"/>
        <v>49424.08</v>
      </c>
      <c r="AM35" s="1"/>
      <c r="AN35" s="1"/>
      <c r="AO35" s="12" t="e">
        <f>AB35/#REF!</f>
        <v>#REF!</v>
      </c>
      <c r="AP35" s="1" t="s">
        <v>1205</v>
      </c>
      <c r="AQ35" s="11">
        <v>41794</v>
      </c>
      <c r="AR35" s="1" t="s">
        <v>1206</v>
      </c>
      <c r="AS35" s="11">
        <v>41797</v>
      </c>
      <c r="AT35" s="1" t="s">
        <v>49</v>
      </c>
      <c r="AU35" s="1" t="s">
        <v>4171</v>
      </c>
    </row>
    <row r="36" spans="1:47" ht="15" customHeight="1" x14ac:dyDescent="0.25">
      <c r="A36" s="1">
        <v>35</v>
      </c>
      <c r="B36" s="1" t="s">
        <v>37</v>
      </c>
      <c r="C36" s="1" t="s">
        <v>38</v>
      </c>
      <c r="D36" s="1" t="s">
        <v>1207</v>
      </c>
      <c r="E36" s="5">
        <v>41732</v>
      </c>
      <c r="F36" s="1" t="s">
        <v>1208</v>
      </c>
      <c r="G36" s="1" t="s">
        <v>40</v>
      </c>
      <c r="H36" s="1" t="s">
        <v>41</v>
      </c>
      <c r="I36" s="1" t="s">
        <v>2809</v>
      </c>
      <c r="J36" s="1" t="s">
        <v>2641</v>
      </c>
      <c r="K36" s="1">
        <v>38237090</v>
      </c>
      <c r="L36" s="6">
        <v>75.62</v>
      </c>
      <c r="M36" s="1" t="s">
        <v>70</v>
      </c>
      <c r="N36" s="7" t="s">
        <v>44</v>
      </c>
      <c r="O36" s="1" t="s">
        <v>53</v>
      </c>
      <c r="P36" s="8">
        <v>1360</v>
      </c>
      <c r="Q36" s="17">
        <f t="shared" si="6"/>
        <v>102843.20000000001</v>
      </c>
      <c r="R36" s="9">
        <v>4400</v>
      </c>
      <c r="S36" s="9">
        <v>20.36</v>
      </c>
      <c r="T36" s="9">
        <v>0</v>
      </c>
      <c r="U36" s="10">
        <v>0</v>
      </c>
      <c r="V36" s="1" t="s">
        <v>46</v>
      </c>
      <c r="W36" s="1" t="s">
        <v>54</v>
      </c>
      <c r="X36" s="1">
        <v>1873636</v>
      </c>
      <c r="Y36" s="11">
        <v>41726</v>
      </c>
      <c r="Z36" s="11">
        <v>41727</v>
      </c>
      <c r="AA36" s="9">
        <f t="shared" si="7"/>
        <v>98422.840000000011</v>
      </c>
      <c r="AB36" s="12">
        <v>60.75</v>
      </c>
      <c r="AC36" s="9">
        <f t="shared" si="8"/>
        <v>6247724.4000000004</v>
      </c>
      <c r="AD36" s="9">
        <f t="shared" si="9"/>
        <v>5979187.5300000003</v>
      </c>
      <c r="AE36" s="1" t="s">
        <v>48</v>
      </c>
      <c r="AF36" s="1" t="s">
        <v>53</v>
      </c>
      <c r="AG36" s="4">
        <f t="shared" si="1"/>
        <v>102843.20000000001</v>
      </c>
      <c r="AH36" s="10">
        <v>102843.2</v>
      </c>
      <c r="AI36" s="9">
        <v>4400</v>
      </c>
      <c r="AJ36" s="9">
        <v>20.36</v>
      </c>
      <c r="AK36" s="10">
        <v>0</v>
      </c>
      <c r="AL36" s="9">
        <f t="shared" si="2"/>
        <v>98422.84</v>
      </c>
      <c r="AM36" s="1"/>
      <c r="AN36" s="1"/>
      <c r="AO36" s="12" t="e">
        <f>AB36/#REF!</f>
        <v>#REF!</v>
      </c>
      <c r="AP36" s="1" t="s">
        <v>1209</v>
      </c>
      <c r="AQ36" s="11">
        <v>41824</v>
      </c>
      <c r="AR36" s="1" t="s">
        <v>1210</v>
      </c>
      <c r="AS36" s="11">
        <v>41825</v>
      </c>
      <c r="AT36" s="1" t="s">
        <v>49</v>
      </c>
      <c r="AU36" s="1" t="s">
        <v>4171</v>
      </c>
    </row>
    <row r="37" spans="1:47" ht="15" customHeight="1" x14ac:dyDescent="0.25">
      <c r="A37" s="1">
        <v>36</v>
      </c>
      <c r="B37" s="1" t="s">
        <v>37</v>
      </c>
      <c r="C37" s="1" t="s">
        <v>38</v>
      </c>
      <c r="D37" s="1" t="s">
        <v>1207</v>
      </c>
      <c r="E37" s="5">
        <v>41732</v>
      </c>
      <c r="F37" s="1" t="s">
        <v>1211</v>
      </c>
      <c r="G37" s="1" t="s">
        <v>40</v>
      </c>
      <c r="H37" s="1" t="s">
        <v>41</v>
      </c>
      <c r="I37" s="1" t="s">
        <v>2809</v>
      </c>
      <c r="J37" s="1" t="s">
        <v>2641</v>
      </c>
      <c r="K37" s="1">
        <v>38237090</v>
      </c>
      <c r="L37" s="6">
        <v>19.34</v>
      </c>
      <c r="M37" s="1" t="s">
        <v>70</v>
      </c>
      <c r="N37" s="7" t="s">
        <v>44</v>
      </c>
      <c r="O37" s="1" t="s">
        <v>53</v>
      </c>
      <c r="P37" s="8">
        <v>1360</v>
      </c>
      <c r="Q37" s="17">
        <f t="shared" si="6"/>
        <v>26302.400000000001</v>
      </c>
      <c r="R37" s="9">
        <v>1100</v>
      </c>
      <c r="S37" s="9">
        <v>5.21</v>
      </c>
      <c r="T37" s="9">
        <v>0</v>
      </c>
      <c r="U37" s="10">
        <v>0</v>
      </c>
      <c r="V37" s="1" t="s">
        <v>46</v>
      </c>
      <c r="W37" s="1" t="s">
        <v>54</v>
      </c>
      <c r="X37" s="1">
        <v>1902994</v>
      </c>
      <c r="Y37" s="11">
        <v>41727</v>
      </c>
      <c r="Z37" s="11">
        <v>41729</v>
      </c>
      <c r="AA37" s="9">
        <f t="shared" si="7"/>
        <v>25197.190000000002</v>
      </c>
      <c r="AB37" s="12">
        <v>60.75</v>
      </c>
      <c r="AC37" s="9">
        <f t="shared" si="8"/>
        <v>1597870.8</v>
      </c>
      <c r="AD37" s="9">
        <f t="shared" si="9"/>
        <v>1530729.2925000002</v>
      </c>
      <c r="AE37" s="1" t="s">
        <v>48</v>
      </c>
      <c r="AF37" s="1" t="s">
        <v>53</v>
      </c>
      <c r="AG37" s="4">
        <f t="shared" si="1"/>
        <v>26302.400000000001</v>
      </c>
      <c r="AH37" s="10">
        <v>26302.400000000001</v>
      </c>
      <c r="AI37" s="9">
        <v>1100</v>
      </c>
      <c r="AJ37" s="9">
        <v>5.21</v>
      </c>
      <c r="AK37" s="10">
        <v>0</v>
      </c>
      <c r="AL37" s="9">
        <f t="shared" si="2"/>
        <v>25197.190000000002</v>
      </c>
      <c r="AM37" s="1"/>
      <c r="AN37" s="1"/>
      <c r="AO37" s="12" t="e">
        <f>AB37/#REF!</f>
        <v>#REF!</v>
      </c>
      <c r="AP37" s="1" t="s">
        <v>1209</v>
      </c>
      <c r="AQ37" s="11">
        <v>41824</v>
      </c>
      <c r="AR37" s="1" t="s">
        <v>1212</v>
      </c>
      <c r="AS37" s="11">
        <v>41825</v>
      </c>
      <c r="AT37" s="1" t="s">
        <v>49</v>
      </c>
      <c r="AU37" s="1" t="s">
        <v>4171</v>
      </c>
    </row>
    <row r="38" spans="1:47" ht="15" customHeight="1" x14ac:dyDescent="0.25">
      <c r="A38" s="1">
        <v>37</v>
      </c>
      <c r="B38" s="1" t="s">
        <v>37</v>
      </c>
      <c r="C38" s="1" t="s">
        <v>38</v>
      </c>
      <c r="D38" s="1" t="s">
        <v>1213</v>
      </c>
      <c r="E38" s="5">
        <v>41733</v>
      </c>
      <c r="F38" s="1" t="s">
        <v>1214</v>
      </c>
      <c r="G38" s="1" t="s">
        <v>40</v>
      </c>
      <c r="H38" s="1" t="s">
        <v>41</v>
      </c>
      <c r="I38" s="1" t="s">
        <v>2809</v>
      </c>
      <c r="J38" s="1" t="s">
        <v>1133</v>
      </c>
      <c r="K38" s="1">
        <v>38237090</v>
      </c>
      <c r="L38" s="6">
        <v>96</v>
      </c>
      <c r="M38" s="1" t="s">
        <v>70</v>
      </c>
      <c r="N38" s="7" t="s">
        <v>44</v>
      </c>
      <c r="O38" s="1" t="s">
        <v>53</v>
      </c>
      <c r="P38" s="8">
        <v>1407</v>
      </c>
      <c r="Q38" s="17">
        <f t="shared" si="6"/>
        <v>135072</v>
      </c>
      <c r="R38" s="9">
        <v>1500</v>
      </c>
      <c r="S38" s="9">
        <v>26.74</v>
      </c>
      <c r="T38" s="9">
        <v>0</v>
      </c>
      <c r="U38" s="10">
        <v>0</v>
      </c>
      <c r="V38" s="1" t="s">
        <v>46</v>
      </c>
      <c r="W38" s="1" t="s">
        <v>54</v>
      </c>
      <c r="X38" s="1">
        <v>1907363</v>
      </c>
      <c r="Y38" s="11">
        <v>41728</v>
      </c>
      <c r="Z38" s="11">
        <v>41729</v>
      </c>
      <c r="AA38" s="9">
        <f t="shared" si="7"/>
        <v>133545.26</v>
      </c>
      <c r="AB38" s="12">
        <v>60.75</v>
      </c>
      <c r="AC38" s="9">
        <f t="shared" si="8"/>
        <v>8205624</v>
      </c>
      <c r="AD38" s="9">
        <f t="shared" si="9"/>
        <v>8112874.5450000009</v>
      </c>
      <c r="AE38" s="1" t="s">
        <v>48</v>
      </c>
      <c r="AF38" s="1" t="s">
        <v>53</v>
      </c>
      <c r="AG38" s="4">
        <f t="shared" si="1"/>
        <v>135072</v>
      </c>
      <c r="AH38" s="10">
        <v>135072</v>
      </c>
      <c r="AI38" s="10">
        <v>1486.8</v>
      </c>
      <c r="AJ38" s="10">
        <v>19.32</v>
      </c>
      <c r="AK38" s="10">
        <v>0</v>
      </c>
      <c r="AL38" s="9">
        <f t="shared" si="2"/>
        <v>133565.88</v>
      </c>
      <c r="AM38" s="1"/>
      <c r="AN38" s="1"/>
      <c r="AO38" s="12" t="e">
        <f>AB38/#REF!</f>
        <v>#REF!</v>
      </c>
      <c r="AP38" s="1" t="s">
        <v>1215</v>
      </c>
      <c r="AQ38" s="11">
        <v>41779</v>
      </c>
      <c r="AR38" s="1" t="s">
        <v>1216</v>
      </c>
      <c r="AS38" s="11">
        <v>41780</v>
      </c>
      <c r="AT38" s="1" t="s">
        <v>49</v>
      </c>
      <c r="AU38" s="1" t="s">
        <v>4171</v>
      </c>
    </row>
    <row r="39" spans="1:47" ht="17.25" customHeight="1" x14ac:dyDescent="0.25">
      <c r="A39" s="1">
        <v>38</v>
      </c>
      <c r="B39" s="1" t="s">
        <v>37</v>
      </c>
      <c r="C39" s="1" t="s">
        <v>38</v>
      </c>
      <c r="D39" s="1" t="s">
        <v>1213</v>
      </c>
      <c r="E39" s="5">
        <v>41733</v>
      </c>
      <c r="F39" s="1" t="s">
        <v>1217</v>
      </c>
      <c r="G39" s="1" t="s">
        <v>40</v>
      </c>
      <c r="H39" s="1" t="s">
        <v>41</v>
      </c>
      <c r="I39" s="1" t="s">
        <v>2809</v>
      </c>
      <c r="J39" s="1" t="s">
        <v>1133</v>
      </c>
      <c r="K39" s="1">
        <v>38237090</v>
      </c>
      <c r="L39" s="6">
        <v>96</v>
      </c>
      <c r="M39" s="1" t="s">
        <v>70</v>
      </c>
      <c r="N39" s="7" t="s">
        <v>44</v>
      </c>
      <c r="O39" s="1" t="s">
        <v>53</v>
      </c>
      <c r="P39" s="8">
        <v>1407</v>
      </c>
      <c r="Q39" s="17">
        <f t="shared" si="6"/>
        <v>135072</v>
      </c>
      <c r="R39" s="9">
        <v>1500</v>
      </c>
      <c r="S39" s="9">
        <v>26.74</v>
      </c>
      <c r="T39" s="9">
        <v>0</v>
      </c>
      <c r="U39" s="10">
        <v>0</v>
      </c>
      <c r="V39" s="1" t="s">
        <v>46</v>
      </c>
      <c r="W39" s="1" t="s">
        <v>54</v>
      </c>
      <c r="X39" s="1">
        <v>1936167</v>
      </c>
      <c r="Y39" s="11">
        <v>41730</v>
      </c>
      <c r="Z39" s="11">
        <v>41731</v>
      </c>
      <c r="AA39" s="9">
        <f t="shared" si="7"/>
        <v>133545.26</v>
      </c>
      <c r="AB39" s="12">
        <v>60.75</v>
      </c>
      <c r="AC39" s="9">
        <f t="shared" si="8"/>
        <v>8205624</v>
      </c>
      <c r="AD39" s="9">
        <f t="shared" si="9"/>
        <v>8112874.5450000009</v>
      </c>
      <c r="AE39" s="1" t="s">
        <v>48</v>
      </c>
      <c r="AF39" s="1" t="s">
        <v>53</v>
      </c>
      <c r="AG39" s="4">
        <f t="shared" si="1"/>
        <v>135072</v>
      </c>
      <c r="AH39" s="10">
        <v>135072</v>
      </c>
      <c r="AI39" s="10">
        <v>1486.8</v>
      </c>
      <c r="AJ39" s="10">
        <v>19.32</v>
      </c>
      <c r="AK39" s="10">
        <v>0</v>
      </c>
      <c r="AL39" s="9">
        <f t="shared" si="2"/>
        <v>133565.88</v>
      </c>
      <c r="AM39" s="1"/>
      <c r="AN39" s="1"/>
      <c r="AO39" s="12" t="e">
        <f>AB39/#REF!</f>
        <v>#REF!</v>
      </c>
      <c r="AP39" s="1" t="s">
        <v>1215</v>
      </c>
      <c r="AQ39" s="11">
        <v>41779</v>
      </c>
      <c r="AR39" s="1" t="s">
        <v>1218</v>
      </c>
      <c r="AS39" s="11">
        <v>41780</v>
      </c>
      <c r="AT39" s="1" t="s">
        <v>49</v>
      </c>
      <c r="AU39" s="1" t="s">
        <v>4171</v>
      </c>
    </row>
    <row r="40" spans="1:47" ht="15" customHeight="1" x14ac:dyDescent="0.25">
      <c r="A40" s="1">
        <v>39</v>
      </c>
      <c r="B40" s="1" t="s">
        <v>37</v>
      </c>
      <c r="C40" s="1" t="s">
        <v>38</v>
      </c>
      <c r="D40" s="1" t="s">
        <v>1219</v>
      </c>
      <c r="E40" s="5">
        <v>41733</v>
      </c>
      <c r="F40" s="1" t="s">
        <v>1220</v>
      </c>
      <c r="G40" s="1" t="s">
        <v>40</v>
      </c>
      <c r="H40" s="1" t="s">
        <v>41</v>
      </c>
      <c r="I40" s="1" t="s">
        <v>2810</v>
      </c>
      <c r="J40" s="1" t="s">
        <v>1116</v>
      </c>
      <c r="K40" s="1">
        <v>38237090</v>
      </c>
      <c r="L40" s="6">
        <v>168.98</v>
      </c>
      <c r="M40" s="1" t="s">
        <v>70</v>
      </c>
      <c r="N40" s="7" t="s">
        <v>67</v>
      </c>
      <c r="O40" s="1" t="s">
        <v>1117</v>
      </c>
      <c r="P40" s="8">
        <v>111476</v>
      </c>
      <c r="Q40" s="17">
        <f t="shared" si="6"/>
        <v>18837214.48</v>
      </c>
      <c r="R40" s="9">
        <v>0</v>
      </c>
      <c r="S40" s="9">
        <v>0</v>
      </c>
      <c r="T40" s="9">
        <v>0</v>
      </c>
      <c r="U40" s="10">
        <v>0</v>
      </c>
      <c r="V40" s="1" t="s">
        <v>46</v>
      </c>
      <c r="W40" s="1" t="s">
        <v>361</v>
      </c>
      <c r="X40" s="1">
        <v>1877150</v>
      </c>
      <c r="Y40" s="11">
        <v>41726</v>
      </c>
      <c r="Z40" s="11">
        <v>41728</v>
      </c>
      <c r="AA40" s="9">
        <f t="shared" si="7"/>
        <v>18837214.48</v>
      </c>
      <c r="AB40" s="12">
        <v>1</v>
      </c>
      <c r="AC40" s="9">
        <f t="shared" si="8"/>
        <v>18837214.48</v>
      </c>
      <c r="AD40" s="9">
        <f t="shared" si="9"/>
        <v>18837214.48</v>
      </c>
      <c r="AE40" s="1" t="s">
        <v>4162</v>
      </c>
      <c r="AF40" s="1" t="s">
        <v>1117</v>
      </c>
      <c r="AG40" s="4">
        <f t="shared" si="1"/>
        <v>18837214.48</v>
      </c>
      <c r="AH40" s="10">
        <v>18837214.48</v>
      </c>
      <c r="AI40" s="10"/>
      <c r="AJ40" s="10"/>
      <c r="AK40" s="10"/>
      <c r="AL40" s="9">
        <f t="shared" si="2"/>
        <v>18837214.48</v>
      </c>
      <c r="AM40" s="1"/>
      <c r="AN40" s="1"/>
      <c r="AO40" s="12" t="e">
        <f>AB40/#REF!</f>
        <v>#REF!</v>
      </c>
      <c r="AP40" s="1" t="s">
        <v>4149</v>
      </c>
      <c r="AQ40" s="11" t="s">
        <v>4144</v>
      </c>
      <c r="AR40" s="1" t="s">
        <v>4150</v>
      </c>
      <c r="AS40" s="1" t="s">
        <v>4142</v>
      </c>
      <c r="AT40" s="1" t="s">
        <v>49</v>
      </c>
      <c r="AU40" s="1" t="s">
        <v>4171</v>
      </c>
    </row>
    <row r="41" spans="1:47" ht="15" customHeight="1" x14ac:dyDescent="0.25">
      <c r="A41" s="1">
        <v>40</v>
      </c>
      <c r="B41" s="1" t="s">
        <v>37</v>
      </c>
      <c r="C41" s="1" t="s">
        <v>38</v>
      </c>
      <c r="D41" s="1" t="s">
        <v>1219</v>
      </c>
      <c r="E41" s="5">
        <v>41733</v>
      </c>
      <c r="F41" s="1" t="s">
        <v>1221</v>
      </c>
      <c r="G41" s="1" t="s">
        <v>40</v>
      </c>
      <c r="H41" s="1" t="s">
        <v>41</v>
      </c>
      <c r="I41" s="1" t="s">
        <v>2810</v>
      </c>
      <c r="J41" s="1" t="s">
        <v>1116</v>
      </c>
      <c r="K41" s="1">
        <v>38237090</v>
      </c>
      <c r="L41" s="6">
        <v>37.5</v>
      </c>
      <c r="M41" s="1" t="s">
        <v>70</v>
      </c>
      <c r="N41" s="7" t="s">
        <v>67</v>
      </c>
      <c r="O41" s="1" t="s">
        <v>1117</v>
      </c>
      <c r="P41" s="8">
        <v>111476</v>
      </c>
      <c r="Q41" s="17">
        <f t="shared" si="6"/>
        <v>4180350</v>
      </c>
      <c r="R41" s="9">
        <v>0</v>
      </c>
      <c r="S41" s="9">
        <v>0</v>
      </c>
      <c r="T41" s="9">
        <v>0</v>
      </c>
      <c r="U41" s="10">
        <v>0</v>
      </c>
      <c r="V41" s="1" t="s">
        <v>46</v>
      </c>
      <c r="W41" s="1" t="s">
        <v>361</v>
      </c>
      <c r="X41" s="1">
        <v>1900673</v>
      </c>
      <c r="Y41" s="11">
        <v>41727</v>
      </c>
      <c r="Z41" s="11">
        <v>41729</v>
      </c>
      <c r="AA41" s="9">
        <f t="shared" si="7"/>
        <v>4180350</v>
      </c>
      <c r="AB41" s="12">
        <v>1</v>
      </c>
      <c r="AC41" s="9">
        <f t="shared" si="8"/>
        <v>4180350</v>
      </c>
      <c r="AD41" s="9">
        <f t="shared" si="9"/>
        <v>4180350</v>
      </c>
      <c r="AE41" s="1" t="s">
        <v>4162</v>
      </c>
      <c r="AF41" s="1" t="s">
        <v>1117</v>
      </c>
      <c r="AG41" s="4">
        <f t="shared" si="1"/>
        <v>4180350</v>
      </c>
      <c r="AH41" s="10">
        <v>4180340</v>
      </c>
      <c r="AI41" s="10"/>
      <c r="AJ41" s="10"/>
      <c r="AK41" s="10"/>
      <c r="AL41" s="9">
        <f t="shared" si="2"/>
        <v>4180340</v>
      </c>
      <c r="AM41" s="1"/>
      <c r="AN41" s="1"/>
      <c r="AO41" s="12" t="e">
        <f>AB41/#REF!</f>
        <v>#REF!</v>
      </c>
      <c r="AP41" s="1" t="s">
        <v>4149</v>
      </c>
      <c r="AQ41" s="11" t="s">
        <v>4144</v>
      </c>
      <c r="AR41" s="1" t="s">
        <v>4148</v>
      </c>
      <c r="AS41" s="1" t="s">
        <v>4142</v>
      </c>
      <c r="AT41" s="1" t="s">
        <v>49</v>
      </c>
      <c r="AU41" s="1" t="s">
        <v>4171</v>
      </c>
    </row>
    <row r="42" spans="1:47" ht="15" customHeight="1" x14ac:dyDescent="0.25">
      <c r="A42" s="1">
        <v>41</v>
      </c>
      <c r="B42" s="1" t="s">
        <v>37</v>
      </c>
      <c r="C42" s="1" t="s">
        <v>38</v>
      </c>
      <c r="D42" s="1">
        <v>9103451790</v>
      </c>
      <c r="E42" s="5">
        <v>41737</v>
      </c>
      <c r="F42" s="1" t="s">
        <v>1222</v>
      </c>
      <c r="G42" s="1" t="s">
        <v>40</v>
      </c>
      <c r="H42" s="1" t="s">
        <v>41</v>
      </c>
      <c r="I42" s="1" t="s">
        <v>2809</v>
      </c>
      <c r="J42" s="1" t="s">
        <v>2716</v>
      </c>
      <c r="K42" s="1">
        <v>29159090</v>
      </c>
      <c r="L42" s="6">
        <v>19.93</v>
      </c>
      <c r="M42" s="1" t="s">
        <v>70</v>
      </c>
      <c r="N42" s="7" t="s">
        <v>44</v>
      </c>
      <c r="O42" s="1" t="s">
        <v>45</v>
      </c>
      <c r="P42" s="8">
        <v>1366</v>
      </c>
      <c r="Q42" s="17">
        <f t="shared" si="6"/>
        <v>27224.38</v>
      </c>
      <c r="R42" s="9">
        <v>1785.71</v>
      </c>
      <c r="S42" s="9">
        <v>5.39</v>
      </c>
      <c r="T42" s="9">
        <v>0</v>
      </c>
      <c r="U42" s="10">
        <v>0</v>
      </c>
      <c r="V42" s="1" t="s">
        <v>46</v>
      </c>
      <c r="W42" s="1" t="s">
        <v>47</v>
      </c>
      <c r="X42" s="1">
        <v>1902901</v>
      </c>
      <c r="Y42" s="11">
        <v>41727</v>
      </c>
      <c r="Z42" s="11">
        <v>41730</v>
      </c>
      <c r="AA42" s="9">
        <f t="shared" si="7"/>
        <v>25433.280000000002</v>
      </c>
      <c r="AB42" s="12">
        <v>83.65</v>
      </c>
      <c r="AC42" s="9">
        <f t="shared" si="8"/>
        <v>2277319.3870000001</v>
      </c>
      <c r="AD42" s="9">
        <f t="shared" si="9"/>
        <v>2127493.8720000004</v>
      </c>
      <c r="AE42" s="1" t="s">
        <v>48</v>
      </c>
      <c r="AF42" s="1" t="s">
        <v>45</v>
      </c>
      <c r="AG42" s="4">
        <f t="shared" si="1"/>
        <v>27224.38</v>
      </c>
      <c r="AH42" s="10">
        <v>27224.38</v>
      </c>
      <c r="AI42" s="9">
        <v>1245.3800000000001</v>
      </c>
      <c r="AJ42" s="9">
        <v>5.39</v>
      </c>
      <c r="AK42" s="9">
        <v>0</v>
      </c>
      <c r="AL42" s="9">
        <f t="shared" si="2"/>
        <v>25973.61</v>
      </c>
      <c r="AM42" s="1"/>
      <c r="AN42" s="1"/>
      <c r="AO42" s="12" t="e">
        <f>AB42/#REF!</f>
        <v>#REF!</v>
      </c>
      <c r="AP42" s="1" t="s">
        <v>1223</v>
      </c>
      <c r="AQ42" s="11">
        <v>41778</v>
      </c>
      <c r="AR42" s="1" t="s">
        <v>1224</v>
      </c>
      <c r="AS42" s="11">
        <v>41779</v>
      </c>
      <c r="AT42" s="1" t="s">
        <v>49</v>
      </c>
      <c r="AU42" s="1" t="s">
        <v>4171</v>
      </c>
    </row>
    <row r="43" spans="1:47" ht="15" customHeight="1" x14ac:dyDescent="0.25">
      <c r="A43" s="1">
        <v>42</v>
      </c>
      <c r="B43" s="1" t="s">
        <v>37</v>
      </c>
      <c r="C43" s="1" t="s">
        <v>38</v>
      </c>
      <c r="D43" s="1">
        <v>9103451791</v>
      </c>
      <c r="E43" s="5">
        <v>41736</v>
      </c>
      <c r="F43" s="1" t="s">
        <v>1225</v>
      </c>
      <c r="G43" s="1" t="s">
        <v>40</v>
      </c>
      <c r="H43" s="1" t="s">
        <v>41</v>
      </c>
      <c r="I43" s="1" t="s">
        <v>2809</v>
      </c>
      <c r="J43" s="1" t="s">
        <v>837</v>
      </c>
      <c r="K43" s="1">
        <v>38231900</v>
      </c>
      <c r="L43" s="6">
        <v>19.690000000000001</v>
      </c>
      <c r="M43" s="1" t="s">
        <v>70</v>
      </c>
      <c r="N43" s="7" t="s">
        <v>44</v>
      </c>
      <c r="O43" s="1" t="s">
        <v>53</v>
      </c>
      <c r="P43" s="8">
        <v>3600</v>
      </c>
      <c r="Q43" s="17">
        <f t="shared" si="6"/>
        <v>70884</v>
      </c>
      <c r="R43" s="9">
        <v>6700</v>
      </c>
      <c r="S43" s="9">
        <v>14.04</v>
      </c>
      <c r="T43" s="9">
        <v>0</v>
      </c>
      <c r="U43" s="10">
        <v>0</v>
      </c>
      <c r="V43" s="1" t="s">
        <v>46</v>
      </c>
      <c r="W43" s="1" t="s">
        <v>56</v>
      </c>
      <c r="X43" s="1">
        <v>1899274</v>
      </c>
      <c r="Y43" s="11">
        <v>41727</v>
      </c>
      <c r="Z43" s="11">
        <v>41730</v>
      </c>
      <c r="AA43" s="9">
        <f t="shared" si="7"/>
        <v>64169.96</v>
      </c>
      <c r="AB43" s="12">
        <v>60.75</v>
      </c>
      <c r="AC43" s="9">
        <f t="shared" si="8"/>
        <v>4306203</v>
      </c>
      <c r="AD43" s="9">
        <f t="shared" si="9"/>
        <v>3898325.07</v>
      </c>
      <c r="AE43" s="1" t="s">
        <v>57</v>
      </c>
      <c r="AF43" s="1" t="s">
        <v>53</v>
      </c>
      <c r="AG43" s="4">
        <f t="shared" si="1"/>
        <v>70884</v>
      </c>
      <c r="AH43" s="10">
        <v>70884</v>
      </c>
      <c r="AI43" s="10">
        <v>6250</v>
      </c>
      <c r="AJ43" s="10">
        <v>14.02</v>
      </c>
      <c r="AK43" s="10">
        <v>0</v>
      </c>
      <c r="AL43" s="9">
        <f t="shared" si="2"/>
        <v>64619.979999999996</v>
      </c>
      <c r="AM43" s="1"/>
      <c r="AN43" s="1"/>
      <c r="AO43" s="12" t="e">
        <f>AB43/#REF!</f>
        <v>#REF!</v>
      </c>
      <c r="AP43" s="1" t="s">
        <v>1226</v>
      </c>
      <c r="AQ43" s="11">
        <v>41778</v>
      </c>
      <c r="AR43" s="1" t="s">
        <v>1227</v>
      </c>
      <c r="AS43" s="11">
        <v>41899</v>
      </c>
      <c r="AT43" s="1" t="s">
        <v>49</v>
      </c>
      <c r="AU43" s="1" t="s">
        <v>4171</v>
      </c>
    </row>
    <row r="44" spans="1:47" ht="15" customHeight="1" x14ac:dyDescent="0.25">
      <c r="A44" s="1">
        <v>43</v>
      </c>
      <c r="B44" s="1" t="s">
        <v>37</v>
      </c>
      <c r="C44" s="1" t="s">
        <v>38</v>
      </c>
      <c r="D44" s="1">
        <v>9103451792</v>
      </c>
      <c r="E44" s="5">
        <v>41727</v>
      </c>
      <c r="F44" s="1" t="s">
        <v>1228</v>
      </c>
      <c r="G44" s="1" t="s">
        <v>40</v>
      </c>
      <c r="H44" s="1" t="s">
        <v>41</v>
      </c>
      <c r="I44" s="1" t="s">
        <v>2809</v>
      </c>
      <c r="J44" s="1" t="s">
        <v>2806</v>
      </c>
      <c r="K44" s="1">
        <v>38237090</v>
      </c>
      <c r="L44" s="6">
        <v>55.19</v>
      </c>
      <c r="M44" s="1" t="s">
        <v>70</v>
      </c>
      <c r="N44" s="7" t="s">
        <v>67</v>
      </c>
      <c r="O44" s="1" t="s">
        <v>53</v>
      </c>
      <c r="P44" s="8">
        <v>1450</v>
      </c>
      <c r="Q44" s="17">
        <f t="shared" si="6"/>
        <v>80025.5</v>
      </c>
      <c r="R44" s="9">
        <v>0</v>
      </c>
      <c r="S44" s="9">
        <v>0</v>
      </c>
      <c r="T44" s="9">
        <v>0</v>
      </c>
      <c r="U44" s="10">
        <v>0</v>
      </c>
      <c r="V44" s="1" t="s">
        <v>46</v>
      </c>
      <c r="W44" s="1" t="s">
        <v>492</v>
      </c>
      <c r="X44" s="1">
        <v>1824019</v>
      </c>
      <c r="Y44" s="11">
        <v>41724</v>
      </c>
      <c r="Z44" s="11">
        <v>41725</v>
      </c>
      <c r="AA44" s="9">
        <f t="shared" si="7"/>
        <v>80025.5</v>
      </c>
      <c r="AB44" s="12">
        <v>60.75</v>
      </c>
      <c r="AC44" s="9">
        <f t="shared" si="8"/>
        <v>4861549.125</v>
      </c>
      <c r="AD44" s="9">
        <f t="shared" si="9"/>
        <v>4861549.125</v>
      </c>
      <c r="AE44" s="1" t="s">
        <v>48</v>
      </c>
      <c r="AF44" s="1" t="s">
        <v>53</v>
      </c>
      <c r="AG44" s="4">
        <f t="shared" si="1"/>
        <v>80025.5</v>
      </c>
      <c r="AH44" s="10">
        <v>79973.5</v>
      </c>
      <c r="AI44" s="9">
        <v>0</v>
      </c>
      <c r="AJ44" s="9">
        <v>0</v>
      </c>
      <c r="AK44" s="9">
        <v>0</v>
      </c>
      <c r="AL44" s="9">
        <f t="shared" si="2"/>
        <v>79973.5</v>
      </c>
      <c r="AM44" s="1"/>
      <c r="AN44" s="1"/>
      <c r="AO44" s="12" t="e">
        <f>AB44/#REF!</f>
        <v>#REF!</v>
      </c>
      <c r="AP44" s="1" t="s">
        <v>1229</v>
      </c>
      <c r="AQ44" s="11">
        <v>41772</v>
      </c>
      <c r="AR44" s="1" t="s">
        <v>1230</v>
      </c>
      <c r="AS44" s="11">
        <v>41774</v>
      </c>
      <c r="AT44" s="1" t="s">
        <v>49</v>
      </c>
      <c r="AU44" s="1" t="s">
        <v>4171</v>
      </c>
    </row>
    <row r="45" spans="1:47" ht="15" customHeight="1" x14ac:dyDescent="0.25">
      <c r="A45" s="1">
        <v>44</v>
      </c>
      <c r="B45" s="1" t="s">
        <v>37</v>
      </c>
      <c r="C45" s="1" t="s">
        <v>38</v>
      </c>
      <c r="D45" s="1">
        <v>9103451793</v>
      </c>
      <c r="E45" s="5">
        <v>41754</v>
      </c>
      <c r="F45" s="1" t="s">
        <v>1231</v>
      </c>
      <c r="G45" s="1" t="s">
        <v>40</v>
      </c>
      <c r="H45" s="1" t="s">
        <v>41</v>
      </c>
      <c r="I45" s="1" t="s">
        <v>2809</v>
      </c>
      <c r="J45" s="1" t="s">
        <v>2806</v>
      </c>
      <c r="K45" s="1">
        <v>38237090</v>
      </c>
      <c r="L45" s="6">
        <v>19.239999999999998</v>
      </c>
      <c r="M45" s="1" t="s">
        <v>70</v>
      </c>
      <c r="N45" s="7" t="s">
        <v>67</v>
      </c>
      <c r="O45" s="1" t="s">
        <v>53</v>
      </c>
      <c r="P45" s="8">
        <v>1450</v>
      </c>
      <c r="Q45" s="17">
        <f t="shared" si="6"/>
        <v>27897.999999999996</v>
      </c>
      <c r="R45" s="9">
        <v>0</v>
      </c>
      <c r="S45" s="9">
        <v>0</v>
      </c>
      <c r="T45" s="9">
        <v>0</v>
      </c>
      <c r="U45" s="10">
        <v>0</v>
      </c>
      <c r="V45" s="1" t="s">
        <v>46</v>
      </c>
      <c r="W45" s="1" t="s">
        <v>492</v>
      </c>
      <c r="X45" s="1">
        <v>1836685</v>
      </c>
      <c r="Y45" s="11">
        <v>41725</v>
      </c>
      <c r="Z45" s="11">
        <v>41750</v>
      </c>
      <c r="AA45" s="9">
        <f t="shared" si="7"/>
        <v>27897.999999999996</v>
      </c>
      <c r="AB45" s="12">
        <v>60.75</v>
      </c>
      <c r="AC45" s="9">
        <f t="shared" si="8"/>
        <v>1694803.4999999998</v>
      </c>
      <c r="AD45" s="9">
        <f t="shared" si="9"/>
        <v>1694803.4999999998</v>
      </c>
      <c r="AE45" s="1" t="s">
        <v>48</v>
      </c>
      <c r="AF45" s="1" t="s">
        <v>53</v>
      </c>
      <c r="AG45" s="4">
        <f t="shared" si="1"/>
        <v>27897.999999999996</v>
      </c>
      <c r="AH45" s="10">
        <v>27846</v>
      </c>
      <c r="AI45" s="9">
        <v>0</v>
      </c>
      <c r="AJ45" s="9">
        <v>0</v>
      </c>
      <c r="AK45" s="9">
        <v>0</v>
      </c>
      <c r="AL45" s="9">
        <f t="shared" si="2"/>
        <v>27846</v>
      </c>
      <c r="AM45" s="1"/>
      <c r="AN45" s="1"/>
      <c r="AO45" s="12" t="e">
        <f>AB45/#REF!</f>
        <v>#REF!</v>
      </c>
      <c r="AP45" s="1" t="s">
        <v>1232</v>
      </c>
      <c r="AQ45" s="11">
        <v>41792</v>
      </c>
      <c r="AR45" s="1" t="s">
        <v>1233</v>
      </c>
      <c r="AS45" s="11">
        <v>41793</v>
      </c>
      <c r="AT45" s="1" t="s">
        <v>49</v>
      </c>
      <c r="AU45" s="1" t="s">
        <v>4171</v>
      </c>
    </row>
    <row r="46" spans="1:47" ht="15" customHeight="1" x14ac:dyDescent="0.25">
      <c r="A46" s="1">
        <v>45</v>
      </c>
      <c r="B46" s="1" t="s">
        <v>37</v>
      </c>
      <c r="C46" s="1" t="s">
        <v>38</v>
      </c>
      <c r="D46" s="1">
        <v>9103451794</v>
      </c>
      <c r="E46" s="5">
        <v>41730</v>
      </c>
      <c r="F46" s="1" t="s">
        <v>1234</v>
      </c>
      <c r="G46" s="1" t="s">
        <v>40</v>
      </c>
      <c r="H46" s="1" t="s">
        <v>41</v>
      </c>
      <c r="I46" s="1" t="s">
        <v>2809</v>
      </c>
      <c r="J46" s="1" t="s">
        <v>924</v>
      </c>
      <c r="K46" s="1">
        <v>38237090</v>
      </c>
      <c r="L46" s="6">
        <v>24</v>
      </c>
      <c r="M46" s="1" t="s">
        <v>70</v>
      </c>
      <c r="N46" s="7" t="s">
        <v>44</v>
      </c>
      <c r="O46" s="1" t="s">
        <v>53</v>
      </c>
      <c r="P46" s="8">
        <v>1850</v>
      </c>
      <c r="Q46" s="17">
        <f t="shared" si="6"/>
        <v>44400</v>
      </c>
      <c r="R46" s="9">
        <v>2400</v>
      </c>
      <c r="S46" s="9">
        <v>8.7899999999999991</v>
      </c>
      <c r="T46" s="9">
        <v>888</v>
      </c>
      <c r="U46" s="10">
        <v>0</v>
      </c>
      <c r="V46" s="1" t="s">
        <v>46</v>
      </c>
      <c r="W46" s="1" t="s">
        <v>123</v>
      </c>
      <c r="X46" s="1">
        <v>1876842</v>
      </c>
      <c r="Y46" s="11">
        <v>41726</v>
      </c>
      <c r="Z46" s="11">
        <v>41728</v>
      </c>
      <c r="AA46" s="9">
        <f t="shared" si="7"/>
        <v>41991.21</v>
      </c>
      <c r="AB46" s="12">
        <v>60.75</v>
      </c>
      <c r="AC46" s="9">
        <f t="shared" si="8"/>
        <v>2697300</v>
      </c>
      <c r="AD46" s="9">
        <f t="shared" si="9"/>
        <v>2550966.0074999998</v>
      </c>
      <c r="AE46" s="1" t="s">
        <v>48</v>
      </c>
      <c r="AF46" s="1" t="s">
        <v>53</v>
      </c>
      <c r="AG46" s="4">
        <f t="shared" si="1"/>
        <v>44400</v>
      </c>
      <c r="AH46" s="10">
        <v>44400</v>
      </c>
      <c r="AI46" s="9">
        <v>2400</v>
      </c>
      <c r="AJ46" s="9">
        <v>8.7899999999999991</v>
      </c>
      <c r="AK46" s="9">
        <v>888</v>
      </c>
      <c r="AL46" s="9">
        <f t="shared" si="2"/>
        <v>41103.21</v>
      </c>
      <c r="AM46" s="1"/>
      <c r="AN46" s="1"/>
      <c r="AO46" s="12" t="e">
        <f>AB46/#REF!</f>
        <v>#REF!</v>
      </c>
      <c r="AP46" s="1" t="s">
        <v>1235</v>
      </c>
      <c r="AQ46" s="11">
        <v>41772</v>
      </c>
      <c r="AR46" s="1" t="s">
        <v>1236</v>
      </c>
      <c r="AS46" s="11">
        <v>41774</v>
      </c>
      <c r="AT46" s="1" t="s">
        <v>49</v>
      </c>
      <c r="AU46" s="1" t="s">
        <v>4171</v>
      </c>
    </row>
    <row r="47" spans="1:47" ht="15" customHeight="1" x14ac:dyDescent="0.25">
      <c r="A47" s="1">
        <v>46</v>
      </c>
      <c r="B47" s="1" t="s">
        <v>37</v>
      </c>
      <c r="C47" s="1" t="s">
        <v>38</v>
      </c>
      <c r="D47" s="1" t="s">
        <v>1237</v>
      </c>
      <c r="E47" s="5">
        <v>41733</v>
      </c>
      <c r="F47" s="1" t="s">
        <v>1238</v>
      </c>
      <c r="G47" s="1" t="s">
        <v>40</v>
      </c>
      <c r="H47" s="1" t="s">
        <v>41</v>
      </c>
      <c r="I47" s="1" t="s">
        <v>2809</v>
      </c>
      <c r="J47" s="1" t="s">
        <v>747</v>
      </c>
      <c r="K47" s="1">
        <v>38237090</v>
      </c>
      <c r="L47" s="6">
        <v>48</v>
      </c>
      <c r="M47" s="1" t="s">
        <v>70</v>
      </c>
      <c r="N47" s="7" t="s">
        <v>44</v>
      </c>
      <c r="O47" s="1" t="s">
        <v>53</v>
      </c>
      <c r="P47" s="8">
        <v>1400</v>
      </c>
      <c r="Q47" s="17">
        <f t="shared" si="6"/>
        <v>67200</v>
      </c>
      <c r="R47" s="9">
        <v>525</v>
      </c>
      <c r="S47" s="9">
        <v>13.31</v>
      </c>
      <c r="T47" s="9">
        <v>0</v>
      </c>
      <c r="U47" s="10">
        <v>0</v>
      </c>
      <c r="V47" s="1" t="s">
        <v>46</v>
      </c>
      <c r="W47" s="1" t="s">
        <v>54</v>
      </c>
      <c r="X47" s="1">
        <v>1824523</v>
      </c>
      <c r="Y47" s="11">
        <v>41724</v>
      </c>
      <c r="Z47" s="11">
        <v>41725</v>
      </c>
      <c r="AA47" s="9">
        <f t="shared" si="7"/>
        <v>66661.69</v>
      </c>
      <c r="AB47" s="12">
        <v>60.75</v>
      </c>
      <c r="AC47" s="9">
        <f t="shared" si="8"/>
        <v>4082400</v>
      </c>
      <c r="AD47" s="9">
        <f t="shared" si="9"/>
        <v>4049697.6675</v>
      </c>
      <c r="AE47" s="1" t="s">
        <v>48</v>
      </c>
      <c r="AF47" s="1" t="s">
        <v>53</v>
      </c>
      <c r="AG47" s="4">
        <f t="shared" si="1"/>
        <v>67200</v>
      </c>
      <c r="AH47" s="10">
        <v>67200</v>
      </c>
      <c r="AI47" s="10">
        <v>780</v>
      </c>
      <c r="AJ47" s="10">
        <v>9.61</v>
      </c>
      <c r="AK47" s="10">
        <v>0</v>
      </c>
      <c r="AL47" s="9">
        <f t="shared" si="2"/>
        <v>66410.39</v>
      </c>
      <c r="AM47" s="1"/>
      <c r="AN47" s="1"/>
      <c r="AO47" s="12" t="e">
        <f>AB47/#REF!</f>
        <v>#REF!</v>
      </c>
      <c r="AP47" s="1" t="s">
        <v>1239</v>
      </c>
      <c r="AQ47" s="11">
        <v>41794</v>
      </c>
      <c r="AR47" s="1" t="s">
        <v>1240</v>
      </c>
      <c r="AS47" s="11">
        <v>41797</v>
      </c>
      <c r="AT47" s="1" t="s">
        <v>49</v>
      </c>
      <c r="AU47" s="1" t="s">
        <v>4171</v>
      </c>
    </row>
    <row r="48" spans="1:47" ht="15" customHeight="1" x14ac:dyDescent="0.25">
      <c r="A48" s="1">
        <v>47</v>
      </c>
      <c r="B48" s="1" t="s">
        <v>37</v>
      </c>
      <c r="C48" s="1" t="s">
        <v>38</v>
      </c>
      <c r="D48" s="1" t="s">
        <v>1237</v>
      </c>
      <c r="E48" s="5">
        <v>41733</v>
      </c>
      <c r="F48" s="1" t="s">
        <v>1241</v>
      </c>
      <c r="G48" s="1" t="s">
        <v>40</v>
      </c>
      <c r="H48" s="1" t="s">
        <v>41</v>
      </c>
      <c r="I48" s="1" t="s">
        <v>2809</v>
      </c>
      <c r="J48" s="1" t="s">
        <v>747</v>
      </c>
      <c r="K48" s="1">
        <v>38237090</v>
      </c>
      <c r="L48" s="6">
        <v>48</v>
      </c>
      <c r="M48" s="1" t="s">
        <v>70</v>
      </c>
      <c r="N48" s="7" t="s">
        <v>44</v>
      </c>
      <c r="O48" s="1" t="s">
        <v>53</v>
      </c>
      <c r="P48" s="8">
        <v>1400</v>
      </c>
      <c r="Q48" s="17">
        <f t="shared" si="6"/>
        <v>67200</v>
      </c>
      <c r="R48" s="9">
        <v>525</v>
      </c>
      <c r="S48" s="9">
        <v>13.31</v>
      </c>
      <c r="T48" s="9">
        <v>0</v>
      </c>
      <c r="U48" s="10">
        <v>0</v>
      </c>
      <c r="V48" s="1" t="s">
        <v>46</v>
      </c>
      <c r="W48" s="1" t="s">
        <v>54</v>
      </c>
      <c r="X48" s="1">
        <v>1836687</v>
      </c>
      <c r="Y48" s="11">
        <v>41725</v>
      </c>
      <c r="Z48" s="11">
        <v>41727</v>
      </c>
      <c r="AA48" s="9">
        <f t="shared" si="7"/>
        <v>66661.69</v>
      </c>
      <c r="AB48" s="12">
        <v>60.75</v>
      </c>
      <c r="AC48" s="9">
        <f t="shared" si="8"/>
        <v>4082400</v>
      </c>
      <c r="AD48" s="9">
        <f t="shared" si="9"/>
        <v>4049697.6675</v>
      </c>
      <c r="AE48" s="1" t="s">
        <v>48</v>
      </c>
      <c r="AF48" s="1" t="s">
        <v>53</v>
      </c>
      <c r="AG48" s="4">
        <f t="shared" si="1"/>
        <v>67200</v>
      </c>
      <c r="AH48" s="10">
        <v>67200</v>
      </c>
      <c r="AI48" s="10">
        <v>780</v>
      </c>
      <c r="AJ48" s="10">
        <v>9.61</v>
      </c>
      <c r="AK48" s="10">
        <v>0</v>
      </c>
      <c r="AL48" s="9">
        <f t="shared" si="2"/>
        <v>66410.39</v>
      </c>
      <c r="AM48" s="1"/>
      <c r="AN48" s="1"/>
      <c r="AO48" s="12" t="e">
        <f>AB48/#REF!</f>
        <v>#REF!</v>
      </c>
      <c r="AP48" s="1" t="s">
        <v>1239</v>
      </c>
      <c r="AQ48" s="11">
        <v>41794</v>
      </c>
      <c r="AR48" s="1" t="s">
        <v>1242</v>
      </c>
      <c r="AS48" s="11">
        <v>41797</v>
      </c>
      <c r="AT48" s="1" t="s">
        <v>49</v>
      </c>
      <c r="AU48" s="1" t="s">
        <v>4171</v>
      </c>
    </row>
    <row r="49" spans="1:47" ht="15" customHeight="1" x14ac:dyDescent="0.25">
      <c r="A49" s="1">
        <v>48</v>
      </c>
      <c r="B49" s="1" t="s">
        <v>37</v>
      </c>
      <c r="C49" s="1" t="s">
        <v>38</v>
      </c>
      <c r="D49" s="1">
        <v>9103451797</v>
      </c>
      <c r="E49" s="5">
        <v>41733</v>
      </c>
      <c r="F49" s="1" t="s">
        <v>1243</v>
      </c>
      <c r="G49" s="1" t="s">
        <v>40</v>
      </c>
      <c r="H49" s="1" t="s">
        <v>41</v>
      </c>
      <c r="I49" s="1" t="s">
        <v>2809</v>
      </c>
      <c r="J49" s="1" t="s">
        <v>50</v>
      </c>
      <c r="K49" s="1">
        <v>29051700</v>
      </c>
      <c r="L49" s="6">
        <v>7.8</v>
      </c>
      <c r="M49" s="1" t="s">
        <v>70</v>
      </c>
      <c r="N49" s="7" t="s">
        <v>52</v>
      </c>
      <c r="O49" s="1" t="s">
        <v>53</v>
      </c>
      <c r="P49" s="8">
        <v>1890</v>
      </c>
      <c r="Q49" s="17">
        <f t="shared" si="6"/>
        <v>14742</v>
      </c>
      <c r="R49" s="9">
        <v>1200</v>
      </c>
      <c r="S49" s="9">
        <v>0</v>
      </c>
      <c r="T49" s="9">
        <v>0</v>
      </c>
      <c r="U49" s="10">
        <v>0</v>
      </c>
      <c r="V49" s="1" t="s">
        <v>46</v>
      </c>
      <c r="W49" s="1" t="s">
        <v>59</v>
      </c>
      <c r="X49" s="1">
        <v>1922501</v>
      </c>
      <c r="Y49" s="11">
        <v>41729</v>
      </c>
      <c r="Z49" s="11">
        <v>41732</v>
      </c>
      <c r="AA49" s="20">
        <f t="shared" si="7"/>
        <v>13542</v>
      </c>
      <c r="AB49" s="12">
        <v>60.75</v>
      </c>
      <c r="AC49" s="9">
        <f t="shared" si="8"/>
        <v>895576.5</v>
      </c>
      <c r="AD49" s="9">
        <f>+Z48*AB49</f>
        <v>2534915.25</v>
      </c>
      <c r="AE49" s="1" t="s">
        <v>51</v>
      </c>
      <c r="AF49" s="1" t="s">
        <v>53</v>
      </c>
      <c r="AG49" s="4">
        <f t="shared" si="1"/>
        <v>14742</v>
      </c>
      <c r="AH49" s="10">
        <v>14742</v>
      </c>
      <c r="AI49" s="10">
        <v>673.63</v>
      </c>
      <c r="AJ49" s="10">
        <v>0</v>
      </c>
      <c r="AK49" s="10">
        <v>0</v>
      </c>
      <c r="AL49" s="9">
        <f t="shared" si="2"/>
        <v>14068.37</v>
      </c>
      <c r="AM49" s="1"/>
      <c r="AN49" s="1"/>
      <c r="AO49" s="12" t="e">
        <f>AB49/#REF!</f>
        <v>#REF!</v>
      </c>
      <c r="AP49" s="1" t="s">
        <v>1244</v>
      </c>
      <c r="AQ49" s="11">
        <v>41794</v>
      </c>
      <c r="AR49" s="1" t="s">
        <v>1245</v>
      </c>
      <c r="AS49" s="11">
        <v>41843</v>
      </c>
      <c r="AT49" s="1" t="s">
        <v>49</v>
      </c>
      <c r="AU49" s="1" t="s">
        <v>4171</v>
      </c>
    </row>
    <row r="50" spans="1:47" ht="15" customHeight="1" x14ac:dyDescent="0.25">
      <c r="A50" s="1">
        <v>49</v>
      </c>
      <c r="B50" s="1" t="s">
        <v>37</v>
      </c>
      <c r="C50" s="1" t="s">
        <v>38</v>
      </c>
      <c r="D50" s="1">
        <v>9103451797</v>
      </c>
      <c r="E50" s="5">
        <v>41733</v>
      </c>
      <c r="F50" s="1" t="s">
        <v>1243</v>
      </c>
      <c r="G50" s="1" t="s">
        <v>40</v>
      </c>
      <c r="H50" s="1" t="s">
        <v>41</v>
      </c>
      <c r="I50" s="1" t="s">
        <v>2809</v>
      </c>
      <c r="J50" s="1" t="s">
        <v>50</v>
      </c>
      <c r="K50" s="1">
        <v>38237090</v>
      </c>
      <c r="L50" s="6">
        <v>4.2</v>
      </c>
      <c r="M50" s="1" t="s">
        <v>70</v>
      </c>
      <c r="N50" s="7" t="s">
        <v>52</v>
      </c>
      <c r="O50" s="1" t="s">
        <v>53</v>
      </c>
      <c r="P50" s="8">
        <v>1670</v>
      </c>
      <c r="Q50" s="17">
        <f t="shared" si="6"/>
        <v>7014</v>
      </c>
      <c r="R50" s="9">
        <v>1200</v>
      </c>
      <c r="S50" s="9">
        <v>0</v>
      </c>
      <c r="T50" s="9">
        <v>0</v>
      </c>
      <c r="U50" s="10">
        <v>0</v>
      </c>
      <c r="V50" s="1" t="s">
        <v>46</v>
      </c>
      <c r="W50" s="1" t="s">
        <v>59</v>
      </c>
      <c r="X50" s="1">
        <v>1922501</v>
      </c>
      <c r="Y50" s="11">
        <v>41729</v>
      </c>
      <c r="Z50" s="11">
        <v>41732</v>
      </c>
      <c r="AA50" s="9">
        <f t="shared" si="7"/>
        <v>5814</v>
      </c>
      <c r="AB50" s="12">
        <v>60.75</v>
      </c>
      <c r="AC50" s="9">
        <f t="shared" si="8"/>
        <v>426100.5</v>
      </c>
      <c r="AD50" s="9">
        <f t="shared" si="9"/>
        <v>353200.5</v>
      </c>
      <c r="AE50" s="1" t="s">
        <v>51</v>
      </c>
      <c r="AF50" s="1" t="s">
        <v>53</v>
      </c>
      <c r="AG50" s="4">
        <f t="shared" si="1"/>
        <v>7014</v>
      </c>
      <c r="AH50" s="10">
        <v>6836</v>
      </c>
      <c r="AI50" s="10">
        <v>312.37</v>
      </c>
      <c r="AJ50" s="10">
        <v>0</v>
      </c>
      <c r="AK50" s="10">
        <v>0</v>
      </c>
      <c r="AL50" s="9">
        <f t="shared" si="2"/>
        <v>6523.63</v>
      </c>
      <c r="AM50" s="1"/>
      <c r="AN50" s="1"/>
      <c r="AO50" s="12" t="e">
        <f>AB50/#REF!</f>
        <v>#REF!</v>
      </c>
      <c r="AP50" s="1" t="s">
        <v>1244</v>
      </c>
      <c r="AQ50" s="11">
        <v>41794</v>
      </c>
      <c r="AR50" s="1" t="s">
        <v>1245</v>
      </c>
      <c r="AS50" s="11">
        <v>41843</v>
      </c>
      <c r="AT50" s="1" t="s">
        <v>49</v>
      </c>
      <c r="AU50" s="1" t="s">
        <v>4171</v>
      </c>
    </row>
    <row r="51" spans="1:47" ht="15" customHeight="1" x14ac:dyDescent="0.25">
      <c r="A51" s="1">
        <v>50</v>
      </c>
      <c r="B51" s="1" t="s">
        <v>37</v>
      </c>
      <c r="C51" s="1" t="s">
        <v>38</v>
      </c>
      <c r="D51" s="1">
        <v>9103451798</v>
      </c>
      <c r="E51" s="5">
        <v>41736</v>
      </c>
      <c r="F51" s="1" t="s">
        <v>1246</v>
      </c>
      <c r="G51" s="1" t="s">
        <v>40</v>
      </c>
      <c r="H51" s="1" t="s">
        <v>41</v>
      </c>
      <c r="I51" s="1" t="s">
        <v>2809</v>
      </c>
      <c r="J51" s="1" t="s">
        <v>386</v>
      </c>
      <c r="K51" s="1">
        <v>38237090</v>
      </c>
      <c r="L51" s="6">
        <v>54.8</v>
      </c>
      <c r="M51" s="1" t="s">
        <v>70</v>
      </c>
      <c r="N51" s="7" t="s">
        <v>52</v>
      </c>
      <c r="O51" s="1" t="s">
        <v>53</v>
      </c>
      <c r="P51" s="8">
        <v>1396</v>
      </c>
      <c r="Q51" s="17">
        <f t="shared" si="6"/>
        <v>76500.800000000003</v>
      </c>
      <c r="R51" s="9">
        <v>3300</v>
      </c>
      <c r="S51" s="9">
        <v>0</v>
      </c>
      <c r="T51" s="9">
        <v>0</v>
      </c>
      <c r="U51" s="10">
        <v>0</v>
      </c>
      <c r="V51" s="1" t="s">
        <v>46</v>
      </c>
      <c r="W51" s="1" t="s">
        <v>241</v>
      </c>
      <c r="X51" s="1">
        <v>1922503</v>
      </c>
      <c r="Y51" s="11">
        <v>41729</v>
      </c>
      <c r="Z51" s="11">
        <v>41732</v>
      </c>
      <c r="AA51" s="9">
        <f t="shared" si="7"/>
        <v>73200.800000000003</v>
      </c>
      <c r="AB51" s="12">
        <v>60.75</v>
      </c>
      <c r="AC51" s="9">
        <f t="shared" si="8"/>
        <v>4647423.6000000006</v>
      </c>
      <c r="AD51" s="9">
        <f t="shared" si="9"/>
        <v>4446948.6000000006</v>
      </c>
      <c r="AE51" s="1" t="s">
        <v>48</v>
      </c>
      <c r="AF51" s="1" t="s">
        <v>53</v>
      </c>
      <c r="AG51" s="4">
        <f t="shared" si="1"/>
        <v>76500.800000000003</v>
      </c>
      <c r="AH51" s="10">
        <v>76479.8</v>
      </c>
      <c r="AI51" s="10">
        <v>3000</v>
      </c>
      <c r="AJ51" s="10">
        <v>0</v>
      </c>
      <c r="AK51" s="10">
        <v>0</v>
      </c>
      <c r="AL51" s="9">
        <f t="shared" si="2"/>
        <v>73479.8</v>
      </c>
      <c r="AM51" s="1"/>
      <c r="AN51" s="1"/>
      <c r="AO51" s="12" t="e">
        <f>AB51/#REF!</f>
        <v>#REF!</v>
      </c>
      <c r="AP51" s="1" t="s">
        <v>1247</v>
      </c>
      <c r="AQ51" s="11">
        <v>41822</v>
      </c>
      <c r="AR51" s="1" t="s">
        <v>1248</v>
      </c>
      <c r="AS51" s="11">
        <v>41823</v>
      </c>
      <c r="AT51" s="1" t="s">
        <v>49</v>
      </c>
      <c r="AU51" s="1" t="s">
        <v>4171</v>
      </c>
    </row>
    <row r="52" spans="1:47" ht="15" customHeight="1" x14ac:dyDescent="0.25">
      <c r="A52" s="1">
        <v>51</v>
      </c>
      <c r="B52" s="1" t="s">
        <v>37</v>
      </c>
      <c r="C52" s="1" t="s">
        <v>38</v>
      </c>
      <c r="D52" s="1">
        <v>9103451799</v>
      </c>
      <c r="E52" s="5">
        <v>41736</v>
      </c>
      <c r="F52" s="1" t="s">
        <v>1249</v>
      </c>
      <c r="G52" s="1" t="s">
        <v>40</v>
      </c>
      <c r="H52" s="1" t="s">
        <v>41</v>
      </c>
      <c r="I52" s="1" t="s">
        <v>2809</v>
      </c>
      <c r="J52" s="1" t="s">
        <v>386</v>
      </c>
      <c r="K52" s="1">
        <v>38237090</v>
      </c>
      <c r="L52" s="6">
        <v>36.68</v>
      </c>
      <c r="M52" s="1" t="s">
        <v>70</v>
      </c>
      <c r="N52" s="7" t="s">
        <v>52</v>
      </c>
      <c r="O52" s="1" t="s">
        <v>53</v>
      </c>
      <c r="P52" s="8">
        <v>1396</v>
      </c>
      <c r="Q52" s="17">
        <f t="shared" si="6"/>
        <v>51205.279999999999</v>
      </c>
      <c r="R52" s="9">
        <v>2200</v>
      </c>
      <c r="S52" s="9">
        <v>0</v>
      </c>
      <c r="T52" s="9">
        <v>0</v>
      </c>
      <c r="U52" s="10">
        <v>0</v>
      </c>
      <c r="V52" s="1" t="s">
        <v>46</v>
      </c>
      <c r="W52" s="1" t="s">
        <v>241</v>
      </c>
      <c r="X52" s="1">
        <v>1922502</v>
      </c>
      <c r="Y52" s="11">
        <v>41729</v>
      </c>
      <c r="Z52" s="11">
        <v>41732</v>
      </c>
      <c r="AA52" s="9">
        <f t="shared" si="7"/>
        <v>49005.279999999999</v>
      </c>
      <c r="AB52" s="12">
        <v>60.75</v>
      </c>
      <c r="AC52" s="9">
        <f t="shared" si="8"/>
        <v>3110720.76</v>
      </c>
      <c r="AD52" s="9">
        <f t="shared" si="9"/>
        <v>2977070.76</v>
      </c>
      <c r="AE52" s="1" t="s">
        <v>48</v>
      </c>
      <c r="AF52" s="1" t="s">
        <v>53</v>
      </c>
      <c r="AG52" s="4">
        <f t="shared" si="1"/>
        <v>51205.279999999999</v>
      </c>
      <c r="AH52" s="10">
        <v>51205.279999999999</v>
      </c>
      <c r="AI52" s="10">
        <v>2000</v>
      </c>
      <c r="AJ52" s="10">
        <v>0</v>
      </c>
      <c r="AK52" s="10">
        <v>0</v>
      </c>
      <c r="AL52" s="9">
        <f t="shared" si="2"/>
        <v>49205.279999999999</v>
      </c>
      <c r="AM52" s="1"/>
      <c r="AN52" s="1"/>
      <c r="AO52" s="12" t="e">
        <f>AB52/#REF!</f>
        <v>#REF!</v>
      </c>
      <c r="AP52" s="1" t="s">
        <v>1250</v>
      </c>
      <c r="AQ52" s="11">
        <v>41822</v>
      </c>
      <c r="AR52" s="1" t="s">
        <v>1251</v>
      </c>
      <c r="AS52" s="11">
        <v>41823</v>
      </c>
      <c r="AT52" s="1" t="s">
        <v>49</v>
      </c>
      <c r="AU52" s="1" t="s">
        <v>4171</v>
      </c>
    </row>
    <row r="53" spans="1:47" ht="15" customHeight="1" x14ac:dyDescent="0.25">
      <c r="A53" s="1">
        <v>52</v>
      </c>
      <c r="B53" s="1" t="s">
        <v>37</v>
      </c>
      <c r="C53" s="1" t="s">
        <v>38</v>
      </c>
      <c r="D53" s="1">
        <v>9103451802</v>
      </c>
      <c r="E53" s="5">
        <v>41733</v>
      </c>
      <c r="F53" s="1" t="s">
        <v>1252</v>
      </c>
      <c r="G53" s="1" t="s">
        <v>40</v>
      </c>
      <c r="H53" s="1" t="s">
        <v>41</v>
      </c>
      <c r="I53" s="1" t="s">
        <v>2809</v>
      </c>
      <c r="J53" s="1" t="s">
        <v>2731</v>
      </c>
      <c r="K53" s="1">
        <v>38231900</v>
      </c>
      <c r="L53" s="6">
        <v>100.8</v>
      </c>
      <c r="M53" s="1" t="s">
        <v>70</v>
      </c>
      <c r="N53" s="7" t="s">
        <v>44</v>
      </c>
      <c r="O53" s="1" t="s">
        <v>53</v>
      </c>
      <c r="P53" s="8">
        <v>1305</v>
      </c>
      <c r="Q53" s="17">
        <f t="shared" si="6"/>
        <v>131544</v>
      </c>
      <c r="R53" s="9">
        <v>2450</v>
      </c>
      <c r="S53" s="9">
        <v>26.05</v>
      </c>
      <c r="T53" s="9">
        <v>0</v>
      </c>
      <c r="U53" s="10">
        <v>0</v>
      </c>
      <c r="V53" s="1" t="s">
        <v>46</v>
      </c>
      <c r="W53" s="1" t="s">
        <v>54</v>
      </c>
      <c r="X53" s="1">
        <v>1922508</v>
      </c>
      <c r="Y53" s="11">
        <v>41729</v>
      </c>
      <c r="Z53" s="11">
        <v>41731</v>
      </c>
      <c r="AA53" s="20">
        <f t="shared" si="7"/>
        <v>129067.95</v>
      </c>
      <c r="AB53" s="12">
        <v>60.75</v>
      </c>
      <c r="AC53" s="9">
        <f t="shared" ref="AC53:AC58" si="10">+Q53*AB53</f>
        <v>7991298</v>
      </c>
      <c r="AD53" s="9">
        <f>+Z52*AB53</f>
        <v>2535219</v>
      </c>
      <c r="AE53" s="1" t="s">
        <v>48</v>
      </c>
      <c r="AF53" s="1" t="s">
        <v>53</v>
      </c>
      <c r="AG53" s="4">
        <f t="shared" si="1"/>
        <v>131544</v>
      </c>
      <c r="AH53" s="10">
        <v>131333</v>
      </c>
      <c r="AI53" s="10">
        <v>2975</v>
      </c>
      <c r="AJ53" s="10">
        <v>18.809999999999999</v>
      </c>
      <c r="AK53" s="10">
        <v>0</v>
      </c>
      <c r="AL53" s="9">
        <f t="shared" si="2"/>
        <v>128339.19</v>
      </c>
      <c r="AM53" s="1"/>
      <c r="AN53" s="1"/>
      <c r="AO53" s="12" t="e">
        <f>AB53/#REF!</f>
        <v>#REF!</v>
      </c>
      <c r="AP53" s="1" t="s">
        <v>1253</v>
      </c>
      <c r="AQ53" s="11">
        <v>41774</v>
      </c>
      <c r="AR53" s="1" t="s">
        <v>1254</v>
      </c>
      <c r="AS53" s="11">
        <v>41775</v>
      </c>
      <c r="AT53" s="1" t="s">
        <v>49</v>
      </c>
      <c r="AU53" s="1" t="s">
        <v>4171</v>
      </c>
    </row>
    <row r="54" spans="1:47" ht="15" customHeight="1" x14ac:dyDescent="0.25">
      <c r="A54" s="1">
        <v>53</v>
      </c>
      <c r="B54" s="1" t="s">
        <v>37</v>
      </c>
      <c r="C54" s="1" t="s">
        <v>38</v>
      </c>
      <c r="D54" s="1">
        <v>9103451806</v>
      </c>
      <c r="E54" s="5">
        <v>41733</v>
      </c>
      <c r="F54" s="1" t="s">
        <v>1255</v>
      </c>
      <c r="G54" s="1" t="s">
        <v>40</v>
      </c>
      <c r="H54" s="1" t="s">
        <v>41</v>
      </c>
      <c r="I54" s="1" t="s">
        <v>2809</v>
      </c>
      <c r="J54" s="1" t="s">
        <v>55</v>
      </c>
      <c r="K54" s="1">
        <v>38237090</v>
      </c>
      <c r="L54" s="6">
        <v>18.14</v>
      </c>
      <c r="M54" s="1" t="s">
        <v>70</v>
      </c>
      <c r="N54" s="7" t="s">
        <v>44</v>
      </c>
      <c r="O54" s="1" t="s">
        <v>53</v>
      </c>
      <c r="P54" s="8">
        <v>1660</v>
      </c>
      <c r="Q54" s="17">
        <f t="shared" si="6"/>
        <v>30112.400000000001</v>
      </c>
      <c r="R54" s="9">
        <v>3100</v>
      </c>
      <c r="S54" s="9">
        <v>5.96</v>
      </c>
      <c r="T54" s="9">
        <v>0</v>
      </c>
      <c r="U54" s="10">
        <v>0</v>
      </c>
      <c r="V54" s="1" t="s">
        <v>46</v>
      </c>
      <c r="W54" s="1" t="s">
        <v>56</v>
      </c>
      <c r="X54" s="1">
        <v>1900945</v>
      </c>
      <c r="Y54" s="11">
        <v>41727</v>
      </c>
      <c r="Z54" s="11">
        <v>41729</v>
      </c>
      <c r="AA54" s="9">
        <f>Q54-R54-S54</f>
        <v>27006.440000000002</v>
      </c>
      <c r="AB54" s="12">
        <v>60.75</v>
      </c>
      <c r="AC54" s="9">
        <f t="shared" si="10"/>
        <v>1829328.3</v>
      </c>
      <c r="AD54" s="9">
        <f>+AA54*AB54</f>
        <v>1640641.2300000002</v>
      </c>
      <c r="AE54" s="1" t="s">
        <v>48</v>
      </c>
      <c r="AF54" s="1" t="s">
        <v>53</v>
      </c>
      <c r="AG54" s="4">
        <f t="shared" si="1"/>
        <v>30112.400000000001</v>
      </c>
      <c r="AH54" s="10">
        <v>30112.400000000001</v>
      </c>
      <c r="AI54" s="9">
        <v>2949</v>
      </c>
      <c r="AJ54" s="9">
        <v>5.96</v>
      </c>
      <c r="AK54" s="9">
        <v>0</v>
      </c>
      <c r="AL54" s="9">
        <f t="shared" si="2"/>
        <v>27157.440000000002</v>
      </c>
      <c r="AM54" s="1"/>
      <c r="AN54" s="1"/>
      <c r="AO54" s="12" t="e">
        <f>AB54/#REF!</f>
        <v>#REF!</v>
      </c>
      <c r="AP54" s="1" t="s">
        <v>1256</v>
      </c>
      <c r="AQ54" s="11">
        <v>41789</v>
      </c>
      <c r="AR54" s="1" t="s">
        <v>1257</v>
      </c>
      <c r="AS54" s="11">
        <v>41790</v>
      </c>
      <c r="AT54" s="1" t="s">
        <v>49</v>
      </c>
      <c r="AU54" s="1" t="s">
        <v>4171</v>
      </c>
    </row>
    <row r="55" spans="1:47" ht="15" customHeight="1" x14ac:dyDescent="0.25">
      <c r="A55" s="1">
        <v>54</v>
      </c>
      <c r="B55" s="1" t="s">
        <v>1258</v>
      </c>
      <c r="C55" s="1" t="s">
        <v>38</v>
      </c>
      <c r="D55" s="1" t="s">
        <v>3159</v>
      </c>
      <c r="E55" s="5">
        <v>41907</v>
      </c>
      <c r="F55" s="1" t="s">
        <v>3159</v>
      </c>
      <c r="G55" s="1" t="s">
        <v>65</v>
      </c>
      <c r="H55" s="1" t="s">
        <v>3158</v>
      </c>
      <c r="I55" s="1" t="s">
        <v>2809</v>
      </c>
      <c r="J55" s="1" t="s">
        <v>3160</v>
      </c>
      <c r="K55" s="1">
        <v>34011190</v>
      </c>
      <c r="L55" s="6">
        <v>0.93801599999999996</v>
      </c>
      <c r="M55" s="1" t="s">
        <v>70</v>
      </c>
      <c r="N55" s="7" t="s">
        <v>67</v>
      </c>
      <c r="O55" s="1" t="s">
        <v>53</v>
      </c>
      <c r="P55" s="8">
        <v>2238.77</v>
      </c>
      <c r="Q55" s="17">
        <f t="shared" si="6"/>
        <v>2100.00208032</v>
      </c>
      <c r="R55" s="9">
        <v>0</v>
      </c>
      <c r="S55" s="9">
        <v>0</v>
      </c>
      <c r="T55" s="9">
        <v>0</v>
      </c>
      <c r="U55" s="10">
        <v>0</v>
      </c>
      <c r="V55" s="1" t="s">
        <v>46</v>
      </c>
      <c r="W55" s="1" t="s">
        <v>56</v>
      </c>
      <c r="X55" s="1">
        <v>4899271</v>
      </c>
      <c r="Y55" s="11">
        <v>41891</v>
      </c>
      <c r="Z55" s="11">
        <v>41901</v>
      </c>
      <c r="AA55" s="9">
        <f>Q55-R55-S55</f>
        <v>2100.00208032</v>
      </c>
      <c r="AB55" s="12">
        <v>60</v>
      </c>
      <c r="AC55" s="9">
        <f t="shared" si="10"/>
        <v>126000.12481920001</v>
      </c>
      <c r="AD55" s="9">
        <f>+AA55*AB55</f>
        <v>126000.12481920001</v>
      </c>
      <c r="AE55" s="1" t="s">
        <v>48</v>
      </c>
      <c r="AF55" s="1" t="s">
        <v>53</v>
      </c>
      <c r="AG55" s="4">
        <f t="shared" si="1"/>
        <v>2100.00208032</v>
      </c>
      <c r="AH55" s="10">
        <v>2100</v>
      </c>
      <c r="AI55" s="10"/>
      <c r="AJ55" s="10"/>
      <c r="AK55" s="10"/>
      <c r="AL55" s="9">
        <f t="shared" si="2"/>
        <v>2100</v>
      </c>
      <c r="AM55" s="1"/>
      <c r="AN55" s="1"/>
      <c r="AO55" s="12" t="e">
        <f>AB55/#REF!</f>
        <v>#REF!</v>
      </c>
      <c r="AP55" s="1" t="s">
        <v>3302</v>
      </c>
      <c r="AQ55" s="11">
        <v>41929</v>
      </c>
      <c r="AR55" s="1" t="s">
        <v>3303</v>
      </c>
      <c r="AS55" s="11">
        <v>41930</v>
      </c>
      <c r="AT55" s="1" t="s">
        <v>49</v>
      </c>
      <c r="AU55" s="1" t="s">
        <v>4171</v>
      </c>
    </row>
    <row r="56" spans="1:47" s="47" customFormat="1" ht="13.5" customHeight="1" x14ac:dyDescent="0.25">
      <c r="A56" s="1">
        <v>55</v>
      </c>
      <c r="B56" s="1" t="s">
        <v>1258</v>
      </c>
      <c r="C56" s="1" t="s">
        <v>38</v>
      </c>
      <c r="D56" s="1">
        <v>9114550001</v>
      </c>
      <c r="E56" s="11">
        <v>41762</v>
      </c>
      <c r="F56" s="1" t="s">
        <v>79</v>
      </c>
      <c r="G56" s="1" t="s">
        <v>65</v>
      </c>
      <c r="H56" s="1" t="s">
        <v>3158</v>
      </c>
      <c r="I56" s="1" t="s">
        <v>2809</v>
      </c>
      <c r="J56" s="1" t="s">
        <v>84</v>
      </c>
      <c r="K56" s="1">
        <v>34011190</v>
      </c>
      <c r="L56" s="1">
        <v>12.474</v>
      </c>
      <c r="M56" s="1" t="s">
        <v>70</v>
      </c>
      <c r="N56" s="7" t="s">
        <v>67</v>
      </c>
      <c r="O56" s="1" t="s">
        <v>53</v>
      </c>
      <c r="P56" s="8">
        <v>1888.8888887999999</v>
      </c>
      <c r="Q56" s="17">
        <f t="shared" si="6"/>
        <v>23561.999998891199</v>
      </c>
      <c r="R56" s="9">
        <v>0</v>
      </c>
      <c r="S56" s="9">
        <v>0</v>
      </c>
      <c r="T56" s="9">
        <v>0</v>
      </c>
      <c r="U56" s="10">
        <v>0</v>
      </c>
      <c r="V56" s="1" t="s">
        <v>46</v>
      </c>
      <c r="W56" s="1" t="s">
        <v>85</v>
      </c>
      <c r="X56" s="1">
        <v>2417132</v>
      </c>
      <c r="Y56" s="11">
        <v>41757</v>
      </c>
      <c r="Z56" s="11">
        <v>41759</v>
      </c>
      <c r="AA56" s="46">
        <f>Q56-R56-S56</f>
        <v>23561.999998891199</v>
      </c>
      <c r="AB56" s="12">
        <v>59.8</v>
      </c>
      <c r="AC56" s="9">
        <f t="shared" si="10"/>
        <v>1409007.5999336937</v>
      </c>
      <c r="AD56" s="9">
        <f>+AA56*AB56</f>
        <v>1409007.5999336937</v>
      </c>
      <c r="AE56" s="1" t="s">
        <v>48</v>
      </c>
      <c r="AF56" s="1" t="s">
        <v>53</v>
      </c>
      <c r="AG56" s="4">
        <f t="shared" si="1"/>
        <v>23561.999998891199</v>
      </c>
      <c r="AH56" s="10">
        <v>23562</v>
      </c>
      <c r="AI56" s="10"/>
      <c r="AJ56" s="10"/>
      <c r="AK56" s="10"/>
      <c r="AL56" s="9">
        <f t="shared" si="2"/>
        <v>23562</v>
      </c>
      <c r="AM56" s="1"/>
      <c r="AN56" s="1"/>
      <c r="AO56" s="12" t="e">
        <f>AB56/#REF!</f>
        <v>#REF!</v>
      </c>
      <c r="AP56" s="1" t="s">
        <v>1259</v>
      </c>
      <c r="AQ56" s="11">
        <v>41768</v>
      </c>
      <c r="AR56" s="1" t="s">
        <v>1260</v>
      </c>
      <c r="AS56" s="11">
        <v>41769</v>
      </c>
      <c r="AT56" s="1" t="s">
        <v>49</v>
      </c>
      <c r="AU56" s="1" t="s">
        <v>4171</v>
      </c>
    </row>
    <row r="57" spans="1:47" s="47" customFormat="1" ht="14.25" customHeight="1" x14ac:dyDescent="0.25">
      <c r="A57" s="1">
        <v>56</v>
      </c>
      <c r="B57" s="1" t="s">
        <v>1258</v>
      </c>
      <c r="C57" s="1" t="s">
        <v>38</v>
      </c>
      <c r="D57" s="1">
        <v>9114550004</v>
      </c>
      <c r="E57" s="11">
        <v>41930</v>
      </c>
      <c r="F57" s="1" t="s">
        <v>3161</v>
      </c>
      <c r="G57" s="1" t="s">
        <v>65</v>
      </c>
      <c r="H57" s="1" t="s">
        <v>3158</v>
      </c>
      <c r="I57" s="1" t="s">
        <v>2809</v>
      </c>
      <c r="J57" s="1" t="s">
        <v>84</v>
      </c>
      <c r="K57" s="1">
        <v>34011190</v>
      </c>
      <c r="L57" s="6">
        <v>12.6</v>
      </c>
      <c r="M57" s="1" t="s">
        <v>70</v>
      </c>
      <c r="N57" s="7" t="s">
        <v>67</v>
      </c>
      <c r="O57" s="1" t="s">
        <v>53</v>
      </c>
      <c r="P57" s="8">
        <v>1888.89</v>
      </c>
      <c r="Q57" s="17">
        <f t="shared" si="6"/>
        <v>23800.013999999999</v>
      </c>
      <c r="R57" s="9">
        <v>0</v>
      </c>
      <c r="S57" s="9">
        <v>0</v>
      </c>
      <c r="T57" s="9">
        <v>0</v>
      </c>
      <c r="U57" s="10">
        <v>0</v>
      </c>
      <c r="V57" s="1" t="s">
        <v>46</v>
      </c>
      <c r="W57" s="1" t="s">
        <v>85</v>
      </c>
      <c r="X57" s="1">
        <v>5137573</v>
      </c>
      <c r="Y57" s="11">
        <v>41904</v>
      </c>
      <c r="Z57" s="11">
        <v>41907</v>
      </c>
      <c r="AA57" s="46">
        <f>Q57-R57-S57</f>
        <v>23800.013999999999</v>
      </c>
      <c r="AB57" s="12">
        <v>60.75</v>
      </c>
      <c r="AC57" s="9">
        <f t="shared" si="10"/>
        <v>1445850.8504999999</v>
      </c>
      <c r="AD57" s="9">
        <f>+AA57*AB57</f>
        <v>1445850.8504999999</v>
      </c>
      <c r="AE57" s="1" t="s">
        <v>48</v>
      </c>
      <c r="AF57" s="1" t="s">
        <v>53</v>
      </c>
      <c r="AG57" s="4">
        <f t="shared" si="1"/>
        <v>23800.013999999999</v>
      </c>
      <c r="AH57" s="10">
        <f>21832+1903</f>
        <v>23735</v>
      </c>
      <c r="AI57" s="10"/>
      <c r="AJ57" s="10"/>
      <c r="AK57" s="10"/>
      <c r="AL57" s="9">
        <f t="shared" si="2"/>
        <v>23735</v>
      </c>
      <c r="AM57" s="1"/>
      <c r="AN57" s="1"/>
      <c r="AO57" s="12" t="e">
        <f>AB57/#REF!</f>
        <v>#REF!</v>
      </c>
      <c r="AP57" s="1" t="s">
        <v>3304</v>
      </c>
      <c r="AQ57" s="11">
        <v>41962</v>
      </c>
      <c r="AR57" s="1" t="s">
        <v>3305</v>
      </c>
      <c r="AS57" s="11">
        <v>41963</v>
      </c>
      <c r="AT57" s="1" t="s">
        <v>49</v>
      </c>
      <c r="AU57" s="1" t="s">
        <v>4171</v>
      </c>
    </row>
    <row r="58" spans="1:47" ht="15" customHeight="1" x14ac:dyDescent="0.25">
      <c r="A58" s="1">
        <v>57</v>
      </c>
      <c r="B58" s="1" t="s">
        <v>1258</v>
      </c>
      <c r="C58" s="1" t="s">
        <v>38</v>
      </c>
      <c r="D58" s="1">
        <v>9101550001</v>
      </c>
      <c r="E58" s="5">
        <v>41747</v>
      </c>
      <c r="F58" s="1" t="s">
        <v>71</v>
      </c>
      <c r="G58" s="1" t="s">
        <v>65</v>
      </c>
      <c r="H58" s="1" t="s">
        <v>66</v>
      </c>
      <c r="I58" s="1" t="s">
        <v>2809</v>
      </c>
      <c r="J58" s="1" t="s">
        <v>63</v>
      </c>
      <c r="K58" s="1">
        <v>29054500</v>
      </c>
      <c r="L58" s="6">
        <v>20</v>
      </c>
      <c r="M58" s="1" t="s">
        <v>70</v>
      </c>
      <c r="N58" s="7" t="s">
        <v>52</v>
      </c>
      <c r="O58" s="1" t="s">
        <v>53</v>
      </c>
      <c r="P58" s="8">
        <v>1280</v>
      </c>
      <c r="Q58" s="17">
        <f t="shared" si="6"/>
        <v>25600</v>
      </c>
      <c r="R58" s="9">
        <v>170</v>
      </c>
      <c r="S58" s="9">
        <v>0</v>
      </c>
      <c r="T58" s="9">
        <v>0</v>
      </c>
      <c r="U58" s="10">
        <v>0</v>
      </c>
      <c r="V58" s="1" t="s">
        <v>46</v>
      </c>
      <c r="W58" s="1" t="s">
        <v>75</v>
      </c>
      <c r="X58" s="1">
        <v>2179471</v>
      </c>
      <c r="Y58" s="11">
        <v>41744</v>
      </c>
      <c r="Z58" s="11">
        <v>41745</v>
      </c>
      <c r="AA58" s="9">
        <f>Q58-R58-S58</f>
        <v>25430</v>
      </c>
      <c r="AB58" s="12">
        <v>59.45</v>
      </c>
      <c r="AC58" s="9">
        <f t="shared" si="10"/>
        <v>1521920</v>
      </c>
      <c r="AD58" s="9">
        <f>+AA58*AB58</f>
        <v>1511813.5</v>
      </c>
      <c r="AE58" s="1" t="s">
        <v>57</v>
      </c>
      <c r="AF58" s="1" t="s">
        <v>53</v>
      </c>
      <c r="AG58" s="4">
        <f t="shared" si="1"/>
        <v>25600</v>
      </c>
      <c r="AH58" s="10">
        <v>25590</v>
      </c>
      <c r="AI58" s="10">
        <v>180</v>
      </c>
      <c r="AJ58" s="10">
        <v>0</v>
      </c>
      <c r="AK58" s="10">
        <v>0</v>
      </c>
      <c r="AL58" s="9">
        <f t="shared" si="2"/>
        <v>25410</v>
      </c>
      <c r="AM58" s="1"/>
      <c r="AN58" s="1"/>
      <c r="AO58" s="12" t="e">
        <f>AB58/#REF!</f>
        <v>#REF!</v>
      </c>
      <c r="AP58" s="1" t="s">
        <v>3306</v>
      </c>
      <c r="AQ58" s="11">
        <v>41779</v>
      </c>
      <c r="AR58" s="1" t="s">
        <v>3307</v>
      </c>
      <c r="AS58" s="11">
        <v>42060</v>
      </c>
      <c r="AT58" s="1" t="s">
        <v>49</v>
      </c>
      <c r="AU58" s="1" t="s">
        <v>4171</v>
      </c>
    </row>
    <row r="59" spans="1:47" ht="15" customHeight="1" x14ac:dyDescent="0.25">
      <c r="A59" s="1">
        <v>58</v>
      </c>
      <c r="B59" s="1" t="s">
        <v>1258</v>
      </c>
      <c r="C59" s="1" t="s">
        <v>38</v>
      </c>
      <c r="D59" s="1">
        <v>9101550002</v>
      </c>
      <c r="E59" s="5">
        <v>41782</v>
      </c>
      <c r="F59" s="1" t="s">
        <v>73</v>
      </c>
      <c r="G59" s="1" t="s">
        <v>65</v>
      </c>
      <c r="H59" s="1" t="s">
        <v>66</v>
      </c>
      <c r="I59" s="1" t="s">
        <v>2809</v>
      </c>
      <c r="J59" s="1" t="s">
        <v>63</v>
      </c>
      <c r="K59" s="1">
        <v>29054500</v>
      </c>
      <c r="L59" s="6">
        <v>20</v>
      </c>
      <c r="M59" s="1" t="s">
        <v>70</v>
      </c>
      <c r="N59" s="7" t="s">
        <v>52</v>
      </c>
      <c r="O59" s="1" t="s">
        <v>53</v>
      </c>
      <c r="P59" s="8">
        <v>1280</v>
      </c>
      <c r="Q59" s="17">
        <f t="shared" si="6"/>
        <v>25600</v>
      </c>
      <c r="R59" s="9">
        <v>180</v>
      </c>
      <c r="S59" s="9">
        <v>0</v>
      </c>
      <c r="T59" s="9">
        <v>0</v>
      </c>
      <c r="U59" s="10">
        <v>0</v>
      </c>
      <c r="V59" s="1" t="s">
        <v>46</v>
      </c>
      <c r="W59" s="1" t="s">
        <v>75</v>
      </c>
      <c r="X59" s="1">
        <v>2761821</v>
      </c>
      <c r="Y59" s="11">
        <v>41775</v>
      </c>
      <c r="Z59" s="11">
        <v>41778</v>
      </c>
      <c r="AA59" s="9">
        <f t="shared" ref="AA59:AA186" si="11">Q59-R59-S59</f>
        <v>25420</v>
      </c>
      <c r="AB59" s="12">
        <v>59.1</v>
      </c>
      <c r="AC59" s="9">
        <f t="shared" ref="AC59:AC186" si="12">+Q59*AB59</f>
        <v>1512960</v>
      </c>
      <c r="AD59" s="9">
        <f t="shared" ref="AD59:AD186" si="13">+AA59*AB59</f>
        <v>1502322</v>
      </c>
      <c r="AE59" s="1" t="s">
        <v>51</v>
      </c>
      <c r="AF59" s="1" t="s">
        <v>53</v>
      </c>
      <c r="AG59" s="4">
        <f t="shared" si="1"/>
        <v>25600</v>
      </c>
      <c r="AH59" s="10">
        <v>25600</v>
      </c>
      <c r="AI59" s="10">
        <v>180</v>
      </c>
      <c r="AJ59" s="10">
        <v>0</v>
      </c>
      <c r="AK59" s="10">
        <v>0</v>
      </c>
      <c r="AL59" s="9">
        <f t="shared" si="2"/>
        <v>25420</v>
      </c>
      <c r="AM59" s="1"/>
      <c r="AN59" s="1"/>
      <c r="AO59" s="12" t="e">
        <f>AB59/#REF!</f>
        <v>#REF!</v>
      </c>
      <c r="AP59" s="1" t="s">
        <v>1261</v>
      </c>
      <c r="AQ59" s="11">
        <v>41813</v>
      </c>
      <c r="AR59" s="1" t="s">
        <v>1262</v>
      </c>
      <c r="AS59" s="11">
        <v>41975</v>
      </c>
      <c r="AT59" s="1" t="s">
        <v>49</v>
      </c>
      <c r="AU59" s="1" t="s">
        <v>4171</v>
      </c>
    </row>
    <row r="60" spans="1:47" ht="15" customHeight="1" x14ac:dyDescent="0.25">
      <c r="A60" s="1">
        <v>59</v>
      </c>
      <c r="B60" s="1" t="s">
        <v>1258</v>
      </c>
      <c r="C60" s="1" t="s">
        <v>38</v>
      </c>
      <c r="D60" s="1">
        <v>9101550003</v>
      </c>
      <c r="E60" s="5">
        <v>41803</v>
      </c>
      <c r="F60" s="1" t="s">
        <v>74</v>
      </c>
      <c r="G60" s="1" t="s">
        <v>65</v>
      </c>
      <c r="H60" s="1" t="s">
        <v>66</v>
      </c>
      <c r="I60" s="1" t="s">
        <v>2809</v>
      </c>
      <c r="J60" s="1" t="s">
        <v>63</v>
      </c>
      <c r="K60" s="1">
        <v>29054500</v>
      </c>
      <c r="L60" s="6">
        <v>20</v>
      </c>
      <c r="M60" s="1" t="s">
        <v>70</v>
      </c>
      <c r="N60" s="7" t="s">
        <v>52</v>
      </c>
      <c r="O60" s="1" t="s">
        <v>53</v>
      </c>
      <c r="P60" s="8">
        <v>1280</v>
      </c>
      <c r="Q60" s="17">
        <f t="shared" si="6"/>
        <v>25600</v>
      </c>
      <c r="R60" s="9">
        <v>170</v>
      </c>
      <c r="S60" s="9">
        <v>0</v>
      </c>
      <c r="T60" s="9">
        <v>0</v>
      </c>
      <c r="U60" s="10">
        <v>0</v>
      </c>
      <c r="V60" s="1" t="s">
        <v>46</v>
      </c>
      <c r="W60" s="1" t="s">
        <v>75</v>
      </c>
      <c r="X60" s="1">
        <v>3154851</v>
      </c>
      <c r="Y60" s="11">
        <v>41796</v>
      </c>
      <c r="Z60" s="11">
        <v>41799</v>
      </c>
      <c r="AA60" s="9">
        <f t="shared" si="11"/>
        <v>25430</v>
      </c>
      <c r="AB60" s="12">
        <v>58.85</v>
      </c>
      <c r="AC60" s="9">
        <f t="shared" si="12"/>
        <v>1506560</v>
      </c>
      <c r="AD60" s="9">
        <f t="shared" si="13"/>
        <v>1496555.5</v>
      </c>
      <c r="AE60" s="1" t="s">
        <v>51</v>
      </c>
      <c r="AF60" s="1" t="s">
        <v>53</v>
      </c>
      <c r="AG60" s="4">
        <f t="shared" si="1"/>
        <v>25600</v>
      </c>
      <c r="AH60" s="10">
        <v>25600</v>
      </c>
      <c r="AI60" s="10">
        <v>180</v>
      </c>
      <c r="AJ60" s="10">
        <v>0</v>
      </c>
      <c r="AK60" s="10">
        <v>0</v>
      </c>
      <c r="AL60" s="9">
        <f t="shared" si="2"/>
        <v>25420</v>
      </c>
      <c r="AM60" s="1"/>
      <c r="AN60" s="1"/>
      <c r="AO60" s="12" t="e">
        <f>AB60/#REF!</f>
        <v>#REF!</v>
      </c>
      <c r="AP60" s="1" t="s">
        <v>1263</v>
      </c>
      <c r="AQ60" s="11">
        <v>41835</v>
      </c>
      <c r="AR60" s="1" t="s">
        <v>1264</v>
      </c>
      <c r="AS60" s="11">
        <v>41906</v>
      </c>
      <c r="AT60" s="1" t="s">
        <v>49</v>
      </c>
      <c r="AU60" s="1" t="s">
        <v>4171</v>
      </c>
    </row>
    <row r="61" spans="1:47" ht="15" customHeight="1" x14ac:dyDescent="0.25">
      <c r="A61" s="1">
        <v>60</v>
      </c>
      <c r="B61" s="1" t="s">
        <v>1258</v>
      </c>
      <c r="C61" s="1" t="s">
        <v>38</v>
      </c>
      <c r="D61" s="1">
        <v>9112550001</v>
      </c>
      <c r="E61" s="5">
        <v>41774</v>
      </c>
      <c r="F61" s="1" t="s">
        <v>91</v>
      </c>
      <c r="G61" s="1" t="s">
        <v>65</v>
      </c>
      <c r="H61" s="1" t="s">
        <v>68</v>
      </c>
      <c r="I61" s="1" t="s">
        <v>2809</v>
      </c>
      <c r="J61" s="1" t="s">
        <v>69</v>
      </c>
      <c r="K61" s="1">
        <v>34021900</v>
      </c>
      <c r="L61" s="6">
        <v>16.98</v>
      </c>
      <c r="M61" s="1" t="s">
        <v>70</v>
      </c>
      <c r="N61" s="7" t="s">
        <v>67</v>
      </c>
      <c r="O61" s="1" t="s">
        <v>53</v>
      </c>
      <c r="P61" s="8">
        <v>2000</v>
      </c>
      <c r="Q61" s="17">
        <f t="shared" si="6"/>
        <v>33960</v>
      </c>
      <c r="R61" s="9">
        <v>0</v>
      </c>
      <c r="S61" s="9">
        <v>0</v>
      </c>
      <c r="T61" s="9">
        <v>0</v>
      </c>
      <c r="U61" s="10">
        <v>0</v>
      </c>
      <c r="V61" s="1" t="s">
        <v>46</v>
      </c>
      <c r="W61" s="1" t="s">
        <v>90</v>
      </c>
      <c r="X61" s="1">
        <v>2631071</v>
      </c>
      <c r="Y61" s="11">
        <v>41769</v>
      </c>
      <c r="Z61" s="11">
        <v>41771</v>
      </c>
      <c r="AA61" s="9">
        <f t="shared" si="11"/>
        <v>33960</v>
      </c>
      <c r="AB61" s="12">
        <v>59.85</v>
      </c>
      <c r="AC61" s="9">
        <f t="shared" si="12"/>
        <v>2032506</v>
      </c>
      <c r="AD61" s="9">
        <f t="shared" si="13"/>
        <v>2032506</v>
      </c>
      <c r="AE61" s="1" t="s">
        <v>48</v>
      </c>
      <c r="AF61" s="1" t="s">
        <v>53</v>
      </c>
      <c r="AG61" s="4">
        <f t="shared" si="1"/>
        <v>33960</v>
      </c>
      <c r="AH61" s="10">
        <v>33960</v>
      </c>
      <c r="AI61" s="9">
        <v>0</v>
      </c>
      <c r="AJ61" s="9">
        <v>0</v>
      </c>
      <c r="AK61" s="9">
        <v>0</v>
      </c>
      <c r="AL61" s="9">
        <f t="shared" si="2"/>
        <v>33960</v>
      </c>
      <c r="AM61" s="1"/>
      <c r="AN61" s="1"/>
      <c r="AO61" s="12" t="e">
        <f>AB61/#REF!</f>
        <v>#REF!</v>
      </c>
      <c r="AP61" s="1" t="s">
        <v>1265</v>
      </c>
      <c r="AQ61" s="11">
        <v>41842</v>
      </c>
      <c r="AR61" s="1" t="s">
        <v>1266</v>
      </c>
      <c r="AS61" s="11">
        <v>41843</v>
      </c>
      <c r="AT61" s="1" t="s">
        <v>49</v>
      </c>
      <c r="AU61" s="1" t="s">
        <v>4171</v>
      </c>
    </row>
    <row r="62" spans="1:47" ht="15" customHeight="1" x14ac:dyDescent="0.25">
      <c r="A62" s="1">
        <v>61</v>
      </c>
      <c r="B62" s="1" t="s">
        <v>1258</v>
      </c>
      <c r="C62" s="1" t="s">
        <v>38</v>
      </c>
      <c r="D62" s="1">
        <v>9112550001</v>
      </c>
      <c r="E62" s="5">
        <v>41774</v>
      </c>
      <c r="F62" s="1" t="s">
        <v>92</v>
      </c>
      <c r="G62" s="1" t="s">
        <v>65</v>
      </c>
      <c r="H62" s="1" t="s">
        <v>68</v>
      </c>
      <c r="I62" s="1" t="s">
        <v>2809</v>
      </c>
      <c r="J62" s="1" t="s">
        <v>69</v>
      </c>
      <c r="K62" s="1">
        <v>34021900</v>
      </c>
      <c r="L62" s="6">
        <v>17.43</v>
      </c>
      <c r="M62" s="1" t="s">
        <v>70</v>
      </c>
      <c r="N62" s="7" t="s">
        <v>67</v>
      </c>
      <c r="O62" s="1" t="s">
        <v>53</v>
      </c>
      <c r="P62" s="8">
        <v>2000</v>
      </c>
      <c r="Q62" s="17">
        <f t="shared" si="6"/>
        <v>34860</v>
      </c>
      <c r="R62" s="9">
        <v>0</v>
      </c>
      <c r="S62" s="9">
        <v>0</v>
      </c>
      <c r="T62" s="9">
        <v>0</v>
      </c>
      <c r="U62" s="10">
        <v>0</v>
      </c>
      <c r="V62" s="1" t="s">
        <v>46</v>
      </c>
      <c r="W62" s="1" t="s">
        <v>90</v>
      </c>
      <c r="X62" s="1">
        <v>2631077</v>
      </c>
      <c r="Y62" s="11">
        <v>41769</v>
      </c>
      <c r="Z62" s="11">
        <v>41771</v>
      </c>
      <c r="AA62" s="9">
        <f t="shared" si="11"/>
        <v>34860</v>
      </c>
      <c r="AB62" s="12">
        <v>59.85</v>
      </c>
      <c r="AC62" s="9">
        <f t="shared" si="12"/>
        <v>2086371</v>
      </c>
      <c r="AD62" s="9">
        <f t="shared" si="13"/>
        <v>2086371</v>
      </c>
      <c r="AE62" s="1" t="s">
        <v>48</v>
      </c>
      <c r="AF62" s="1" t="s">
        <v>53</v>
      </c>
      <c r="AG62" s="4">
        <f t="shared" si="1"/>
        <v>34860</v>
      </c>
      <c r="AH62" s="10">
        <v>34860</v>
      </c>
      <c r="AI62" s="9">
        <v>0</v>
      </c>
      <c r="AJ62" s="9">
        <v>0</v>
      </c>
      <c r="AK62" s="9">
        <v>0</v>
      </c>
      <c r="AL62" s="9">
        <f t="shared" si="2"/>
        <v>34860</v>
      </c>
      <c r="AM62" s="1"/>
      <c r="AN62" s="1"/>
      <c r="AO62" s="12" t="e">
        <f>AB62/#REF!</f>
        <v>#REF!</v>
      </c>
      <c r="AP62" s="1" t="s">
        <v>1265</v>
      </c>
      <c r="AQ62" s="11">
        <v>41842</v>
      </c>
      <c r="AR62" s="1" t="s">
        <v>1267</v>
      </c>
      <c r="AS62" s="11">
        <v>41843</v>
      </c>
      <c r="AT62" s="1" t="s">
        <v>49</v>
      </c>
      <c r="AU62" s="1" t="s">
        <v>4171</v>
      </c>
    </row>
    <row r="63" spans="1:47" ht="15" customHeight="1" x14ac:dyDescent="0.25">
      <c r="A63" s="1">
        <v>62</v>
      </c>
      <c r="B63" s="1" t="s">
        <v>1258</v>
      </c>
      <c r="C63" s="1" t="s">
        <v>38</v>
      </c>
      <c r="D63" s="1" t="s">
        <v>1268</v>
      </c>
      <c r="E63" s="5">
        <v>41809</v>
      </c>
      <c r="F63" s="1" t="s">
        <v>93</v>
      </c>
      <c r="G63" s="1" t="s">
        <v>65</v>
      </c>
      <c r="H63" s="1" t="s">
        <v>68</v>
      </c>
      <c r="I63" s="1" t="s">
        <v>2809</v>
      </c>
      <c r="J63" s="1" t="s">
        <v>69</v>
      </c>
      <c r="K63" s="1">
        <v>34021900</v>
      </c>
      <c r="L63" s="6">
        <v>17.100000000000001</v>
      </c>
      <c r="M63" s="1" t="s">
        <v>70</v>
      </c>
      <c r="N63" s="7" t="s">
        <v>67</v>
      </c>
      <c r="O63" s="1" t="s">
        <v>53</v>
      </c>
      <c r="P63" s="8">
        <v>2000</v>
      </c>
      <c r="Q63" s="17">
        <f t="shared" si="6"/>
        <v>34200</v>
      </c>
      <c r="R63" s="9">
        <v>0</v>
      </c>
      <c r="S63" s="9">
        <v>0</v>
      </c>
      <c r="T63" s="9">
        <v>0</v>
      </c>
      <c r="U63" s="10">
        <v>0</v>
      </c>
      <c r="V63" s="1" t="s">
        <v>46</v>
      </c>
      <c r="W63" s="1" t="s">
        <v>90</v>
      </c>
      <c r="X63" s="1">
        <v>3241178</v>
      </c>
      <c r="Y63" s="11">
        <v>41801</v>
      </c>
      <c r="Z63" s="11">
        <v>41802</v>
      </c>
      <c r="AA63" s="9">
        <f t="shared" si="11"/>
        <v>34200</v>
      </c>
      <c r="AB63" s="12">
        <v>58.85</v>
      </c>
      <c r="AC63" s="9">
        <f t="shared" si="12"/>
        <v>2012670</v>
      </c>
      <c r="AD63" s="9">
        <f t="shared" si="13"/>
        <v>2012670</v>
      </c>
      <c r="AE63" s="1" t="s">
        <v>48</v>
      </c>
      <c r="AF63" s="1" t="s">
        <v>53</v>
      </c>
      <c r="AG63" s="4">
        <f t="shared" si="1"/>
        <v>34200</v>
      </c>
      <c r="AH63" s="10">
        <v>34200</v>
      </c>
      <c r="AI63" s="9">
        <v>0</v>
      </c>
      <c r="AJ63" s="9">
        <v>0</v>
      </c>
      <c r="AK63" s="9">
        <v>0</v>
      </c>
      <c r="AL63" s="9">
        <f t="shared" si="2"/>
        <v>34200</v>
      </c>
      <c r="AM63" s="1"/>
      <c r="AN63" s="1"/>
      <c r="AO63" s="12" t="e">
        <f>AB63/#REF!</f>
        <v>#REF!</v>
      </c>
      <c r="AP63" s="1" t="s">
        <v>1269</v>
      </c>
      <c r="AQ63" s="11">
        <v>41878</v>
      </c>
      <c r="AR63" s="1" t="s">
        <v>1270</v>
      </c>
      <c r="AS63" s="11">
        <v>41879</v>
      </c>
      <c r="AT63" s="1" t="s">
        <v>49</v>
      </c>
      <c r="AU63" s="1" t="s">
        <v>4171</v>
      </c>
    </row>
    <row r="64" spans="1:47" ht="15" customHeight="1" x14ac:dyDescent="0.25">
      <c r="A64" s="1">
        <v>63</v>
      </c>
      <c r="B64" s="1" t="s">
        <v>1258</v>
      </c>
      <c r="C64" s="1" t="s">
        <v>38</v>
      </c>
      <c r="D64" s="1" t="s">
        <v>1268</v>
      </c>
      <c r="E64" s="5">
        <v>41809</v>
      </c>
      <c r="F64" s="1" t="s">
        <v>94</v>
      </c>
      <c r="G64" s="1" t="s">
        <v>65</v>
      </c>
      <c r="H64" s="1" t="s">
        <v>68</v>
      </c>
      <c r="I64" s="1" t="s">
        <v>2809</v>
      </c>
      <c r="J64" s="1" t="s">
        <v>69</v>
      </c>
      <c r="K64" s="1">
        <v>34021900</v>
      </c>
      <c r="L64" s="6">
        <v>16.649999999999999</v>
      </c>
      <c r="M64" s="1" t="s">
        <v>70</v>
      </c>
      <c r="N64" s="7" t="s">
        <v>67</v>
      </c>
      <c r="O64" s="1" t="s">
        <v>53</v>
      </c>
      <c r="P64" s="8">
        <v>2000</v>
      </c>
      <c r="Q64" s="17">
        <f t="shared" si="6"/>
        <v>33300</v>
      </c>
      <c r="R64" s="9">
        <v>0</v>
      </c>
      <c r="S64" s="9">
        <v>0</v>
      </c>
      <c r="T64" s="9">
        <v>0</v>
      </c>
      <c r="U64" s="10">
        <v>0</v>
      </c>
      <c r="V64" s="1" t="s">
        <v>46</v>
      </c>
      <c r="W64" s="1" t="s">
        <v>90</v>
      </c>
      <c r="X64" s="1">
        <v>3289762</v>
      </c>
      <c r="Y64" s="11">
        <v>41804</v>
      </c>
      <c r="Z64" s="11">
        <v>41806</v>
      </c>
      <c r="AA64" s="9">
        <f t="shared" si="11"/>
        <v>33300</v>
      </c>
      <c r="AB64" s="12">
        <v>58.85</v>
      </c>
      <c r="AC64" s="9">
        <f t="shared" si="12"/>
        <v>1959705</v>
      </c>
      <c r="AD64" s="9">
        <f t="shared" si="13"/>
        <v>1959705</v>
      </c>
      <c r="AE64" s="1" t="s">
        <v>48</v>
      </c>
      <c r="AF64" s="1" t="s">
        <v>53</v>
      </c>
      <c r="AG64" s="4">
        <f t="shared" si="1"/>
        <v>33300</v>
      </c>
      <c r="AH64" s="10">
        <v>33300</v>
      </c>
      <c r="AI64" s="9">
        <v>0</v>
      </c>
      <c r="AJ64" s="9">
        <v>0</v>
      </c>
      <c r="AK64" s="9">
        <v>0</v>
      </c>
      <c r="AL64" s="9">
        <f t="shared" si="2"/>
        <v>33300</v>
      </c>
      <c r="AM64" s="1"/>
      <c r="AN64" s="1"/>
      <c r="AO64" s="12" t="e">
        <f>AB64/#REF!</f>
        <v>#REF!</v>
      </c>
      <c r="AP64" s="1" t="s">
        <v>1269</v>
      </c>
      <c r="AQ64" s="11">
        <v>41878</v>
      </c>
      <c r="AR64" s="1" t="s">
        <v>1271</v>
      </c>
      <c r="AS64" s="11">
        <v>41879</v>
      </c>
      <c r="AT64" s="1" t="s">
        <v>49</v>
      </c>
      <c r="AU64" s="1" t="s">
        <v>4171</v>
      </c>
    </row>
    <row r="65" spans="1:47" s="23" customFormat="1" ht="15" customHeight="1" x14ac:dyDescent="0.25">
      <c r="A65" s="3">
        <v>64</v>
      </c>
      <c r="B65" s="3" t="s">
        <v>1258</v>
      </c>
      <c r="C65" s="3" t="s">
        <v>38</v>
      </c>
      <c r="D65" s="3" t="s">
        <v>1272</v>
      </c>
      <c r="E65" s="19">
        <v>41817</v>
      </c>
      <c r="F65" s="3" t="s">
        <v>95</v>
      </c>
      <c r="G65" s="3" t="s">
        <v>65</v>
      </c>
      <c r="H65" s="3" t="s">
        <v>68</v>
      </c>
      <c r="I65" s="3" t="s">
        <v>2809</v>
      </c>
      <c r="J65" s="3" t="s">
        <v>69</v>
      </c>
      <c r="K65" s="3">
        <v>34021900</v>
      </c>
      <c r="L65" s="48">
        <v>16.920000000000002</v>
      </c>
      <c r="M65" s="3" t="s">
        <v>70</v>
      </c>
      <c r="N65" s="49" t="s">
        <v>67</v>
      </c>
      <c r="O65" s="3" t="s">
        <v>53</v>
      </c>
      <c r="P65" s="50">
        <v>2225</v>
      </c>
      <c r="Q65" s="17">
        <f t="shared" si="6"/>
        <v>37647.000000000007</v>
      </c>
      <c r="R65" s="20">
        <v>0</v>
      </c>
      <c r="S65" s="20">
        <v>0</v>
      </c>
      <c r="T65" s="20">
        <v>0</v>
      </c>
      <c r="U65" s="4">
        <v>0</v>
      </c>
      <c r="V65" s="3" t="s">
        <v>46</v>
      </c>
      <c r="W65" s="3" t="s">
        <v>90</v>
      </c>
      <c r="X65" s="3">
        <v>3325801</v>
      </c>
      <c r="Y65" s="21">
        <v>41806</v>
      </c>
      <c r="Z65" s="21">
        <v>41807</v>
      </c>
      <c r="AA65" s="20">
        <f t="shared" si="11"/>
        <v>37647.000000000007</v>
      </c>
      <c r="AB65" s="22">
        <v>58.85</v>
      </c>
      <c r="AC65" s="20">
        <f t="shared" si="12"/>
        <v>2215525.9500000007</v>
      </c>
      <c r="AD65" s="20">
        <f t="shared" si="13"/>
        <v>2215525.9500000007</v>
      </c>
      <c r="AE65" s="3" t="s">
        <v>48</v>
      </c>
      <c r="AF65" s="3" t="s">
        <v>53</v>
      </c>
      <c r="AG65" s="4">
        <f t="shared" si="1"/>
        <v>37647.000000000007</v>
      </c>
      <c r="AH65" s="4">
        <f>33840+3807</f>
        <v>37647</v>
      </c>
      <c r="AI65" s="20">
        <v>0</v>
      </c>
      <c r="AJ65" s="20">
        <v>0</v>
      </c>
      <c r="AK65" s="20">
        <v>0</v>
      </c>
      <c r="AL65" s="20">
        <f t="shared" si="2"/>
        <v>37647</v>
      </c>
      <c r="AM65" s="3"/>
      <c r="AN65" s="3"/>
      <c r="AO65" s="22" t="e">
        <f>AB65/#REF!</f>
        <v>#REF!</v>
      </c>
      <c r="AP65" s="3" t="s">
        <v>1273</v>
      </c>
      <c r="AQ65" s="21">
        <v>41891</v>
      </c>
      <c r="AR65" s="3" t="s">
        <v>1274</v>
      </c>
      <c r="AS65" s="21">
        <v>41892</v>
      </c>
      <c r="AT65" s="3" t="s">
        <v>49</v>
      </c>
      <c r="AU65" s="3" t="s">
        <v>4171</v>
      </c>
    </row>
    <row r="66" spans="1:47" s="23" customFormat="1" ht="15" customHeight="1" x14ac:dyDescent="0.25">
      <c r="A66" s="3">
        <v>65</v>
      </c>
      <c r="B66" s="3" t="s">
        <v>1258</v>
      </c>
      <c r="C66" s="3" t="s">
        <v>38</v>
      </c>
      <c r="D66" s="3" t="s">
        <v>1272</v>
      </c>
      <c r="E66" s="19">
        <v>41817</v>
      </c>
      <c r="F66" s="3" t="s">
        <v>96</v>
      </c>
      <c r="G66" s="3" t="s">
        <v>65</v>
      </c>
      <c r="H66" s="3" t="s">
        <v>68</v>
      </c>
      <c r="I66" s="3" t="s">
        <v>2809</v>
      </c>
      <c r="J66" s="3" t="s">
        <v>69</v>
      </c>
      <c r="K66" s="3">
        <v>34021900</v>
      </c>
      <c r="L66" s="48">
        <v>16.8</v>
      </c>
      <c r="M66" s="3" t="s">
        <v>70</v>
      </c>
      <c r="N66" s="49" t="s">
        <v>67</v>
      </c>
      <c r="O66" s="3" t="s">
        <v>53</v>
      </c>
      <c r="P66" s="50">
        <v>2225</v>
      </c>
      <c r="Q66" s="17">
        <f t="shared" si="6"/>
        <v>37380</v>
      </c>
      <c r="R66" s="20">
        <v>0</v>
      </c>
      <c r="S66" s="20">
        <v>0</v>
      </c>
      <c r="T66" s="20">
        <v>0</v>
      </c>
      <c r="U66" s="4">
        <v>0</v>
      </c>
      <c r="V66" s="3" t="s">
        <v>46</v>
      </c>
      <c r="W66" s="3" t="s">
        <v>90</v>
      </c>
      <c r="X66" s="3">
        <v>3432264</v>
      </c>
      <c r="Y66" s="21">
        <v>41811</v>
      </c>
      <c r="Z66" s="21">
        <v>41813</v>
      </c>
      <c r="AA66" s="20">
        <f t="shared" si="11"/>
        <v>37380</v>
      </c>
      <c r="AB66" s="22">
        <v>59.45</v>
      </c>
      <c r="AC66" s="20">
        <f t="shared" si="12"/>
        <v>2222241</v>
      </c>
      <c r="AD66" s="20">
        <f t="shared" si="13"/>
        <v>2222241</v>
      </c>
      <c r="AE66" s="3" t="s">
        <v>48</v>
      </c>
      <c r="AF66" s="3" t="s">
        <v>53</v>
      </c>
      <c r="AG66" s="4">
        <f t="shared" ref="AG66:AG129" si="14">Q66</f>
        <v>37380</v>
      </c>
      <c r="AH66" s="4">
        <f>33600+3780</f>
        <v>37380</v>
      </c>
      <c r="AI66" s="20">
        <v>0</v>
      </c>
      <c r="AJ66" s="20">
        <v>0</v>
      </c>
      <c r="AK66" s="20">
        <v>0</v>
      </c>
      <c r="AL66" s="20">
        <f t="shared" ref="AL66:AL129" si="15">AH66-(AI66+AJ66+AK66)</f>
        <v>37380</v>
      </c>
      <c r="AM66" s="3"/>
      <c r="AN66" s="3"/>
      <c r="AO66" s="22" t="e">
        <f>AB66/#REF!</f>
        <v>#REF!</v>
      </c>
      <c r="AP66" s="3" t="s">
        <v>1273</v>
      </c>
      <c r="AQ66" s="21">
        <v>41891</v>
      </c>
      <c r="AR66" s="3" t="s">
        <v>1275</v>
      </c>
      <c r="AS66" s="21">
        <v>41892</v>
      </c>
      <c r="AT66" s="3" t="s">
        <v>49</v>
      </c>
      <c r="AU66" s="3" t="s">
        <v>4171</v>
      </c>
    </row>
    <row r="67" spans="1:47" ht="15" customHeight="1" x14ac:dyDescent="0.25">
      <c r="A67" s="1">
        <v>66</v>
      </c>
      <c r="B67" s="1" t="s">
        <v>1258</v>
      </c>
      <c r="C67" s="1" t="s">
        <v>38</v>
      </c>
      <c r="D67" s="1" t="s">
        <v>1276</v>
      </c>
      <c r="E67" s="5">
        <v>41822</v>
      </c>
      <c r="F67" s="1" t="s">
        <v>97</v>
      </c>
      <c r="G67" s="1" t="s">
        <v>65</v>
      </c>
      <c r="H67" s="1" t="s">
        <v>68</v>
      </c>
      <c r="I67" s="1" t="s">
        <v>2809</v>
      </c>
      <c r="J67" s="1" t="s">
        <v>69</v>
      </c>
      <c r="K67" s="1">
        <v>34021900</v>
      </c>
      <c r="L67" s="6">
        <v>16.89</v>
      </c>
      <c r="M67" s="1" t="s">
        <v>70</v>
      </c>
      <c r="N67" s="7" t="s">
        <v>67</v>
      </c>
      <c r="O67" s="1" t="s">
        <v>53</v>
      </c>
      <c r="P67" s="8">
        <v>2225</v>
      </c>
      <c r="Q67" s="17">
        <f t="shared" si="6"/>
        <v>37580.25</v>
      </c>
      <c r="R67" s="9">
        <v>0</v>
      </c>
      <c r="S67" s="9">
        <v>0</v>
      </c>
      <c r="T67" s="9">
        <v>0</v>
      </c>
      <c r="U67" s="10">
        <v>0</v>
      </c>
      <c r="V67" s="1" t="s">
        <v>46</v>
      </c>
      <c r="W67" s="1" t="s">
        <v>90</v>
      </c>
      <c r="X67" s="1">
        <v>3510152</v>
      </c>
      <c r="Y67" s="11">
        <v>41816</v>
      </c>
      <c r="Z67" s="11">
        <v>41816</v>
      </c>
      <c r="AA67" s="9">
        <f t="shared" si="11"/>
        <v>37580.25</v>
      </c>
      <c r="AB67" s="12">
        <v>59.45</v>
      </c>
      <c r="AC67" s="9">
        <f t="shared" si="12"/>
        <v>2234145.8625000003</v>
      </c>
      <c r="AD67" s="9">
        <f t="shared" si="13"/>
        <v>2234145.8625000003</v>
      </c>
      <c r="AE67" s="1" t="s">
        <v>48</v>
      </c>
      <c r="AF67" s="1" t="s">
        <v>53</v>
      </c>
      <c r="AG67" s="4">
        <f t="shared" si="14"/>
        <v>37580.25</v>
      </c>
      <c r="AH67" s="10">
        <v>37580.25</v>
      </c>
      <c r="AI67" s="9">
        <v>0</v>
      </c>
      <c r="AJ67" s="9">
        <v>0</v>
      </c>
      <c r="AK67" s="9">
        <v>0</v>
      </c>
      <c r="AL67" s="9">
        <f t="shared" si="15"/>
        <v>37580.25</v>
      </c>
      <c r="AM67" s="1"/>
      <c r="AN67" s="1"/>
      <c r="AO67" s="12" t="e">
        <f>AB67/#REF!</f>
        <v>#REF!</v>
      </c>
      <c r="AP67" s="1" t="s">
        <v>1277</v>
      </c>
      <c r="AQ67" s="11">
        <v>41891</v>
      </c>
      <c r="AR67" s="1" t="s">
        <v>1278</v>
      </c>
      <c r="AS67" s="11">
        <v>41892</v>
      </c>
      <c r="AT67" s="1" t="s">
        <v>49</v>
      </c>
      <c r="AU67" s="1" t="s">
        <v>4171</v>
      </c>
    </row>
    <row r="68" spans="1:47" ht="15" customHeight="1" x14ac:dyDescent="0.25">
      <c r="A68" s="1">
        <v>67</v>
      </c>
      <c r="B68" s="1" t="s">
        <v>1258</v>
      </c>
      <c r="C68" s="1" t="s">
        <v>38</v>
      </c>
      <c r="D68" s="1" t="s">
        <v>1276</v>
      </c>
      <c r="E68" s="5">
        <v>41822</v>
      </c>
      <c r="F68" s="1" t="s">
        <v>98</v>
      </c>
      <c r="G68" s="1" t="s">
        <v>65</v>
      </c>
      <c r="H68" s="1" t="s">
        <v>68</v>
      </c>
      <c r="I68" s="1" t="s">
        <v>2809</v>
      </c>
      <c r="J68" s="1" t="s">
        <v>69</v>
      </c>
      <c r="K68" s="1">
        <v>34021900</v>
      </c>
      <c r="L68" s="6">
        <v>16.829999999999998</v>
      </c>
      <c r="M68" s="1" t="s">
        <v>70</v>
      </c>
      <c r="N68" s="7" t="s">
        <v>67</v>
      </c>
      <c r="O68" s="1" t="s">
        <v>53</v>
      </c>
      <c r="P68" s="8">
        <v>2225</v>
      </c>
      <c r="Q68" s="17">
        <f t="shared" si="6"/>
        <v>37446.749999999993</v>
      </c>
      <c r="R68" s="9">
        <v>0</v>
      </c>
      <c r="S68" s="9">
        <v>0</v>
      </c>
      <c r="T68" s="9">
        <v>0</v>
      </c>
      <c r="U68" s="10">
        <v>0</v>
      </c>
      <c r="V68" s="1" t="s">
        <v>46</v>
      </c>
      <c r="W68" s="1" t="s">
        <v>90</v>
      </c>
      <c r="X68" s="1">
        <v>3553121</v>
      </c>
      <c r="Y68" s="11">
        <v>41817</v>
      </c>
      <c r="Z68" s="11">
        <v>41818</v>
      </c>
      <c r="AA68" s="9">
        <f t="shared" si="11"/>
        <v>37446.749999999993</v>
      </c>
      <c r="AB68" s="12">
        <v>59.45</v>
      </c>
      <c r="AC68" s="9">
        <f t="shared" si="12"/>
        <v>2226209.2874999996</v>
      </c>
      <c r="AD68" s="9">
        <f t="shared" si="13"/>
        <v>2226209.2874999996</v>
      </c>
      <c r="AE68" s="1" t="s">
        <v>48</v>
      </c>
      <c r="AF68" s="1" t="s">
        <v>53</v>
      </c>
      <c r="AG68" s="4">
        <f t="shared" si="14"/>
        <v>37446.749999999993</v>
      </c>
      <c r="AH68" s="10">
        <v>37446.75</v>
      </c>
      <c r="AI68" s="9">
        <v>0</v>
      </c>
      <c r="AJ68" s="9">
        <v>0</v>
      </c>
      <c r="AK68" s="9">
        <v>0</v>
      </c>
      <c r="AL68" s="9">
        <f t="shared" si="15"/>
        <v>37446.75</v>
      </c>
      <c r="AM68" s="1"/>
      <c r="AN68" s="1"/>
      <c r="AO68" s="12" t="e">
        <f>AB68/#REF!</f>
        <v>#REF!</v>
      </c>
      <c r="AP68" s="1" t="s">
        <v>1277</v>
      </c>
      <c r="AQ68" s="11">
        <v>41891</v>
      </c>
      <c r="AR68" s="1" t="s">
        <v>1279</v>
      </c>
      <c r="AS68" s="11">
        <v>41892</v>
      </c>
      <c r="AT68" s="1" t="s">
        <v>49</v>
      </c>
      <c r="AU68" s="1" t="s">
        <v>4171</v>
      </c>
    </row>
    <row r="69" spans="1:47" ht="15" customHeight="1" x14ac:dyDescent="0.25">
      <c r="A69" s="1">
        <v>68</v>
      </c>
      <c r="B69" s="1" t="s">
        <v>1258</v>
      </c>
      <c r="C69" s="1" t="s">
        <v>38</v>
      </c>
      <c r="D69" s="1">
        <v>9112550010</v>
      </c>
      <c r="E69" s="5">
        <v>41829</v>
      </c>
      <c r="F69" s="1" t="s">
        <v>99</v>
      </c>
      <c r="G69" s="1" t="s">
        <v>65</v>
      </c>
      <c r="H69" s="1" t="s">
        <v>68</v>
      </c>
      <c r="I69" s="1" t="s">
        <v>2809</v>
      </c>
      <c r="J69" s="1" t="s">
        <v>69</v>
      </c>
      <c r="K69" s="1">
        <v>34021900</v>
      </c>
      <c r="L69" s="6">
        <v>16.95</v>
      </c>
      <c r="M69" s="1" t="s">
        <v>70</v>
      </c>
      <c r="N69" s="7" t="s">
        <v>67</v>
      </c>
      <c r="O69" s="1" t="s">
        <v>53</v>
      </c>
      <c r="P69" s="8">
        <v>2270</v>
      </c>
      <c r="Q69" s="17">
        <f t="shared" si="6"/>
        <v>38476.5</v>
      </c>
      <c r="R69" s="9">
        <v>0</v>
      </c>
      <c r="S69" s="9">
        <v>0</v>
      </c>
      <c r="T69" s="9">
        <v>0</v>
      </c>
      <c r="U69" s="10">
        <v>0</v>
      </c>
      <c r="V69" s="1" t="s">
        <v>46</v>
      </c>
      <c r="W69" s="1" t="s">
        <v>90</v>
      </c>
      <c r="X69" s="1">
        <v>3664037</v>
      </c>
      <c r="Y69" s="11">
        <v>41823</v>
      </c>
      <c r="Z69" s="11">
        <v>41824</v>
      </c>
      <c r="AA69" s="9">
        <f t="shared" si="11"/>
        <v>38476.5</v>
      </c>
      <c r="AB69" s="12">
        <v>59.45</v>
      </c>
      <c r="AC69" s="9">
        <f t="shared" si="12"/>
        <v>2287427.9250000003</v>
      </c>
      <c r="AD69" s="9">
        <f t="shared" si="13"/>
        <v>2287427.9250000003</v>
      </c>
      <c r="AE69" s="1" t="s">
        <v>48</v>
      </c>
      <c r="AF69" s="1" t="s">
        <v>53</v>
      </c>
      <c r="AG69" s="4">
        <f t="shared" si="14"/>
        <v>38476.5</v>
      </c>
      <c r="AH69" s="10">
        <v>38381.5</v>
      </c>
      <c r="AI69" s="9">
        <v>0</v>
      </c>
      <c r="AJ69" s="9">
        <v>0</v>
      </c>
      <c r="AK69" s="9">
        <v>0</v>
      </c>
      <c r="AL69" s="9">
        <f t="shared" si="15"/>
        <v>38381.5</v>
      </c>
      <c r="AM69" s="1"/>
      <c r="AN69" s="1"/>
      <c r="AO69" s="12" t="e">
        <f>AB69/#REF!</f>
        <v>#REF!</v>
      </c>
      <c r="AP69" s="1" t="s">
        <v>1280</v>
      </c>
      <c r="AQ69" s="11">
        <v>41898</v>
      </c>
      <c r="AR69" s="1" t="s">
        <v>1281</v>
      </c>
      <c r="AS69" s="11">
        <v>41899</v>
      </c>
      <c r="AT69" s="1" t="s">
        <v>49</v>
      </c>
      <c r="AU69" s="1" t="s">
        <v>4171</v>
      </c>
    </row>
    <row r="70" spans="1:47" ht="15" customHeight="1" x14ac:dyDescent="0.25">
      <c r="A70" s="1">
        <v>69</v>
      </c>
      <c r="B70" s="1" t="s">
        <v>1258</v>
      </c>
      <c r="C70" s="1" t="s">
        <v>38</v>
      </c>
      <c r="D70" s="1">
        <v>9112550011</v>
      </c>
      <c r="E70" s="5">
        <v>41829</v>
      </c>
      <c r="F70" s="1" t="s">
        <v>100</v>
      </c>
      <c r="G70" s="1" t="s">
        <v>65</v>
      </c>
      <c r="H70" s="1" t="s">
        <v>68</v>
      </c>
      <c r="I70" s="1" t="s">
        <v>2809</v>
      </c>
      <c r="J70" s="1" t="s">
        <v>69</v>
      </c>
      <c r="K70" s="1">
        <v>34021900</v>
      </c>
      <c r="L70" s="6">
        <v>16.98</v>
      </c>
      <c r="M70" s="1" t="s">
        <v>70</v>
      </c>
      <c r="N70" s="7" t="s">
        <v>67</v>
      </c>
      <c r="O70" s="1" t="s">
        <v>53</v>
      </c>
      <c r="P70" s="8">
        <v>2225</v>
      </c>
      <c r="Q70" s="17">
        <f t="shared" si="6"/>
        <v>37780.5</v>
      </c>
      <c r="R70" s="9">
        <v>0</v>
      </c>
      <c r="S70" s="9">
        <v>0</v>
      </c>
      <c r="T70" s="9">
        <v>0</v>
      </c>
      <c r="U70" s="10">
        <v>0</v>
      </c>
      <c r="V70" s="1" t="s">
        <v>46</v>
      </c>
      <c r="W70" s="1" t="s">
        <v>90</v>
      </c>
      <c r="X70" s="1">
        <v>3671921</v>
      </c>
      <c r="Y70" s="11">
        <v>41823</v>
      </c>
      <c r="Z70" s="11">
        <v>41824</v>
      </c>
      <c r="AA70" s="9">
        <f t="shared" si="11"/>
        <v>37780.5</v>
      </c>
      <c r="AB70" s="12">
        <v>59.45</v>
      </c>
      <c r="AC70" s="9">
        <f t="shared" si="12"/>
        <v>2246050.7250000001</v>
      </c>
      <c r="AD70" s="9">
        <f t="shared" si="13"/>
        <v>2246050.7250000001</v>
      </c>
      <c r="AE70" s="1" t="s">
        <v>48</v>
      </c>
      <c r="AF70" s="1" t="s">
        <v>53</v>
      </c>
      <c r="AG70" s="4">
        <f t="shared" si="14"/>
        <v>37780.5</v>
      </c>
      <c r="AH70" s="10">
        <v>37685.5</v>
      </c>
      <c r="AI70" s="9">
        <v>0</v>
      </c>
      <c r="AJ70" s="9">
        <v>0</v>
      </c>
      <c r="AK70" s="9">
        <v>0</v>
      </c>
      <c r="AL70" s="9">
        <f t="shared" si="15"/>
        <v>37685.5</v>
      </c>
      <c r="AM70" s="1"/>
      <c r="AN70" s="1"/>
      <c r="AO70" s="12" t="e">
        <f>AB70/#REF!</f>
        <v>#REF!</v>
      </c>
      <c r="AP70" s="1" t="s">
        <v>1282</v>
      </c>
      <c r="AQ70" s="11">
        <v>41898</v>
      </c>
      <c r="AR70" s="1" t="s">
        <v>1283</v>
      </c>
      <c r="AS70" s="11">
        <v>41899</v>
      </c>
      <c r="AT70" s="1" t="s">
        <v>49</v>
      </c>
      <c r="AU70" s="1" t="s">
        <v>4171</v>
      </c>
    </row>
    <row r="71" spans="1:47" ht="15" customHeight="1" x14ac:dyDescent="0.25">
      <c r="A71" s="1">
        <v>70</v>
      </c>
      <c r="B71" s="1" t="s">
        <v>1258</v>
      </c>
      <c r="C71" s="1" t="s">
        <v>38</v>
      </c>
      <c r="D71" s="1" t="s">
        <v>1284</v>
      </c>
      <c r="E71" s="5">
        <v>41837</v>
      </c>
      <c r="F71" s="1" t="s">
        <v>101</v>
      </c>
      <c r="G71" s="1" t="s">
        <v>65</v>
      </c>
      <c r="H71" s="1" t="s">
        <v>68</v>
      </c>
      <c r="I71" s="1" t="s">
        <v>2809</v>
      </c>
      <c r="J71" s="1" t="s">
        <v>69</v>
      </c>
      <c r="K71" s="1">
        <v>34021900</v>
      </c>
      <c r="L71" s="6">
        <v>17.579999999999998</v>
      </c>
      <c r="M71" s="1" t="s">
        <v>70</v>
      </c>
      <c r="N71" s="7" t="s">
        <v>67</v>
      </c>
      <c r="O71" s="1" t="s">
        <v>53</v>
      </c>
      <c r="P71" s="8">
        <v>2225</v>
      </c>
      <c r="Q71" s="17">
        <f t="shared" si="6"/>
        <v>39115.499999999993</v>
      </c>
      <c r="R71" s="9">
        <v>0</v>
      </c>
      <c r="S71" s="9">
        <v>0</v>
      </c>
      <c r="T71" s="9">
        <v>0</v>
      </c>
      <c r="U71" s="10">
        <v>0</v>
      </c>
      <c r="V71" s="1" t="s">
        <v>46</v>
      </c>
      <c r="W71" s="1" t="s">
        <v>90</v>
      </c>
      <c r="X71" s="1">
        <v>3779986</v>
      </c>
      <c r="Y71" s="11">
        <v>41829</v>
      </c>
      <c r="Z71" s="11">
        <v>41830</v>
      </c>
      <c r="AA71" s="9">
        <f t="shared" si="11"/>
        <v>39115.499999999993</v>
      </c>
      <c r="AB71" s="12">
        <v>59.1</v>
      </c>
      <c r="AC71" s="9">
        <f t="shared" si="12"/>
        <v>2311726.0499999998</v>
      </c>
      <c r="AD71" s="9">
        <f t="shared" si="13"/>
        <v>2311726.0499999998</v>
      </c>
      <c r="AE71" s="1" t="s">
        <v>48</v>
      </c>
      <c r="AF71" s="1" t="s">
        <v>53</v>
      </c>
      <c r="AG71" s="4">
        <f t="shared" si="14"/>
        <v>39115.499999999993</v>
      </c>
      <c r="AH71" s="10">
        <v>39115.5</v>
      </c>
      <c r="AI71" s="9">
        <v>0</v>
      </c>
      <c r="AJ71" s="9">
        <v>0</v>
      </c>
      <c r="AK71" s="9">
        <v>0</v>
      </c>
      <c r="AL71" s="9">
        <f t="shared" si="15"/>
        <v>39115.5</v>
      </c>
      <c r="AM71" s="1"/>
      <c r="AN71" s="1"/>
      <c r="AO71" s="12" t="e">
        <f>AB71/#REF!</f>
        <v>#REF!</v>
      </c>
      <c r="AP71" s="1" t="s">
        <v>1285</v>
      </c>
      <c r="AQ71" s="11">
        <v>41905</v>
      </c>
      <c r="AR71" s="1" t="s">
        <v>1286</v>
      </c>
      <c r="AS71" s="11">
        <v>41906</v>
      </c>
      <c r="AT71" s="1" t="s">
        <v>49</v>
      </c>
      <c r="AU71" s="1" t="s">
        <v>4171</v>
      </c>
    </row>
    <row r="72" spans="1:47" ht="15" customHeight="1" x14ac:dyDescent="0.25">
      <c r="A72" s="1">
        <v>71</v>
      </c>
      <c r="B72" s="1" t="s">
        <v>1258</v>
      </c>
      <c r="C72" s="1" t="s">
        <v>38</v>
      </c>
      <c r="D72" s="1" t="s">
        <v>1284</v>
      </c>
      <c r="E72" s="5">
        <v>41837</v>
      </c>
      <c r="F72" s="1" t="s">
        <v>102</v>
      </c>
      <c r="G72" s="1" t="s">
        <v>65</v>
      </c>
      <c r="H72" s="1" t="s">
        <v>68</v>
      </c>
      <c r="I72" s="1" t="s">
        <v>2809</v>
      </c>
      <c r="J72" s="1" t="s">
        <v>69</v>
      </c>
      <c r="K72" s="1">
        <v>34021900</v>
      </c>
      <c r="L72" s="6">
        <v>17.55</v>
      </c>
      <c r="M72" s="1" t="s">
        <v>70</v>
      </c>
      <c r="N72" s="7" t="s">
        <v>67</v>
      </c>
      <c r="O72" s="1" t="s">
        <v>53</v>
      </c>
      <c r="P72" s="8">
        <v>2225</v>
      </c>
      <c r="Q72" s="17">
        <f t="shared" si="6"/>
        <v>39048.75</v>
      </c>
      <c r="R72" s="9">
        <v>0</v>
      </c>
      <c r="S72" s="9">
        <v>0</v>
      </c>
      <c r="T72" s="9">
        <v>0</v>
      </c>
      <c r="U72" s="10">
        <v>0</v>
      </c>
      <c r="V72" s="1" t="s">
        <v>46</v>
      </c>
      <c r="W72" s="1" t="s">
        <v>90</v>
      </c>
      <c r="X72" s="1">
        <v>3823694</v>
      </c>
      <c r="Y72" s="11">
        <v>41831</v>
      </c>
      <c r="Z72" s="11">
        <v>41832</v>
      </c>
      <c r="AA72" s="9">
        <f t="shared" si="11"/>
        <v>39048.75</v>
      </c>
      <c r="AB72" s="12">
        <v>59.1</v>
      </c>
      <c r="AC72" s="9">
        <f t="shared" si="12"/>
        <v>2307781.125</v>
      </c>
      <c r="AD72" s="9">
        <f t="shared" si="13"/>
        <v>2307781.125</v>
      </c>
      <c r="AE72" s="1" t="s">
        <v>48</v>
      </c>
      <c r="AF72" s="1" t="s">
        <v>53</v>
      </c>
      <c r="AG72" s="4">
        <f t="shared" si="14"/>
        <v>39048.75</v>
      </c>
      <c r="AH72" s="10">
        <v>39048.75</v>
      </c>
      <c r="AI72" s="9">
        <v>0</v>
      </c>
      <c r="AJ72" s="9">
        <v>0</v>
      </c>
      <c r="AK72" s="9">
        <v>0</v>
      </c>
      <c r="AL72" s="9">
        <f t="shared" si="15"/>
        <v>39048.75</v>
      </c>
      <c r="AM72" s="1"/>
      <c r="AN72" s="1"/>
      <c r="AO72" s="12" t="e">
        <f>AB72/#REF!</f>
        <v>#REF!</v>
      </c>
      <c r="AP72" s="1" t="s">
        <v>1285</v>
      </c>
      <c r="AQ72" s="11">
        <v>41905</v>
      </c>
      <c r="AR72" s="1" t="s">
        <v>1287</v>
      </c>
      <c r="AS72" s="11">
        <v>41906</v>
      </c>
      <c r="AT72" s="1" t="s">
        <v>49</v>
      </c>
      <c r="AU72" s="1" t="s">
        <v>4171</v>
      </c>
    </row>
    <row r="73" spans="1:47" ht="15" customHeight="1" x14ac:dyDescent="0.25">
      <c r="A73" s="1">
        <v>72</v>
      </c>
      <c r="B73" s="1" t="s">
        <v>1258</v>
      </c>
      <c r="C73" s="1" t="s">
        <v>38</v>
      </c>
      <c r="D73" s="1" t="s">
        <v>1288</v>
      </c>
      <c r="E73" s="5">
        <v>41844</v>
      </c>
      <c r="F73" s="1" t="s">
        <v>103</v>
      </c>
      <c r="G73" s="1" t="s">
        <v>65</v>
      </c>
      <c r="H73" s="1" t="s">
        <v>68</v>
      </c>
      <c r="I73" s="1" t="s">
        <v>2809</v>
      </c>
      <c r="J73" s="1" t="s">
        <v>69</v>
      </c>
      <c r="K73" s="1">
        <v>34021900</v>
      </c>
      <c r="L73" s="6">
        <v>17.07</v>
      </c>
      <c r="M73" s="1" t="s">
        <v>70</v>
      </c>
      <c r="N73" s="7" t="s">
        <v>67</v>
      </c>
      <c r="O73" s="1" t="s">
        <v>53</v>
      </c>
      <c r="P73" s="8">
        <v>2225</v>
      </c>
      <c r="Q73" s="17">
        <f t="shared" si="6"/>
        <v>37980.75</v>
      </c>
      <c r="R73" s="9">
        <v>0</v>
      </c>
      <c r="S73" s="9">
        <v>0</v>
      </c>
      <c r="T73" s="9">
        <v>0</v>
      </c>
      <c r="U73" s="10">
        <v>0</v>
      </c>
      <c r="V73" s="1" t="s">
        <v>46</v>
      </c>
      <c r="W73" s="1" t="s">
        <v>90</v>
      </c>
      <c r="X73" s="1">
        <v>3905826</v>
      </c>
      <c r="Y73" s="11">
        <v>41836</v>
      </c>
      <c r="Z73" s="11">
        <v>41837</v>
      </c>
      <c r="AA73" s="9">
        <f t="shared" si="11"/>
        <v>37980.75</v>
      </c>
      <c r="AB73" s="12">
        <v>59.1</v>
      </c>
      <c r="AC73" s="9">
        <f t="shared" si="12"/>
        <v>2244662.3250000002</v>
      </c>
      <c r="AD73" s="9">
        <f t="shared" si="13"/>
        <v>2244662.3250000002</v>
      </c>
      <c r="AE73" s="1" t="s">
        <v>48</v>
      </c>
      <c r="AF73" s="1" t="s">
        <v>53</v>
      </c>
      <c r="AG73" s="4">
        <f t="shared" si="14"/>
        <v>37980.75</v>
      </c>
      <c r="AH73" s="10">
        <v>37980.75</v>
      </c>
      <c r="AI73" s="9">
        <v>0</v>
      </c>
      <c r="AJ73" s="9">
        <v>0</v>
      </c>
      <c r="AK73" s="9">
        <v>0</v>
      </c>
      <c r="AL73" s="9">
        <f t="shared" si="15"/>
        <v>37980.75</v>
      </c>
      <c r="AM73" s="1"/>
      <c r="AN73" s="1"/>
      <c r="AO73" s="12" t="e">
        <f>AB73/#REF!</f>
        <v>#REF!</v>
      </c>
      <c r="AP73" s="1" t="s">
        <v>1289</v>
      </c>
      <c r="AQ73" s="11">
        <v>41919</v>
      </c>
      <c r="AR73" s="1" t="s">
        <v>1290</v>
      </c>
      <c r="AS73" s="11">
        <v>41920</v>
      </c>
      <c r="AT73" s="1" t="s">
        <v>49</v>
      </c>
      <c r="AU73" s="1" t="s">
        <v>4171</v>
      </c>
    </row>
    <row r="74" spans="1:47" ht="15" customHeight="1" x14ac:dyDescent="0.25">
      <c r="A74" s="1">
        <v>73</v>
      </c>
      <c r="B74" s="1" t="s">
        <v>1258</v>
      </c>
      <c r="C74" s="1" t="s">
        <v>38</v>
      </c>
      <c r="D74" s="1" t="s">
        <v>1288</v>
      </c>
      <c r="E74" s="5">
        <v>41844</v>
      </c>
      <c r="F74" s="1" t="s">
        <v>104</v>
      </c>
      <c r="G74" s="1" t="s">
        <v>65</v>
      </c>
      <c r="H74" s="1" t="s">
        <v>68</v>
      </c>
      <c r="I74" s="1" t="s">
        <v>2809</v>
      </c>
      <c r="J74" s="1" t="s">
        <v>69</v>
      </c>
      <c r="K74" s="1">
        <v>34021900</v>
      </c>
      <c r="L74" s="6">
        <v>17.579999999999998</v>
      </c>
      <c r="M74" s="1" t="s">
        <v>70</v>
      </c>
      <c r="N74" s="7" t="s">
        <v>67</v>
      </c>
      <c r="O74" s="1" t="s">
        <v>53</v>
      </c>
      <c r="P74" s="8">
        <v>2225</v>
      </c>
      <c r="Q74" s="17">
        <f t="shared" si="6"/>
        <v>39115.499999999993</v>
      </c>
      <c r="R74" s="9">
        <v>0</v>
      </c>
      <c r="S74" s="9">
        <v>0</v>
      </c>
      <c r="T74" s="9">
        <v>0</v>
      </c>
      <c r="U74" s="10">
        <v>0</v>
      </c>
      <c r="V74" s="1" t="s">
        <v>46</v>
      </c>
      <c r="W74" s="1" t="s">
        <v>90</v>
      </c>
      <c r="X74" s="1">
        <v>3962450</v>
      </c>
      <c r="Y74" s="11">
        <v>41839</v>
      </c>
      <c r="Z74" s="11">
        <v>41841</v>
      </c>
      <c r="AA74" s="9">
        <f t="shared" si="11"/>
        <v>39115.499999999993</v>
      </c>
      <c r="AB74" s="12">
        <v>59.7</v>
      </c>
      <c r="AC74" s="9">
        <f t="shared" si="12"/>
        <v>2335195.3499999996</v>
      </c>
      <c r="AD74" s="9">
        <f t="shared" si="13"/>
        <v>2335195.3499999996</v>
      </c>
      <c r="AE74" s="1"/>
      <c r="AF74" s="1"/>
      <c r="AG74" s="4">
        <f t="shared" si="14"/>
        <v>39115.499999999993</v>
      </c>
      <c r="AH74" s="10">
        <v>39115.5</v>
      </c>
      <c r="AI74" s="9">
        <v>0</v>
      </c>
      <c r="AJ74" s="9">
        <v>0</v>
      </c>
      <c r="AK74" s="9">
        <v>0</v>
      </c>
      <c r="AL74" s="9">
        <f t="shared" si="15"/>
        <v>39115.5</v>
      </c>
      <c r="AM74" s="1"/>
      <c r="AN74" s="1"/>
      <c r="AO74" s="12" t="e">
        <f>AB74/#REF!</f>
        <v>#REF!</v>
      </c>
      <c r="AP74" s="1" t="s">
        <v>1289</v>
      </c>
      <c r="AQ74" s="11">
        <v>41919</v>
      </c>
      <c r="AR74" s="1" t="s">
        <v>4309</v>
      </c>
      <c r="AS74" s="11">
        <v>42465</v>
      </c>
      <c r="AT74" s="1" t="s">
        <v>49</v>
      </c>
      <c r="AU74" s="1" t="s">
        <v>4215</v>
      </c>
    </row>
    <row r="75" spans="1:47" ht="15" customHeight="1" x14ac:dyDescent="0.2">
      <c r="A75" s="1">
        <v>74</v>
      </c>
      <c r="B75" s="1" t="s">
        <v>1258</v>
      </c>
      <c r="C75" s="1" t="s">
        <v>38</v>
      </c>
      <c r="D75" s="1" t="s">
        <v>3096</v>
      </c>
      <c r="E75" s="5">
        <v>41851</v>
      </c>
      <c r="F75" s="1" t="s">
        <v>3097</v>
      </c>
      <c r="G75" s="1" t="s">
        <v>65</v>
      </c>
      <c r="H75" s="1" t="s">
        <v>68</v>
      </c>
      <c r="I75" s="1" t="s">
        <v>2809</v>
      </c>
      <c r="J75" s="1" t="s">
        <v>69</v>
      </c>
      <c r="K75" s="1">
        <v>34021900</v>
      </c>
      <c r="L75" s="6">
        <v>16.829999999999998</v>
      </c>
      <c r="M75" s="1" t="s">
        <v>70</v>
      </c>
      <c r="N75" s="7" t="s">
        <v>67</v>
      </c>
      <c r="O75" s="1" t="s">
        <v>53</v>
      </c>
      <c r="P75" s="8">
        <v>2270</v>
      </c>
      <c r="Q75" s="17">
        <f t="shared" si="6"/>
        <v>38204.1</v>
      </c>
      <c r="R75" s="9">
        <v>0</v>
      </c>
      <c r="S75" s="9">
        <v>0</v>
      </c>
      <c r="T75" s="9">
        <v>0</v>
      </c>
      <c r="U75" s="10">
        <v>0</v>
      </c>
      <c r="V75" s="1" t="s">
        <v>46</v>
      </c>
      <c r="W75" s="1" t="s">
        <v>90</v>
      </c>
      <c r="X75" s="1">
        <v>4018296</v>
      </c>
      <c r="Y75" s="11">
        <v>41843</v>
      </c>
      <c r="Z75" s="11">
        <v>41844</v>
      </c>
      <c r="AA75" s="9">
        <f t="shared" si="11"/>
        <v>38204.1</v>
      </c>
      <c r="AB75" s="12">
        <v>59.7</v>
      </c>
      <c r="AC75" s="9">
        <f t="shared" si="12"/>
        <v>2280784.77</v>
      </c>
      <c r="AD75" s="9">
        <f t="shared" si="13"/>
        <v>2280784.77</v>
      </c>
      <c r="AE75" s="1" t="s">
        <v>48</v>
      </c>
      <c r="AF75" s="1" t="s">
        <v>53</v>
      </c>
      <c r="AG75" s="4">
        <f t="shared" si="14"/>
        <v>38204.1</v>
      </c>
      <c r="AH75" s="10">
        <v>38204.1</v>
      </c>
      <c r="AI75" s="9">
        <v>0</v>
      </c>
      <c r="AJ75" s="9">
        <v>0</v>
      </c>
      <c r="AK75" s="9">
        <v>0</v>
      </c>
      <c r="AL75" s="9">
        <f t="shared" si="15"/>
        <v>38204.1</v>
      </c>
      <c r="AM75" s="1"/>
      <c r="AN75" s="1"/>
      <c r="AO75" s="12" t="e">
        <f>AB75/#REF!</f>
        <v>#REF!</v>
      </c>
      <c r="AP75" s="1" t="s">
        <v>3315</v>
      </c>
      <c r="AQ75" s="11">
        <v>41920</v>
      </c>
      <c r="AR75" s="18" t="s">
        <v>4391</v>
      </c>
      <c r="AS75" s="11">
        <v>41921</v>
      </c>
      <c r="AT75" s="1" t="s">
        <v>49</v>
      </c>
      <c r="AU75" s="1" t="s">
        <v>4171</v>
      </c>
    </row>
    <row r="76" spans="1:47" ht="15" customHeight="1" x14ac:dyDescent="0.2">
      <c r="A76" s="1">
        <v>75</v>
      </c>
      <c r="B76" s="1" t="s">
        <v>1258</v>
      </c>
      <c r="C76" s="1" t="s">
        <v>38</v>
      </c>
      <c r="D76" s="1" t="s">
        <v>3096</v>
      </c>
      <c r="E76" s="5">
        <v>41851</v>
      </c>
      <c r="F76" s="1" t="s">
        <v>105</v>
      </c>
      <c r="G76" s="1" t="s">
        <v>65</v>
      </c>
      <c r="H76" s="1" t="s">
        <v>68</v>
      </c>
      <c r="I76" s="1" t="s">
        <v>2809</v>
      </c>
      <c r="J76" s="1" t="s">
        <v>69</v>
      </c>
      <c r="K76" s="1">
        <v>34021900</v>
      </c>
      <c r="L76" s="6">
        <v>16.829999999999998</v>
      </c>
      <c r="M76" s="1" t="s">
        <v>70</v>
      </c>
      <c r="N76" s="7" t="s">
        <v>67</v>
      </c>
      <c r="O76" s="1" t="s">
        <v>53</v>
      </c>
      <c r="P76" s="8">
        <v>2270</v>
      </c>
      <c r="Q76" s="17">
        <f t="shared" ref="Q76:Q203" si="16">+L76*P76</f>
        <v>38204.1</v>
      </c>
      <c r="R76" s="9">
        <v>0</v>
      </c>
      <c r="S76" s="9">
        <v>0</v>
      </c>
      <c r="T76" s="9">
        <v>0</v>
      </c>
      <c r="U76" s="10">
        <v>0</v>
      </c>
      <c r="V76" s="1" t="s">
        <v>46</v>
      </c>
      <c r="W76" s="1" t="s">
        <v>90</v>
      </c>
      <c r="X76" s="1">
        <v>4031727</v>
      </c>
      <c r="Y76" s="11">
        <v>41843</v>
      </c>
      <c r="Z76" s="11">
        <v>41844</v>
      </c>
      <c r="AA76" s="9">
        <f t="shared" si="11"/>
        <v>38204.1</v>
      </c>
      <c r="AB76" s="12">
        <v>59.7</v>
      </c>
      <c r="AC76" s="9">
        <f t="shared" si="12"/>
        <v>2280784.77</v>
      </c>
      <c r="AD76" s="9">
        <f t="shared" si="13"/>
        <v>2280784.77</v>
      </c>
      <c r="AE76" s="1" t="s">
        <v>48</v>
      </c>
      <c r="AF76" s="1" t="s">
        <v>53</v>
      </c>
      <c r="AG76" s="4">
        <f t="shared" si="14"/>
        <v>38204.1</v>
      </c>
      <c r="AH76" s="10">
        <v>38204.1</v>
      </c>
      <c r="AI76" s="9">
        <v>0</v>
      </c>
      <c r="AJ76" s="9">
        <v>0</v>
      </c>
      <c r="AK76" s="9">
        <v>0</v>
      </c>
      <c r="AL76" s="9">
        <f t="shared" si="15"/>
        <v>38204.1</v>
      </c>
      <c r="AM76" s="1"/>
      <c r="AN76" s="1"/>
      <c r="AO76" s="12" t="e">
        <f>AB76/#REF!</f>
        <v>#REF!</v>
      </c>
      <c r="AP76" s="1" t="s">
        <v>3315</v>
      </c>
      <c r="AQ76" s="11">
        <v>41920</v>
      </c>
      <c r="AR76" s="18" t="s">
        <v>4392</v>
      </c>
      <c r="AS76" s="11">
        <v>41921</v>
      </c>
      <c r="AT76" s="1" t="s">
        <v>49</v>
      </c>
      <c r="AU76" s="1" t="s">
        <v>4171</v>
      </c>
    </row>
    <row r="77" spans="1:47" ht="15" customHeight="1" x14ac:dyDescent="0.2">
      <c r="A77" s="1">
        <v>76</v>
      </c>
      <c r="B77" s="1" t="s">
        <v>1258</v>
      </c>
      <c r="C77" s="1" t="s">
        <v>38</v>
      </c>
      <c r="D77" s="1" t="s">
        <v>3096</v>
      </c>
      <c r="E77" s="5">
        <v>41851</v>
      </c>
      <c r="F77" s="1" t="s">
        <v>106</v>
      </c>
      <c r="G77" s="1" t="s">
        <v>65</v>
      </c>
      <c r="H77" s="1" t="s">
        <v>68</v>
      </c>
      <c r="I77" s="1" t="s">
        <v>2809</v>
      </c>
      <c r="J77" s="1" t="s">
        <v>69</v>
      </c>
      <c r="K77" s="1">
        <v>34021900</v>
      </c>
      <c r="L77" s="6">
        <v>16.920000000000002</v>
      </c>
      <c r="M77" s="1" t="s">
        <v>70</v>
      </c>
      <c r="N77" s="7" t="s">
        <v>67</v>
      </c>
      <c r="O77" s="1" t="s">
        <v>53</v>
      </c>
      <c r="P77" s="8">
        <v>2270</v>
      </c>
      <c r="Q77" s="17">
        <f t="shared" si="16"/>
        <v>38408.400000000001</v>
      </c>
      <c r="R77" s="9">
        <v>0</v>
      </c>
      <c r="S77" s="9">
        <v>0</v>
      </c>
      <c r="T77" s="9">
        <v>0</v>
      </c>
      <c r="U77" s="10">
        <v>0</v>
      </c>
      <c r="V77" s="1" t="s">
        <v>46</v>
      </c>
      <c r="W77" s="1" t="s">
        <v>90</v>
      </c>
      <c r="X77" s="1">
        <v>4075941</v>
      </c>
      <c r="Y77" s="11">
        <v>41845</v>
      </c>
      <c r="Z77" s="11">
        <v>41848</v>
      </c>
      <c r="AA77" s="9">
        <f t="shared" si="11"/>
        <v>38408.400000000001</v>
      </c>
      <c r="AB77" s="12">
        <v>59.7</v>
      </c>
      <c r="AC77" s="9">
        <f t="shared" si="12"/>
        <v>2292981.48</v>
      </c>
      <c r="AD77" s="9">
        <f t="shared" si="13"/>
        <v>2292981.48</v>
      </c>
      <c r="AE77" s="1" t="s">
        <v>48</v>
      </c>
      <c r="AF77" s="1" t="s">
        <v>53</v>
      </c>
      <c r="AG77" s="4">
        <f t="shared" si="14"/>
        <v>38408.400000000001</v>
      </c>
      <c r="AH77" s="10">
        <v>38408.400000000001</v>
      </c>
      <c r="AI77" s="9">
        <v>0</v>
      </c>
      <c r="AJ77" s="9">
        <v>0</v>
      </c>
      <c r="AK77" s="9">
        <v>0</v>
      </c>
      <c r="AL77" s="9">
        <f t="shared" si="15"/>
        <v>38408.400000000001</v>
      </c>
      <c r="AM77" s="1"/>
      <c r="AN77" s="1"/>
      <c r="AO77" s="12" t="e">
        <f>AB77/#REF!</f>
        <v>#REF!</v>
      </c>
      <c r="AP77" s="1" t="s">
        <v>3315</v>
      </c>
      <c r="AQ77" s="11">
        <v>41920</v>
      </c>
      <c r="AR77" s="18" t="s">
        <v>4393</v>
      </c>
      <c r="AS77" s="11">
        <v>41921</v>
      </c>
      <c r="AT77" s="1" t="s">
        <v>49</v>
      </c>
      <c r="AU77" s="1" t="s">
        <v>4171</v>
      </c>
    </row>
    <row r="78" spans="1:47" ht="15" customHeight="1" x14ac:dyDescent="0.25">
      <c r="A78" s="1">
        <v>77</v>
      </c>
      <c r="B78" s="1" t="s">
        <v>1258</v>
      </c>
      <c r="C78" s="1" t="s">
        <v>38</v>
      </c>
      <c r="D78" s="1">
        <v>9112550019</v>
      </c>
      <c r="E78" s="5">
        <v>41862</v>
      </c>
      <c r="F78" s="1" t="s">
        <v>107</v>
      </c>
      <c r="G78" s="1" t="s">
        <v>65</v>
      </c>
      <c r="H78" s="1" t="s">
        <v>68</v>
      </c>
      <c r="I78" s="1" t="s">
        <v>2809</v>
      </c>
      <c r="J78" s="1" t="s">
        <v>69</v>
      </c>
      <c r="K78" s="1">
        <v>34021900</v>
      </c>
      <c r="L78" s="6">
        <v>16.8</v>
      </c>
      <c r="M78" s="1" t="s">
        <v>70</v>
      </c>
      <c r="N78" s="7" t="s">
        <v>67</v>
      </c>
      <c r="O78" s="1" t="s">
        <v>53</v>
      </c>
      <c r="P78" s="8">
        <v>2270</v>
      </c>
      <c r="Q78" s="17">
        <f t="shared" si="16"/>
        <v>38136</v>
      </c>
      <c r="R78" s="9">
        <v>0</v>
      </c>
      <c r="S78" s="9">
        <v>0</v>
      </c>
      <c r="T78" s="9">
        <v>0</v>
      </c>
      <c r="U78" s="10">
        <v>0</v>
      </c>
      <c r="V78" s="1" t="s">
        <v>46</v>
      </c>
      <c r="W78" s="1" t="s">
        <v>90</v>
      </c>
      <c r="X78" s="1">
        <v>4102632</v>
      </c>
      <c r="Y78" s="11">
        <v>41848</v>
      </c>
      <c r="Z78" s="11">
        <v>41850</v>
      </c>
      <c r="AA78" s="9">
        <f t="shared" si="11"/>
        <v>38136</v>
      </c>
      <c r="AB78" s="12">
        <v>59.7</v>
      </c>
      <c r="AC78" s="9">
        <f t="shared" si="12"/>
        <v>2276719.2000000002</v>
      </c>
      <c r="AD78" s="9">
        <f t="shared" si="13"/>
        <v>2276719.2000000002</v>
      </c>
      <c r="AE78" s="1" t="s">
        <v>48</v>
      </c>
      <c r="AF78" s="1" t="s">
        <v>53</v>
      </c>
      <c r="AG78" s="4">
        <f t="shared" si="14"/>
        <v>38136</v>
      </c>
      <c r="AH78" s="10">
        <v>38041</v>
      </c>
      <c r="AI78" s="9">
        <v>0</v>
      </c>
      <c r="AJ78" s="9">
        <v>0</v>
      </c>
      <c r="AK78" s="9">
        <v>0</v>
      </c>
      <c r="AL78" s="9">
        <f t="shared" si="15"/>
        <v>38041</v>
      </c>
      <c r="AM78" s="1"/>
      <c r="AN78" s="1"/>
      <c r="AO78" s="12" t="e">
        <f>AB78/#REF!</f>
        <v>#REF!</v>
      </c>
      <c r="AP78" s="1" t="s">
        <v>3316</v>
      </c>
      <c r="AQ78" s="11">
        <v>41933</v>
      </c>
      <c r="AR78" s="15" t="s">
        <v>4394</v>
      </c>
      <c r="AS78" s="11">
        <v>41934</v>
      </c>
      <c r="AT78" s="1" t="s">
        <v>49</v>
      </c>
      <c r="AU78" s="1" t="s">
        <v>4171</v>
      </c>
    </row>
    <row r="79" spans="1:47" ht="15" customHeight="1" x14ac:dyDescent="0.2">
      <c r="A79" s="1">
        <v>78</v>
      </c>
      <c r="B79" s="1" t="s">
        <v>1258</v>
      </c>
      <c r="C79" s="1" t="s">
        <v>38</v>
      </c>
      <c r="D79" s="1" t="s">
        <v>3098</v>
      </c>
      <c r="E79" s="5">
        <v>41862</v>
      </c>
      <c r="F79" s="1" t="s">
        <v>3099</v>
      </c>
      <c r="G79" s="1" t="s">
        <v>65</v>
      </c>
      <c r="H79" s="1" t="s">
        <v>68</v>
      </c>
      <c r="I79" s="1" t="s">
        <v>2809</v>
      </c>
      <c r="J79" s="1" t="s">
        <v>69</v>
      </c>
      <c r="K79" s="1">
        <v>34021900</v>
      </c>
      <c r="L79" s="6">
        <v>16.8</v>
      </c>
      <c r="M79" s="1" t="s">
        <v>70</v>
      </c>
      <c r="N79" s="7" t="s">
        <v>67</v>
      </c>
      <c r="O79" s="1" t="s">
        <v>53</v>
      </c>
      <c r="P79" s="8">
        <v>2270</v>
      </c>
      <c r="Q79" s="17">
        <f t="shared" si="16"/>
        <v>38136</v>
      </c>
      <c r="R79" s="9">
        <v>0</v>
      </c>
      <c r="S79" s="9">
        <v>0</v>
      </c>
      <c r="T79" s="9">
        <v>0</v>
      </c>
      <c r="U79" s="10">
        <v>0</v>
      </c>
      <c r="V79" s="1" t="s">
        <v>46</v>
      </c>
      <c r="W79" s="1" t="s">
        <v>90</v>
      </c>
      <c r="X79" s="1">
        <v>4157440</v>
      </c>
      <c r="Y79" s="11">
        <v>41850</v>
      </c>
      <c r="Z79" s="11">
        <v>41853</v>
      </c>
      <c r="AA79" s="9">
        <f t="shared" si="11"/>
        <v>38136</v>
      </c>
      <c r="AB79" s="12">
        <v>59.7</v>
      </c>
      <c r="AC79" s="9">
        <f t="shared" si="12"/>
        <v>2276719.2000000002</v>
      </c>
      <c r="AD79" s="9">
        <f t="shared" si="13"/>
        <v>2276719.2000000002</v>
      </c>
      <c r="AE79" s="1" t="s">
        <v>48</v>
      </c>
      <c r="AF79" s="1" t="s">
        <v>53</v>
      </c>
      <c r="AG79" s="4">
        <f t="shared" si="14"/>
        <v>38136</v>
      </c>
      <c r="AH79" s="10">
        <v>38136</v>
      </c>
      <c r="AI79" s="9">
        <v>0</v>
      </c>
      <c r="AJ79" s="9">
        <v>0</v>
      </c>
      <c r="AK79" s="9">
        <v>0</v>
      </c>
      <c r="AL79" s="9">
        <f t="shared" si="15"/>
        <v>38136</v>
      </c>
      <c r="AM79" s="1"/>
      <c r="AN79" s="1"/>
      <c r="AO79" s="12" t="e">
        <f>AB79/#REF!</f>
        <v>#REF!</v>
      </c>
      <c r="AP79" s="1" t="s">
        <v>3317</v>
      </c>
      <c r="AQ79" s="11">
        <v>41933</v>
      </c>
      <c r="AR79" s="18" t="s">
        <v>4395</v>
      </c>
      <c r="AS79" s="11">
        <v>41934</v>
      </c>
      <c r="AT79" s="1" t="s">
        <v>49</v>
      </c>
      <c r="AU79" s="1" t="s">
        <v>4171</v>
      </c>
    </row>
    <row r="80" spans="1:47" ht="15" customHeight="1" x14ac:dyDescent="0.25">
      <c r="A80" s="1">
        <v>79</v>
      </c>
      <c r="B80" s="1" t="s">
        <v>1258</v>
      </c>
      <c r="C80" s="1" t="s">
        <v>38</v>
      </c>
      <c r="D80" s="1" t="s">
        <v>3098</v>
      </c>
      <c r="E80" s="5">
        <v>41862</v>
      </c>
      <c r="F80" s="1" t="s">
        <v>3100</v>
      </c>
      <c r="G80" s="1" t="s">
        <v>65</v>
      </c>
      <c r="H80" s="1" t="s">
        <v>68</v>
      </c>
      <c r="I80" s="1" t="s">
        <v>2809</v>
      </c>
      <c r="J80" s="1" t="s">
        <v>69</v>
      </c>
      <c r="K80" s="1">
        <v>34021900</v>
      </c>
      <c r="L80" s="6">
        <v>17.22</v>
      </c>
      <c r="M80" s="1" t="s">
        <v>70</v>
      </c>
      <c r="N80" s="7" t="s">
        <v>67</v>
      </c>
      <c r="O80" s="1" t="s">
        <v>53</v>
      </c>
      <c r="P80" s="8">
        <v>2270</v>
      </c>
      <c r="Q80" s="17">
        <f t="shared" si="16"/>
        <v>39089.399999999994</v>
      </c>
      <c r="R80" s="9">
        <v>0</v>
      </c>
      <c r="S80" s="9">
        <v>0</v>
      </c>
      <c r="T80" s="9">
        <v>0</v>
      </c>
      <c r="U80" s="10">
        <v>0</v>
      </c>
      <c r="V80" s="1" t="s">
        <v>46</v>
      </c>
      <c r="W80" s="1" t="s">
        <v>90</v>
      </c>
      <c r="X80" s="1">
        <v>4174247</v>
      </c>
      <c r="Y80" s="11">
        <v>41851</v>
      </c>
      <c r="Z80" s="11">
        <v>41853</v>
      </c>
      <c r="AA80" s="9">
        <f t="shared" si="11"/>
        <v>39089.399999999994</v>
      </c>
      <c r="AB80" s="12">
        <v>59.7</v>
      </c>
      <c r="AC80" s="9">
        <f t="shared" si="12"/>
        <v>2333637.1799999997</v>
      </c>
      <c r="AD80" s="9">
        <f t="shared" si="13"/>
        <v>2333637.1799999997</v>
      </c>
      <c r="AE80" s="1" t="s">
        <v>48</v>
      </c>
      <c r="AF80" s="1" t="s">
        <v>53</v>
      </c>
      <c r="AG80" s="4">
        <f t="shared" si="14"/>
        <v>39089.399999999994</v>
      </c>
      <c r="AH80" s="10">
        <v>39089.4</v>
      </c>
      <c r="AI80" s="9">
        <v>0</v>
      </c>
      <c r="AJ80" s="9">
        <v>0</v>
      </c>
      <c r="AK80" s="9">
        <v>0</v>
      </c>
      <c r="AL80" s="9">
        <f t="shared" si="15"/>
        <v>39089.4</v>
      </c>
      <c r="AM80" s="1"/>
      <c r="AN80" s="1"/>
      <c r="AO80" s="12" t="e">
        <f>AB80/#REF!</f>
        <v>#REF!</v>
      </c>
      <c r="AP80" s="1" t="s">
        <v>3317</v>
      </c>
      <c r="AQ80" s="11">
        <v>41933</v>
      </c>
      <c r="AR80" s="1" t="s">
        <v>4396</v>
      </c>
      <c r="AS80" s="11">
        <v>41934</v>
      </c>
      <c r="AT80" s="1" t="s">
        <v>49</v>
      </c>
      <c r="AU80" s="1" t="s">
        <v>4171</v>
      </c>
    </row>
    <row r="81" spans="1:47" ht="15" customHeight="1" x14ac:dyDescent="0.2">
      <c r="A81" s="1">
        <v>80</v>
      </c>
      <c r="B81" s="1" t="s">
        <v>1258</v>
      </c>
      <c r="C81" s="1" t="s">
        <v>38</v>
      </c>
      <c r="D81" s="1" t="s">
        <v>3098</v>
      </c>
      <c r="E81" s="5">
        <v>41862</v>
      </c>
      <c r="F81" s="1" t="s">
        <v>3101</v>
      </c>
      <c r="G81" s="1" t="s">
        <v>65</v>
      </c>
      <c r="H81" s="1" t="s">
        <v>68</v>
      </c>
      <c r="I81" s="1" t="s">
        <v>2809</v>
      </c>
      <c r="J81" s="1" t="s">
        <v>69</v>
      </c>
      <c r="K81" s="1">
        <v>34021900</v>
      </c>
      <c r="L81" s="6">
        <v>17.190000000000001</v>
      </c>
      <c r="M81" s="1" t="s">
        <v>70</v>
      </c>
      <c r="N81" s="7" t="s">
        <v>67</v>
      </c>
      <c r="O81" s="1" t="s">
        <v>53</v>
      </c>
      <c r="P81" s="8">
        <v>2270</v>
      </c>
      <c r="Q81" s="17">
        <f t="shared" si="16"/>
        <v>39021.300000000003</v>
      </c>
      <c r="R81" s="9">
        <v>0</v>
      </c>
      <c r="S81" s="9">
        <v>0</v>
      </c>
      <c r="T81" s="9">
        <v>0</v>
      </c>
      <c r="U81" s="10">
        <v>0</v>
      </c>
      <c r="V81" s="1" t="s">
        <v>46</v>
      </c>
      <c r="W81" s="1" t="s">
        <v>90</v>
      </c>
      <c r="X81" s="1">
        <v>4203528</v>
      </c>
      <c r="Y81" s="11">
        <v>41852</v>
      </c>
      <c r="Z81" s="11">
        <v>41853</v>
      </c>
      <c r="AA81" s="9">
        <f t="shared" si="11"/>
        <v>39021.300000000003</v>
      </c>
      <c r="AB81" s="12">
        <v>59.7</v>
      </c>
      <c r="AC81" s="9">
        <f t="shared" si="12"/>
        <v>2329571.6100000003</v>
      </c>
      <c r="AD81" s="9">
        <f t="shared" si="13"/>
        <v>2329571.6100000003</v>
      </c>
      <c r="AE81" s="1" t="s">
        <v>48</v>
      </c>
      <c r="AF81" s="1" t="s">
        <v>53</v>
      </c>
      <c r="AG81" s="4">
        <f t="shared" si="14"/>
        <v>39021.300000000003</v>
      </c>
      <c r="AH81" s="10">
        <v>39021.300000000003</v>
      </c>
      <c r="AI81" s="9">
        <v>0</v>
      </c>
      <c r="AJ81" s="9">
        <v>0</v>
      </c>
      <c r="AK81" s="9">
        <v>0</v>
      </c>
      <c r="AL81" s="9">
        <f t="shared" si="15"/>
        <v>39021.300000000003</v>
      </c>
      <c r="AM81" s="1"/>
      <c r="AN81" s="1"/>
      <c r="AO81" s="12" t="e">
        <f>AB81/#REF!</f>
        <v>#REF!</v>
      </c>
      <c r="AP81" s="1" t="s">
        <v>3317</v>
      </c>
      <c r="AQ81" s="11">
        <v>41933</v>
      </c>
      <c r="AR81" s="18" t="s">
        <v>4397</v>
      </c>
      <c r="AS81" s="11">
        <v>41934</v>
      </c>
      <c r="AT81" s="1" t="s">
        <v>49</v>
      </c>
      <c r="AU81" s="1" t="s">
        <v>4171</v>
      </c>
    </row>
    <row r="82" spans="1:47" ht="15" customHeight="1" x14ac:dyDescent="0.2">
      <c r="A82" s="1">
        <v>81</v>
      </c>
      <c r="B82" s="1" t="s">
        <v>1258</v>
      </c>
      <c r="C82" s="1" t="s">
        <v>38</v>
      </c>
      <c r="D82" s="1">
        <v>9112550023</v>
      </c>
      <c r="E82" s="5">
        <v>41870</v>
      </c>
      <c r="F82" s="1" t="s">
        <v>3102</v>
      </c>
      <c r="G82" s="1" t="s">
        <v>65</v>
      </c>
      <c r="H82" s="1" t="s">
        <v>68</v>
      </c>
      <c r="I82" s="1" t="s">
        <v>2809</v>
      </c>
      <c r="J82" s="1" t="s">
        <v>69</v>
      </c>
      <c r="K82" s="1">
        <v>34021900</v>
      </c>
      <c r="L82" s="6">
        <v>17.579999999999998</v>
      </c>
      <c r="M82" s="1" t="s">
        <v>70</v>
      </c>
      <c r="N82" s="7" t="s">
        <v>67</v>
      </c>
      <c r="O82" s="1" t="s">
        <v>53</v>
      </c>
      <c r="P82" s="8">
        <v>2270</v>
      </c>
      <c r="Q82" s="17">
        <f t="shared" si="16"/>
        <v>39906.6</v>
      </c>
      <c r="R82" s="9">
        <v>0</v>
      </c>
      <c r="S82" s="9">
        <v>0</v>
      </c>
      <c r="T82" s="9">
        <v>0</v>
      </c>
      <c r="U82" s="10">
        <v>0</v>
      </c>
      <c r="V82" s="1" t="s">
        <v>46</v>
      </c>
      <c r="W82" s="1" t="s">
        <v>90</v>
      </c>
      <c r="X82" s="1">
        <v>4286308</v>
      </c>
      <c r="Y82" s="11">
        <v>41857</v>
      </c>
      <c r="Z82" s="11">
        <v>41858</v>
      </c>
      <c r="AA82" s="9">
        <f t="shared" si="11"/>
        <v>39906.6</v>
      </c>
      <c r="AB82" s="12">
        <v>59.7</v>
      </c>
      <c r="AC82" s="9">
        <f t="shared" si="12"/>
        <v>2382424.02</v>
      </c>
      <c r="AD82" s="9">
        <f t="shared" si="13"/>
        <v>2382424.02</v>
      </c>
      <c r="AE82" s="1" t="s">
        <v>48</v>
      </c>
      <c r="AF82" s="1" t="s">
        <v>53</v>
      </c>
      <c r="AG82" s="4">
        <f t="shared" si="14"/>
        <v>39906.6</v>
      </c>
      <c r="AH82" s="10">
        <v>39811.599999999999</v>
      </c>
      <c r="AI82" s="9">
        <v>0</v>
      </c>
      <c r="AJ82" s="9">
        <v>0</v>
      </c>
      <c r="AK82" s="9">
        <v>0</v>
      </c>
      <c r="AL82" s="9">
        <f t="shared" si="15"/>
        <v>39811.599999999999</v>
      </c>
      <c r="AM82" s="1"/>
      <c r="AN82" s="1"/>
      <c r="AO82" s="12" t="e">
        <f>AB82/#REF!</f>
        <v>#REF!</v>
      </c>
      <c r="AP82" s="1" t="s">
        <v>3318</v>
      </c>
      <c r="AQ82" s="11">
        <v>41950</v>
      </c>
      <c r="AR82" s="18" t="s">
        <v>4398</v>
      </c>
      <c r="AS82" s="11">
        <v>41951</v>
      </c>
      <c r="AT82" s="1" t="s">
        <v>49</v>
      </c>
      <c r="AU82" s="1" t="s">
        <v>4171</v>
      </c>
    </row>
    <row r="83" spans="1:47" ht="15" customHeight="1" x14ac:dyDescent="0.2">
      <c r="A83" s="1">
        <v>82</v>
      </c>
      <c r="B83" s="1" t="s">
        <v>1258</v>
      </c>
      <c r="C83" s="1" t="s">
        <v>38</v>
      </c>
      <c r="D83" s="1" t="s">
        <v>3103</v>
      </c>
      <c r="E83" s="5">
        <v>41878</v>
      </c>
      <c r="F83" s="1" t="s">
        <v>3104</v>
      </c>
      <c r="G83" s="1" t="s">
        <v>65</v>
      </c>
      <c r="H83" s="1" t="s">
        <v>68</v>
      </c>
      <c r="I83" s="1" t="s">
        <v>2809</v>
      </c>
      <c r="J83" s="1" t="s">
        <v>69</v>
      </c>
      <c r="K83" s="1">
        <v>34021900</v>
      </c>
      <c r="L83" s="6">
        <v>17.7</v>
      </c>
      <c r="M83" s="1" t="s">
        <v>70</v>
      </c>
      <c r="N83" s="7" t="s">
        <v>67</v>
      </c>
      <c r="O83" s="1" t="s">
        <v>53</v>
      </c>
      <c r="P83" s="8">
        <v>2270</v>
      </c>
      <c r="Q83" s="17">
        <f t="shared" si="16"/>
        <v>40179</v>
      </c>
      <c r="R83" s="9">
        <v>0</v>
      </c>
      <c r="S83" s="9">
        <v>0</v>
      </c>
      <c r="T83" s="9">
        <v>0</v>
      </c>
      <c r="U83" s="10">
        <v>0</v>
      </c>
      <c r="V83" s="1" t="s">
        <v>46</v>
      </c>
      <c r="W83" s="1" t="s">
        <v>90</v>
      </c>
      <c r="X83" s="1">
        <v>4387454</v>
      </c>
      <c r="Y83" s="11">
        <v>41863</v>
      </c>
      <c r="Z83" s="11">
        <v>41865</v>
      </c>
      <c r="AA83" s="9">
        <f t="shared" si="11"/>
        <v>40179</v>
      </c>
      <c r="AB83" s="12">
        <v>60.85</v>
      </c>
      <c r="AC83" s="9">
        <f t="shared" si="12"/>
        <v>2444892.15</v>
      </c>
      <c r="AD83" s="9">
        <f t="shared" si="13"/>
        <v>2444892.15</v>
      </c>
      <c r="AE83" s="1" t="s">
        <v>48</v>
      </c>
      <c r="AF83" s="1" t="s">
        <v>53</v>
      </c>
      <c r="AG83" s="4">
        <f t="shared" si="14"/>
        <v>40179</v>
      </c>
      <c r="AH83" s="10">
        <v>40179</v>
      </c>
      <c r="AI83" s="9">
        <v>0</v>
      </c>
      <c r="AJ83" s="9">
        <v>0</v>
      </c>
      <c r="AK83" s="9">
        <v>0</v>
      </c>
      <c r="AL83" s="9">
        <f t="shared" si="15"/>
        <v>40179</v>
      </c>
      <c r="AM83" s="1"/>
      <c r="AN83" s="1"/>
      <c r="AO83" s="12" t="e">
        <f>AB83/#REF!</f>
        <v>#REF!</v>
      </c>
      <c r="AP83" s="1" t="s">
        <v>3319</v>
      </c>
      <c r="AQ83" s="11">
        <v>41948</v>
      </c>
      <c r="AR83" s="18" t="s">
        <v>4399</v>
      </c>
      <c r="AS83" s="11">
        <v>41950</v>
      </c>
      <c r="AT83" s="1" t="s">
        <v>49</v>
      </c>
      <c r="AU83" s="1" t="s">
        <v>4171</v>
      </c>
    </row>
    <row r="84" spans="1:47" ht="15" customHeight="1" x14ac:dyDescent="0.2">
      <c r="A84" s="1">
        <v>83</v>
      </c>
      <c r="B84" s="1" t="s">
        <v>1258</v>
      </c>
      <c r="C84" s="1" t="s">
        <v>38</v>
      </c>
      <c r="D84" s="1" t="s">
        <v>3103</v>
      </c>
      <c r="E84" s="5">
        <v>41878</v>
      </c>
      <c r="F84" s="1" t="s">
        <v>3105</v>
      </c>
      <c r="G84" s="1" t="s">
        <v>65</v>
      </c>
      <c r="H84" s="1" t="s">
        <v>68</v>
      </c>
      <c r="I84" s="1" t="s">
        <v>2809</v>
      </c>
      <c r="J84" s="1" t="s">
        <v>69</v>
      </c>
      <c r="K84" s="1">
        <v>34021900</v>
      </c>
      <c r="L84" s="6">
        <v>16.8</v>
      </c>
      <c r="M84" s="1" t="s">
        <v>70</v>
      </c>
      <c r="N84" s="7" t="s">
        <v>67</v>
      </c>
      <c r="O84" s="1" t="s">
        <v>53</v>
      </c>
      <c r="P84" s="8">
        <v>2270</v>
      </c>
      <c r="Q84" s="17">
        <f t="shared" si="16"/>
        <v>38136</v>
      </c>
      <c r="R84" s="9">
        <v>0</v>
      </c>
      <c r="S84" s="9">
        <v>0</v>
      </c>
      <c r="T84" s="9">
        <v>0</v>
      </c>
      <c r="U84" s="10">
        <v>0</v>
      </c>
      <c r="V84" s="1" t="s">
        <v>46</v>
      </c>
      <c r="W84" s="1" t="s">
        <v>90</v>
      </c>
      <c r="X84" s="1">
        <v>4537288</v>
      </c>
      <c r="Y84" s="11">
        <v>41872</v>
      </c>
      <c r="Z84" s="11">
        <v>41873</v>
      </c>
      <c r="AA84" s="9">
        <f t="shared" si="11"/>
        <v>38136</v>
      </c>
      <c r="AB84" s="12">
        <v>60.85</v>
      </c>
      <c r="AC84" s="9">
        <f t="shared" si="12"/>
        <v>2320575.6</v>
      </c>
      <c r="AD84" s="9">
        <f t="shared" si="13"/>
        <v>2320575.6</v>
      </c>
      <c r="AE84" s="1" t="s">
        <v>48</v>
      </c>
      <c r="AF84" s="1" t="s">
        <v>53</v>
      </c>
      <c r="AG84" s="4">
        <f t="shared" si="14"/>
        <v>38136</v>
      </c>
      <c r="AH84" s="10">
        <v>38136</v>
      </c>
      <c r="AI84" s="9">
        <v>0</v>
      </c>
      <c r="AJ84" s="9">
        <v>0</v>
      </c>
      <c r="AK84" s="9">
        <v>0</v>
      </c>
      <c r="AL84" s="9">
        <f t="shared" si="15"/>
        <v>38136</v>
      </c>
      <c r="AM84" s="1"/>
      <c r="AN84" s="1"/>
      <c r="AO84" s="12" t="e">
        <f>AB84/#REF!</f>
        <v>#REF!</v>
      </c>
      <c r="AP84" s="1" t="s">
        <v>3319</v>
      </c>
      <c r="AQ84" s="11">
        <v>41948</v>
      </c>
      <c r="AR84" s="18" t="s">
        <v>4400</v>
      </c>
      <c r="AS84" s="11">
        <v>41950</v>
      </c>
      <c r="AT84" s="1" t="s">
        <v>49</v>
      </c>
      <c r="AU84" s="1" t="s">
        <v>4171</v>
      </c>
    </row>
    <row r="85" spans="1:47" ht="15" customHeight="1" x14ac:dyDescent="0.2">
      <c r="A85" s="1">
        <v>84</v>
      </c>
      <c r="B85" s="1" t="s">
        <v>1258</v>
      </c>
      <c r="C85" s="1" t="s">
        <v>38</v>
      </c>
      <c r="D85" s="1" t="s">
        <v>3106</v>
      </c>
      <c r="E85" s="5">
        <v>41885</v>
      </c>
      <c r="F85" s="1" t="s">
        <v>3107</v>
      </c>
      <c r="G85" s="1" t="s">
        <v>65</v>
      </c>
      <c r="H85" s="1" t="s">
        <v>68</v>
      </c>
      <c r="I85" s="1" t="s">
        <v>2809</v>
      </c>
      <c r="J85" s="1" t="s">
        <v>69</v>
      </c>
      <c r="K85" s="1">
        <v>34021900</v>
      </c>
      <c r="L85" s="6">
        <v>16.98</v>
      </c>
      <c r="M85" s="1" t="s">
        <v>70</v>
      </c>
      <c r="N85" s="7" t="s">
        <v>67</v>
      </c>
      <c r="O85" s="1" t="s">
        <v>53</v>
      </c>
      <c r="P85" s="8">
        <v>2270</v>
      </c>
      <c r="Q85" s="17">
        <f t="shared" si="16"/>
        <v>38544.6</v>
      </c>
      <c r="R85" s="9">
        <v>0</v>
      </c>
      <c r="S85" s="9">
        <v>0</v>
      </c>
      <c r="T85" s="9">
        <v>0</v>
      </c>
      <c r="U85" s="10">
        <v>0</v>
      </c>
      <c r="V85" s="1" t="s">
        <v>46</v>
      </c>
      <c r="W85" s="1" t="s">
        <v>90</v>
      </c>
      <c r="X85" s="1">
        <v>4602340</v>
      </c>
      <c r="Y85" s="11">
        <v>41876</v>
      </c>
      <c r="Z85" s="11">
        <v>41878</v>
      </c>
      <c r="AA85" s="9">
        <f t="shared" si="11"/>
        <v>38544.6</v>
      </c>
      <c r="AB85" s="12">
        <v>60.25</v>
      </c>
      <c r="AC85" s="9">
        <f t="shared" si="12"/>
        <v>2322312.15</v>
      </c>
      <c r="AD85" s="9">
        <f t="shared" si="13"/>
        <v>2322312.15</v>
      </c>
      <c r="AE85" s="1" t="s">
        <v>48</v>
      </c>
      <c r="AF85" s="1" t="s">
        <v>53</v>
      </c>
      <c r="AG85" s="4">
        <f t="shared" si="14"/>
        <v>38544.6</v>
      </c>
      <c r="AH85" s="10">
        <v>38544.6</v>
      </c>
      <c r="AI85" s="9">
        <v>0</v>
      </c>
      <c r="AJ85" s="9">
        <v>0</v>
      </c>
      <c r="AK85" s="9">
        <v>0</v>
      </c>
      <c r="AL85" s="9">
        <f t="shared" si="15"/>
        <v>38544.6</v>
      </c>
      <c r="AM85" s="1"/>
      <c r="AN85" s="1"/>
      <c r="AO85" s="12" t="e">
        <f>AB85/#REF!</f>
        <v>#REF!</v>
      </c>
      <c r="AP85" s="1" t="s">
        <v>3320</v>
      </c>
      <c r="AQ85" s="11">
        <v>42110</v>
      </c>
      <c r="AR85" s="18" t="s">
        <v>4401</v>
      </c>
      <c r="AS85" s="11">
        <v>42111</v>
      </c>
      <c r="AT85" s="1" t="s">
        <v>49</v>
      </c>
      <c r="AU85" s="1" t="s">
        <v>4171</v>
      </c>
    </row>
    <row r="86" spans="1:47" ht="15" customHeight="1" x14ac:dyDescent="0.2">
      <c r="A86" s="1">
        <v>85</v>
      </c>
      <c r="B86" s="1" t="s">
        <v>1258</v>
      </c>
      <c r="C86" s="1" t="s">
        <v>38</v>
      </c>
      <c r="D86" s="1" t="s">
        <v>3106</v>
      </c>
      <c r="E86" s="5">
        <v>41885</v>
      </c>
      <c r="F86" s="1" t="s">
        <v>3108</v>
      </c>
      <c r="G86" s="1" t="s">
        <v>65</v>
      </c>
      <c r="H86" s="1" t="s">
        <v>68</v>
      </c>
      <c r="I86" s="1" t="s">
        <v>2809</v>
      </c>
      <c r="J86" s="1" t="s">
        <v>69</v>
      </c>
      <c r="K86" s="1">
        <v>34021900</v>
      </c>
      <c r="L86" s="6">
        <v>17.22</v>
      </c>
      <c r="M86" s="1" t="s">
        <v>70</v>
      </c>
      <c r="N86" s="7" t="s">
        <v>67</v>
      </c>
      <c r="O86" s="1" t="s">
        <v>53</v>
      </c>
      <c r="P86" s="8">
        <v>2270</v>
      </c>
      <c r="Q86" s="17">
        <f t="shared" si="16"/>
        <v>39089.399999999994</v>
      </c>
      <c r="R86" s="9">
        <v>0</v>
      </c>
      <c r="S86" s="9">
        <v>0</v>
      </c>
      <c r="T86" s="9">
        <v>0</v>
      </c>
      <c r="U86" s="10">
        <v>0</v>
      </c>
      <c r="V86" s="1" t="s">
        <v>46</v>
      </c>
      <c r="W86" s="1" t="s">
        <v>90</v>
      </c>
      <c r="X86" s="1">
        <v>4633557</v>
      </c>
      <c r="Y86" s="11">
        <v>41877</v>
      </c>
      <c r="Z86" s="11">
        <v>41878</v>
      </c>
      <c r="AA86" s="9">
        <f t="shared" si="11"/>
        <v>39089.399999999994</v>
      </c>
      <c r="AB86" s="12">
        <v>60.25</v>
      </c>
      <c r="AC86" s="9">
        <f t="shared" si="12"/>
        <v>2355136.3499999996</v>
      </c>
      <c r="AD86" s="9">
        <f t="shared" si="13"/>
        <v>2355136.3499999996</v>
      </c>
      <c r="AE86" s="1" t="s">
        <v>48</v>
      </c>
      <c r="AF86" s="1" t="s">
        <v>53</v>
      </c>
      <c r="AG86" s="4">
        <f t="shared" si="14"/>
        <v>39089.399999999994</v>
      </c>
      <c r="AH86" s="10">
        <v>39089.4</v>
      </c>
      <c r="AI86" s="9">
        <v>0</v>
      </c>
      <c r="AJ86" s="9">
        <v>0</v>
      </c>
      <c r="AK86" s="9">
        <v>0</v>
      </c>
      <c r="AL86" s="9">
        <f t="shared" si="15"/>
        <v>39089.4</v>
      </c>
      <c r="AM86" s="1"/>
      <c r="AN86" s="1"/>
      <c r="AO86" s="12" t="e">
        <f>AB86/#REF!</f>
        <v>#REF!</v>
      </c>
      <c r="AP86" s="1" t="s">
        <v>3320</v>
      </c>
      <c r="AQ86" s="11">
        <v>42110</v>
      </c>
      <c r="AR86" s="18" t="s">
        <v>4402</v>
      </c>
      <c r="AS86" s="11">
        <v>42111</v>
      </c>
      <c r="AT86" s="1" t="s">
        <v>49</v>
      </c>
      <c r="AU86" s="1" t="s">
        <v>4171</v>
      </c>
    </row>
    <row r="87" spans="1:47" ht="15" customHeight="1" x14ac:dyDescent="0.25">
      <c r="A87" s="1">
        <v>86</v>
      </c>
      <c r="B87" s="1" t="s">
        <v>1258</v>
      </c>
      <c r="C87" s="1" t="s">
        <v>38</v>
      </c>
      <c r="D87" s="1">
        <v>9106550001</v>
      </c>
      <c r="E87" s="5">
        <v>41770</v>
      </c>
      <c r="F87" s="1" t="s">
        <v>1291</v>
      </c>
      <c r="G87" s="1" t="s">
        <v>40</v>
      </c>
      <c r="H87" s="1" t="s">
        <v>3109</v>
      </c>
      <c r="I87" s="1" t="s">
        <v>3122</v>
      </c>
      <c r="J87" s="1" t="s">
        <v>1116</v>
      </c>
      <c r="K87" s="1">
        <v>34021300</v>
      </c>
      <c r="L87" s="6">
        <v>40.805</v>
      </c>
      <c r="M87" s="1" t="s">
        <v>70</v>
      </c>
      <c r="N87" s="7" t="s">
        <v>67</v>
      </c>
      <c r="O87" s="1" t="s">
        <v>1117</v>
      </c>
      <c r="P87" s="8">
        <v>137500</v>
      </c>
      <c r="Q87" s="17">
        <f t="shared" si="16"/>
        <v>5610687.5</v>
      </c>
      <c r="R87" s="9">
        <v>0</v>
      </c>
      <c r="S87" s="9">
        <v>0</v>
      </c>
      <c r="T87" s="9">
        <v>0</v>
      </c>
      <c r="U87" s="10">
        <v>0</v>
      </c>
      <c r="V87" s="1" t="s">
        <v>46</v>
      </c>
      <c r="W87" s="1" t="s">
        <v>361</v>
      </c>
      <c r="X87" s="1">
        <v>2511749</v>
      </c>
      <c r="Y87" s="11">
        <v>41762</v>
      </c>
      <c r="Z87" s="11">
        <v>41764</v>
      </c>
      <c r="AA87" s="9">
        <f t="shared" si="11"/>
        <v>5610687.5</v>
      </c>
      <c r="AB87" s="12">
        <v>1</v>
      </c>
      <c r="AC87" s="9">
        <f t="shared" si="12"/>
        <v>5610687.5</v>
      </c>
      <c r="AD87" s="9">
        <f t="shared" si="13"/>
        <v>5610687.5</v>
      </c>
      <c r="AE87" s="1" t="s">
        <v>4162</v>
      </c>
      <c r="AF87" s="1" t="s">
        <v>1117</v>
      </c>
      <c r="AG87" s="4">
        <f t="shared" si="14"/>
        <v>5610687.5</v>
      </c>
      <c r="AH87" s="10">
        <v>5610687.5</v>
      </c>
      <c r="AI87" s="10"/>
      <c r="AJ87" s="10"/>
      <c r="AK87" s="10"/>
      <c r="AL87" s="9">
        <f t="shared" si="15"/>
        <v>5610687.5</v>
      </c>
      <c r="AM87" s="1"/>
      <c r="AN87" s="1"/>
      <c r="AO87" s="12" t="e">
        <f>AB87/#REF!</f>
        <v>#REF!</v>
      </c>
      <c r="AP87" s="1" t="s">
        <v>4174</v>
      </c>
      <c r="AQ87" s="11">
        <v>42402</v>
      </c>
      <c r="AR87" s="1" t="s">
        <v>4176</v>
      </c>
      <c r="AS87" s="11">
        <v>42403</v>
      </c>
      <c r="AT87" s="1" t="s">
        <v>49</v>
      </c>
      <c r="AU87" s="1" t="s">
        <v>4171</v>
      </c>
    </row>
    <row r="88" spans="1:47" ht="15" customHeight="1" x14ac:dyDescent="0.25">
      <c r="A88" s="1">
        <v>87</v>
      </c>
      <c r="B88" s="1" t="s">
        <v>1258</v>
      </c>
      <c r="C88" s="1" t="s">
        <v>38</v>
      </c>
      <c r="D88" s="1">
        <v>9106550002</v>
      </c>
      <c r="E88" s="5">
        <v>41778</v>
      </c>
      <c r="F88" s="1" t="s">
        <v>1292</v>
      </c>
      <c r="G88" s="1" t="s">
        <v>40</v>
      </c>
      <c r="H88" s="1" t="s">
        <v>3109</v>
      </c>
      <c r="I88" s="1" t="s">
        <v>3122</v>
      </c>
      <c r="J88" s="1" t="s">
        <v>1116</v>
      </c>
      <c r="K88" s="1">
        <v>34021300</v>
      </c>
      <c r="L88" s="6">
        <v>40.799999999999997</v>
      </c>
      <c r="M88" s="1" t="s">
        <v>70</v>
      </c>
      <c r="N88" s="7" t="s">
        <v>67</v>
      </c>
      <c r="O88" s="1" t="s">
        <v>1117</v>
      </c>
      <c r="P88" s="8">
        <v>137500</v>
      </c>
      <c r="Q88" s="17">
        <f t="shared" si="16"/>
        <v>5610000</v>
      </c>
      <c r="R88" s="9">
        <v>0</v>
      </c>
      <c r="S88" s="9">
        <v>0</v>
      </c>
      <c r="T88" s="9">
        <v>224400</v>
      </c>
      <c r="U88" s="10">
        <v>0</v>
      </c>
      <c r="V88" s="1" t="s">
        <v>46</v>
      </c>
      <c r="W88" s="1" t="s">
        <v>361</v>
      </c>
      <c r="X88" s="1">
        <v>2722134</v>
      </c>
      <c r="Y88" s="11">
        <v>41774</v>
      </c>
      <c r="Z88" s="11">
        <v>41775</v>
      </c>
      <c r="AA88" s="9">
        <f t="shared" si="11"/>
        <v>5610000</v>
      </c>
      <c r="AB88" s="12">
        <v>1</v>
      </c>
      <c r="AC88" s="9">
        <f t="shared" si="12"/>
        <v>5610000</v>
      </c>
      <c r="AD88" s="9">
        <f t="shared" si="13"/>
        <v>5610000</v>
      </c>
      <c r="AE88" s="1" t="s">
        <v>4162</v>
      </c>
      <c r="AF88" s="1" t="s">
        <v>1117</v>
      </c>
      <c r="AG88" s="4">
        <f t="shared" si="14"/>
        <v>5610000</v>
      </c>
      <c r="AH88" s="10">
        <v>5610000</v>
      </c>
      <c r="AI88" s="10"/>
      <c r="AJ88" s="10"/>
      <c r="AK88" s="10"/>
      <c r="AL88" s="9">
        <f t="shared" si="15"/>
        <v>5610000</v>
      </c>
      <c r="AM88" s="1"/>
      <c r="AN88" s="1"/>
      <c r="AO88" s="12" t="e">
        <f>AB88/#REF!</f>
        <v>#REF!</v>
      </c>
      <c r="AP88" s="1" t="s">
        <v>4174</v>
      </c>
      <c r="AQ88" s="11">
        <v>42402</v>
      </c>
      <c r="AR88" s="1" t="s">
        <v>4175</v>
      </c>
      <c r="AS88" s="11">
        <v>42403</v>
      </c>
      <c r="AT88" s="1" t="s">
        <v>49</v>
      </c>
      <c r="AU88" s="1" t="s">
        <v>4171</v>
      </c>
    </row>
    <row r="89" spans="1:47" ht="15" customHeight="1" x14ac:dyDescent="0.25">
      <c r="A89" s="1">
        <v>88</v>
      </c>
      <c r="B89" s="1" t="s">
        <v>1258</v>
      </c>
      <c r="C89" s="1" t="s">
        <v>38</v>
      </c>
      <c r="D89" s="1">
        <v>9106550003</v>
      </c>
      <c r="E89" s="5">
        <v>41796</v>
      </c>
      <c r="F89" s="1" t="s">
        <v>1293</v>
      </c>
      <c r="G89" s="1" t="s">
        <v>40</v>
      </c>
      <c r="H89" s="1" t="s">
        <v>3109</v>
      </c>
      <c r="I89" s="1" t="s">
        <v>3122</v>
      </c>
      <c r="J89" s="1" t="s">
        <v>1116</v>
      </c>
      <c r="K89" s="1">
        <v>34021300</v>
      </c>
      <c r="L89" s="6">
        <v>39.435000000000002</v>
      </c>
      <c r="M89" s="1" t="s">
        <v>70</v>
      </c>
      <c r="N89" s="7" t="s">
        <v>67</v>
      </c>
      <c r="O89" s="1" t="s">
        <v>1117</v>
      </c>
      <c r="P89" s="8">
        <v>137500</v>
      </c>
      <c r="Q89" s="17">
        <f t="shared" si="16"/>
        <v>5422312.5</v>
      </c>
      <c r="R89" s="9">
        <v>0</v>
      </c>
      <c r="S89" s="9">
        <v>0</v>
      </c>
      <c r="T89" s="9">
        <v>216892.5</v>
      </c>
      <c r="U89" s="10">
        <v>0</v>
      </c>
      <c r="V89" s="1" t="s">
        <v>46</v>
      </c>
      <c r="W89" s="1" t="s">
        <v>361</v>
      </c>
      <c r="X89" s="1">
        <v>2956541</v>
      </c>
      <c r="Y89" s="11">
        <v>41786</v>
      </c>
      <c r="Z89" s="11">
        <v>41787</v>
      </c>
      <c r="AA89" s="9">
        <f t="shared" si="11"/>
        <v>5422312.5</v>
      </c>
      <c r="AB89" s="12">
        <v>1</v>
      </c>
      <c r="AC89" s="9">
        <f t="shared" si="12"/>
        <v>5422312.5</v>
      </c>
      <c r="AD89" s="9">
        <f t="shared" si="13"/>
        <v>5422312.5</v>
      </c>
      <c r="AE89" s="1" t="s">
        <v>4162</v>
      </c>
      <c r="AF89" s="1" t="s">
        <v>1117</v>
      </c>
      <c r="AG89" s="4">
        <f t="shared" si="14"/>
        <v>5422312.5</v>
      </c>
      <c r="AH89" s="10">
        <v>5422312.5</v>
      </c>
      <c r="AI89" s="10"/>
      <c r="AJ89" s="10"/>
      <c r="AK89" s="10"/>
      <c r="AL89" s="9">
        <f t="shared" si="15"/>
        <v>5422312.5</v>
      </c>
      <c r="AM89" s="1"/>
      <c r="AN89" s="1"/>
      <c r="AO89" s="12" t="e">
        <f>AB89/#REF!</f>
        <v>#REF!</v>
      </c>
      <c r="AP89" s="1" t="s">
        <v>4119</v>
      </c>
      <c r="AQ89" s="11" t="s">
        <v>4120</v>
      </c>
      <c r="AR89" s="1" t="s">
        <v>4117</v>
      </c>
      <c r="AS89" s="1" t="s">
        <v>4118</v>
      </c>
      <c r="AT89" s="1" t="s">
        <v>49</v>
      </c>
      <c r="AU89" s="1" t="s">
        <v>4171</v>
      </c>
    </row>
    <row r="90" spans="1:47" ht="15" customHeight="1" x14ac:dyDescent="0.25">
      <c r="A90" s="1">
        <v>89</v>
      </c>
      <c r="B90" s="1" t="s">
        <v>1258</v>
      </c>
      <c r="C90" s="1" t="s">
        <v>38</v>
      </c>
      <c r="D90" s="1">
        <v>9106550004</v>
      </c>
      <c r="E90" s="5">
        <v>41796</v>
      </c>
      <c r="F90" s="1" t="s">
        <v>1294</v>
      </c>
      <c r="G90" s="1" t="s">
        <v>40</v>
      </c>
      <c r="H90" s="1" t="s">
        <v>3109</v>
      </c>
      <c r="I90" s="1" t="s">
        <v>3122</v>
      </c>
      <c r="J90" s="1" t="s">
        <v>1116</v>
      </c>
      <c r="K90" s="1">
        <v>34021300</v>
      </c>
      <c r="L90" s="6">
        <v>19.645</v>
      </c>
      <c r="M90" s="1" t="s">
        <v>70</v>
      </c>
      <c r="N90" s="7" t="s">
        <v>67</v>
      </c>
      <c r="O90" s="1" t="s">
        <v>1117</v>
      </c>
      <c r="P90" s="8">
        <v>137500</v>
      </c>
      <c r="Q90" s="17">
        <f t="shared" si="16"/>
        <v>2701187.5</v>
      </c>
      <c r="R90" s="9">
        <v>0</v>
      </c>
      <c r="S90" s="9">
        <v>0</v>
      </c>
      <c r="T90" s="9">
        <v>108047.5</v>
      </c>
      <c r="U90" s="10">
        <v>0</v>
      </c>
      <c r="V90" s="1" t="s">
        <v>46</v>
      </c>
      <c r="W90" s="1" t="s">
        <v>361</v>
      </c>
      <c r="X90" s="1">
        <v>2851010</v>
      </c>
      <c r="Y90" s="11">
        <v>41780</v>
      </c>
      <c r="Z90" s="11">
        <v>41783</v>
      </c>
      <c r="AA90" s="9">
        <f t="shared" si="11"/>
        <v>2701187.5</v>
      </c>
      <c r="AB90" s="12">
        <v>1</v>
      </c>
      <c r="AC90" s="9">
        <f t="shared" si="12"/>
        <v>2701187.5</v>
      </c>
      <c r="AD90" s="9">
        <f t="shared" si="13"/>
        <v>2701187.5</v>
      </c>
      <c r="AE90" s="1" t="s">
        <v>4162</v>
      </c>
      <c r="AF90" s="1" t="s">
        <v>1117</v>
      </c>
      <c r="AG90" s="4">
        <f t="shared" si="14"/>
        <v>2701187.5</v>
      </c>
      <c r="AH90" s="10">
        <v>2701187.5</v>
      </c>
      <c r="AI90" s="10"/>
      <c r="AJ90" s="10"/>
      <c r="AK90" s="10"/>
      <c r="AL90" s="9">
        <f t="shared" si="15"/>
        <v>2701187.5</v>
      </c>
      <c r="AM90" s="1"/>
      <c r="AN90" s="1"/>
      <c r="AO90" s="12" t="e">
        <f>AB90/#REF!</f>
        <v>#REF!</v>
      </c>
      <c r="AP90" s="1" t="s">
        <v>4173</v>
      </c>
      <c r="AQ90" s="11">
        <v>42402</v>
      </c>
      <c r="AR90" s="1" t="s">
        <v>4172</v>
      </c>
      <c r="AS90" s="11">
        <v>42403</v>
      </c>
      <c r="AT90" s="1" t="s">
        <v>49</v>
      </c>
      <c r="AU90" s="1" t="s">
        <v>4171</v>
      </c>
    </row>
    <row r="91" spans="1:47" ht="15" customHeight="1" x14ac:dyDescent="0.25">
      <c r="A91" s="1">
        <v>90</v>
      </c>
      <c r="B91" s="1" t="s">
        <v>1258</v>
      </c>
      <c r="C91" s="1" t="s">
        <v>38</v>
      </c>
      <c r="D91" s="1">
        <v>9106550005</v>
      </c>
      <c r="E91" s="5">
        <v>41791</v>
      </c>
      <c r="F91" s="1" t="s">
        <v>1295</v>
      </c>
      <c r="G91" s="1" t="s">
        <v>40</v>
      </c>
      <c r="H91" s="1" t="s">
        <v>3109</v>
      </c>
      <c r="I91" s="1" t="s">
        <v>3122</v>
      </c>
      <c r="J91" s="1" t="s">
        <v>1116</v>
      </c>
      <c r="K91" s="1">
        <v>34021300</v>
      </c>
      <c r="L91" s="6">
        <v>20.105</v>
      </c>
      <c r="M91" s="1" t="s">
        <v>70</v>
      </c>
      <c r="N91" s="7" t="s">
        <v>67</v>
      </c>
      <c r="O91" s="1" t="s">
        <v>1117</v>
      </c>
      <c r="P91" s="8">
        <v>137500</v>
      </c>
      <c r="Q91" s="17">
        <f t="shared" si="16"/>
        <v>2764437.5</v>
      </c>
      <c r="R91" s="9">
        <v>0</v>
      </c>
      <c r="S91" s="9">
        <v>0</v>
      </c>
      <c r="T91" s="9">
        <v>110577.5</v>
      </c>
      <c r="U91" s="10">
        <v>0</v>
      </c>
      <c r="V91" s="1" t="s">
        <v>46</v>
      </c>
      <c r="W91" s="1" t="s">
        <v>361</v>
      </c>
      <c r="X91" s="1">
        <v>2981343</v>
      </c>
      <c r="Y91" s="11">
        <v>41787</v>
      </c>
      <c r="Z91" s="11">
        <v>41788</v>
      </c>
      <c r="AA91" s="9">
        <f t="shared" si="11"/>
        <v>2764437.5</v>
      </c>
      <c r="AB91" s="12">
        <v>1</v>
      </c>
      <c r="AC91" s="9">
        <f t="shared" si="12"/>
        <v>2764437.5</v>
      </c>
      <c r="AD91" s="9">
        <f t="shared" si="13"/>
        <v>2764437.5</v>
      </c>
      <c r="AE91" s="1" t="s">
        <v>4162</v>
      </c>
      <c r="AF91" s="1" t="s">
        <v>1117</v>
      </c>
      <c r="AG91" s="4">
        <f t="shared" si="14"/>
        <v>2764437.5</v>
      </c>
      <c r="AH91" s="10">
        <v>2764437.5</v>
      </c>
      <c r="AI91" s="10"/>
      <c r="AJ91" s="10"/>
      <c r="AK91" s="10"/>
      <c r="AL91" s="9">
        <f t="shared" si="15"/>
        <v>2764437.5</v>
      </c>
      <c r="AM91" s="1"/>
      <c r="AN91" s="1"/>
      <c r="AO91" s="1"/>
      <c r="AP91" s="1" t="s">
        <v>4122</v>
      </c>
      <c r="AQ91" s="11" t="s">
        <v>4120</v>
      </c>
      <c r="AR91" s="1" t="s">
        <v>4121</v>
      </c>
      <c r="AS91" s="1" t="s">
        <v>4118</v>
      </c>
      <c r="AT91" s="1" t="s">
        <v>49</v>
      </c>
      <c r="AU91" s="1" t="s">
        <v>4171</v>
      </c>
    </row>
    <row r="92" spans="1:47" ht="15" customHeight="1" x14ac:dyDescent="0.25">
      <c r="A92" s="1">
        <v>91</v>
      </c>
      <c r="B92" s="1" t="s">
        <v>1258</v>
      </c>
      <c r="C92" s="1" t="s">
        <v>38</v>
      </c>
      <c r="D92" s="1">
        <v>9106550006</v>
      </c>
      <c r="E92" s="5">
        <v>41799</v>
      </c>
      <c r="F92" s="1" t="s">
        <v>1296</v>
      </c>
      <c r="G92" s="1" t="s">
        <v>40</v>
      </c>
      <c r="H92" s="1" t="s">
        <v>3109</v>
      </c>
      <c r="I92" s="1" t="s">
        <v>3122</v>
      </c>
      <c r="J92" s="1" t="s">
        <v>1116</v>
      </c>
      <c r="K92" s="1">
        <v>34021300</v>
      </c>
      <c r="L92" s="6">
        <v>39.795000000000002</v>
      </c>
      <c r="M92" s="1" t="s">
        <v>70</v>
      </c>
      <c r="N92" s="7" t="s">
        <v>67</v>
      </c>
      <c r="O92" s="1" t="s">
        <v>1117</v>
      </c>
      <c r="P92" s="8">
        <v>137500</v>
      </c>
      <c r="Q92" s="17">
        <f t="shared" si="16"/>
        <v>5471812.5</v>
      </c>
      <c r="R92" s="9">
        <v>0</v>
      </c>
      <c r="S92" s="9">
        <v>0</v>
      </c>
      <c r="T92" s="9">
        <v>218872.5</v>
      </c>
      <c r="U92" s="10">
        <v>0</v>
      </c>
      <c r="V92" s="1" t="s">
        <v>46</v>
      </c>
      <c r="W92" s="1" t="s">
        <v>361</v>
      </c>
      <c r="X92" s="1">
        <v>3160103</v>
      </c>
      <c r="Y92" s="11">
        <v>41796</v>
      </c>
      <c r="Z92" s="11">
        <v>41797</v>
      </c>
      <c r="AA92" s="9">
        <f t="shared" si="11"/>
        <v>5471812.5</v>
      </c>
      <c r="AB92" s="12">
        <v>1</v>
      </c>
      <c r="AC92" s="9">
        <f t="shared" si="12"/>
        <v>5471812.5</v>
      </c>
      <c r="AD92" s="9">
        <f t="shared" si="13"/>
        <v>5471812.5</v>
      </c>
      <c r="AE92" s="1" t="s">
        <v>4162</v>
      </c>
      <c r="AF92" s="1" t="s">
        <v>1117</v>
      </c>
      <c r="AG92" s="4">
        <f t="shared" si="14"/>
        <v>5471812.5</v>
      </c>
      <c r="AH92" s="10">
        <v>5471812.5</v>
      </c>
      <c r="AI92" s="10"/>
      <c r="AJ92" s="10"/>
      <c r="AK92" s="10"/>
      <c r="AL92" s="9">
        <f t="shared" si="15"/>
        <v>5471812.5</v>
      </c>
      <c r="AM92" s="1"/>
      <c r="AN92" s="1"/>
      <c r="AO92" s="1"/>
      <c r="AP92" s="1" t="s">
        <v>4115</v>
      </c>
      <c r="AQ92" s="11" t="s">
        <v>4116</v>
      </c>
      <c r="AR92" s="1" t="s">
        <v>4113</v>
      </c>
      <c r="AS92" s="1" t="s">
        <v>4114</v>
      </c>
      <c r="AT92" s="1" t="s">
        <v>49</v>
      </c>
      <c r="AU92" s="1" t="s">
        <v>4171</v>
      </c>
    </row>
    <row r="93" spans="1:47" ht="15" customHeight="1" x14ac:dyDescent="0.25">
      <c r="A93" s="1">
        <v>92</v>
      </c>
      <c r="B93" s="1" t="s">
        <v>1258</v>
      </c>
      <c r="C93" s="1" t="s">
        <v>38</v>
      </c>
      <c r="D93" s="1">
        <v>9106550007</v>
      </c>
      <c r="E93" s="5">
        <v>41843</v>
      </c>
      <c r="F93" s="1" t="s">
        <v>3110</v>
      </c>
      <c r="G93" s="1" t="s">
        <v>40</v>
      </c>
      <c r="H93" s="1" t="s">
        <v>3109</v>
      </c>
      <c r="I93" s="1" t="s">
        <v>3122</v>
      </c>
      <c r="J93" s="1" t="s">
        <v>1116</v>
      </c>
      <c r="K93" s="1">
        <v>34021300</v>
      </c>
      <c r="L93" s="6">
        <v>39.590000000000003</v>
      </c>
      <c r="M93" s="1" t="s">
        <v>70</v>
      </c>
      <c r="N93" s="7" t="s">
        <v>67</v>
      </c>
      <c r="O93" s="1" t="s">
        <v>1117</v>
      </c>
      <c r="P93" s="8">
        <v>144000</v>
      </c>
      <c r="Q93" s="17">
        <f t="shared" si="16"/>
        <v>5700960.0000000009</v>
      </c>
      <c r="R93" s="9">
        <v>0</v>
      </c>
      <c r="S93" s="9">
        <v>0</v>
      </c>
      <c r="T93" s="9">
        <v>217776.67</v>
      </c>
      <c r="U93" s="10">
        <v>0</v>
      </c>
      <c r="V93" s="1" t="s">
        <v>46</v>
      </c>
      <c r="W93" s="1" t="s">
        <v>361</v>
      </c>
      <c r="X93" s="1">
        <v>3932280</v>
      </c>
      <c r="Y93" s="11">
        <v>41838</v>
      </c>
      <c r="Z93" s="11">
        <v>41839</v>
      </c>
      <c r="AA93" s="9">
        <f t="shared" si="11"/>
        <v>5700960.0000000009</v>
      </c>
      <c r="AB93" s="12">
        <v>1</v>
      </c>
      <c r="AC93" s="9">
        <f t="shared" si="12"/>
        <v>5700960.0000000009</v>
      </c>
      <c r="AD93" s="9">
        <f t="shared" si="13"/>
        <v>5700960.0000000009</v>
      </c>
      <c r="AE93" s="1" t="s">
        <v>4162</v>
      </c>
      <c r="AF93" s="1" t="s">
        <v>1117</v>
      </c>
      <c r="AG93" s="4">
        <f t="shared" si="14"/>
        <v>5700960.0000000009</v>
      </c>
      <c r="AH93" s="10">
        <v>5700960</v>
      </c>
      <c r="AI93" s="10"/>
      <c r="AJ93" s="10"/>
      <c r="AK93" s="10"/>
      <c r="AL93" s="9">
        <f t="shared" si="15"/>
        <v>5700960</v>
      </c>
      <c r="AM93" s="1"/>
      <c r="AN93" s="1"/>
      <c r="AO93" s="1"/>
      <c r="AP93" s="1" t="s">
        <v>4102</v>
      </c>
      <c r="AQ93" s="11" t="s">
        <v>3918</v>
      </c>
      <c r="AR93" s="1" t="s">
        <v>4101</v>
      </c>
      <c r="AS93" s="1" t="s">
        <v>3920</v>
      </c>
      <c r="AT93" s="1" t="s">
        <v>49</v>
      </c>
      <c r="AU93" s="1" t="s">
        <v>4171</v>
      </c>
    </row>
    <row r="94" spans="1:47" ht="15" customHeight="1" x14ac:dyDescent="0.25">
      <c r="A94" s="1">
        <v>93</v>
      </c>
      <c r="B94" s="1" t="s">
        <v>1258</v>
      </c>
      <c r="C94" s="1" t="s">
        <v>38</v>
      </c>
      <c r="D94" s="1">
        <v>9106550008</v>
      </c>
      <c r="E94" s="5">
        <v>41838</v>
      </c>
      <c r="F94" s="1" t="s">
        <v>3111</v>
      </c>
      <c r="G94" s="1" t="s">
        <v>40</v>
      </c>
      <c r="H94" s="1" t="s">
        <v>3109</v>
      </c>
      <c r="I94" s="1" t="s">
        <v>3122</v>
      </c>
      <c r="J94" s="1" t="s">
        <v>1116</v>
      </c>
      <c r="K94" s="1">
        <v>34021300</v>
      </c>
      <c r="L94" s="6">
        <v>59.21</v>
      </c>
      <c r="M94" s="1" t="s">
        <v>70</v>
      </c>
      <c r="N94" s="7" t="s">
        <v>67</v>
      </c>
      <c r="O94" s="1" t="s">
        <v>1117</v>
      </c>
      <c r="P94" s="8">
        <v>144000</v>
      </c>
      <c r="Q94" s="17">
        <f t="shared" si="16"/>
        <v>8526240</v>
      </c>
      <c r="R94" s="9">
        <v>0</v>
      </c>
      <c r="S94" s="9">
        <v>0</v>
      </c>
      <c r="T94" s="9">
        <v>326554.99</v>
      </c>
      <c r="U94" s="10">
        <v>0</v>
      </c>
      <c r="V94" s="1" t="s">
        <v>46</v>
      </c>
      <c r="W94" s="1" t="s">
        <v>361</v>
      </c>
      <c r="X94" s="1">
        <v>3878768</v>
      </c>
      <c r="Y94" s="11">
        <v>42198</v>
      </c>
      <c r="Z94" s="11">
        <v>41836</v>
      </c>
      <c r="AA94" s="9">
        <f t="shared" si="11"/>
        <v>8526240</v>
      </c>
      <c r="AB94" s="12">
        <v>1</v>
      </c>
      <c r="AC94" s="9">
        <f t="shared" si="12"/>
        <v>8526240</v>
      </c>
      <c r="AD94" s="9">
        <f t="shared" si="13"/>
        <v>8526240</v>
      </c>
      <c r="AE94" s="1" t="s">
        <v>4162</v>
      </c>
      <c r="AF94" s="1" t="s">
        <v>1117</v>
      </c>
      <c r="AG94" s="4">
        <f t="shared" si="14"/>
        <v>8526240</v>
      </c>
      <c r="AH94" s="10">
        <v>8526240</v>
      </c>
      <c r="AI94" s="10"/>
      <c r="AJ94" s="10"/>
      <c r="AK94" s="10"/>
      <c r="AL94" s="9">
        <f t="shared" si="15"/>
        <v>8526240</v>
      </c>
      <c r="AM94" s="1"/>
      <c r="AN94" s="1"/>
      <c r="AO94" s="1"/>
      <c r="AP94" s="1" t="s">
        <v>4112</v>
      </c>
      <c r="AQ94" s="11" t="s">
        <v>3918</v>
      </c>
      <c r="AR94" s="1" t="s">
        <v>4111</v>
      </c>
      <c r="AS94" s="1" t="s">
        <v>3920</v>
      </c>
      <c r="AT94" s="1" t="s">
        <v>49</v>
      </c>
      <c r="AU94" s="1" t="s">
        <v>4171</v>
      </c>
    </row>
    <row r="95" spans="1:47" ht="15" customHeight="1" x14ac:dyDescent="0.25">
      <c r="A95" s="1">
        <v>94</v>
      </c>
      <c r="B95" s="1" t="s">
        <v>1258</v>
      </c>
      <c r="C95" s="1" t="s">
        <v>38</v>
      </c>
      <c r="D95" s="1">
        <v>9106550009</v>
      </c>
      <c r="E95" s="5">
        <v>41864</v>
      </c>
      <c r="F95" s="1" t="s">
        <v>3112</v>
      </c>
      <c r="G95" s="1" t="s">
        <v>40</v>
      </c>
      <c r="H95" s="1" t="s">
        <v>3109</v>
      </c>
      <c r="I95" s="1" t="s">
        <v>3122</v>
      </c>
      <c r="J95" s="1" t="s">
        <v>1116</v>
      </c>
      <c r="K95" s="1">
        <v>34021300</v>
      </c>
      <c r="L95" s="6">
        <v>18.934999999999999</v>
      </c>
      <c r="M95" s="1" t="s">
        <v>70</v>
      </c>
      <c r="N95" s="7" t="s">
        <v>67</v>
      </c>
      <c r="O95" s="1" t="s">
        <v>1117</v>
      </c>
      <c r="P95" s="8">
        <v>144000</v>
      </c>
      <c r="Q95" s="17">
        <f t="shared" si="16"/>
        <v>2726640</v>
      </c>
      <c r="R95" s="9">
        <v>0</v>
      </c>
      <c r="S95" s="9">
        <v>0</v>
      </c>
      <c r="T95" s="9">
        <v>0</v>
      </c>
      <c r="U95" s="10">
        <v>0</v>
      </c>
      <c r="V95" s="1" t="s">
        <v>46</v>
      </c>
      <c r="W95" s="1" t="s">
        <v>361</v>
      </c>
      <c r="X95" s="1">
        <v>3798071</v>
      </c>
      <c r="Y95" s="11">
        <v>41830</v>
      </c>
      <c r="Z95" s="11">
        <v>41832</v>
      </c>
      <c r="AA95" s="9">
        <f t="shared" si="11"/>
        <v>2726640</v>
      </c>
      <c r="AB95" s="12">
        <v>1</v>
      </c>
      <c r="AC95" s="9">
        <f t="shared" si="12"/>
        <v>2726640</v>
      </c>
      <c r="AD95" s="9">
        <f t="shared" si="13"/>
        <v>2726640</v>
      </c>
      <c r="AE95" s="1" t="s">
        <v>4162</v>
      </c>
      <c r="AF95" s="1" t="s">
        <v>1117</v>
      </c>
      <c r="AG95" s="4">
        <f t="shared" si="14"/>
        <v>2726640</v>
      </c>
      <c r="AH95" s="10">
        <v>2726640</v>
      </c>
      <c r="AI95" s="10"/>
      <c r="AJ95" s="10"/>
      <c r="AK95" s="10"/>
      <c r="AL95" s="9">
        <f t="shared" si="15"/>
        <v>2726640</v>
      </c>
      <c r="AM95" s="1"/>
      <c r="AN95" s="1"/>
      <c r="AO95" s="1"/>
      <c r="AP95" s="1" t="s">
        <v>4104</v>
      </c>
      <c r="AQ95" s="11" t="s">
        <v>3918</v>
      </c>
      <c r="AR95" s="1" t="s">
        <v>4103</v>
      </c>
      <c r="AS95" s="1" t="s">
        <v>3920</v>
      </c>
      <c r="AT95" s="1" t="s">
        <v>49</v>
      </c>
      <c r="AU95" s="1" t="s">
        <v>4171</v>
      </c>
    </row>
    <row r="96" spans="1:47" ht="15" customHeight="1" x14ac:dyDescent="0.25">
      <c r="A96" s="1">
        <v>95</v>
      </c>
      <c r="B96" s="1" t="s">
        <v>1258</v>
      </c>
      <c r="C96" s="1" t="s">
        <v>38</v>
      </c>
      <c r="D96" s="1">
        <v>9106550010</v>
      </c>
      <c r="E96" s="5">
        <v>41846</v>
      </c>
      <c r="F96" s="1" t="s">
        <v>3113</v>
      </c>
      <c r="G96" s="1" t="s">
        <v>40</v>
      </c>
      <c r="H96" s="1" t="s">
        <v>3109</v>
      </c>
      <c r="I96" s="1" t="s">
        <v>3122</v>
      </c>
      <c r="J96" s="1" t="s">
        <v>1116</v>
      </c>
      <c r="K96" s="1">
        <v>34021300</v>
      </c>
      <c r="L96" s="6">
        <v>39.594999999999999</v>
      </c>
      <c r="M96" s="1" t="s">
        <v>70</v>
      </c>
      <c r="N96" s="7" t="s">
        <v>67</v>
      </c>
      <c r="O96" s="1" t="s">
        <v>1117</v>
      </c>
      <c r="P96" s="8">
        <v>144000</v>
      </c>
      <c r="Q96" s="17">
        <f t="shared" si="16"/>
        <v>5701680</v>
      </c>
      <c r="R96" s="9">
        <v>0</v>
      </c>
      <c r="S96" s="9">
        <v>0</v>
      </c>
      <c r="T96" s="9">
        <v>217804.18</v>
      </c>
      <c r="U96" s="10">
        <v>0</v>
      </c>
      <c r="V96" s="1" t="s">
        <v>46</v>
      </c>
      <c r="W96" s="1" t="s">
        <v>361</v>
      </c>
      <c r="X96" s="1">
        <v>4012078</v>
      </c>
      <c r="Y96" s="11">
        <v>41842</v>
      </c>
      <c r="Z96" s="11">
        <v>41843</v>
      </c>
      <c r="AA96" s="9">
        <f t="shared" si="11"/>
        <v>5701680</v>
      </c>
      <c r="AB96" s="12">
        <v>1</v>
      </c>
      <c r="AC96" s="9">
        <f t="shared" si="12"/>
        <v>5701680</v>
      </c>
      <c r="AD96" s="9">
        <f t="shared" si="13"/>
        <v>5701680</v>
      </c>
      <c r="AE96" s="1" t="s">
        <v>4162</v>
      </c>
      <c r="AF96" s="1" t="s">
        <v>1117</v>
      </c>
      <c r="AG96" s="4">
        <f t="shared" si="14"/>
        <v>5701680</v>
      </c>
      <c r="AH96" s="10">
        <v>5701680</v>
      </c>
      <c r="AI96" s="10"/>
      <c r="AJ96" s="10"/>
      <c r="AK96" s="10"/>
      <c r="AL96" s="9">
        <f t="shared" si="15"/>
        <v>5701680</v>
      </c>
      <c r="AM96" s="1"/>
      <c r="AN96" s="1"/>
      <c r="AO96" s="1"/>
      <c r="AP96" s="1" t="s">
        <v>4108</v>
      </c>
      <c r="AQ96" s="11" t="s">
        <v>3918</v>
      </c>
      <c r="AR96" s="1" t="s">
        <v>4107</v>
      </c>
      <c r="AS96" s="1" t="s">
        <v>3920</v>
      </c>
      <c r="AT96" s="1" t="s">
        <v>49</v>
      </c>
      <c r="AU96" s="1" t="s">
        <v>4171</v>
      </c>
    </row>
    <row r="97" spans="1:47" ht="15" customHeight="1" x14ac:dyDescent="0.25">
      <c r="A97" s="1">
        <v>96</v>
      </c>
      <c r="B97" s="1" t="s">
        <v>1258</v>
      </c>
      <c r="C97" s="1" t="s">
        <v>38</v>
      </c>
      <c r="D97" s="1">
        <v>9106550011</v>
      </c>
      <c r="E97" s="5">
        <v>41850</v>
      </c>
      <c r="F97" s="1" t="s">
        <v>3114</v>
      </c>
      <c r="G97" s="1" t="s">
        <v>40</v>
      </c>
      <c r="H97" s="1" t="s">
        <v>3109</v>
      </c>
      <c r="I97" s="1" t="s">
        <v>3122</v>
      </c>
      <c r="J97" s="1" t="s">
        <v>1116</v>
      </c>
      <c r="K97" s="1">
        <v>34021300</v>
      </c>
      <c r="L97" s="6">
        <v>39.325000000000003</v>
      </c>
      <c r="M97" s="1" t="s">
        <v>70</v>
      </c>
      <c r="N97" s="7" t="s">
        <v>67</v>
      </c>
      <c r="O97" s="1" t="s">
        <v>1117</v>
      </c>
      <c r="P97" s="8">
        <v>144000</v>
      </c>
      <c r="Q97" s="17">
        <f t="shared" si="16"/>
        <v>5662800</v>
      </c>
      <c r="R97" s="9">
        <v>0</v>
      </c>
      <c r="S97" s="9">
        <v>0</v>
      </c>
      <c r="T97" s="9">
        <v>216318.96</v>
      </c>
      <c r="U97" s="10">
        <v>0</v>
      </c>
      <c r="V97" s="1" t="s">
        <v>46</v>
      </c>
      <c r="W97" s="1" t="s">
        <v>361</v>
      </c>
      <c r="X97" s="1">
        <v>4056383</v>
      </c>
      <c r="Y97" s="11">
        <v>41844</v>
      </c>
      <c r="Z97" s="11">
        <v>41846</v>
      </c>
      <c r="AA97" s="9">
        <f t="shared" si="11"/>
        <v>5662800</v>
      </c>
      <c r="AB97" s="12">
        <v>1</v>
      </c>
      <c r="AC97" s="9">
        <f t="shared" si="12"/>
        <v>5662800</v>
      </c>
      <c r="AD97" s="9">
        <f t="shared" si="13"/>
        <v>5662800</v>
      </c>
      <c r="AE97" s="1" t="s">
        <v>4162</v>
      </c>
      <c r="AF97" s="1" t="s">
        <v>1117</v>
      </c>
      <c r="AG97" s="4">
        <f t="shared" si="14"/>
        <v>5662800</v>
      </c>
      <c r="AH97" s="10">
        <v>5662800</v>
      </c>
      <c r="AI97" s="10"/>
      <c r="AJ97" s="10"/>
      <c r="AK97" s="10"/>
      <c r="AL97" s="9">
        <f t="shared" si="15"/>
        <v>5662800</v>
      </c>
      <c r="AM97" s="1"/>
      <c r="AN97" s="1"/>
      <c r="AO97" s="1"/>
      <c r="AP97" s="1" t="s">
        <v>4106</v>
      </c>
      <c r="AQ97" s="11" t="s">
        <v>3918</v>
      </c>
      <c r="AR97" s="1" t="s">
        <v>4105</v>
      </c>
      <c r="AS97" s="1" t="s">
        <v>3920</v>
      </c>
      <c r="AT97" s="1" t="s">
        <v>49</v>
      </c>
      <c r="AU97" s="1" t="s">
        <v>4171</v>
      </c>
    </row>
    <row r="98" spans="1:47" ht="15" customHeight="1" x14ac:dyDescent="0.25">
      <c r="A98" s="1">
        <v>97</v>
      </c>
      <c r="B98" s="1" t="s">
        <v>1258</v>
      </c>
      <c r="C98" s="1" t="s">
        <v>38</v>
      </c>
      <c r="D98" s="1">
        <v>9106550012</v>
      </c>
      <c r="E98" s="5">
        <v>41865</v>
      </c>
      <c r="F98" s="1" t="s">
        <v>3115</v>
      </c>
      <c r="G98" s="1" t="s">
        <v>40</v>
      </c>
      <c r="H98" s="1" t="s">
        <v>3109</v>
      </c>
      <c r="I98" s="1" t="s">
        <v>3122</v>
      </c>
      <c r="J98" s="1" t="s">
        <v>1116</v>
      </c>
      <c r="K98" s="1">
        <v>34021300</v>
      </c>
      <c r="L98" s="6">
        <v>19.68</v>
      </c>
      <c r="M98" s="1" t="s">
        <v>70</v>
      </c>
      <c r="N98" s="7" t="s">
        <v>67</v>
      </c>
      <c r="O98" s="1" t="s">
        <v>1117</v>
      </c>
      <c r="P98" s="8">
        <v>144000</v>
      </c>
      <c r="Q98" s="17">
        <f t="shared" si="16"/>
        <v>2833920</v>
      </c>
      <c r="R98" s="9">
        <v>0</v>
      </c>
      <c r="S98" s="9">
        <v>0</v>
      </c>
      <c r="T98" s="9">
        <v>108255.74</v>
      </c>
      <c r="U98" s="10">
        <v>0</v>
      </c>
      <c r="V98" s="1" t="s">
        <v>46</v>
      </c>
      <c r="W98" s="1" t="s">
        <v>361</v>
      </c>
      <c r="X98" s="1">
        <v>4265308</v>
      </c>
      <c r="Y98" s="11">
        <v>41856</v>
      </c>
      <c r="Z98" s="11">
        <v>41859</v>
      </c>
      <c r="AA98" s="9">
        <f t="shared" si="11"/>
        <v>2833920</v>
      </c>
      <c r="AB98" s="12">
        <v>1</v>
      </c>
      <c r="AC98" s="9">
        <f t="shared" si="12"/>
        <v>2833920</v>
      </c>
      <c r="AD98" s="9">
        <f t="shared" si="13"/>
        <v>2833920</v>
      </c>
      <c r="AE98" s="1" t="s">
        <v>4162</v>
      </c>
      <c r="AF98" s="1" t="s">
        <v>1117</v>
      </c>
      <c r="AG98" s="4">
        <f t="shared" si="14"/>
        <v>2833920</v>
      </c>
      <c r="AH98" s="10">
        <v>2833920</v>
      </c>
      <c r="AI98" s="10"/>
      <c r="AJ98" s="10"/>
      <c r="AK98" s="10"/>
      <c r="AL98" s="9">
        <f t="shared" si="15"/>
        <v>2833920</v>
      </c>
      <c r="AM98" s="1"/>
      <c r="AN98" s="1"/>
      <c r="AO98" s="1"/>
      <c r="AP98" s="1" t="s">
        <v>4097</v>
      </c>
      <c r="AQ98" s="11" t="s">
        <v>4060</v>
      </c>
      <c r="AR98" s="1" t="s">
        <v>4098</v>
      </c>
      <c r="AS98" s="1" t="s">
        <v>4087</v>
      </c>
      <c r="AT98" s="1" t="s">
        <v>49</v>
      </c>
      <c r="AU98" s="1" t="s">
        <v>4171</v>
      </c>
    </row>
    <row r="99" spans="1:47" ht="15" customHeight="1" x14ac:dyDescent="0.25">
      <c r="A99" s="1">
        <v>98</v>
      </c>
      <c r="B99" s="1" t="s">
        <v>1258</v>
      </c>
      <c r="C99" s="1" t="s">
        <v>38</v>
      </c>
      <c r="D99" s="1">
        <v>9106550012</v>
      </c>
      <c r="E99" s="5">
        <v>41865</v>
      </c>
      <c r="F99" s="1" t="s">
        <v>3116</v>
      </c>
      <c r="G99" s="1" t="s">
        <v>40</v>
      </c>
      <c r="H99" s="1" t="s">
        <v>3109</v>
      </c>
      <c r="I99" s="1" t="s">
        <v>3122</v>
      </c>
      <c r="J99" s="1" t="s">
        <v>1116</v>
      </c>
      <c r="K99" s="1">
        <v>34021300</v>
      </c>
      <c r="L99" s="6">
        <v>39</v>
      </c>
      <c r="M99" s="1" t="s">
        <v>70</v>
      </c>
      <c r="N99" s="7" t="s">
        <v>67</v>
      </c>
      <c r="O99" s="1" t="s">
        <v>1117</v>
      </c>
      <c r="P99" s="8">
        <v>144000</v>
      </c>
      <c r="Q99" s="17">
        <f t="shared" si="16"/>
        <v>5616000</v>
      </c>
      <c r="R99" s="9">
        <v>0</v>
      </c>
      <c r="S99" s="9">
        <v>0</v>
      </c>
      <c r="T99" s="9">
        <v>214531.20000000001</v>
      </c>
      <c r="U99" s="10">
        <v>0</v>
      </c>
      <c r="V99" s="1" t="s">
        <v>46</v>
      </c>
      <c r="W99" s="1" t="s">
        <v>361</v>
      </c>
      <c r="X99" s="1">
        <v>4279742</v>
      </c>
      <c r="Y99" s="11">
        <v>41857</v>
      </c>
      <c r="Z99" s="11">
        <v>41859</v>
      </c>
      <c r="AA99" s="9">
        <f t="shared" si="11"/>
        <v>5616000</v>
      </c>
      <c r="AB99" s="12">
        <v>1</v>
      </c>
      <c r="AC99" s="9">
        <f t="shared" si="12"/>
        <v>5616000</v>
      </c>
      <c r="AD99" s="9">
        <f t="shared" si="13"/>
        <v>5616000</v>
      </c>
      <c r="AE99" s="1" t="s">
        <v>4162</v>
      </c>
      <c r="AF99" s="1" t="s">
        <v>1117</v>
      </c>
      <c r="AG99" s="4">
        <f t="shared" si="14"/>
        <v>5616000</v>
      </c>
      <c r="AH99" s="10">
        <v>5616000</v>
      </c>
      <c r="AI99" s="10"/>
      <c r="AJ99" s="10"/>
      <c r="AK99" s="10"/>
      <c r="AL99" s="9">
        <f t="shared" si="15"/>
        <v>5616000</v>
      </c>
      <c r="AM99" s="1"/>
      <c r="AN99" s="1"/>
      <c r="AO99" s="1"/>
      <c r="AP99" s="1" t="s">
        <v>4097</v>
      </c>
      <c r="AQ99" s="11" t="s">
        <v>4060</v>
      </c>
      <c r="AR99" s="1" t="s">
        <v>4100</v>
      </c>
      <c r="AS99" s="1" t="s">
        <v>4087</v>
      </c>
      <c r="AT99" s="1" t="s">
        <v>49</v>
      </c>
      <c r="AU99" s="1" t="s">
        <v>4171</v>
      </c>
    </row>
    <row r="100" spans="1:47" ht="15" customHeight="1" x14ac:dyDescent="0.25">
      <c r="A100" s="1">
        <v>99</v>
      </c>
      <c r="B100" s="1" t="s">
        <v>1258</v>
      </c>
      <c r="C100" s="1" t="s">
        <v>38</v>
      </c>
      <c r="D100" s="1">
        <v>9106550012</v>
      </c>
      <c r="E100" s="5">
        <v>41865</v>
      </c>
      <c r="F100" s="1" t="s">
        <v>3117</v>
      </c>
      <c r="G100" s="1" t="s">
        <v>40</v>
      </c>
      <c r="H100" s="1" t="s">
        <v>3109</v>
      </c>
      <c r="I100" s="1" t="s">
        <v>3122</v>
      </c>
      <c r="J100" s="1" t="s">
        <v>1116</v>
      </c>
      <c r="K100" s="1">
        <v>34021300</v>
      </c>
      <c r="L100" s="6">
        <v>19.774999999999999</v>
      </c>
      <c r="M100" s="1" t="s">
        <v>70</v>
      </c>
      <c r="N100" s="7" t="s">
        <v>67</v>
      </c>
      <c r="O100" s="1" t="s">
        <v>1117</v>
      </c>
      <c r="P100" s="8">
        <v>144000</v>
      </c>
      <c r="Q100" s="17">
        <f t="shared" si="16"/>
        <v>2847600</v>
      </c>
      <c r="R100" s="9">
        <v>0</v>
      </c>
      <c r="S100" s="9">
        <v>0</v>
      </c>
      <c r="T100" s="9">
        <v>108778.32</v>
      </c>
      <c r="U100" s="10">
        <v>0</v>
      </c>
      <c r="V100" s="1" t="s">
        <v>46</v>
      </c>
      <c r="W100" s="1" t="s">
        <v>361</v>
      </c>
      <c r="X100" s="1">
        <v>4328787</v>
      </c>
      <c r="Y100" s="11">
        <v>41859</v>
      </c>
      <c r="Z100" s="11">
        <v>41860</v>
      </c>
      <c r="AA100" s="9">
        <f t="shared" si="11"/>
        <v>2847600</v>
      </c>
      <c r="AB100" s="12">
        <v>1</v>
      </c>
      <c r="AC100" s="9">
        <f t="shared" si="12"/>
        <v>2847600</v>
      </c>
      <c r="AD100" s="9">
        <f t="shared" si="13"/>
        <v>2847600</v>
      </c>
      <c r="AE100" s="1" t="s">
        <v>4162</v>
      </c>
      <c r="AF100" s="1" t="s">
        <v>1117</v>
      </c>
      <c r="AG100" s="4">
        <f t="shared" si="14"/>
        <v>2847600</v>
      </c>
      <c r="AH100" s="10">
        <v>2847600</v>
      </c>
      <c r="AI100" s="10"/>
      <c r="AJ100" s="10"/>
      <c r="AK100" s="10"/>
      <c r="AL100" s="9">
        <f t="shared" si="15"/>
        <v>2847600</v>
      </c>
      <c r="AM100" s="1"/>
      <c r="AN100" s="1"/>
      <c r="AO100" s="1"/>
      <c r="AP100" s="1" t="s">
        <v>4097</v>
      </c>
      <c r="AQ100" s="11" t="s">
        <v>4060</v>
      </c>
      <c r="AR100" s="1" t="s">
        <v>4099</v>
      </c>
      <c r="AS100" s="1" t="s">
        <v>4087</v>
      </c>
      <c r="AT100" s="1" t="s">
        <v>49</v>
      </c>
      <c r="AU100" s="1" t="s">
        <v>4171</v>
      </c>
    </row>
    <row r="101" spans="1:47" ht="15" customHeight="1" x14ac:dyDescent="0.25">
      <c r="A101" s="1">
        <v>100</v>
      </c>
      <c r="B101" s="1" t="s">
        <v>1258</v>
      </c>
      <c r="C101" s="1" t="s">
        <v>38</v>
      </c>
      <c r="D101" s="1">
        <v>9106550012</v>
      </c>
      <c r="E101" s="5">
        <v>41865</v>
      </c>
      <c r="F101" s="1" t="s">
        <v>3118</v>
      </c>
      <c r="G101" s="1" t="s">
        <v>40</v>
      </c>
      <c r="H101" s="1" t="s">
        <v>3109</v>
      </c>
      <c r="I101" s="1" t="s">
        <v>3122</v>
      </c>
      <c r="J101" s="1" t="s">
        <v>1116</v>
      </c>
      <c r="K101" s="1">
        <v>34021300</v>
      </c>
      <c r="L101" s="6">
        <v>19.5</v>
      </c>
      <c r="M101" s="1" t="s">
        <v>70</v>
      </c>
      <c r="N101" s="7" t="s">
        <v>67</v>
      </c>
      <c r="O101" s="1" t="s">
        <v>1117</v>
      </c>
      <c r="P101" s="8">
        <v>144000</v>
      </c>
      <c r="Q101" s="17">
        <f t="shared" si="16"/>
        <v>2808000</v>
      </c>
      <c r="R101" s="9">
        <v>0</v>
      </c>
      <c r="S101" s="9">
        <v>0</v>
      </c>
      <c r="T101" s="9">
        <v>107265.60000000001</v>
      </c>
      <c r="U101" s="10">
        <v>0</v>
      </c>
      <c r="V101" s="1" t="s">
        <v>46</v>
      </c>
      <c r="W101" s="1" t="s">
        <v>361</v>
      </c>
      <c r="X101" s="1">
        <v>4328728</v>
      </c>
      <c r="Y101" s="11">
        <v>41859</v>
      </c>
      <c r="Z101" s="11">
        <v>41860</v>
      </c>
      <c r="AA101" s="9">
        <f t="shared" si="11"/>
        <v>2808000</v>
      </c>
      <c r="AB101" s="12">
        <v>1</v>
      </c>
      <c r="AC101" s="9">
        <f t="shared" si="12"/>
        <v>2808000</v>
      </c>
      <c r="AD101" s="9">
        <f t="shared" si="13"/>
        <v>2808000</v>
      </c>
      <c r="AE101" s="1" t="s">
        <v>4162</v>
      </c>
      <c r="AF101" s="1" t="s">
        <v>1117</v>
      </c>
      <c r="AG101" s="4">
        <f t="shared" si="14"/>
        <v>2808000</v>
      </c>
      <c r="AH101" s="10">
        <v>2808000</v>
      </c>
      <c r="AI101" s="10"/>
      <c r="AJ101" s="10"/>
      <c r="AK101" s="10"/>
      <c r="AL101" s="9">
        <f t="shared" si="15"/>
        <v>2808000</v>
      </c>
      <c r="AM101" s="1"/>
      <c r="AN101" s="1"/>
      <c r="AO101" s="1"/>
      <c r="AP101" s="1" t="s">
        <v>4097</v>
      </c>
      <c r="AQ101" s="11" t="s">
        <v>4060</v>
      </c>
      <c r="AR101" s="1" t="s">
        <v>4096</v>
      </c>
      <c r="AS101" s="1" t="s">
        <v>4087</v>
      </c>
      <c r="AT101" s="1" t="s">
        <v>49</v>
      </c>
      <c r="AU101" s="1" t="s">
        <v>4171</v>
      </c>
    </row>
    <row r="102" spans="1:47" ht="15" customHeight="1" x14ac:dyDescent="0.25">
      <c r="A102" s="1">
        <v>101</v>
      </c>
      <c r="B102" s="1" t="s">
        <v>1258</v>
      </c>
      <c r="C102" s="1" t="s">
        <v>38</v>
      </c>
      <c r="D102" s="1">
        <v>9106550013</v>
      </c>
      <c r="E102" s="5">
        <v>41879</v>
      </c>
      <c r="F102" s="1" t="s">
        <v>3119</v>
      </c>
      <c r="G102" s="1" t="s">
        <v>40</v>
      </c>
      <c r="H102" s="1" t="s">
        <v>3109</v>
      </c>
      <c r="I102" s="1" t="s">
        <v>3122</v>
      </c>
      <c r="J102" s="1" t="s">
        <v>1116</v>
      </c>
      <c r="K102" s="1">
        <v>34021300</v>
      </c>
      <c r="L102" s="6">
        <v>19.5</v>
      </c>
      <c r="M102" s="1" t="s">
        <v>70</v>
      </c>
      <c r="N102" s="7" t="s">
        <v>67</v>
      </c>
      <c r="O102" s="1" t="s">
        <v>1117</v>
      </c>
      <c r="P102" s="8">
        <v>115000</v>
      </c>
      <c r="Q102" s="17">
        <f t="shared" si="16"/>
        <v>2242500</v>
      </c>
      <c r="R102" s="9">
        <v>0</v>
      </c>
      <c r="S102" s="9">
        <v>0</v>
      </c>
      <c r="T102" s="9">
        <v>0</v>
      </c>
      <c r="U102" s="10">
        <v>0</v>
      </c>
      <c r="V102" s="1" t="s">
        <v>46</v>
      </c>
      <c r="W102" s="1" t="s">
        <v>361</v>
      </c>
      <c r="X102" s="1">
        <v>4571812</v>
      </c>
      <c r="Y102" s="11">
        <v>41874</v>
      </c>
      <c r="Z102" s="11">
        <v>41876</v>
      </c>
      <c r="AA102" s="9">
        <f t="shared" si="11"/>
        <v>2242500</v>
      </c>
      <c r="AB102" s="12">
        <v>1</v>
      </c>
      <c r="AC102" s="9">
        <f t="shared" si="12"/>
        <v>2242500</v>
      </c>
      <c r="AD102" s="9">
        <f t="shared" si="13"/>
        <v>2242500</v>
      </c>
      <c r="AE102" s="1" t="s">
        <v>4162</v>
      </c>
      <c r="AF102" s="1" t="s">
        <v>1117</v>
      </c>
      <c r="AG102" s="4">
        <f t="shared" si="14"/>
        <v>2242500</v>
      </c>
      <c r="AH102" s="10">
        <v>2242500</v>
      </c>
      <c r="AI102" s="10"/>
      <c r="AJ102" s="10"/>
      <c r="AK102" s="10"/>
      <c r="AL102" s="9">
        <f t="shared" si="15"/>
        <v>2242500</v>
      </c>
      <c r="AM102" s="1"/>
      <c r="AN102" s="1"/>
      <c r="AO102" s="1"/>
      <c r="AP102" s="1" t="s">
        <v>4064</v>
      </c>
      <c r="AQ102" s="11" t="s">
        <v>4065</v>
      </c>
      <c r="AR102" s="1" t="s">
        <v>4066</v>
      </c>
      <c r="AS102" s="1" t="s">
        <v>4059</v>
      </c>
      <c r="AT102" s="1" t="s">
        <v>49</v>
      </c>
      <c r="AU102" s="1" t="s">
        <v>4171</v>
      </c>
    </row>
    <row r="103" spans="1:47" ht="15" customHeight="1" x14ac:dyDescent="0.25">
      <c r="A103" s="1">
        <v>102</v>
      </c>
      <c r="B103" s="1" t="s">
        <v>1258</v>
      </c>
      <c r="C103" s="1" t="s">
        <v>38</v>
      </c>
      <c r="D103" s="1">
        <v>9106550014</v>
      </c>
      <c r="E103" s="5">
        <v>41881</v>
      </c>
      <c r="F103" s="1" t="s">
        <v>3120</v>
      </c>
      <c r="G103" s="1" t="s">
        <v>40</v>
      </c>
      <c r="H103" s="1" t="s">
        <v>3109</v>
      </c>
      <c r="I103" s="1" t="s">
        <v>3122</v>
      </c>
      <c r="J103" s="1" t="s">
        <v>1116</v>
      </c>
      <c r="K103" s="1">
        <v>34021300</v>
      </c>
      <c r="L103" s="6">
        <v>39.03</v>
      </c>
      <c r="M103" s="1" t="s">
        <v>70</v>
      </c>
      <c r="N103" s="7" t="s">
        <v>67</v>
      </c>
      <c r="O103" s="1" t="s">
        <v>1117</v>
      </c>
      <c r="P103" s="8">
        <v>115000</v>
      </c>
      <c r="Q103" s="17">
        <f t="shared" si="16"/>
        <v>4488450</v>
      </c>
      <c r="R103" s="9">
        <v>0</v>
      </c>
      <c r="S103" s="9">
        <v>0</v>
      </c>
      <c r="T103" s="9">
        <v>0</v>
      </c>
      <c r="U103" s="10">
        <v>0</v>
      </c>
      <c r="V103" s="1" t="s">
        <v>46</v>
      </c>
      <c r="W103" s="1" t="s">
        <v>361</v>
      </c>
      <c r="X103" s="1">
        <v>4602621</v>
      </c>
      <c r="Y103" s="11">
        <v>41876</v>
      </c>
      <c r="Z103" s="11">
        <v>41879</v>
      </c>
      <c r="AA103" s="9">
        <f t="shared" si="11"/>
        <v>4488450</v>
      </c>
      <c r="AB103" s="12">
        <v>1</v>
      </c>
      <c r="AC103" s="9">
        <f t="shared" si="12"/>
        <v>4488450</v>
      </c>
      <c r="AD103" s="9">
        <f t="shared" si="13"/>
        <v>4488450</v>
      </c>
      <c r="AE103" s="1" t="s">
        <v>4162</v>
      </c>
      <c r="AF103" s="1" t="s">
        <v>1117</v>
      </c>
      <c r="AG103" s="4">
        <f t="shared" si="14"/>
        <v>4488450</v>
      </c>
      <c r="AH103" s="10">
        <v>4488450</v>
      </c>
      <c r="AI103" s="10"/>
      <c r="AJ103" s="10"/>
      <c r="AK103" s="10"/>
      <c r="AL103" s="9">
        <f t="shared" si="15"/>
        <v>4488450</v>
      </c>
      <c r="AM103" s="1"/>
      <c r="AN103" s="1"/>
      <c r="AO103" s="1"/>
      <c r="AP103" s="1" t="s">
        <v>4064</v>
      </c>
      <c r="AQ103" s="11" t="s">
        <v>4065</v>
      </c>
      <c r="AR103" s="1" t="s">
        <v>4070</v>
      </c>
      <c r="AS103" s="1" t="s">
        <v>4059</v>
      </c>
      <c r="AT103" s="1" t="s">
        <v>49</v>
      </c>
      <c r="AU103" s="1" t="s">
        <v>4171</v>
      </c>
    </row>
    <row r="104" spans="1:47" ht="15" customHeight="1" x14ac:dyDescent="0.25">
      <c r="A104" s="1">
        <v>103</v>
      </c>
      <c r="B104" s="1" t="s">
        <v>1258</v>
      </c>
      <c r="C104" s="1" t="s">
        <v>38</v>
      </c>
      <c r="D104" s="1">
        <v>9106550015</v>
      </c>
      <c r="E104" s="5">
        <v>41887</v>
      </c>
      <c r="F104" s="1" t="s">
        <v>3121</v>
      </c>
      <c r="G104" s="1" t="s">
        <v>40</v>
      </c>
      <c r="H104" s="1" t="s">
        <v>3109</v>
      </c>
      <c r="I104" s="1" t="s">
        <v>3122</v>
      </c>
      <c r="J104" s="1" t="s">
        <v>1116</v>
      </c>
      <c r="K104" s="1">
        <v>34021300</v>
      </c>
      <c r="L104" s="6">
        <v>39</v>
      </c>
      <c r="M104" s="1" t="s">
        <v>70</v>
      </c>
      <c r="N104" s="7" t="s">
        <v>67</v>
      </c>
      <c r="O104" s="1" t="s">
        <v>1117</v>
      </c>
      <c r="P104" s="8">
        <v>115000</v>
      </c>
      <c r="Q104" s="17">
        <f t="shared" si="16"/>
        <v>4485000</v>
      </c>
      <c r="R104" s="9">
        <v>0</v>
      </c>
      <c r="S104" s="9">
        <v>0</v>
      </c>
      <c r="T104" s="9">
        <v>0</v>
      </c>
      <c r="U104" s="10">
        <v>0</v>
      </c>
      <c r="V104" s="1" t="s">
        <v>46</v>
      </c>
      <c r="W104" s="1" t="s">
        <v>361</v>
      </c>
      <c r="X104" s="1">
        <v>4681666</v>
      </c>
      <c r="Y104" s="11">
        <v>41879</v>
      </c>
      <c r="Z104" s="11">
        <v>41881</v>
      </c>
      <c r="AA104" s="9">
        <f t="shared" si="11"/>
        <v>4485000</v>
      </c>
      <c r="AB104" s="12">
        <v>1</v>
      </c>
      <c r="AC104" s="9">
        <f t="shared" si="12"/>
        <v>4485000</v>
      </c>
      <c r="AD104" s="9">
        <f t="shared" si="13"/>
        <v>4485000</v>
      </c>
      <c r="AE104" s="1" t="s">
        <v>4162</v>
      </c>
      <c r="AF104" s="1" t="s">
        <v>1117</v>
      </c>
      <c r="AG104" s="4">
        <f t="shared" si="14"/>
        <v>4485000</v>
      </c>
      <c r="AH104" s="10">
        <v>4485000</v>
      </c>
      <c r="AI104" s="10"/>
      <c r="AJ104" s="10"/>
      <c r="AK104" s="10"/>
      <c r="AL104" s="9">
        <f t="shared" si="15"/>
        <v>4485000</v>
      </c>
      <c r="AM104" s="1"/>
      <c r="AN104" s="1"/>
      <c r="AO104" s="1"/>
      <c r="AP104" s="1" t="s">
        <v>4064</v>
      </c>
      <c r="AQ104" s="11" t="s">
        <v>4065</v>
      </c>
      <c r="AR104" s="1" t="s">
        <v>4069</v>
      </c>
      <c r="AS104" s="1" t="s">
        <v>4059</v>
      </c>
      <c r="AT104" s="1" t="s">
        <v>49</v>
      </c>
      <c r="AU104" s="1" t="s">
        <v>4171</v>
      </c>
    </row>
    <row r="105" spans="1:47" ht="15" customHeight="1" x14ac:dyDescent="0.25">
      <c r="A105" s="1">
        <v>104</v>
      </c>
      <c r="B105" s="1" t="s">
        <v>1258</v>
      </c>
      <c r="C105" s="1" t="s">
        <v>38</v>
      </c>
      <c r="D105" s="1">
        <v>9106550016</v>
      </c>
      <c r="E105" s="5">
        <v>41915</v>
      </c>
      <c r="F105" s="1" t="s">
        <v>3123</v>
      </c>
      <c r="G105" s="1" t="s">
        <v>40</v>
      </c>
      <c r="H105" s="1" t="s">
        <v>3109</v>
      </c>
      <c r="I105" s="1" t="s">
        <v>3122</v>
      </c>
      <c r="J105" s="1" t="s">
        <v>1116</v>
      </c>
      <c r="K105" s="1">
        <v>34021300</v>
      </c>
      <c r="L105" s="6">
        <v>78.825000000000003</v>
      </c>
      <c r="M105" s="1" t="s">
        <v>70</v>
      </c>
      <c r="N105" s="7" t="s">
        <v>67</v>
      </c>
      <c r="O105" s="1" t="s">
        <v>1117</v>
      </c>
      <c r="P105" s="8">
        <v>119500</v>
      </c>
      <c r="Q105" s="17">
        <f t="shared" si="16"/>
        <v>9419587.5</v>
      </c>
      <c r="R105" s="9">
        <v>0</v>
      </c>
      <c r="S105" s="9">
        <v>0</v>
      </c>
      <c r="T105" s="9">
        <v>236525.84</v>
      </c>
      <c r="U105" s="10">
        <v>0</v>
      </c>
      <c r="V105" s="1" t="s">
        <v>46</v>
      </c>
      <c r="W105" s="1" t="s">
        <v>361</v>
      </c>
      <c r="X105" s="1">
        <v>5279536</v>
      </c>
      <c r="Y105" s="11">
        <v>41911</v>
      </c>
      <c r="Z105" s="11">
        <v>41912</v>
      </c>
      <c r="AA105" s="9">
        <f t="shared" si="11"/>
        <v>9419587.5</v>
      </c>
      <c r="AB105" s="12">
        <v>1</v>
      </c>
      <c r="AC105" s="9">
        <f t="shared" si="12"/>
        <v>9419587.5</v>
      </c>
      <c r="AD105" s="9">
        <f t="shared" si="13"/>
        <v>9419587.5</v>
      </c>
      <c r="AE105" s="1" t="s">
        <v>4162</v>
      </c>
      <c r="AF105" s="1" t="s">
        <v>1117</v>
      </c>
      <c r="AG105" s="4">
        <f t="shared" si="14"/>
        <v>9419587.5</v>
      </c>
      <c r="AH105" s="10">
        <v>9419587.5</v>
      </c>
      <c r="AI105" s="10"/>
      <c r="AJ105" s="10"/>
      <c r="AK105" s="10"/>
      <c r="AL105" s="9">
        <f t="shared" si="15"/>
        <v>9419587.5</v>
      </c>
      <c r="AM105" s="1"/>
      <c r="AN105" s="1"/>
      <c r="AO105" s="1"/>
      <c r="AP105" s="1" t="s">
        <v>3917</v>
      </c>
      <c r="AQ105" s="11" t="s">
        <v>4163</v>
      </c>
      <c r="AR105" s="1" t="s">
        <v>4168</v>
      </c>
      <c r="AS105" s="1" t="s">
        <v>4164</v>
      </c>
      <c r="AT105" s="1" t="s">
        <v>49</v>
      </c>
      <c r="AU105" s="1" t="s">
        <v>4171</v>
      </c>
    </row>
    <row r="106" spans="1:47" ht="15" customHeight="1" x14ac:dyDescent="0.25">
      <c r="A106" s="1">
        <v>105</v>
      </c>
      <c r="B106" s="1" t="s">
        <v>1258</v>
      </c>
      <c r="C106" s="1" t="s">
        <v>38</v>
      </c>
      <c r="D106" s="1">
        <v>9106550017</v>
      </c>
      <c r="E106" s="5">
        <v>41915</v>
      </c>
      <c r="F106" s="1" t="s">
        <v>3124</v>
      </c>
      <c r="G106" s="1" t="s">
        <v>40</v>
      </c>
      <c r="H106" s="1" t="s">
        <v>3109</v>
      </c>
      <c r="I106" s="1" t="s">
        <v>3122</v>
      </c>
      <c r="J106" s="1" t="s">
        <v>1116</v>
      </c>
      <c r="K106" s="1">
        <v>34021300</v>
      </c>
      <c r="L106" s="6">
        <v>19.71</v>
      </c>
      <c r="M106" s="1" t="s">
        <v>70</v>
      </c>
      <c r="N106" s="7" t="s">
        <v>67</v>
      </c>
      <c r="O106" s="1" t="s">
        <v>1117</v>
      </c>
      <c r="P106" s="8">
        <v>115000</v>
      </c>
      <c r="Q106" s="17">
        <f t="shared" si="16"/>
        <v>2266650</v>
      </c>
      <c r="R106" s="9">
        <v>0</v>
      </c>
      <c r="S106" s="9">
        <v>0</v>
      </c>
      <c r="T106" s="9">
        <v>0</v>
      </c>
      <c r="U106" s="10">
        <v>0</v>
      </c>
      <c r="V106" s="1" t="s">
        <v>46</v>
      </c>
      <c r="W106" s="1" t="s">
        <v>361</v>
      </c>
      <c r="X106" s="1">
        <v>5278903</v>
      </c>
      <c r="Y106" s="11">
        <v>41911</v>
      </c>
      <c r="Z106" s="11">
        <v>41912</v>
      </c>
      <c r="AA106" s="9">
        <f t="shared" si="11"/>
        <v>2266650</v>
      </c>
      <c r="AB106" s="12">
        <v>1</v>
      </c>
      <c r="AC106" s="9">
        <f t="shared" si="12"/>
        <v>2266650</v>
      </c>
      <c r="AD106" s="9">
        <f t="shared" si="13"/>
        <v>2266650</v>
      </c>
      <c r="AE106" s="1" t="s">
        <v>4162</v>
      </c>
      <c r="AF106" s="1" t="s">
        <v>1117</v>
      </c>
      <c r="AG106" s="4">
        <f t="shared" si="14"/>
        <v>2266650</v>
      </c>
      <c r="AH106" s="10">
        <v>2266650</v>
      </c>
      <c r="AI106" s="10"/>
      <c r="AJ106" s="10"/>
      <c r="AK106" s="10"/>
      <c r="AL106" s="9">
        <f t="shared" si="15"/>
        <v>2266650</v>
      </c>
      <c r="AM106" s="1"/>
      <c r="AN106" s="1"/>
      <c r="AO106" s="1"/>
      <c r="AP106" s="1" t="s">
        <v>4064</v>
      </c>
      <c r="AQ106" s="11" t="s">
        <v>4065</v>
      </c>
      <c r="AR106" s="1" t="s">
        <v>4067</v>
      </c>
      <c r="AS106" s="1" t="s">
        <v>4059</v>
      </c>
      <c r="AT106" s="1" t="s">
        <v>49</v>
      </c>
      <c r="AU106" s="1" t="s">
        <v>4171</v>
      </c>
    </row>
    <row r="107" spans="1:47" ht="15" customHeight="1" x14ac:dyDescent="0.25">
      <c r="A107" s="1">
        <v>106</v>
      </c>
      <c r="B107" s="1" t="s">
        <v>1258</v>
      </c>
      <c r="C107" s="1" t="s">
        <v>38</v>
      </c>
      <c r="D107" s="1">
        <v>9106550018</v>
      </c>
      <c r="E107" s="5">
        <v>41911</v>
      </c>
      <c r="F107" s="1" t="s">
        <v>3125</v>
      </c>
      <c r="G107" s="1" t="s">
        <v>40</v>
      </c>
      <c r="H107" s="1" t="s">
        <v>3109</v>
      </c>
      <c r="I107" s="1" t="s">
        <v>3122</v>
      </c>
      <c r="J107" s="1" t="s">
        <v>1116</v>
      </c>
      <c r="K107" s="1">
        <v>34021300</v>
      </c>
      <c r="L107" s="6">
        <v>39.274999999999999</v>
      </c>
      <c r="M107" s="1" t="s">
        <v>70</v>
      </c>
      <c r="N107" s="7" t="s">
        <v>67</v>
      </c>
      <c r="O107" s="1" t="s">
        <v>1117</v>
      </c>
      <c r="P107" s="8">
        <v>115000</v>
      </c>
      <c r="Q107" s="17">
        <f t="shared" si="16"/>
        <v>4516625</v>
      </c>
      <c r="R107" s="9">
        <v>0</v>
      </c>
      <c r="S107" s="9">
        <v>0</v>
      </c>
      <c r="T107" s="9">
        <v>0</v>
      </c>
      <c r="U107" s="10">
        <v>0</v>
      </c>
      <c r="V107" s="1" t="s">
        <v>46</v>
      </c>
      <c r="W107" s="1" t="s">
        <v>361</v>
      </c>
      <c r="X107" s="1">
        <v>5157752</v>
      </c>
      <c r="Y107" s="11">
        <v>41905</v>
      </c>
      <c r="Z107" s="11">
        <v>41906</v>
      </c>
      <c r="AA107" s="9">
        <f t="shared" si="11"/>
        <v>4516625</v>
      </c>
      <c r="AB107" s="12">
        <v>1</v>
      </c>
      <c r="AC107" s="9">
        <f t="shared" si="12"/>
        <v>4516625</v>
      </c>
      <c r="AD107" s="9">
        <f t="shared" si="13"/>
        <v>4516625</v>
      </c>
      <c r="AE107" s="1" t="s">
        <v>4162</v>
      </c>
      <c r="AF107" s="1" t="s">
        <v>1117</v>
      </c>
      <c r="AG107" s="4">
        <f t="shared" si="14"/>
        <v>4516625</v>
      </c>
      <c r="AH107" s="10">
        <v>4516625</v>
      </c>
      <c r="AI107" s="10"/>
      <c r="AJ107" s="10"/>
      <c r="AK107" s="10"/>
      <c r="AL107" s="9">
        <f t="shared" si="15"/>
        <v>4516625</v>
      </c>
      <c r="AM107" s="1"/>
      <c r="AN107" s="1"/>
      <c r="AO107" s="1"/>
      <c r="AP107" s="1" t="s">
        <v>4064</v>
      </c>
      <c r="AQ107" s="11" t="s">
        <v>4065</v>
      </c>
      <c r="AR107" s="1" t="s">
        <v>4071</v>
      </c>
      <c r="AS107" s="1" t="s">
        <v>4059</v>
      </c>
      <c r="AT107" s="1" t="s">
        <v>49</v>
      </c>
      <c r="AU107" s="1" t="s">
        <v>4171</v>
      </c>
    </row>
    <row r="108" spans="1:47" ht="15" customHeight="1" x14ac:dyDescent="0.25">
      <c r="A108" s="1">
        <v>107</v>
      </c>
      <c r="B108" s="1" t="s">
        <v>1258</v>
      </c>
      <c r="C108" s="1" t="s">
        <v>38</v>
      </c>
      <c r="D108" s="1">
        <v>9106550019</v>
      </c>
      <c r="E108" s="5">
        <v>41909</v>
      </c>
      <c r="F108" s="1" t="s">
        <v>3126</v>
      </c>
      <c r="G108" s="1" t="s">
        <v>40</v>
      </c>
      <c r="H108" s="1" t="s">
        <v>3109</v>
      </c>
      <c r="I108" s="1" t="s">
        <v>3122</v>
      </c>
      <c r="J108" s="1" t="s">
        <v>1116</v>
      </c>
      <c r="K108" s="1">
        <v>34021300</v>
      </c>
      <c r="L108" s="6">
        <v>59.064999999999998</v>
      </c>
      <c r="M108" s="1" t="s">
        <v>70</v>
      </c>
      <c r="N108" s="7" t="s">
        <v>67</v>
      </c>
      <c r="O108" s="1" t="s">
        <v>1117</v>
      </c>
      <c r="P108" s="8">
        <v>119500</v>
      </c>
      <c r="Q108" s="17">
        <f t="shared" si="16"/>
        <v>7058267.5</v>
      </c>
      <c r="R108" s="9">
        <v>0</v>
      </c>
      <c r="S108" s="9">
        <v>0</v>
      </c>
      <c r="T108" s="9">
        <v>177233.1</v>
      </c>
      <c r="U108" s="10">
        <v>0</v>
      </c>
      <c r="V108" s="1" t="s">
        <v>46</v>
      </c>
      <c r="W108" s="1" t="s">
        <v>361</v>
      </c>
      <c r="X108" s="1">
        <v>5157753</v>
      </c>
      <c r="Y108" s="11">
        <v>41905</v>
      </c>
      <c r="Z108" s="11">
        <v>41906</v>
      </c>
      <c r="AA108" s="9">
        <f t="shared" si="11"/>
        <v>7058267.5</v>
      </c>
      <c r="AB108" s="12">
        <v>1</v>
      </c>
      <c r="AC108" s="9">
        <f t="shared" si="12"/>
        <v>7058267.5</v>
      </c>
      <c r="AD108" s="9">
        <f t="shared" si="13"/>
        <v>7058267.5</v>
      </c>
      <c r="AE108" s="1" t="s">
        <v>4162</v>
      </c>
      <c r="AF108" s="1" t="s">
        <v>1117</v>
      </c>
      <c r="AG108" s="4">
        <f t="shared" si="14"/>
        <v>7058267.5</v>
      </c>
      <c r="AH108" s="10">
        <v>7058267.5</v>
      </c>
      <c r="AI108" s="10"/>
      <c r="AJ108" s="10"/>
      <c r="AK108" s="10"/>
      <c r="AL108" s="9">
        <f t="shared" si="15"/>
        <v>7058267.5</v>
      </c>
      <c r="AM108" s="1"/>
      <c r="AN108" s="1"/>
      <c r="AO108" s="1"/>
      <c r="AP108" s="1" t="s">
        <v>3917</v>
      </c>
      <c r="AQ108" s="11">
        <v>42663</v>
      </c>
      <c r="AR108" s="1" t="s">
        <v>4318</v>
      </c>
      <c r="AS108" s="11">
        <v>42664</v>
      </c>
      <c r="AT108" s="1" t="s">
        <v>49</v>
      </c>
      <c r="AU108" s="1" t="s">
        <v>4171</v>
      </c>
    </row>
    <row r="109" spans="1:47" ht="15" customHeight="1" x14ac:dyDescent="0.25">
      <c r="A109" s="1">
        <v>108</v>
      </c>
      <c r="B109" s="1" t="s">
        <v>1258</v>
      </c>
      <c r="C109" s="1" t="s">
        <v>38</v>
      </c>
      <c r="D109" s="1">
        <v>9106550020</v>
      </c>
      <c r="E109" s="5">
        <v>41906</v>
      </c>
      <c r="F109" s="1" t="s">
        <v>3127</v>
      </c>
      <c r="G109" s="1" t="s">
        <v>40</v>
      </c>
      <c r="H109" s="1" t="s">
        <v>3109</v>
      </c>
      <c r="I109" s="1" t="s">
        <v>3122</v>
      </c>
      <c r="J109" s="1" t="s">
        <v>1116</v>
      </c>
      <c r="K109" s="1">
        <v>34021300</v>
      </c>
      <c r="L109" s="6">
        <v>39.770000000000003</v>
      </c>
      <c r="M109" s="1" t="s">
        <v>70</v>
      </c>
      <c r="N109" s="7" t="s">
        <v>67</v>
      </c>
      <c r="O109" s="1" t="s">
        <v>1117</v>
      </c>
      <c r="P109" s="8">
        <v>115000</v>
      </c>
      <c r="Q109" s="17">
        <f t="shared" si="16"/>
        <v>4573550</v>
      </c>
      <c r="R109" s="9">
        <v>0</v>
      </c>
      <c r="S109" s="9">
        <v>0</v>
      </c>
      <c r="T109" s="9">
        <v>0</v>
      </c>
      <c r="U109" s="10">
        <v>0</v>
      </c>
      <c r="V109" s="1" t="s">
        <v>46</v>
      </c>
      <c r="W109" s="1" t="s">
        <v>361</v>
      </c>
      <c r="X109" s="1">
        <v>5023050</v>
      </c>
      <c r="Y109" s="11">
        <v>41898</v>
      </c>
      <c r="Z109" s="11">
        <v>41898</v>
      </c>
      <c r="AA109" s="9">
        <f t="shared" si="11"/>
        <v>4573550</v>
      </c>
      <c r="AB109" s="12">
        <v>1</v>
      </c>
      <c r="AC109" s="9">
        <f t="shared" si="12"/>
        <v>4573550</v>
      </c>
      <c r="AD109" s="9">
        <f t="shared" si="13"/>
        <v>4573550</v>
      </c>
      <c r="AE109" s="1" t="s">
        <v>4162</v>
      </c>
      <c r="AF109" s="1" t="s">
        <v>1117</v>
      </c>
      <c r="AG109" s="4">
        <f t="shared" si="14"/>
        <v>4573550</v>
      </c>
      <c r="AH109" s="10">
        <v>4573550</v>
      </c>
      <c r="AI109" s="10"/>
      <c r="AJ109" s="10"/>
      <c r="AK109" s="10"/>
      <c r="AL109" s="9">
        <f t="shared" si="15"/>
        <v>4573550</v>
      </c>
      <c r="AM109" s="1"/>
      <c r="AN109" s="1"/>
      <c r="AO109" s="1"/>
      <c r="AP109" s="1" t="s">
        <v>4064</v>
      </c>
      <c r="AQ109" s="11" t="s">
        <v>4065</v>
      </c>
      <c r="AR109" s="1" t="s">
        <v>4072</v>
      </c>
      <c r="AS109" s="1" t="s">
        <v>4059</v>
      </c>
      <c r="AT109" s="1" t="s">
        <v>49</v>
      </c>
      <c r="AU109" s="1" t="s">
        <v>4171</v>
      </c>
    </row>
    <row r="110" spans="1:47" ht="15" customHeight="1" x14ac:dyDescent="0.25">
      <c r="A110" s="1">
        <v>109</v>
      </c>
      <c r="B110" s="1" t="s">
        <v>1258</v>
      </c>
      <c r="C110" s="1" t="s">
        <v>38</v>
      </c>
      <c r="D110" s="1">
        <v>9106550021</v>
      </c>
      <c r="E110" s="5">
        <v>41906</v>
      </c>
      <c r="F110" s="1" t="s">
        <v>3128</v>
      </c>
      <c r="G110" s="1" t="s">
        <v>40</v>
      </c>
      <c r="H110" s="1" t="s">
        <v>3109</v>
      </c>
      <c r="I110" s="1" t="s">
        <v>3122</v>
      </c>
      <c r="J110" s="1" t="s">
        <v>1116</v>
      </c>
      <c r="K110" s="1">
        <v>34021300</v>
      </c>
      <c r="L110" s="6">
        <v>59.12</v>
      </c>
      <c r="M110" s="1" t="s">
        <v>70</v>
      </c>
      <c r="N110" s="7" t="s">
        <v>67</v>
      </c>
      <c r="O110" s="1" t="s">
        <v>1117</v>
      </c>
      <c r="P110" s="8">
        <v>119500</v>
      </c>
      <c r="Q110" s="17">
        <f t="shared" si="16"/>
        <v>7064840</v>
      </c>
      <c r="R110" s="9">
        <v>0</v>
      </c>
      <c r="S110" s="9">
        <v>0</v>
      </c>
      <c r="T110" s="9">
        <v>177398.13</v>
      </c>
      <c r="U110" s="10">
        <v>0</v>
      </c>
      <c r="V110" s="1" t="s">
        <v>46</v>
      </c>
      <c r="W110" s="1" t="s">
        <v>361</v>
      </c>
      <c r="X110" s="1">
        <v>5023341</v>
      </c>
      <c r="Y110" s="11">
        <v>41898</v>
      </c>
      <c r="Z110" s="11">
        <v>41898</v>
      </c>
      <c r="AA110" s="9">
        <f t="shared" si="11"/>
        <v>7064840</v>
      </c>
      <c r="AB110" s="12">
        <v>1</v>
      </c>
      <c r="AC110" s="9">
        <f t="shared" si="12"/>
        <v>7064840</v>
      </c>
      <c r="AD110" s="9">
        <f t="shared" si="13"/>
        <v>7064840</v>
      </c>
      <c r="AE110" s="1" t="s">
        <v>4162</v>
      </c>
      <c r="AF110" s="1" t="s">
        <v>1117</v>
      </c>
      <c r="AG110" s="4">
        <f t="shared" si="14"/>
        <v>7064840</v>
      </c>
      <c r="AH110" s="10">
        <v>7064840</v>
      </c>
      <c r="AI110" s="10"/>
      <c r="AJ110" s="10"/>
      <c r="AK110" s="10"/>
      <c r="AL110" s="9">
        <f t="shared" si="15"/>
        <v>7064840</v>
      </c>
      <c r="AM110" s="1"/>
      <c r="AN110" s="1"/>
      <c r="AO110" s="1"/>
      <c r="AP110" s="1" t="s">
        <v>4064</v>
      </c>
      <c r="AQ110" s="11" t="s">
        <v>4065</v>
      </c>
      <c r="AR110" s="1" t="s">
        <v>4073</v>
      </c>
      <c r="AS110" s="1" t="s">
        <v>4059</v>
      </c>
      <c r="AT110" s="1" t="s">
        <v>49</v>
      </c>
      <c r="AU110" s="1" t="s">
        <v>4171</v>
      </c>
    </row>
    <row r="111" spans="1:47" ht="15" customHeight="1" x14ac:dyDescent="0.25">
      <c r="A111" s="1">
        <v>110</v>
      </c>
      <c r="B111" s="1" t="s">
        <v>1258</v>
      </c>
      <c r="C111" s="1" t="s">
        <v>38</v>
      </c>
      <c r="D111" s="1">
        <v>9106550024</v>
      </c>
      <c r="E111" s="5">
        <v>41940</v>
      </c>
      <c r="F111" s="1" t="s">
        <v>3129</v>
      </c>
      <c r="G111" s="1" t="s">
        <v>40</v>
      </c>
      <c r="H111" s="1" t="s">
        <v>3109</v>
      </c>
      <c r="I111" s="1" t="s">
        <v>3122</v>
      </c>
      <c r="J111" s="1" t="s">
        <v>1116</v>
      </c>
      <c r="K111" s="1">
        <v>34021300</v>
      </c>
      <c r="L111" s="6">
        <v>19.86</v>
      </c>
      <c r="M111" s="1" t="s">
        <v>70</v>
      </c>
      <c r="N111" s="7" t="s">
        <v>67</v>
      </c>
      <c r="O111" s="1" t="s">
        <v>1117</v>
      </c>
      <c r="P111" s="8">
        <v>108025</v>
      </c>
      <c r="Q111" s="17">
        <f t="shared" si="16"/>
        <v>2145376.5</v>
      </c>
      <c r="R111" s="9">
        <v>0</v>
      </c>
      <c r="S111" s="9">
        <v>0</v>
      </c>
      <c r="T111" s="9">
        <v>109242.57</v>
      </c>
      <c r="U111" s="10">
        <v>0</v>
      </c>
      <c r="V111" s="1" t="s">
        <v>46</v>
      </c>
      <c r="W111" s="1" t="s">
        <v>361</v>
      </c>
      <c r="X111" s="1">
        <v>5681817</v>
      </c>
      <c r="Y111" s="11">
        <v>41934</v>
      </c>
      <c r="Z111" s="11">
        <v>41936</v>
      </c>
      <c r="AA111" s="9">
        <f t="shared" si="11"/>
        <v>2145376.5</v>
      </c>
      <c r="AB111" s="12">
        <v>1</v>
      </c>
      <c r="AC111" s="9">
        <f t="shared" si="12"/>
        <v>2145376.5</v>
      </c>
      <c r="AD111" s="9">
        <f t="shared" si="13"/>
        <v>2145376.5</v>
      </c>
      <c r="AE111" s="1" t="s">
        <v>4162</v>
      </c>
      <c r="AF111" s="1" t="s">
        <v>1117</v>
      </c>
      <c r="AG111" s="4">
        <f t="shared" si="14"/>
        <v>2145376.5</v>
      </c>
      <c r="AH111" s="10">
        <v>2145376.5</v>
      </c>
      <c r="AI111" s="10"/>
      <c r="AJ111" s="10"/>
      <c r="AK111" s="10"/>
      <c r="AL111" s="9">
        <f t="shared" si="15"/>
        <v>2145376.5</v>
      </c>
      <c r="AM111" s="1"/>
      <c r="AN111" s="1"/>
      <c r="AO111" s="1"/>
      <c r="AP111" s="1" t="s">
        <v>4086</v>
      </c>
      <c r="AQ111" s="11" t="s">
        <v>4065</v>
      </c>
      <c r="AR111" s="1" t="s">
        <v>4085</v>
      </c>
      <c r="AS111" s="1" t="s">
        <v>4059</v>
      </c>
      <c r="AT111" s="1" t="s">
        <v>49</v>
      </c>
      <c r="AU111" s="1" t="s">
        <v>4171</v>
      </c>
    </row>
    <row r="112" spans="1:47" ht="15" customHeight="1" x14ac:dyDescent="0.25">
      <c r="A112" s="1">
        <v>111</v>
      </c>
      <c r="B112" s="1" t="s">
        <v>1258</v>
      </c>
      <c r="C112" s="1" t="s">
        <v>38</v>
      </c>
      <c r="D112" s="1">
        <v>9106550025</v>
      </c>
      <c r="E112" s="5">
        <v>41942</v>
      </c>
      <c r="F112" s="1" t="s">
        <v>3130</v>
      </c>
      <c r="G112" s="1" t="s">
        <v>40</v>
      </c>
      <c r="H112" s="1" t="s">
        <v>3109</v>
      </c>
      <c r="I112" s="1" t="s">
        <v>3122</v>
      </c>
      <c r="J112" s="1" t="s">
        <v>1116</v>
      </c>
      <c r="K112" s="1">
        <v>34021300</v>
      </c>
      <c r="L112" s="6">
        <v>98.864999999999995</v>
      </c>
      <c r="M112" s="1" t="s">
        <v>70</v>
      </c>
      <c r="N112" s="7" t="s">
        <v>67</v>
      </c>
      <c r="O112" s="1" t="s">
        <v>1117</v>
      </c>
      <c r="P112" s="8">
        <v>108025</v>
      </c>
      <c r="Q112" s="17">
        <f t="shared" si="16"/>
        <v>10679891.625</v>
      </c>
      <c r="R112" s="9">
        <v>0</v>
      </c>
      <c r="S112" s="9">
        <v>0</v>
      </c>
      <c r="T112" s="9">
        <v>543820.07999999996</v>
      </c>
      <c r="U112" s="10">
        <v>0</v>
      </c>
      <c r="V112" s="1" t="s">
        <v>46</v>
      </c>
      <c r="W112" s="1" t="s">
        <v>361</v>
      </c>
      <c r="X112" s="1">
        <v>5728384</v>
      </c>
      <c r="Y112" s="11">
        <v>41939</v>
      </c>
      <c r="Z112" s="11">
        <v>41940</v>
      </c>
      <c r="AA112" s="9">
        <f t="shared" si="11"/>
        <v>10679891.625</v>
      </c>
      <c r="AB112" s="12">
        <v>1</v>
      </c>
      <c r="AC112" s="9">
        <f t="shared" si="12"/>
        <v>10679891.625</v>
      </c>
      <c r="AD112" s="9">
        <f t="shared" si="13"/>
        <v>10679891.625</v>
      </c>
      <c r="AE112" s="1" t="s">
        <v>4162</v>
      </c>
      <c r="AF112" s="1" t="s">
        <v>1117</v>
      </c>
      <c r="AG112" s="4">
        <f t="shared" si="14"/>
        <v>10679891.625</v>
      </c>
      <c r="AH112" s="10">
        <v>10679891.630000001</v>
      </c>
      <c r="AI112" s="10"/>
      <c r="AJ112" s="10"/>
      <c r="AK112" s="10"/>
      <c r="AL112" s="9">
        <f t="shared" si="15"/>
        <v>10679891.630000001</v>
      </c>
      <c r="AM112" s="1"/>
      <c r="AN112" s="1"/>
      <c r="AO112" s="1"/>
      <c r="AP112" s="1" t="s">
        <v>3999</v>
      </c>
      <c r="AQ112" s="11" t="s">
        <v>3995</v>
      </c>
      <c r="AR112" s="1" t="s">
        <v>3998</v>
      </c>
      <c r="AS112" s="1" t="s">
        <v>3991</v>
      </c>
      <c r="AT112" s="1" t="s">
        <v>49</v>
      </c>
      <c r="AU112" s="1" t="s">
        <v>4171</v>
      </c>
    </row>
    <row r="113" spans="1:47" ht="15" customHeight="1" x14ac:dyDescent="0.25">
      <c r="A113" s="1">
        <v>112</v>
      </c>
      <c r="B113" s="1" t="s">
        <v>1258</v>
      </c>
      <c r="C113" s="1" t="s">
        <v>38</v>
      </c>
      <c r="D113" s="1">
        <v>9106550026</v>
      </c>
      <c r="E113" s="5">
        <v>41960</v>
      </c>
      <c r="F113" s="1" t="s">
        <v>3131</v>
      </c>
      <c r="G113" s="1" t="s">
        <v>40</v>
      </c>
      <c r="H113" s="1" t="s">
        <v>3109</v>
      </c>
      <c r="I113" s="1" t="s">
        <v>3122</v>
      </c>
      <c r="J113" s="1" t="s">
        <v>1116</v>
      </c>
      <c r="K113" s="1">
        <v>34021300</v>
      </c>
      <c r="L113" s="6">
        <v>39.365000000000002</v>
      </c>
      <c r="M113" s="1" t="s">
        <v>70</v>
      </c>
      <c r="N113" s="7" t="s">
        <v>67</v>
      </c>
      <c r="O113" s="1" t="s">
        <v>1117</v>
      </c>
      <c r="P113" s="8">
        <v>108025</v>
      </c>
      <c r="Q113" s="17">
        <f t="shared" si="16"/>
        <v>4252404.125</v>
      </c>
      <c r="R113" s="9">
        <v>0</v>
      </c>
      <c r="S113" s="9">
        <v>0</v>
      </c>
      <c r="T113" s="9">
        <v>216532.42</v>
      </c>
      <c r="U113" s="10">
        <v>0</v>
      </c>
      <c r="V113" s="1" t="s">
        <v>46</v>
      </c>
      <c r="W113" s="1" t="s">
        <v>361</v>
      </c>
      <c r="X113" s="1">
        <v>6050741</v>
      </c>
      <c r="Y113" s="11">
        <v>41957</v>
      </c>
      <c r="Z113" s="11">
        <v>41957</v>
      </c>
      <c r="AA113" s="9">
        <f t="shared" si="11"/>
        <v>4252404.125</v>
      </c>
      <c r="AB113" s="12">
        <v>1</v>
      </c>
      <c r="AC113" s="9">
        <f t="shared" si="12"/>
        <v>4252404.125</v>
      </c>
      <c r="AD113" s="9">
        <f t="shared" si="13"/>
        <v>4252404.125</v>
      </c>
      <c r="AE113" s="1" t="s">
        <v>4162</v>
      </c>
      <c r="AF113" s="1" t="s">
        <v>1117</v>
      </c>
      <c r="AG113" s="4">
        <f t="shared" si="14"/>
        <v>4252404.125</v>
      </c>
      <c r="AH113" s="10">
        <v>4252404.13</v>
      </c>
      <c r="AI113" s="10"/>
      <c r="AJ113" s="10"/>
      <c r="AK113" s="10"/>
      <c r="AL113" s="9">
        <f t="shared" si="15"/>
        <v>4252404.13</v>
      </c>
      <c r="AM113" s="1"/>
      <c r="AN113" s="1"/>
      <c r="AO113" s="1"/>
      <c r="AP113" s="1" t="s">
        <v>4001</v>
      </c>
      <c r="AQ113" s="11" t="s">
        <v>3995</v>
      </c>
      <c r="AR113" s="1" t="s">
        <v>4000</v>
      </c>
      <c r="AS113" s="1" t="s">
        <v>3991</v>
      </c>
      <c r="AT113" s="1" t="s">
        <v>49</v>
      </c>
      <c r="AU113" s="1" t="s">
        <v>4171</v>
      </c>
    </row>
    <row r="114" spans="1:47" ht="15" customHeight="1" x14ac:dyDescent="0.25">
      <c r="A114" s="1">
        <v>113</v>
      </c>
      <c r="B114" s="1" t="s">
        <v>1258</v>
      </c>
      <c r="C114" s="1" t="s">
        <v>38</v>
      </c>
      <c r="D114" s="1">
        <v>9106550026</v>
      </c>
      <c r="E114" s="5">
        <v>41960</v>
      </c>
      <c r="F114" s="1" t="s">
        <v>3132</v>
      </c>
      <c r="G114" s="1" t="s">
        <v>40</v>
      </c>
      <c r="H114" s="1" t="s">
        <v>3109</v>
      </c>
      <c r="I114" s="1" t="s">
        <v>3122</v>
      </c>
      <c r="J114" s="1" t="s">
        <v>1116</v>
      </c>
      <c r="K114" s="1">
        <v>34021300</v>
      </c>
      <c r="L114" s="6">
        <v>59.02</v>
      </c>
      <c r="M114" s="1" t="s">
        <v>70</v>
      </c>
      <c r="N114" s="7" t="s">
        <v>67</v>
      </c>
      <c r="O114" s="1" t="s">
        <v>1117</v>
      </c>
      <c r="P114" s="8">
        <v>108025</v>
      </c>
      <c r="Q114" s="17">
        <f t="shared" si="16"/>
        <v>6375635.5</v>
      </c>
      <c r="R114" s="9">
        <v>0</v>
      </c>
      <c r="S114" s="9">
        <v>0</v>
      </c>
      <c r="T114" s="9">
        <v>324647.36</v>
      </c>
      <c r="U114" s="10">
        <v>0</v>
      </c>
      <c r="V114" s="1" t="s">
        <v>46</v>
      </c>
      <c r="W114" s="1" t="s">
        <v>361</v>
      </c>
      <c r="X114" s="1">
        <v>6040467</v>
      </c>
      <c r="Y114" s="11">
        <v>41956</v>
      </c>
      <c r="Z114" s="11">
        <v>41958</v>
      </c>
      <c r="AA114" s="9">
        <f t="shared" si="11"/>
        <v>6375635.5</v>
      </c>
      <c r="AB114" s="12">
        <v>1</v>
      </c>
      <c r="AC114" s="9">
        <f t="shared" si="12"/>
        <v>6375635.5</v>
      </c>
      <c r="AD114" s="9">
        <f t="shared" si="13"/>
        <v>6375635.5</v>
      </c>
      <c r="AE114" s="1" t="s">
        <v>4162</v>
      </c>
      <c r="AF114" s="1" t="s">
        <v>1117</v>
      </c>
      <c r="AG114" s="4">
        <f t="shared" si="14"/>
        <v>6375635.5</v>
      </c>
      <c r="AH114" s="10">
        <v>6375635.5</v>
      </c>
      <c r="AI114" s="10"/>
      <c r="AJ114" s="10"/>
      <c r="AK114" s="10"/>
      <c r="AL114" s="9">
        <f t="shared" si="15"/>
        <v>6375635.5</v>
      </c>
      <c r="AM114" s="1"/>
      <c r="AN114" s="1"/>
      <c r="AO114" s="1"/>
      <c r="AP114" s="1" t="s">
        <v>4001</v>
      </c>
      <c r="AQ114" s="11" t="s">
        <v>3995</v>
      </c>
      <c r="AR114" s="1" t="s">
        <v>4002</v>
      </c>
      <c r="AS114" s="1" t="s">
        <v>3991</v>
      </c>
      <c r="AT114" s="1" t="s">
        <v>49</v>
      </c>
      <c r="AU114" s="1" t="s">
        <v>4171</v>
      </c>
    </row>
    <row r="115" spans="1:47" ht="15" customHeight="1" x14ac:dyDescent="0.25">
      <c r="A115" s="1">
        <v>114</v>
      </c>
      <c r="B115" s="1" t="s">
        <v>1258</v>
      </c>
      <c r="C115" s="1" t="s">
        <v>38</v>
      </c>
      <c r="D115" s="1">
        <v>9106550027</v>
      </c>
      <c r="E115" s="5">
        <v>41966</v>
      </c>
      <c r="F115" s="1" t="s">
        <v>3133</v>
      </c>
      <c r="G115" s="1" t="s">
        <v>40</v>
      </c>
      <c r="H115" s="1" t="s">
        <v>3109</v>
      </c>
      <c r="I115" s="1" t="s">
        <v>3122</v>
      </c>
      <c r="J115" s="1" t="s">
        <v>1116</v>
      </c>
      <c r="K115" s="1">
        <v>34021300</v>
      </c>
      <c r="L115" s="6">
        <v>39</v>
      </c>
      <c r="M115" s="1" t="s">
        <v>70</v>
      </c>
      <c r="N115" s="7" t="s">
        <v>67</v>
      </c>
      <c r="O115" s="1" t="s">
        <v>1117</v>
      </c>
      <c r="P115" s="8">
        <v>108025</v>
      </c>
      <c r="Q115" s="17">
        <f t="shared" si="16"/>
        <v>4212975</v>
      </c>
      <c r="R115" s="9">
        <v>0</v>
      </c>
      <c r="S115" s="9">
        <v>0</v>
      </c>
      <c r="T115" s="9">
        <v>214524.69</v>
      </c>
      <c r="U115" s="10">
        <v>0</v>
      </c>
      <c r="V115" s="1" t="s">
        <v>46</v>
      </c>
      <c r="W115" s="1" t="s">
        <v>361</v>
      </c>
      <c r="X115" s="1">
        <v>6150318</v>
      </c>
      <c r="Y115" s="11">
        <v>41962</v>
      </c>
      <c r="Z115" s="11">
        <v>41963</v>
      </c>
      <c r="AA115" s="9">
        <f t="shared" si="11"/>
        <v>4212975</v>
      </c>
      <c r="AB115" s="12">
        <v>1</v>
      </c>
      <c r="AC115" s="9">
        <f t="shared" si="12"/>
        <v>4212975</v>
      </c>
      <c r="AD115" s="9">
        <f t="shared" si="13"/>
        <v>4212975</v>
      </c>
      <c r="AE115" s="1" t="s">
        <v>4162</v>
      </c>
      <c r="AF115" s="1" t="s">
        <v>1117</v>
      </c>
      <c r="AG115" s="4">
        <f t="shared" si="14"/>
        <v>4212975</v>
      </c>
      <c r="AH115" s="10">
        <v>4212975</v>
      </c>
      <c r="AI115" s="10"/>
      <c r="AJ115" s="10"/>
      <c r="AK115" s="10"/>
      <c r="AL115" s="9">
        <f t="shared" si="15"/>
        <v>4212975</v>
      </c>
      <c r="AM115" s="1"/>
      <c r="AN115" s="1"/>
      <c r="AO115" s="1"/>
      <c r="AP115" s="1" t="s">
        <v>4322</v>
      </c>
      <c r="AQ115" s="11">
        <v>41963</v>
      </c>
      <c r="AR115" s="1"/>
      <c r="AS115" s="1"/>
      <c r="AT115" s="1" t="s">
        <v>49</v>
      </c>
      <c r="AU115" s="1" t="s">
        <v>4321</v>
      </c>
    </row>
    <row r="116" spans="1:47" ht="15" customHeight="1" x14ac:dyDescent="0.25">
      <c r="A116" s="1">
        <v>115</v>
      </c>
      <c r="B116" s="1" t="s">
        <v>1258</v>
      </c>
      <c r="C116" s="1" t="s">
        <v>38</v>
      </c>
      <c r="D116" s="1">
        <v>9106550028</v>
      </c>
      <c r="E116" s="5">
        <v>41971</v>
      </c>
      <c r="F116" s="1" t="s">
        <v>3134</v>
      </c>
      <c r="G116" s="1" t="s">
        <v>40</v>
      </c>
      <c r="H116" s="1" t="s">
        <v>3109</v>
      </c>
      <c r="I116" s="1" t="s">
        <v>3122</v>
      </c>
      <c r="J116" s="1" t="s">
        <v>1116</v>
      </c>
      <c r="K116" s="1">
        <v>34021300</v>
      </c>
      <c r="L116" s="6">
        <v>39</v>
      </c>
      <c r="M116" s="1" t="s">
        <v>70</v>
      </c>
      <c r="N116" s="7" t="s">
        <v>67</v>
      </c>
      <c r="O116" s="1" t="s">
        <v>1117</v>
      </c>
      <c r="P116" s="8">
        <v>108025</v>
      </c>
      <c r="Q116" s="17">
        <f t="shared" si="16"/>
        <v>4212975</v>
      </c>
      <c r="R116" s="9">
        <v>0</v>
      </c>
      <c r="S116" s="9">
        <v>0</v>
      </c>
      <c r="T116" s="9">
        <v>214524.69</v>
      </c>
      <c r="U116" s="10">
        <v>0</v>
      </c>
      <c r="V116" s="1" t="s">
        <v>46</v>
      </c>
      <c r="W116" s="1" t="s">
        <v>361</v>
      </c>
      <c r="X116" s="1">
        <v>6265181</v>
      </c>
      <c r="Y116" s="11">
        <v>41968</v>
      </c>
      <c r="Z116" s="11">
        <v>41969</v>
      </c>
      <c r="AA116" s="9">
        <f t="shared" si="11"/>
        <v>4212975</v>
      </c>
      <c r="AB116" s="12">
        <v>1</v>
      </c>
      <c r="AC116" s="9">
        <f t="shared" si="12"/>
        <v>4212975</v>
      </c>
      <c r="AD116" s="9">
        <f t="shared" si="13"/>
        <v>4212975</v>
      </c>
      <c r="AE116" s="1" t="s">
        <v>4162</v>
      </c>
      <c r="AF116" s="1" t="s">
        <v>1117</v>
      </c>
      <c r="AG116" s="4">
        <f t="shared" si="14"/>
        <v>4212975</v>
      </c>
      <c r="AH116" s="10">
        <v>4212975</v>
      </c>
      <c r="AI116" s="10"/>
      <c r="AJ116" s="10"/>
      <c r="AK116" s="10"/>
      <c r="AL116" s="9">
        <f t="shared" si="15"/>
        <v>4212975</v>
      </c>
      <c r="AM116" s="1"/>
      <c r="AN116" s="1"/>
      <c r="AO116" s="1"/>
      <c r="AP116" s="1" t="s">
        <v>3997</v>
      </c>
      <c r="AQ116" s="11" t="s">
        <v>3995</v>
      </c>
      <c r="AR116" s="1" t="s">
        <v>3996</v>
      </c>
      <c r="AS116" s="1" t="s">
        <v>3991</v>
      </c>
      <c r="AT116" s="1" t="s">
        <v>49</v>
      </c>
      <c r="AU116" s="1" t="s">
        <v>4171</v>
      </c>
    </row>
    <row r="117" spans="1:47" ht="15" customHeight="1" x14ac:dyDescent="0.25">
      <c r="A117" s="1">
        <v>116</v>
      </c>
      <c r="B117" s="1" t="s">
        <v>1258</v>
      </c>
      <c r="C117" s="1" t="s">
        <v>38</v>
      </c>
      <c r="D117" s="1">
        <v>9106550029</v>
      </c>
      <c r="E117" s="5">
        <v>41975</v>
      </c>
      <c r="F117" s="1" t="s">
        <v>3135</v>
      </c>
      <c r="G117" s="1" t="s">
        <v>40</v>
      </c>
      <c r="H117" s="1" t="s">
        <v>3109</v>
      </c>
      <c r="I117" s="1" t="s">
        <v>3122</v>
      </c>
      <c r="J117" s="1" t="s">
        <v>1116</v>
      </c>
      <c r="K117" s="1">
        <v>34021300</v>
      </c>
      <c r="L117" s="6">
        <v>19.5</v>
      </c>
      <c r="M117" s="1" t="s">
        <v>70</v>
      </c>
      <c r="N117" s="7" t="s">
        <v>67</v>
      </c>
      <c r="O117" s="1" t="s">
        <v>1117</v>
      </c>
      <c r="P117" s="8">
        <v>108025</v>
      </c>
      <c r="Q117" s="17">
        <f t="shared" si="16"/>
        <v>2106487.5</v>
      </c>
      <c r="R117" s="9">
        <v>0</v>
      </c>
      <c r="S117" s="9">
        <v>0</v>
      </c>
      <c r="T117" s="9">
        <v>107262.34</v>
      </c>
      <c r="U117" s="10">
        <v>0</v>
      </c>
      <c r="V117" s="1" t="s">
        <v>46</v>
      </c>
      <c r="W117" s="1" t="s">
        <v>361</v>
      </c>
      <c r="X117" s="1">
        <v>6303364</v>
      </c>
      <c r="Y117" s="11">
        <v>41970</v>
      </c>
      <c r="Z117" s="11">
        <v>41974</v>
      </c>
      <c r="AA117" s="9">
        <f t="shared" si="11"/>
        <v>2106487.5</v>
      </c>
      <c r="AB117" s="12">
        <v>1</v>
      </c>
      <c r="AC117" s="9">
        <f t="shared" si="12"/>
        <v>2106487.5</v>
      </c>
      <c r="AD117" s="9">
        <f t="shared" si="13"/>
        <v>2106487.5</v>
      </c>
      <c r="AE117" s="1" t="s">
        <v>4162</v>
      </c>
      <c r="AF117" s="1" t="s">
        <v>1117</v>
      </c>
      <c r="AG117" s="4">
        <f t="shared" si="14"/>
        <v>2106487.5</v>
      </c>
      <c r="AH117" s="10">
        <v>2106487.5</v>
      </c>
      <c r="AI117" s="10"/>
      <c r="AJ117" s="10"/>
      <c r="AK117" s="10"/>
      <c r="AL117" s="9">
        <f t="shared" si="15"/>
        <v>2106487.5</v>
      </c>
      <c r="AM117" s="1"/>
      <c r="AN117" s="1"/>
      <c r="AO117" s="1"/>
      <c r="AP117" s="1" t="s">
        <v>3932</v>
      </c>
      <c r="AQ117" s="11" t="s">
        <v>3928</v>
      </c>
      <c r="AR117" s="1" t="s">
        <v>3931</v>
      </c>
      <c r="AS117" s="1" t="s">
        <v>3923</v>
      </c>
      <c r="AT117" s="1" t="s">
        <v>49</v>
      </c>
      <c r="AU117" s="1" t="s">
        <v>4171</v>
      </c>
    </row>
    <row r="118" spans="1:47" ht="15" customHeight="1" x14ac:dyDescent="0.25">
      <c r="A118" s="1">
        <v>117</v>
      </c>
      <c r="B118" s="1" t="s">
        <v>1258</v>
      </c>
      <c r="C118" s="1" t="s">
        <v>38</v>
      </c>
      <c r="D118" s="1" t="s">
        <v>3136</v>
      </c>
      <c r="E118" s="5">
        <v>41981</v>
      </c>
      <c r="F118" s="1" t="s">
        <v>3137</v>
      </c>
      <c r="G118" s="1" t="s">
        <v>40</v>
      </c>
      <c r="H118" s="1" t="s">
        <v>3109</v>
      </c>
      <c r="I118" s="1" t="s">
        <v>3122</v>
      </c>
      <c r="J118" s="1" t="s">
        <v>1116</v>
      </c>
      <c r="K118" s="1">
        <v>34021300</v>
      </c>
      <c r="L118" s="6">
        <v>39</v>
      </c>
      <c r="M118" s="1" t="s">
        <v>70</v>
      </c>
      <c r="N118" s="7" t="s">
        <v>67</v>
      </c>
      <c r="O118" s="1" t="s">
        <v>1117</v>
      </c>
      <c r="P118" s="8">
        <v>108025</v>
      </c>
      <c r="Q118" s="17">
        <f t="shared" si="16"/>
        <v>4212975</v>
      </c>
      <c r="R118" s="9">
        <v>0</v>
      </c>
      <c r="S118" s="9">
        <v>0</v>
      </c>
      <c r="T118" s="9">
        <v>214524.69</v>
      </c>
      <c r="U118" s="10">
        <v>0</v>
      </c>
      <c r="V118" s="1" t="s">
        <v>46</v>
      </c>
      <c r="W118" s="1" t="s">
        <v>361</v>
      </c>
      <c r="X118" s="1">
        <v>6401946</v>
      </c>
      <c r="Y118" s="11">
        <v>41975</v>
      </c>
      <c r="Z118" s="11">
        <v>41976</v>
      </c>
      <c r="AA118" s="9">
        <f t="shared" si="11"/>
        <v>4212975</v>
      </c>
      <c r="AB118" s="12">
        <v>1</v>
      </c>
      <c r="AC118" s="9">
        <f t="shared" si="12"/>
        <v>4212975</v>
      </c>
      <c r="AD118" s="9">
        <f t="shared" si="13"/>
        <v>4212975</v>
      </c>
      <c r="AE118" s="1" t="s">
        <v>4162</v>
      </c>
      <c r="AF118" s="1" t="s">
        <v>1117</v>
      </c>
      <c r="AG118" s="4">
        <f t="shared" si="14"/>
        <v>4212975</v>
      </c>
      <c r="AH118" s="10">
        <v>4212728.75</v>
      </c>
      <c r="AI118" s="10"/>
      <c r="AJ118" s="10"/>
      <c r="AK118" s="10"/>
      <c r="AL118" s="9">
        <f t="shared" si="15"/>
        <v>4212728.75</v>
      </c>
      <c r="AM118" s="1"/>
      <c r="AN118" s="1"/>
      <c r="AO118" s="1"/>
      <c r="AP118" s="1" t="s">
        <v>4056</v>
      </c>
      <c r="AQ118" s="11" t="s">
        <v>4054</v>
      </c>
      <c r="AR118" s="1" t="s">
        <v>4055</v>
      </c>
      <c r="AS118" s="1" t="s">
        <v>3971</v>
      </c>
      <c r="AT118" s="1" t="s">
        <v>49</v>
      </c>
      <c r="AU118" s="1" t="s">
        <v>4171</v>
      </c>
    </row>
    <row r="119" spans="1:47" ht="15" customHeight="1" x14ac:dyDescent="0.25">
      <c r="A119" s="1">
        <v>118</v>
      </c>
      <c r="B119" s="1" t="s">
        <v>1258</v>
      </c>
      <c r="C119" s="1" t="s">
        <v>38</v>
      </c>
      <c r="D119" s="1" t="s">
        <v>3136</v>
      </c>
      <c r="E119" s="5">
        <v>41981</v>
      </c>
      <c r="F119" s="1" t="s">
        <v>3138</v>
      </c>
      <c r="G119" s="1" t="s">
        <v>40</v>
      </c>
      <c r="H119" s="1" t="s">
        <v>3109</v>
      </c>
      <c r="I119" s="1" t="s">
        <v>3122</v>
      </c>
      <c r="J119" s="1" t="s">
        <v>1116</v>
      </c>
      <c r="K119" s="1">
        <v>34021300</v>
      </c>
      <c r="L119" s="6">
        <v>58.85</v>
      </c>
      <c r="M119" s="1" t="s">
        <v>70</v>
      </c>
      <c r="N119" s="7" t="s">
        <v>67</v>
      </c>
      <c r="O119" s="1" t="s">
        <v>1117</v>
      </c>
      <c r="P119" s="8">
        <v>108025</v>
      </c>
      <c r="Q119" s="17">
        <f t="shared" si="16"/>
        <v>6357271.25</v>
      </c>
      <c r="R119" s="9">
        <v>0</v>
      </c>
      <c r="S119" s="9">
        <v>0</v>
      </c>
      <c r="T119" s="9">
        <v>323712.25</v>
      </c>
      <c r="U119" s="10">
        <v>0</v>
      </c>
      <c r="V119" s="1" t="s">
        <v>46</v>
      </c>
      <c r="W119" s="1" t="s">
        <v>361</v>
      </c>
      <c r="X119" s="1">
        <v>6426053</v>
      </c>
      <c r="Y119" s="11">
        <v>41976</v>
      </c>
      <c r="Z119" s="11">
        <v>41977</v>
      </c>
      <c r="AA119" s="9">
        <f t="shared" si="11"/>
        <v>6357271.25</v>
      </c>
      <c r="AB119" s="12">
        <v>1</v>
      </c>
      <c r="AC119" s="9">
        <f t="shared" si="12"/>
        <v>6357271.25</v>
      </c>
      <c r="AD119" s="9">
        <f t="shared" si="13"/>
        <v>6357271.25</v>
      </c>
      <c r="AE119" s="1" t="s">
        <v>4162</v>
      </c>
      <c r="AF119" s="1" t="s">
        <v>1117</v>
      </c>
      <c r="AG119" s="4">
        <f t="shared" si="14"/>
        <v>6357271.25</v>
      </c>
      <c r="AH119" s="10">
        <v>6357271.25</v>
      </c>
      <c r="AI119" s="10"/>
      <c r="AJ119" s="10"/>
      <c r="AK119" s="10"/>
      <c r="AL119" s="9">
        <f t="shared" si="15"/>
        <v>6357271.25</v>
      </c>
      <c r="AM119" s="1"/>
      <c r="AN119" s="1"/>
      <c r="AO119" s="1"/>
      <c r="AP119" s="1" t="s">
        <v>4056</v>
      </c>
      <c r="AQ119" s="11" t="s">
        <v>4054</v>
      </c>
      <c r="AR119" s="1" t="s">
        <v>4057</v>
      </c>
      <c r="AS119" s="1" t="s">
        <v>3971</v>
      </c>
      <c r="AT119" s="1" t="s">
        <v>49</v>
      </c>
      <c r="AU119" s="1" t="s">
        <v>4171</v>
      </c>
    </row>
    <row r="120" spans="1:47" ht="15" customHeight="1" x14ac:dyDescent="0.25">
      <c r="A120" s="1">
        <v>119</v>
      </c>
      <c r="B120" s="1" t="s">
        <v>1258</v>
      </c>
      <c r="C120" s="1" t="s">
        <v>38</v>
      </c>
      <c r="D120" s="1" t="s">
        <v>3139</v>
      </c>
      <c r="E120" s="5">
        <v>42000</v>
      </c>
      <c r="F120" s="1" t="s">
        <v>3140</v>
      </c>
      <c r="G120" s="1" t="s">
        <v>40</v>
      </c>
      <c r="H120" s="1" t="s">
        <v>3109</v>
      </c>
      <c r="I120" s="1" t="s">
        <v>3122</v>
      </c>
      <c r="J120" s="1" t="s">
        <v>1116</v>
      </c>
      <c r="K120" s="1">
        <v>34021300</v>
      </c>
      <c r="L120" s="6">
        <v>39</v>
      </c>
      <c r="M120" s="1" t="s">
        <v>70</v>
      </c>
      <c r="N120" s="7" t="s">
        <v>67</v>
      </c>
      <c r="O120" s="1" t="s">
        <v>1117</v>
      </c>
      <c r="P120" s="8">
        <v>108025</v>
      </c>
      <c r="Q120" s="17">
        <f t="shared" si="16"/>
        <v>4212975</v>
      </c>
      <c r="R120" s="9">
        <v>0</v>
      </c>
      <c r="S120" s="9">
        <v>0</v>
      </c>
      <c r="T120" s="9">
        <v>214524.69</v>
      </c>
      <c r="U120" s="10">
        <v>0</v>
      </c>
      <c r="V120" s="1" t="s">
        <v>46</v>
      </c>
      <c r="W120" s="1" t="s">
        <v>361</v>
      </c>
      <c r="X120" s="1">
        <v>6774026</v>
      </c>
      <c r="Y120" s="11">
        <v>41995</v>
      </c>
      <c r="Z120" s="11">
        <v>41996</v>
      </c>
      <c r="AA120" s="9">
        <f t="shared" si="11"/>
        <v>4212975</v>
      </c>
      <c r="AB120" s="12">
        <v>1</v>
      </c>
      <c r="AC120" s="9">
        <f t="shared" si="12"/>
        <v>4212975</v>
      </c>
      <c r="AD120" s="9">
        <f t="shared" si="13"/>
        <v>4212975</v>
      </c>
      <c r="AE120" s="1" t="s">
        <v>4162</v>
      </c>
      <c r="AF120" s="1" t="s">
        <v>1117</v>
      </c>
      <c r="AG120" s="4">
        <f t="shared" si="14"/>
        <v>4212975</v>
      </c>
      <c r="AH120" s="10">
        <v>4212975</v>
      </c>
      <c r="AI120" s="10"/>
      <c r="AJ120" s="10"/>
      <c r="AK120" s="10"/>
      <c r="AL120" s="9">
        <f t="shared" si="15"/>
        <v>4212975</v>
      </c>
      <c r="AM120" s="1"/>
      <c r="AN120" s="1"/>
      <c r="AO120" s="1"/>
      <c r="AP120" s="1" t="s">
        <v>4019</v>
      </c>
      <c r="AQ120" s="11" t="s">
        <v>3977</v>
      </c>
      <c r="AR120" s="1" t="s">
        <v>4018</v>
      </c>
      <c r="AS120" s="1" t="s">
        <v>3973</v>
      </c>
      <c r="AT120" s="1" t="s">
        <v>49</v>
      </c>
      <c r="AU120" s="1" t="s">
        <v>4171</v>
      </c>
    </row>
    <row r="121" spans="1:47" ht="15" customHeight="1" x14ac:dyDescent="0.25">
      <c r="A121" s="1">
        <v>120</v>
      </c>
      <c r="B121" s="1" t="s">
        <v>1258</v>
      </c>
      <c r="C121" s="1" t="s">
        <v>38</v>
      </c>
      <c r="D121" s="1" t="s">
        <v>3139</v>
      </c>
      <c r="E121" s="5">
        <v>42000</v>
      </c>
      <c r="F121" s="1" t="s">
        <v>3141</v>
      </c>
      <c r="G121" s="1" t="s">
        <v>40</v>
      </c>
      <c r="H121" s="1" t="s">
        <v>3109</v>
      </c>
      <c r="I121" s="1" t="s">
        <v>3122</v>
      </c>
      <c r="J121" s="1" t="s">
        <v>1116</v>
      </c>
      <c r="K121" s="1">
        <v>34021300</v>
      </c>
      <c r="L121" s="6">
        <v>58.5</v>
      </c>
      <c r="M121" s="1" t="s">
        <v>70</v>
      </c>
      <c r="N121" s="7" t="s">
        <v>67</v>
      </c>
      <c r="O121" s="1" t="s">
        <v>1117</v>
      </c>
      <c r="P121" s="8">
        <v>108025</v>
      </c>
      <c r="Q121" s="17">
        <f t="shared" si="16"/>
        <v>6319462.5</v>
      </c>
      <c r="R121" s="9">
        <v>0</v>
      </c>
      <c r="S121" s="9">
        <v>0</v>
      </c>
      <c r="T121" s="9">
        <v>321787.03000000003</v>
      </c>
      <c r="U121" s="10">
        <v>0</v>
      </c>
      <c r="V121" s="1" t="s">
        <v>46</v>
      </c>
      <c r="W121" s="1" t="s">
        <v>361</v>
      </c>
      <c r="X121" s="1">
        <v>6798810</v>
      </c>
      <c r="Y121" s="11">
        <v>41996</v>
      </c>
      <c r="Z121" s="11">
        <v>41997</v>
      </c>
      <c r="AA121" s="9">
        <f t="shared" si="11"/>
        <v>6319462.5</v>
      </c>
      <c r="AB121" s="12">
        <v>1</v>
      </c>
      <c r="AC121" s="9">
        <f t="shared" si="12"/>
        <v>6319462.5</v>
      </c>
      <c r="AD121" s="9">
        <f t="shared" si="13"/>
        <v>6319462.5</v>
      </c>
      <c r="AE121" s="1" t="s">
        <v>4162</v>
      </c>
      <c r="AF121" s="1" t="s">
        <v>1117</v>
      </c>
      <c r="AG121" s="4">
        <f t="shared" si="14"/>
        <v>6319462.5</v>
      </c>
      <c r="AH121" s="10">
        <v>6319462.5</v>
      </c>
      <c r="AI121" s="10"/>
      <c r="AJ121" s="10"/>
      <c r="AK121" s="10"/>
      <c r="AL121" s="9">
        <f t="shared" si="15"/>
        <v>6319462.5</v>
      </c>
      <c r="AM121" s="1"/>
      <c r="AN121" s="1"/>
      <c r="AO121" s="1"/>
      <c r="AP121" s="1" t="s">
        <v>4019</v>
      </c>
      <c r="AQ121" s="11" t="s">
        <v>3977</v>
      </c>
      <c r="AR121" s="1" t="s">
        <v>4020</v>
      </c>
      <c r="AS121" s="1" t="s">
        <v>3973</v>
      </c>
      <c r="AT121" s="1" t="s">
        <v>49</v>
      </c>
      <c r="AU121" s="1" t="s">
        <v>4171</v>
      </c>
    </row>
    <row r="122" spans="1:47" ht="15" customHeight="1" x14ac:dyDescent="0.25">
      <c r="A122" s="1">
        <v>121</v>
      </c>
      <c r="B122" s="1" t="s">
        <v>1258</v>
      </c>
      <c r="C122" s="1" t="s">
        <v>38</v>
      </c>
      <c r="D122" s="1">
        <v>9106550034</v>
      </c>
      <c r="E122" s="5">
        <v>42002</v>
      </c>
      <c r="F122" s="1" t="s">
        <v>3142</v>
      </c>
      <c r="G122" s="1" t="s">
        <v>40</v>
      </c>
      <c r="H122" s="1" t="s">
        <v>3109</v>
      </c>
      <c r="I122" s="1" t="s">
        <v>3122</v>
      </c>
      <c r="J122" s="1" t="s">
        <v>1116</v>
      </c>
      <c r="K122" s="1">
        <v>34021300</v>
      </c>
      <c r="L122" s="6">
        <v>39</v>
      </c>
      <c r="M122" s="1" t="s">
        <v>70</v>
      </c>
      <c r="N122" s="7" t="s">
        <v>67</v>
      </c>
      <c r="O122" s="1" t="s">
        <v>1117</v>
      </c>
      <c r="P122" s="8">
        <v>116825</v>
      </c>
      <c r="Q122" s="17">
        <f t="shared" si="16"/>
        <v>4556175</v>
      </c>
      <c r="R122" s="9">
        <v>0</v>
      </c>
      <c r="S122" s="9">
        <v>0</v>
      </c>
      <c r="T122" s="9">
        <v>175503.86</v>
      </c>
      <c r="U122" s="10">
        <v>0</v>
      </c>
      <c r="V122" s="1" t="s">
        <v>46</v>
      </c>
      <c r="W122" s="1" t="s">
        <v>361</v>
      </c>
      <c r="X122" s="1">
        <v>6834226</v>
      </c>
      <c r="Y122" s="11">
        <v>41997</v>
      </c>
      <c r="Z122" s="11">
        <v>41999</v>
      </c>
      <c r="AA122" s="9">
        <f t="shared" si="11"/>
        <v>4556175</v>
      </c>
      <c r="AB122" s="12">
        <v>1</v>
      </c>
      <c r="AC122" s="9">
        <f t="shared" si="12"/>
        <v>4556175</v>
      </c>
      <c r="AD122" s="9">
        <f t="shared" si="13"/>
        <v>4556175</v>
      </c>
      <c r="AE122" s="1" t="s">
        <v>4162</v>
      </c>
      <c r="AF122" s="1" t="s">
        <v>1117</v>
      </c>
      <c r="AG122" s="4">
        <f t="shared" si="14"/>
        <v>4556175</v>
      </c>
      <c r="AH122" s="10">
        <v>4556175</v>
      </c>
      <c r="AI122" s="10"/>
      <c r="AJ122" s="10"/>
      <c r="AK122" s="10"/>
      <c r="AL122" s="9">
        <f t="shared" si="15"/>
        <v>4556175</v>
      </c>
      <c r="AM122" s="1"/>
      <c r="AN122" s="1"/>
      <c r="AO122" s="1"/>
      <c r="AP122" s="1" t="s">
        <v>4048</v>
      </c>
      <c r="AQ122" s="11" t="s">
        <v>3972</v>
      </c>
      <c r="AR122" s="1" t="s">
        <v>4047</v>
      </c>
      <c r="AS122" s="1" t="s">
        <v>4042</v>
      </c>
      <c r="AT122" s="1" t="s">
        <v>49</v>
      </c>
      <c r="AU122" s="1" t="s">
        <v>4171</v>
      </c>
    </row>
    <row r="123" spans="1:47" ht="15" customHeight="1" x14ac:dyDescent="0.25">
      <c r="A123" s="1">
        <v>122</v>
      </c>
      <c r="B123" s="1" t="s">
        <v>1258</v>
      </c>
      <c r="C123" s="1" t="s">
        <v>38</v>
      </c>
      <c r="D123" s="1">
        <v>9106550035</v>
      </c>
      <c r="E123" s="5">
        <v>42005</v>
      </c>
      <c r="F123" s="1" t="s">
        <v>3143</v>
      </c>
      <c r="G123" s="1" t="s">
        <v>40</v>
      </c>
      <c r="H123" s="1" t="s">
        <v>3109</v>
      </c>
      <c r="I123" s="1" t="s">
        <v>3122</v>
      </c>
      <c r="J123" s="1" t="s">
        <v>1116</v>
      </c>
      <c r="K123" s="1">
        <v>34021300</v>
      </c>
      <c r="L123" s="6">
        <v>39</v>
      </c>
      <c r="M123" s="1" t="s">
        <v>70</v>
      </c>
      <c r="N123" s="7" t="s">
        <v>67</v>
      </c>
      <c r="O123" s="1" t="s">
        <v>1117</v>
      </c>
      <c r="P123" s="8">
        <v>108025</v>
      </c>
      <c r="Q123" s="17">
        <f t="shared" si="16"/>
        <v>4212975</v>
      </c>
      <c r="R123" s="9">
        <v>0</v>
      </c>
      <c r="S123" s="9">
        <v>0</v>
      </c>
      <c r="T123" s="9">
        <v>214566.82</v>
      </c>
      <c r="U123" s="10">
        <v>0</v>
      </c>
      <c r="V123" s="1" t="s">
        <v>46</v>
      </c>
      <c r="W123" s="1" t="s">
        <v>361</v>
      </c>
      <c r="X123" s="1">
        <v>6901362</v>
      </c>
      <c r="Y123" s="11">
        <v>42002</v>
      </c>
      <c r="Z123" s="11">
        <v>42004</v>
      </c>
      <c r="AA123" s="9">
        <f t="shared" si="11"/>
        <v>4212975</v>
      </c>
      <c r="AB123" s="12">
        <v>1</v>
      </c>
      <c r="AC123" s="9">
        <f t="shared" si="12"/>
        <v>4212975</v>
      </c>
      <c r="AD123" s="9">
        <f t="shared" si="13"/>
        <v>4212975</v>
      </c>
      <c r="AE123" s="1" t="s">
        <v>4162</v>
      </c>
      <c r="AF123" s="1" t="s">
        <v>1117</v>
      </c>
      <c r="AG123" s="4">
        <f t="shared" si="14"/>
        <v>4212975</v>
      </c>
      <c r="AH123" s="10">
        <v>4212975</v>
      </c>
      <c r="AI123" s="10"/>
      <c r="AJ123" s="10"/>
      <c r="AK123" s="10"/>
      <c r="AL123" s="9">
        <f t="shared" si="15"/>
        <v>4212975</v>
      </c>
      <c r="AM123" s="1"/>
      <c r="AN123" s="1"/>
      <c r="AO123" s="1"/>
      <c r="AP123" s="1" t="s">
        <v>4017</v>
      </c>
      <c r="AQ123" s="11" t="s">
        <v>3973</v>
      </c>
      <c r="AR123" s="1" t="s">
        <v>4016</v>
      </c>
      <c r="AS123" s="1" t="s">
        <v>4014</v>
      </c>
      <c r="AT123" s="1" t="s">
        <v>49</v>
      </c>
      <c r="AU123" s="1" t="s">
        <v>4171</v>
      </c>
    </row>
    <row r="124" spans="1:47" ht="15" customHeight="1" x14ac:dyDescent="0.25">
      <c r="A124" s="1">
        <v>123</v>
      </c>
      <c r="B124" s="1" t="s">
        <v>1258</v>
      </c>
      <c r="C124" s="1" t="s">
        <v>38</v>
      </c>
      <c r="D124" s="1">
        <v>9106550036</v>
      </c>
      <c r="E124" s="5">
        <v>42009</v>
      </c>
      <c r="F124" s="1" t="s">
        <v>3144</v>
      </c>
      <c r="G124" s="1" t="s">
        <v>40</v>
      </c>
      <c r="H124" s="1" t="s">
        <v>3109</v>
      </c>
      <c r="I124" s="1" t="s">
        <v>3122</v>
      </c>
      <c r="J124" s="1" t="s">
        <v>1116</v>
      </c>
      <c r="K124" s="1">
        <v>34021300</v>
      </c>
      <c r="L124" s="6">
        <v>39</v>
      </c>
      <c r="M124" s="1" t="s">
        <v>70</v>
      </c>
      <c r="N124" s="7" t="s">
        <v>67</v>
      </c>
      <c r="O124" s="1" t="s">
        <v>1117</v>
      </c>
      <c r="P124" s="8">
        <v>116825</v>
      </c>
      <c r="Q124" s="17">
        <f t="shared" si="16"/>
        <v>4556175</v>
      </c>
      <c r="R124" s="9">
        <v>0</v>
      </c>
      <c r="S124" s="9">
        <v>0</v>
      </c>
      <c r="T124" s="9">
        <v>175503.86</v>
      </c>
      <c r="U124" s="10">
        <v>0</v>
      </c>
      <c r="V124" s="1" t="s">
        <v>46</v>
      </c>
      <c r="W124" s="1" t="s">
        <v>361</v>
      </c>
      <c r="X124" s="1">
        <v>6939528</v>
      </c>
      <c r="Y124" s="11">
        <v>42003</v>
      </c>
      <c r="Z124" s="11">
        <v>42006</v>
      </c>
      <c r="AA124" s="9">
        <f t="shared" si="11"/>
        <v>4556175</v>
      </c>
      <c r="AB124" s="12">
        <v>1</v>
      </c>
      <c r="AC124" s="9">
        <f t="shared" si="12"/>
        <v>4556175</v>
      </c>
      <c r="AD124" s="9">
        <f t="shared" si="13"/>
        <v>4556175</v>
      </c>
      <c r="AE124" s="1" t="s">
        <v>4162</v>
      </c>
      <c r="AF124" s="1" t="s">
        <v>1117</v>
      </c>
      <c r="AG124" s="4">
        <f t="shared" si="14"/>
        <v>4556175</v>
      </c>
      <c r="AH124" s="10">
        <v>4556175</v>
      </c>
      <c r="AI124" s="10"/>
      <c r="AJ124" s="10"/>
      <c r="AK124" s="10"/>
      <c r="AL124" s="9">
        <f t="shared" si="15"/>
        <v>4556175</v>
      </c>
      <c r="AM124" s="1"/>
      <c r="AN124" s="1"/>
      <c r="AO124" s="1"/>
      <c r="AP124" s="1" t="s">
        <v>4029</v>
      </c>
      <c r="AQ124" s="11" t="s">
        <v>3984</v>
      </c>
      <c r="AR124" s="1" t="s">
        <v>4028</v>
      </c>
      <c r="AS124" s="1" t="s">
        <v>3954</v>
      </c>
      <c r="AT124" s="1" t="s">
        <v>49</v>
      </c>
      <c r="AU124" s="1" t="s">
        <v>4171</v>
      </c>
    </row>
    <row r="125" spans="1:47" ht="15" customHeight="1" x14ac:dyDescent="0.25">
      <c r="A125" s="1">
        <v>124</v>
      </c>
      <c r="B125" s="1" t="s">
        <v>1258</v>
      </c>
      <c r="C125" s="1" t="s">
        <v>38</v>
      </c>
      <c r="D125" s="1">
        <v>9106550037</v>
      </c>
      <c r="E125" s="5">
        <v>42010</v>
      </c>
      <c r="F125" s="1" t="s">
        <v>3145</v>
      </c>
      <c r="G125" s="1" t="s">
        <v>40</v>
      </c>
      <c r="H125" s="1" t="s">
        <v>3109</v>
      </c>
      <c r="I125" s="1" t="s">
        <v>3122</v>
      </c>
      <c r="J125" s="1" t="s">
        <v>1116</v>
      </c>
      <c r="K125" s="1">
        <v>34021300</v>
      </c>
      <c r="L125" s="6">
        <v>39</v>
      </c>
      <c r="M125" s="1" t="s">
        <v>70</v>
      </c>
      <c r="N125" s="7" t="s">
        <v>67</v>
      </c>
      <c r="O125" s="1" t="s">
        <v>1117</v>
      </c>
      <c r="P125" s="8">
        <v>116825</v>
      </c>
      <c r="Q125" s="17">
        <f t="shared" si="16"/>
        <v>4556175</v>
      </c>
      <c r="R125" s="9">
        <v>0</v>
      </c>
      <c r="S125" s="9">
        <v>0</v>
      </c>
      <c r="T125" s="9">
        <v>175503.86</v>
      </c>
      <c r="U125" s="10">
        <v>0</v>
      </c>
      <c r="V125" s="1" t="s">
        <v>46</v>
      </c>
      <c r="W125" s="1" t="s">
        <v>361</v>
      </c>
      <c r="X125" s="1">
        <v>6990377</v>
      </c>
      <c r="Y125" s="11">
        <v>42006</v>
      </c>
      <c r="Z125" s="11">
        <v>42009</v>
      </c>
      <c r="AA125" s="9">
        <f t="shared" si="11"/>
        <v>4556175</v>
      </c>
      <c r="AB125" s="12">
        <v>1</v>
      </c>
      <c r="AC125" s="9">
        <f t="shared" si="12"/>
        <v>4556175</v>
      </c>
      <c r="AD125" s="9">
        <f t="shared" si="13"/>
        <v>4556175</v>
      </c>
      <c r="AE125" s="1" t="s">
        <v>4162</v>
      </c>
      <c r="AF125" s="1" t="s">
        <v>1117</v>
      </c>
      <c r="AG125" s="4">
        <f t="shared" si="14"/>
        <v>4556175</v>
      </c>
      <c r="AH125" s="10">
        <v>4556175</v>
      </c>
      <c r="AI125" s="10"/>
      <c r="AJ125" s="10"/>
      <c r="AK125" s="10"/>
      <c r="AL125" s="9">
        <f t="shared" si="15"/>
        <v>4556175</v>
      </c>
      <c r="AM125" s="1"/>
      <c r="AN125" s="1"/>
      <c r="AO125" s="1"/>
      <c r="AP125" s="1" t="s">
        <v>4031</v>
      </c>
      <c r="AQ125" s="11" t="s">
        <v>3984</v>
      </c>
      <c r="AR125" s="1" t="s">
        <v>4030</v>
      </c>
      <c r="AS125" s="1" t="s">
        <v>3954</v>
      </c>
      <c r="AT125" s="1" t="s">
        <v>49</v>
      </c>
      <c r="AU125" s="1" t="s">
        <v>4171</v>
      </c>
    </row>
    <row r="126" spans="1:47" ht="15" customHeight="1" x14ac:dyDescent="0.25">
      <c r="A126" s="1">
        <v>125</v>
      </c>
      <c r="B126" s="1" t="s">
        <v>1258</v>
      </c>
      <c r="C126" s="1" t="s">
        <v>38</v>
      </c>
      <c r="D126" s="1">
        <v>9106550038</v>
      </c>
      <c r="E126" s="5">
        <v>42030</v>
      </c>
      <c r="F126" s="1" t="s">
        <v>3146</v>
      </c>
      <c r="G126" s="1" t="s">
        <v>40</v>
      </c>
      <c r="H126" s="1" t="s">
        <v>3109</v>
      </c>
      <c r="I126" s="1" t="s">
        <v>3122</v>
      </c>
      <c r="J126" s="1" t="s">
        <v>1116</v>
      </c>
      <c r="K126" s="1">
        <v>34021300</v>
      </c>
      <c r="L126" s="6">
        <v>39.395000000000003</v>
      </c>
      <c r="M126" s="1" t="s">
        <v>70</v>
      </c>
      <c r="N126" s="7" t="s">
        <v>67</v>
      </c>
      <c r="O126" s="1" t="s">
        <v>1117</v>
      </c>
      <c r="P126" s="8">
        <v>107100</v>
      </c>
      <c r="Q126" s="17">
        <f t="shared" si="16"/>
        <v>4219204.5</v>
      </c>
      <c r="R126" s="9">
        <v>0</v>
      </c>
      <c r="S126" s="9">
        <v>0</v>
      </c>
      <c r="T126" s="9">
        <v>216698.34</v>
      </c>
      <c r="U126" s="10">
        <v>0</v>
      </c>
      <c r="V126" s="1" t="s">
        <v>46</v>
      </c>
      <c r="W126" s="1" t="s">
        <v>361</v>
      </c>
      <c r="X126" s="1">
        <v>7366554</v>
      </c>
      <c r="Y126" s="11">
        <v>42026</v>
      </c>
      <c r="Z126" s="11">
        <v>42027</v>
      </c>
      <c r="AA126" s="9">
        <f t="shared" si="11"/>
        <v>4219204.5</v>
      </c>
      <c r="AB126" s="12">
        <v>1</v>
      </c>
      <c r="AC126" s="9">
        <f t="shared" si="12"/>
        <v>4219204.5</v>
      </c>
      <c r="AD126" s="9">
        <f t="shared" si="13"/>
        <v>4219204.5</v>
      </c>
      <c r="AE126" s="1" t="s">
        <v>4162</v>
      </c>
      <c r="AF126" s="1" t="s">
        <v>1117</v>
      </c>
      <c r="AG126" s="4">
        <f t="shared" si="14"/>
        <v>4219204.5</v>
      </c>
      <c r="AH126" s="10">
        <v>4219204.5</v>
      </c>
      <c r="AI126" s="10"/>
      <c r="AJ126" s="10"/>
      <c r="AK126" s="10"/>
      <c r="AL126" s="9">
        <f t="shared" si="15"/>
        <v>4219204.5</v>
      </c>
      <c r="AM126" s="1"/>
      <c r="AN126" s="1"/>
      <c r="AO126" s="1"/>
      <c r="AP126" s="1" t="s">
        <v>4041</v>
      </c>
      <c r="AQ126" s="11" t="s">
        <v>4043</v>
      </c>
      <c r="AR126" s="1" t="s">
        <v>4044</v>
      </c>
      <c r="AS126" s="1" t="s">
        <v>4040</v>
      </c>
      <c r="AT126" s="1" t="s">
        <v>49</v>
      </c>
      <c r="AU126" s="1" t="s">
        <v>4171</v>
      </c>
    </row>
    <row r="127" spans="1:47" ht="15" customHeight="1" x14ac:dyDescent="0.25">
      <c r="A127" s="1">
        <v>126</v>
      </c>
      <c r="B127" s="1" t="s">
        <v>1258</v>
      </c>
      <c r="C127" s="1" t="s">
        <v>38</v>
      </c>
      <c r="D127" s="1">
        <v>9106550038</v>
      </c>
      <c r="E127" s="5">
        <v>42030</v>
      </c>
      <c r="F127" s="1" t="s">
        <v>3147</v>
      </c>
      <c r="G127" s="1" t="s">
        <v>40</v>
      </c>
      <c r="H127" s="1" t="s">
        <v>3109</v>
      </c>
      <c r="I127" s="1" t="s">
        <v>3122</v>
      </c>
      <c r="J127" s="1" t="s">
        <v>1116</v>
      </c>
      <c r="K127" s="1">
        <v>34021300</v>
      </c>
      <c r="L127" s="6">
        <v>39</v>
      </c>
      <c r="M127" s="1" t="s">
        <v>70</v>
      </c>
      <c r="N127" s="7" t="s">
        <v>67</v>
      </c>
      <c r="O127" s="1" t="s">
        <v>1117</v>
      </c>
      <c r="P127" s="8">
        <v>107100</v>
      </c>
      <c r="Q127" s="17">
        <f t="shared" si="16"/>
        <v>4176900</v>
      </c>
      <c r="R127" s="9">
        <v>0</v>
      </c>
      <c r="S127" s="9">
        <v>0</v>
      </c>
      <c r="T127" s="9">
        <v>214525.58</v>
      </c>
      <c r="U127" s="10">
        <v>0</v>
      </c>
      <c r="V127" s="1" t="s">
        <v>46</v>
      </c>
      <c r="W127" s="1" t="s">
        <v>361</v>
      </c>
      <c r="X127" s="1">
        <v>7380569</v>
      </c>
      <c r="Y127" s="11">
        <v>42027</v>
      </c>
      <c r="Z127" s="11">
        <v>42028</v>
      </c>
      <c r="AA127" s="9">
        <f t="shared" si="11"/>
        <v>4176900</v>
      </c>
      <c r="AB127" s="12">
        <v>1</v>
      </c>
      <c r="AC127" s="9">
        <f t="shared" si="12"/>
        <v>4176900</v>
      </c>
      <c r="AD127" s="9">
        <f t="shared" si="13"/>
        <v>4176900</v>
      </c>
      <c r="AE127" s="1" t="s">
        <v>4162</v>
      </c>
      <c r="AF127" s="1" t="s">
        <v>1117</v>
      </c>
      <c r="AG127" s="4">
        <f t="shared" si="14"/>
        <v>4176900</v>
      </c>
      <c r="AH127" s="10">
        <v>4176900</v>
      </c>
      <c r="AI127" s="10"/>
      <c r="AJ127" s="10"/>
      <c r="AK127" s="10"/>
      <c r="AL127" s="9">
        <f t="shared" si="15"/>
        <v>4176900</v>
      </c>
      <c r="AM127" s="1"/>
      <c r="AN127" s="1"/>
      <c r="AO127" s="1"/>
      <c r="AP127" s="1" t="s">
        <v>4041</v>
      </c>
      <c r="AQ127" s="11" t="s">
        <v>4043</v>
      </c>
      <c r="AR127" s="1" t="s">
        <v>4039</v>
      </c>
      <c r="AS127" s="1" t="s">
        <v>4040</v>
      </c>
      <c r="AT127" s="1" t="s">
        <v>49</v>
      </c>
      <c r="AU127" s="1" t="s">
        <v>4171</v>
      </c>
    </row>
    <row r="128" spans="1:47" s="23" customFormat="1" ht="15" customHeight="1" x14ac:dyDescent="0.25">
      <c r="A128" s="3">
        <v>127</v>
      </c>
      <c r="B128" s="3" t="s">
        <v>1258</v>
      </c>
      <c r="C128" s="3" t="s">
        <v>38</v>
      </c>
      <c r="D128" s="3">
        <v>9106550039</v>
      </c>
      <c r="E128" s="19">
        <v>42036</v>
      </c>
      <c r="F128" s="1" t="s">
        <v>3148</v>
      </c>
      <c r="G128" s="1" t="s">
        <v>40</v>
      </c>
      <c r="H128" s="1" t="s">
        <v>3109</v>
      </c>
      <c r="I128" s="1" t="s">
        <v>3122</v>
      </c>
      <c r="J128" s="1" t="s">
        <v>1116</v>
      </c>
      <c r="K128" s="1">
        <v>34021300</v>
      </c>
      <c r="L128" s="6">
        <v>39</v>
      </c>
      <c r="M128" s="1" t="s">
        <v>70</v>
      </c>
      <c r="N128" s="7" t="s">
        <v>67</v>
      </c>
      <c r="O128" s="1" t="s">
        <v>1117</v>
      </c>
      <c r="P128" s="8">
        <v>107100</v>
      </c>
      <c r="Q128" s="17">
        <f t="shared" si="16"/>
        <v>4176900</v>
      </c>
      <c r="R128" s="20">
        <v>0</v>
      </c>
      <c r="S128" s="20">
        <v>0</v>
      </c>
      <c r="T128" s="20">
        <v>214525.58</v>
      </c>
      <c r="U128" s="4">
        <v>0</v>
      </c>
      <c r="V128" s="3" t="s">
        <v>46</v>
      </c>
      <c r="W128" s="3" t="s">
        <v>361</v>
      </c>
      <c r="X128" s="3">
        <v>7431191</v>
      </c>
      <c r="Y128" s="21">
        <v>42031</v>
      </c>
      <c r="Z128" s="21">
        <v>42032</v>
      </c>
      <c r="AA128" s="20">
        <f t="shared" si="11"/>
        <v>4176900</v>
      </c>
      <c r="AB128" s="22">
        <v>1</v>
      </c>
      <c r="AC128" s="20">
        <f t="shared" si="12"/>
        <v>4176900</v>
      </c>
      <c r="AD128" s="20">
        <f t="shared" si="13"/>
        <v>4176900</v>
      </c>
      <c r="AE128" s="3" t="s">
        <v>4162</v>
      </c>
      <c r="AF128" s="3" t="s">
        <v>1117</v>
      </c>
      <c r="AG128" s="4">
        <f t="shared" si="14"/>
        <v>4176900</v>
      </c>
      <c r="AH128" s="4">
        <v>4176900</v>
      </c>
      <c r="AI128" s="4"/>
      <c r="AJ128" s="4"/>
      <c r="AK128" s="4"/>
      <c r="AL128" s="20">
        <f t="shared" si="15"/>
        <v>4176900</v>
      </c>
      <c r="AM128" s="3"/>
      <c r="AN128" s="3"/>
      <c r="AO128" s="3"/>
      <c r="AP128" s="3" t="s">
        <v>4038</v>
      </c>
      <c r="AQ128" s="21" t="s">
        <v>4013</v>
      </c>
      <c r="AR128" s="3" t="s">
        <v>4037</v>
      </c>
      <c r="AS128" s="3" t="s">
        <v>3944</v>
      </c>
      <c r="AT128" s="3" t="s">
        <v>49</v>
      </c>
      <c r="AU128" s="3" t="s">
        <v>4171</v>
      </c>
    </row>
    <row r="129" spans="1:47" s="23" customFormat="1" ht="15" customHeight="1" x14ac:dyDescent="0.25">
      <c r="A129" s="3">
        <v>128</v>
      </c>
      <c r="B129" s="3" t="s">
        <v>1258</v>
      </c>
      <c r="C129" s="3" t="s">
        <v>38</v>
      </c>
      <c r="D129" s="3">
        <v>9106550039</v>
      </c>
      <c r="E129" s="19">
        <v>42036</v>
      </c>
      <c r="F129" s="1" t="s">
        <v>3149</v>
      </c>
      <c r="G129" s="1" t="s">
        <v>40</v>
      </c>
      <c r="H129" s="1" t="s">
        <v>3109</v>
      </c>
      <c r="I129" s="1" t="s">
        <v>3122</v>
      </c>
      <c r="J129" s="1" t="s">
        <v>1116</v>
      </c>
      <c r="K129" s="1">
        <v>34021300</v>
      </c>
      <c r="L129" s="6">
        <v>39</v>
      </c>
      <c r="M129" s="1" t="s">
        <v>70</v>
      </c>
      <c r="N129" s="7" t="s">
        <v>67</v>
      </c>
      <c r="O129" s="1" t="s">
        <v>1117</v>
      </c>
      <c r="P129" s="8">
        <v>107100</v>
      </c>
      <c r="Q129" s="17">
        <f t="shared" si="16"/>
        <v>4176900</v>
      </c>
      <c r="R129" s="20">
        <v>0</v>
      </c>
      <c r="S129" s="20">
        <v>0</v>
      </c>
      <c r="T129" s="20">
        <v>214525.58</v>
      </c>
      <c r="U129" s="4">
        <v>0</v>
      </c>
      <c r="V129" s="3" t="s">
        <v>46</v>
      </c>
      <c r="W129" s="3" t="s">
        <v>361</v>
      </c>
      <c r="X129" s="3">
        <v>7464228</v>
      </c>
      <c r="Y129" s="21">
        <v>42032</v>
      </c>
      <c r="Z129" s="21">
        <v>42033</v>
      </c>
      <c r="AA129" s="20">
        <f t="shared" si="11"/>
        <v>4176900</v>
      </c>
      <c r="AB129" s="22">
        <v>1</v>
      </c>
      <c r="AC129" s="20">
        <f t="shared" si="12"/>
        <v>4176900</v>
      </c>
      <c r="AD129" s="20">
        <f t="shared" si="13"/>
        <v>4176900</v>
      </c>
      <c r="AE129" s="3" t="s">
        <v>4162</v>
      </c>
      <c r="AF129" s="3" t="s">
        <v>1117</v>
      </c>
      <c r="AG129" s="4">
        <f t="shared" si="14"/>
        <v>4176900</v>
      </c>
      <c r="AH129" s="4">
        <v>4176900</v>
      </c>
      <c r="AI129" s="4"/>
      <c r="AJ129" s="4"/>
      <c r="AK129" s="4"/>
      <c r="AL129" s="20">
        <f t="shared" si="15"/>
        <v>4176900</v>
      </c>
      <c r="AM129" s="3"/>
      <c r="AN129" s="3"/>
      <c r="AO129" s="3"/>
      <c r="AP129" s="3" t="s">
        <v>4038</v>
      </c>
      <c r="AQ129" s="21">
        <v>42046</v>
      </c>
      <c r="AR129" s="3" t="s">
        <v>4310</v>
      </c>
      <c r="AS129" s="21">
        <v>42528</v>
      </c>
      <c r="AT129" s="3" t="s">
        <v>49</v>
      </c>
      <c r="AU129" s="3" t="s">
        <v>4230</v>
      </c>
    </row>
    <row r="130" spans="1:47" ht="15" customHeight="1" x14ac:dyDescent="0.25">
      <c r="A130" s="1">
        <v>129</v>
      </c>
      <c r="B130" s="1" t="s">
        <v>1258</v>
      </c>
      <c r="C130" s="1" t="s">
        <v>38</v>
      </c>
      <c r="D130" s="1">
        <v>9106550040</v>
      </c>
      <c r="E130" s="5">
        <v>42044</v>
      </c>
      <c r="F130" s="1" t="s">
        <v>3150</v>
      </c>
      <c r="G130" s="1" t="s">
        <v>40</v>
      </c>
      <c r="H130" s="1" t="s">
        <v>3109</v>
      </c>
      <c r="I130" s="1" t="s">
        <v>3122</v>
      </c>
      <c r="J130" s="1" t="s">
        <v>1116</v>
      </c>
      <c r="K130" s="1">
        <v>34021300</v>
      </c>
      <c r="L130" s="6">
        <v>39</v>
      </c>
      <c r="M130" s="1" t="s">
        <v>70</v>
      </c>
      <c r="N130" s="7" t="s">
        <v>67</v>
      </c>
      <c r="O130" s="1" t="s">
        <v>1117</v>
      </c>
      <c r="P130" s="8">
        <v>107100</v>
      </c>
      <c r="Q130" s="17">
        <f t="shared" si="16"/>
        <v>4176900</v>
      </c>
      <c r="R130" s="9">
        <v>0</v>
      </c>
      <c r="S130" s="9">
        <v>0</v>
      </c>
      <c r="T130" s="9">
        <v>214525.58</v>
      </c>
      <c r="U130" s="10">
        <v>0</v>
      </c>
      <c r="V130" s="1" t="s">
        <v>46</v>
      </c>
      <c r="W130" s="1" t="s">
        <v>361</v>
      </c>
      <c r="X130" s="1">
        <v>7582361</v>
      </c>
      <c r="Y130" s="11">
        <v>42038</v>
      </c>
      <c r="Z130" s="11">
        <v>42040</v>
      </c>
      <c r="AA130" s="9">
        <f t="shared" si="11"/>
        <v>4176900</v>
      </c>
      <c r="AB130" s="12">
        <v>1</v>
      </c>
      <c r="AC130" s="9">
        <f t="shared" si="12"/>
        <v>4176900</v>
      </c>
      <c r="AD130" s="9">
        <f t="shared" si="13"/>
        <v>4176900</v>
      </c>
      <c r="AE130" s="1" t="s">
        <v>4162</v>
      </c>
      <c r="AF130" s="1" t="s">
        <v>1117</v>
      </c>
      <c r="AG130" s="4">
        <f t="shared" ref="AG130:AG193" si="17">Q130</f>
        <v>4176900</v>
      </c>
      <c r="AH130" s="10">
        <v>4176900</v>
      </c>
      <c r="AI130" s="10"/>
      <c r="AJ130" s="10"/>
      <c r="AK130" s="10"/>
      <c r="AL130" s="9">
        <f t="shared" ref="AL130:AL193" si="18">AH130-(AI130+AJ130+AK130)</f>
        <v>4176900</v>
      </c>
      <c r="AM130" s="1"/>
      <c r="AN130" s="1"/>
      <c r="AO130" s="1"/>
      <c r="AP130" s="1" t="s">
        <v>4025</v>
      </c>
      <c r="AQ130" s="11" t="s">
        <v>3956</v>
      </c>
      <c r="AR130" s="1" t="s">
        <v>4024</v>
      </c>
      <c r="AS130" s="1" t="s">
        <v>4023</v>
      </c>
      <c r="AT130" s="1" t="s">
        <v>49</v>
      </c>
      <c r="AU130" s="1" t="s">
        <v>4171</v>
      </c>
    </row>
    <row r="131" spans="1:47" ht="15" customHeight="1" x14ac:dyDescent="0.25">
      <c r="A131" s="1">
        <v>130</v>
      </c>
      <c r="B131" s="1" t="s">
        <v>1258</v>
      </c>
      <c r="C131" s="1" t="s">
        <v>38</v>
      </c>
      <c r="D131" s="1">
        <v>9106550041</v>
      </c>
      <c r="E131" s="5">
        <v>42045</v>
      </c>
      <c r="F131" s="1" t="s">
        <v>3151</v>
      </c>
      <c r="G131" s="1" t="s">
        <v>40</v>
      </c>
      <c r="H131" s="1" t="s">
        <v>3109</v>
      </c>
      <c r="I131" s="1" t="s">
        <v>3122</v>
      </c>
      <c r="J131" s="1" t="s">
        <v>1116</v>
      </c>
      <c r="K131" s="1">
        <v>34021300</v>
      </c>
      <c r="L131" s="6">
        <v>39</v>
      </c>
      <c r="M131" s="1" t="s">
        <v>70</v>
      </c>
      <c r="N131" s="7" t="s">
        <v>67</v>
      </c>
      <c r="O131" s="1" t="s">
        <v>1117</v>
      </c>
      <c r="P131" s="8">
        <v>107100</v>
      </c>
      <c r="Q131" s="17">
        <f t="shared" si="16"/>
        <v>4176900</v>
      </c>
      <c r="R131" s="9">
        <v>0</v>
      </c>
      <c r="S131" s="9">
        <v>0</v>
      </c>
      <c r="T131" s="9">
        <v>214525.58</v>
      </c>
      <c r="U131" s="10">
        <v>0</v>
      </c>
      <c r="V131" s="1" t="s">
        <v>46</v>
      </c>
      <c r="W131" s="1" t="s">
        <v>361</v>
      </c>
      <c r="X131" s="1">
        <v>7632970</v>
      </c>
      <c r="Y131" s="11">
        <v>42040</v>
      </c>
      <c r="Z131" s="11">
        <v>42042</v>
      </c>
      <c r="AA131" s="9">
        <f t="shared" si="11"/>
        <v>4176900</v>
      </c>
      <c r="AB131" s="12">
        <v>1</v>
      </c>
      <c r="AC131" s="9">
        <f t="shared" si="12"/>
        <v>4176900</v>
      </c>
      <c r="AD131" s="9">
        <f t="shared" si="13"/>
        <v>4176900</v>
      </c>
      <c r="AE131" s="1" t="s">
        <v>4162</v>
      </c>
      <c r="AF131" s="1" t="s">
        <v>1117</v>
      </c>
      <c r="AG131" s="4">
        <f t="shared" si="17"/>
        <v>4176900</v>
      </c>
      <c r="AH131" s="10">
        <v>4176900</v>
      </c>
      <c r="AI131" s="10"/>
      <c r="AJ131" s="10"/>
      <c r="AK131" s="10"/>
      <c r="AL131" s="9">
        <f t="shared" si="18"/>
        <v>4176900</v>
      </c>
      <c r="AM131" s="1"/>
      <c r="AN131" s="1"/>
      <c r="AO131" s="1"/>
      <c r="AP131" s="1" t="s">
        <v>4027</v>
      </c>
      <c r="AQ131" s="11" t="s">
        <v>3956</v>
      </c>
      <c r="AR131" s="1" t="s">
        <v>4026</v>
      </c>
      <c r="AS131" s="1" t="s">
        <v>4023</v>
      </c>
      <c r="AT131" s="1" t="s">
        <v>49</v>
      </c>
      <c r="AU131" s="1" t="s">
        <v>4171</v>
      </c>
    </row>
    <row r="132" spans="1:47" ht="15" customHeight="1" x14ac:dyDescent="0.25">
      <c r="A132" s="1">
        <v>131</v>
      </c>
      <c r="B132" s="1" t="s">
        <v>1258</v>
      </c>
      <c r="C132" s="1" t="s">
        <v>38</v>
      </c>
      <c r="D132" s="1">
        <v>9106550042</v>
      </c>
      <c r="E132" s="5">
        <v>42051</v>
      </c>
      <c r="F132" s="1" t="s">
        <v>3152</v>
      </c>
      <c r="G132" s="1" t="s">
        <v>40</v>
      </c>
      <c r="H132" s="1" t="s">
        <v>3109</v>
      </c>
      <c r="I132" s="1" t="s">
        <v>3122</v>
      </c>
      <c r="J132" s="1" t="s">
        <v>1116</v>
      </c>
      <c r="K132" s="1">
        <v>34021300</v>
      </c>
      <c r="L132" s="6">
        <v>39</v>
      </c>
      <c r="M132" s="1" t="s">
        <v>70</v>
      </c>
      <c r="N132" s="7" t="s">
        <v>67</v>
      </c>
      <c r="O132" s="1" t="s">
        <v>1117</v>
      </c>
      <c r="P132" s="8">
        <v>107100</v>
      </c>
      <c r="Q132" s="17">
        <f t="shared" si="16"/>
        <v>4176900</v>
      </c>
      <c r="R132" s="9">
        <v>0</v>
      </c>
      <c r="S132" s="9">
        <v>0</v>
      </c>
      <c r="T132" s="9">
        <v>214525.58</v>
      </c>
      <c r="U132" s="10">
        <v>0</v>
      </c>
      <c r="V132" s="1" t="s">
        <v>46</v>
      </c>
      <c r="W132" s="1" t="s">
        <v>361</v>
      </c>
      <c r="X132" s="1">
        <v>7755237</v>
      </c>
      <c r="Y132" s="11">
        <v>42046</v>
      </c>
      <c r="Z132" s="11">
        <v>42047</v>
      </c>
      <c r="AA132" s="9">
        <f t="shared" si="11"/>
        <v>4176900</v>
      </c>
      <c r="AB132" s="12">
        <v>1</v>
      </c>
      <c r="AC132" s="9">
        <f t="shared" si="12"/>
        <v>4176900</v>
      </c>
      <c r="AD132" s="9">
        <f t="shared" si="13"/>
        <v>4176900</v>
      </c>
      <c r="AE132" s="1" t="s">
        <v>4162</v>
      </c>
      <c r="AF132" s="1" t="s">
        <v>1117</v>
      </c>
      <c r="AG132" s="4">
        <f t="shared" si="17"/>
        <v>4176900</v>
      </c>
      <c r="AH132" s="10">
        <v>4176900</v>
      </c>
      <c r="AI132" s="10"/>
      <c r="AJ132" s="10"/>
      <c r="AK132" s="10"/>
      <c r="AL132" s="9">
        <f t="shared" si="18"/>
        <v>4176900</v>
      </c>
      <c r="AM132" s="1"/>
      <c r="AN132" s="1"/>
      <c r="AO132" s="1"/>
      <c r="AP132" s="1" t="s">
        <v>4012</v>
      </c>
      <c r="AQ132" s="11" t="s">
        <v>4014</v>
      </c>
      <c r="AR132" s="1" t="s">
        <v>4010</v>
      </c>
      <c r="AS132" s="1" t="s">
        <v>4011</v>
      </c>
      <c r="AT132" s="1" t="s">
        <v>49</v>
      </c>
      <c r="AU132" s="1" t="s">
        <v>4171</v>
      </c>
    </row>
    <row r="133" spans="1:47" ht="15" customHeight="1" x14ac:dyDescent="0.25">
      <c r="A133" s="1">
        <v>132</v>
      </c>
      <c r="B133" s="1" t="s">
        <v>1258</v>
      </c>
      <c r="C133" s="1" t="s">
        <v>38</v>
      </c>
      <c r="D133" s="1">
        <v>9106550043</v>
      </c>
      <c r="E133" s="5">
        <v>42058</v>
      </c>
      <c r="F133" s="1" t="s">
        <v>3153</v>
      </c>
      <c r="G133" s="1" t="s">
        <v>40</v>
      </c>
      <c r="H133" s="1" t="s">
        <v>3109</v>
      </c>
      <c r="I133" s="1" t="s">
        <v>3122</v>
      </c>
      <c r="J133" s="1" t="s">
        <v>1116</v>
      </c>
      <c r="K133" s="1">
        <v>34021300</v>
      </c>
      <c r="L133" s="6">
        <v>39</v>
      </c>
      <c r="M133" s="1" t="s">
        <v>70</v>
      </c>
      <c r="N133" s="7" t="s">
        <v>67</v>
      </c>
      <c r="O133" s="1" t="s">
        <v>1117</v>
      </c>
      <c r="P133" s="8">
        <v>107100</v>
      </c>
      <c r="Q133" s="17">
        <f t="shared" si="16"/>
        <v>4176900</v>
      </c>
      <c r="R133" s="9">
        <v>0</v>
      </c>
      <c r="S133" s="9">
        <v>0</v>
      </c>
      <c r="T133" s="9">
        <v>214525.58</v>
      </c>
      <c r="U133" s="10">
        <v>0</v>
      </c>
      <c r="V133" s="1" t="s">
        <v>46</v>
      </c>
      <c r="W133" s="1" t="s">
        <v>361</v>
      </c>
      <c r="X133" s="1">
        <v>7831361</v>
      </c>
      <c r="Y133" s="11">
        <v>42051</v>
      </c>
      <c r="Z133" s="11">
        <v>42053</v>
      </c>
      <c r="AA133" s="9">
        <f t="shared" si="11"/>
        <v>4176900</v>
      </c>
      <c r="AB133" s="12">
        <v>1</v>
      </c>
      <c r="AC133" s="9">
        <f t="shared" si="12"/>
        <v>4176900</v>
      </c>
      <c r="AD133" s="9">
        <f t="shared" si="13"/>
        <v>4176900</v>
      </c>
      <c r="AE133" s="1" t="s">
        <v>4162</v>
      </c>
      <c r="AF133" s="1" t="s">
        <v>1117</v>
      </c>
      <c r="AG133" s="4">
        <f t="shared" si="17"/>
        <v>4176900</v>
      </c>
      <c r="AH133" s="10">
        <v>4176900</v>
      </c>
      <c r="AI133" s="10"/>
      <c r="AJ133" s="10"/>
      <c r="AK133" s="10"/>
      <c r="AL133" s="9">
        <f t="shared" si="18"/>
        <v>4176900</v>
      </c>
      <c r="AM133" s="1"/>
      <c r="AN133" s="1"/>
      <c r="AO133" s="1"/>
      <c r="AP133" s="1" t="s">
        <v>4004</v>
      </c>
      <c r="AQ133" s="11" t="s">
        <v>3995</v>
      </c>
      <c r="AR133" s="1" t="s">
        <v>4003</v>
      </c>
      <c r="AS133" s="1" t="s">
        <v>3991</v>
      </c>
      <c r="AT133" s="1" t="s">
        <v>49</v>
      </c>
      <c r="AU133" s="1" t="s">
        <v>4171</v>
      </c>
    </row>
    <row r="134" spans="1:47" ht="15" customHeight="1" x14ac:dyDescent="0.25">
      <c r="A134" s="1">
        <v>133</v>
      </c>
      <c r="B134" s="1" t="s">
        <v>1258</v>
      </c>
      <c r="C134" s="1" t="s">
        <v>38</v>
      </c>
      <c r="D134" s="1">
        <v>9106550044</v>
      </c>
      <c r="E134" s="5">
        <v>42058</v>
      </c>
      <c r="F134" s="1" t="s">
        <v>3154</v>
      </c>
      <c r="G134" s="1" t="s">
        <v>40</v>
      </c>
      <c r="H134" s="1" t="s">
        <v>3109</v>
      </c>
      <c r="I134" s="1" t="s">
        <v>3122</v>
      </c>
      <c r="J134" s="1" t="s">
        <v>1116</v>
      </c>
      <c r="K134" s="1">
        <v>34021300</v>
      </c>
      <c r="L134" s="6">
        <v>16</v>
      </c>
      <c r="M134" s="1" t="s">
        <v>70</v>
      </c>
      <c r="N134" s="7" t="s">
        <v>67</v>
      </c>
      <c r="O134" s="1" t="s">
        <v>1117</v>
      </c>
      <c r="P134" s="8">
        <v>117500</v>
      </c>
      <c r="Q134" s="17">
        <f t="shared" si="16"/>
        <v>1880000</v>
      </c>
      <c r="R134" s="9">
        <v>0</v>
      </c>
      <c r="S134" s="9">
        <v>0</v>
      </c>
      <c r="T134" s="9">
        <v>59220</v>
      </c>
      <c r="U134" s="10">
        <v>0</v>
      </c>
      <c r="V134" s="1" t="s">
        <v>46</v>
      </c>
      <c r="W134" s="1" t="s">
        <v>361</v>
      </c>
      <c r="X134" s="1">
        <v>7831533</v>
      </c>
      <c r="Y134" s="11">
        <v>42051</v>
      </c>
      <c r="Z134" s="11">
        <v>42053</v>
      </c>
      <c r="AA134" s="9">
        <f t="shared" si="11"/>
        <v>1880000</v>
      </c>
      <c r="AB134" s="12">
        <v>1</v>
      </c>
      <c r="AC134" s="9">
        <f t="shared" si="12"/>
        <v>1880000</v>
      </c>
      <c r="AD134" s="9">
        <f t="shared" si="13"/>
        <v>1880000</v>
      </c>
      <c r="AE134" s="1" t="s">
        <v>4162</v>
      </c>
      <c r="AF134" s="1" t="s">
        <v>1117</v>
      </c>
      <c r="AG134" s="4">
        <f t="shared" si="17"/>
        <v>1880000</v>
      </c>
      <c r="AH134" s="10">
        <v>1880000</v>
      </c>
      <c r="AI134" s="10"/>
      <c r="AJ134" s="10"/>
      <c r="AK134" s="10"/>
      <c r="AL134" s="9">
        <f t="shared" si="18"/>
        <v>1880000</v>
      </c>
      <c r="AM134" s="1"/>
      <c r="AN134" s="1"/>
      <c r="AO134" s="1"/>
      <c r="AP134" s="1" t="s">
        <v>3986</v>
      </c>
      <c r="AQ134" s="11" t="s">
        <v>3982</v>
      </c>
      <c r="AR134" s="1" t="s">
        <v>3985</v>
      </c>
      <c r="AS134" s="1" t="s">
        <v>3980</v>
      </c>
      <c r="AT134" s="1" t="s">
        <v>49</v>
      </c>
      <c r="AU134" s="1" t="s">
        <v>4171</v>
      </c>
    </row>
    <row r="135" spans="1:47" ht="15" customHeight="1" x14ac:dyDescent="0.25">
      <c r="A135" s="1">
        <v>134</v>
      </c>
      <c r="B135" s="1" t="s">
        <v>1258</v>
      </c>
      <c r="C135" s="1" t="s">
        <v>38</v>
      </c>
      <c r="D135" s="1">
        <v>9106550045</v>
      </c>
      <c r="E135" s="5">
        <v>42061</v>
      </c>
      <c r="F135" s="1" t="s">
        <v>3155</v>
      </c>
      <c r="G135" s="1" t="s">
        <v>40</v>
      </c>
      <c r="H135" s="1" t="s">
        <v>3109</v>
      </c>
      <c r="I135" s="1" t="s">
        <v>3122</v>
      </c>
      <c r="J135" s="1" t="s">
        <v>1116</v>
      </c>
      <c r="K135" s="1">
        <v>34021300</v>
      </c>
      <c r="L135" s="6">
        <v>39</v>
      </c>
      <c r="M135" s="1" t="s">
        <v>70</v>
      </c>
      <c r="N135" s="7" t="s">
        <v>67</v>
      </c>
      <c r="O135" s="1" t="s">
        <v>1117</v>
      </c>
      <c r="P135" s="8">
        <v>107100</v>
      </c>
      <c r="Q135" s="17">
        <f t="shared" si="16"/>
        <v>4176900</v>
      </c>
      <c r="R135" s="9">
        <v>0</v>
      </c>
      <c r="S135" s="9">
        <v>0</v>
      </c>
      <c r="T135" s="9">
        <v>214525.58</v>
      </c>
      <c r="U135" s="10">
        <v>0</v>
      </c>
      <c r="V135" s="1" t="s">
        <v>46</v>
      </c>
      <c r="W135" s="1" t="s">
        <v>361</v>
      </c>
      <c r="X135" s="1">
        <v>7902200</v>
      </c>
      <c r="Y135" s="11">
        <v>42054</v>
      </c>
      <c r="Z135" s="11">
        <v>42056</v>
      </c>
      <c r="AA135" s="9">
        <f t="shared" si="11"/>
        <v>4176900</v>
      </c>
      <c r="AB135" s="12">
        <v>1</v>
      </c>
      <c r="AC135" s="9">
        <f t="shared" si="12"/>
        <v>4176900</v>
      </c>
      <c r="AD135" s="9">
        <f t="shared" si="13"/>
        <v>4176900</v>
      </c>
      <c r="AE135" s="1" t="s">
        <v>4162</v>
      </c>
      <c r="AF135" s="1" t="s">
        <v>1117</v>
      </c>
      <c r="AG135" s="4">
        <f t="shared" si="17"/>
        <v>4176900</v>
      </c>
      <c r="AH135" s="10">
        <v>4176900</v>
      </c>
      <c r="AI135" s="10"/>
      <c r="AJ135" s="10"/>
      <c r="AK135" s="10"/>
      <c r="AL135" s="9">
        <f t="shared" si="18"/>
        <v>4176900</v>
      </c>
      <c r="AM135" s="1"/>
      <c r="AN135" s="1"/>
      <c r="AO135" s="1"/>
      <c r="AP135" s="1" t="s">
        <v>3981</v>
      </c>
      <c r="AQ135" s="11" t="s">
        <v>3982</v>
      </c>
      <c r="AR135" s="1" t="s">
        <v>3979</v>
      </c>
      <c r="AS135" s="1" t="s">
        <v>3980</v>
      </c>
      <c r="AT135" s="1" t="s">
        <v>49</v>
      </c>
      <c r="AU135" s="1" t="s">
        <v>4171</v>
      </c>
    </row>
    <row r="136" spans="1:47" ht="15" customHeight="1" x14ac:dyDescent="0.25">
      <c r="A136" s="1">
        <v>135</v>
      </c>
      <c r="B136" s="1" t="s">
        <v>1258</v>
      </c>
      <c r="C136" s="1" t="s">
        <v>38</v>
      </c>
      <c r="D136" s="1">
        <v>9106550045</v>
      </c>
      <c r="E136" s="5">
        <v>42061</v>
      </c>
      <c r="F136" s="1" t="s">
        <v>3156</v>
      </c>
      <c r="G136" s="1" t="s">
        <v>40</v>
      </c>
      <c r="H136" s="1" t="s">
        <v>3109</v>
      </c>
      <c r="I136" s="1" t="s">
        <v>3122</v>
      </c>
      <c r="J136" s="1" t="s">
        <v>1116</v>
      </c>
      <c r="K136" s="1">
        <v>34021300</v>
      </c>
      <c r="L136" s="6">
        <v>58.5</v>
      </c>
      <c r="M136" s="1" t="s">
        <v>70</v>
      </c>
      <c r="N136" s="7" t="s">
        <v>67</v>
      </c>
      <c r="O136" s="1" t="s">
        <v>1117</v>
      </c>
      <c r="P136" s="8">
        <v>107100</v>
      </c>
      <c r="Q136" s="17">
        <f t="shared" si="16"/>
        <v>6265350</v>
      </c>
      <c r="R136" s="9">
        <v>0</v>
      </c>
      <c r="S136" s="9">
        <v>0</v>
      </c>
      <c r="T136" s="9">
        <v>321788.38</v>
      </c>
      <c r="U136" s="10">
        <v>0</v>
      </c>
      <c r="V136" s="1" t="s">
        <v>46</v>
      </c>
      <c r="W136" s="1" t="s">
        <v>361</v>
      </c>
      <c r="X136" s="1">
        <v>7974146</v>
      </c>
      <c r="Y136" s="11">
        <v>42058</v>
      </c>
      <c r="Z136" s="11">
        <v>42059</v>
      </c>
      <c r="AA136" s="9">
        <f t="shared" si="11"/>
        <v>6265350</v>
      </c>
      <c r="AB136" s="12">
        <v>1</v>
      </c>
      <c r="AC136" s="9">
        <f t="shared" si="12"/>
        <v>6265350</v>
      </c>
      <c r="AD136" s="9">
        <f t="shared" si="13"/>
        <v>6265350</v>
      </c>
      <c r="AE136" s="1" t="s">
        <v>4162</v>
      </c>
      <c r="AF136" s="1" t="s">
        <v>1117</v>
      </c>
      <c r="AG136" s="4">
        <f t="shared" si="17"/>
        <v>6265350</v>
      </c>
      <c r="AH136" s="10">
        <v>6265350</v>
      </c>
      <c r="AI136" s="10"/>
      <c r="AJ136" s="10"/>
      <c r="AK136" s="10"/>
      <c r="AL136" s="9">
        <f t="shared" si="18"/>
        <v>6265350</v>
      </c>
      <c r="AM136" s="1"/>
      <c r="AN136" s="1"/>
      <c r="AO136" s="1"/>
      <c r="AP136" s="1" t="s">
        <v>3981</v>
      </c>
      <c r="AQ136" s="11" t="s">
        <v>3982</v>
      </c>
      <c r="AR136" s="1" t="s">
        <v>3983</v>
      </c>
      <c r="AS136" s="1" t="s">
        <v>3980</v>
      </c>
      <c r="AT136" s="1" t="s">
        <v>49</v>
      </c>
      <c r="AU136" s="1" t="s">
        <v>4171</v>
      </c>
    </row>
    <row r="137" spans="1:47" ht="15" customHeight="1" x14ac:dyDescent="0.25">
      <c r="A137" s="1">
        <v>136</v>
      </c>
      <c r="B137" s="1" t="s">
        <v>1258</v>
      </c>
      <c r="C137" s="1" t="s">
        <v>38</v>
      </c>
      <c r="D137" s="1">
        <v>9106550046</v>
      </c>
      <c r="E137" s="5">
        <v>42066</v>
      </c>
      <c r="F137" s="1" t="s">
        <v>3157</v>
      </c>
      <c r="G137" s="1" t="s">
        <v>40</v>
      </c>
      <c r="H137" s="1" t="s">
        <v>3109</v>
      </c>
      <c r="I137" s="1" t="s">
        <v>3122</v>
      </c>
      <c r="J137" s="1" t="s">
        <v>1116</v>
      </c>
      <c r="K137" s="1">
        <v>34021300</v>
      </c>
      <c r="L137" s="6">
        <v>39</v>
      </c>
      <c r="M137" s="1" t="s">
        <v>70</v>
      </c>
      <c r="N137" s="7" t="s">
        <v>67</v>
      </c>
      <c r="O137" s="1" t="s">
        <v>1117</v>
      </c>
      <c r="P137" s="8">
        <v>107100</v>
      </c>
      <c r="Q137" s="17">
        <f t="shared" si="16"/>
        <v>4176900</v>
      </c>
      <c r="R137" s="9">
        <v>0</v>
      </c>
      <c r="S137" s="9">
        <v>0</v>
      </c>
      <c r="T137" s="9">
        <v>214525.58</v>
      </c>
      <c r="U137" s="10">
        <v>0</v>
      </c>
      <c r="V137" s="1" t="s">
        <v>46</v>
      </c>
      <c r="W137" s="1" t="s">
        <v>361</v>
      </c>
      <c r="X137" s="1">
        <v>8076423</v>
      </c>
      <c r="Y137" s="11">
        <v>42062</v>
      </c>
      <c r="Z137" s="11">
        <v>42065</v>
      </c>
      <c r="AA137" s="9">
        <f t="shared" si="11"/>
        <v>4176900</v>
      </c>
      <c r="AB137" s="12">
        <v>1</v>
      </c>
      <c r="AC137" s="9">
        <f t="shared" si="12"/>
        <v>4176900</v>
      </c>
      <c r="AD137" s="9">
        <f t="shared" si="13"/>
        <v>4176900</v>
      </c>
      <c r="AE137" s="1" t="s">
        <v>4162</v>
      </c>
      <c r="AF137" s="1" t="s">
        <v>1117</v>
      </c>
      <c r="AG137" s="4">
        <f t="shared" si="17"/>
        <v>4176900</v>
      </c>
      <c r="AH137" s="10">
        <v>4176900</v>
      </c>
      <c r="AI137" s="10"/>
      <c r="AJ137" s="10"/>
      <c r="AK137" s="10"/>
      <c r="AL137" s="9">
        <f t="shared" si="18"/>
        <v>4176900</v>
      </c>
      <c r="AM137" s="1"/>
      <c r="AN137" s="1"/>
      <c r="AO137" s="1"/>
      <c r="AP137" s="1" t="s">
        <v>3976</v>
      </c>
      <c r="AQ137" s="11" t="s">
        <v>3978</v>
      </c>
      <c r="AR137" s="1" t="s">
        <v>3974</v>
      </c>
      <c r="AS137" s="1" t="s">
        <v>3975</v>
      </c>
      <c r="AT137" s="1" t="s">
        <v>49</v>
      </c>
      <c r="AU137" s="1" t="s">
        <v>4171</v>
      </c>
    </row>
    <row r="138" spans="1:47" ht="15" customHeight="1" x14ac:dyDescent="0.2">
      <c r="A138" s="1">
        <v>137</v>
      </c>
      <c r="B138" s="1" t="s">
        <v>1258</v>
      </c>
      <c r="C138" s="1" t="s">
        <v>38</v>
      </c>
      <c r="D138" s="1" t="s">
        <v>3171</v>
      </c>
      <c r="E138" s="5">
        <v>41798</v>
      </c>
      <c r="F138" s="1" t="s">
        <v>3172</v>
      </c>
      <c r="G138" s="1" t="s">
        <v>40</v>
      </c>
      <c r="H138" s="1" t="s">
        <v>41</v>
      </c>
      <c r="I138" s="1" t="s">
        <v>2809</v>
      </c>
      <c r="J138" s="1" t="s">
        <v>55</v>
      </c>
      <c r="K138" s="1">
        <v>38237090</v>
      </c>
      <c r="L138" s="6">
        <v>1505.54</v>
      </c>
      <c r="M138" s="1" t="s">
        <v>70</v>
      </c>
      <c r="N138" s="7" t="s">
        <v>44</v>
      </c>
      <c r="O138" s="1" t="s">
        <v>53</v>
      </c>
      <c r="P138" s="8">
        <v>2105</v>
      </c>
      <c r="Q138" s="17">
        <f t="shared" si="16"/>
        <v>3169161.6999999997</v>
      </c>
      <c r="R138" s="9">
        <v>230347.62</v>
      </c>
      <c r="S138" s="9">
        <v>453.19</v>
      </c>
      <c r="T138" s="9">
        <v>0</v>
      </c>
      <c r="U138" s="10">
        <v>0</v>
      </c>
      <c r="V138" s="1" t="s">
        <v>3176</v>
      </c>
      <c r="W138" s="1" t="s">
        <v>56</v>
      </c>
      <c r="X138" s="1">
        <v>3085971</v>
      </c>
      <c r="Y138" s="11">
        <v>41793</v>
      </c>
      <c r="Z138" s="11">
        <v>41801</v>
      </c>
      <c r="AA138" s="9">
        <f t="shared" si="11"/>
        <v>2938360.8899999997</v>
      </c>
      <c r="AB138" s="12">
        <v>59.1</v>
      </c>
      <c r="AC138" s="9">
        <f t="shared" si="12"/>
        <v>187297456.47</v>
      </c>
      <c r="AD138" s="9">
        <f t="shared" si="13"/>
        <v>173657128.59899998</v>
      </c>
      <c r="AE138" s="1" t="s">
        <v>48</v>
      </c>
      <c r="AF138" s="1" t="s">
        <v>53</v>
      </c>
      <c r="AG138" s="4">
        <f t="shared" si="17"/>
        <v>3169161.6999999997</v>
      </c>
      <c r="AH138" s="10">
        <v>3169096.7</v>
      </c>
      <c r="AI138" s="10">
        <v>236089.39</v>
      </c>
      <c r="AJ138" s="10">
        <v>451.26</v>
      </c>
      <c r="AK138" s="10">
        <v>0</v>
      </c>
      <c r="AL138" s="9">
        <f t="shared" si="18"/>
        <v>2932556.0500000003</v>
      </c>
      <c r="AM138" s="1"/>
      <c r="AN138" s="1"/>
      <c r="AO138" s="12" t="e">
        <f>AB138/#REF!</f>
        <v>#REF!</v>
      </c>
      <c r="AP138" s="1" t="s">
        <v>3321</v>
      </c>
      <c r="AQ138" s="11">
        <v>41843</v>
      </c>
      <c r="AR138" s="18" t="s">
        <v>4403</v>
      </c>
      <c r="AS138" s="11">
        <v>41888</v>
      </c>
      <c r="AT138" s="1" t="s">
        <v>49</v>
      </c>
      <c r="AU138" s="1" t="s">
        <v>4171</v>
      </c>
    </row>
    <row r="139" spans="1:47" ht="15" customHeight="1" x14ac:dyDescent="0.25">
      <c r="A139" s="1">
        <v>138</v>
      </c>
      <c r="B139" s="1" t="s">
        <v>1258</v>
      </c>
      <c r="C139" s="1" t="s">
        <v>38</v>
      </c>
      <c r="D139" s="1" t="s">
        <v>3174</v>
      </c>
      <c r="E139" s="5">
        <v>41798</v>
      </c>
      <c r="F139" s="1" t="s">
        <v>3173</v>
      </c>
      <c r="G139" s="1" t="s">
        <v>40</v>
      </c>
      <c r="H139" s="1" t="s">
        <v>41</v>
      </c>
      <c r="I139" s="1" t="s">
        <v>2809</v>
      </c>
      <c r="J139" s="1" t="s">
        <v>55</v>
      </c>
      <c r="K139" s="1">
        <v>38237090</v>
      </c>
      <c r="L139" s="6">
        <v>506.68</v>
      </c>
      <c r="M139" s="1" t="s">
        <v>70</v>
      </c>
      <c r="N139" s="7" t="s">
        <v>44</v>
      </c>
      <c r="O139" s="1" t="s">
        <v>53</v>
      </c>
      <c r="P139" s="8">
        <v>2056</v>
      </c>
      <c r="Q139" s="17">
        <f t="shared" si="16"/>
        <v>1041734.08</v>
      </c>
      <c r="R139" s="9">
        <v>77522.039999999994</v>
      </c>
      <c r="S139" s="9">
        <v>148.97</v>
      </c>
      <c r="T139" s="9">
        <v>0</v>
      </c>
      <c r="U139" s="10">
        <v>0</v>
      </c>
      <c r="V139" s="1" t="s">
        <v>3176</v>
      </c>
      <c r="W139" s="1" t="s">
        <v>56</v>
      </c>
      <c r="X139" s="1">
        <v>3085958</v>
      </c>
      <c r="Y139" s="11">
        <v>41793</v>
      </c>
      <c r="Z139" s="11">
        <v>41801</v>
      </c>
      <c r="AA139" s="9">
        <f t="shared" si="11"/>
        <v>964063.07</v>
      </c>
      <c r="AB139" s="12">
        <v>59.1</v>
      </c>
      <c r="AC139" s="9">
        <f t="shared" si="12"/>
        <v>61566484.127999999</v>
      </c>
      <c r="AD139" s="9">
        <f t="shared" si="13"/>
        <v>56976127.436999999</v>
      </c>
      <c r="AE139" s="1" t="s">
        <v>48</v>
      </c>
      <c r="AF139" s="1" t="s">
        <v>53</v>
      </c>
      <c r="AG139" s="4">
        <f t="shared" si="17"/>
        <v>1041734.08</v>
      </c>
      <c r="AH139" s="10">
        <v>1041699.08</v>
      </c>
      <c r="AI139" s="10">
        <v>77604.87</v>
      </c>
      <c r="AJ139" s="10">
        <v>148.97</v>
      </c>
      <c r="AK139" s="10">
        <v>0</v>
      </c>
      <c r="AL139" s="9">
        <f t="shared" si="18"/>
        <v>963945.24</v>
      </c>
      <c r="AM139" s="1"/>
      <c r="AN139" s="1"/>
      <c r="AO139" s="12" t="e">
        <f>AB139/#REF!</f>
        <v>#REF!</v>
      </c>
      <c r="AP139" s="1" t="s">
        <v>3322</v>
      </c>
      <c r="AQ139" s="11">
        <v>41822</v>
      </c>
      <c r="AR139" s="1" t="s">
        <v>4404</v>
      </c>
      <c r="AS139" s="11">
        <v>41823</v>
      </c>
      <c r="AT139" s="1" t="s">
        <v>49</v>
      </c>
      <c r="AU139" s="1" t="s">
        <v>4171</v>
      </c>
    </row>
    <row r="140" spans="1:47" ht="15" customHeight="1" x14ac:dyDescent="0.2">
      <c r="A140" s="1">
        <v>139</v>
      </c>
      <c r="B140" s="1" t="s">
        <v>1258</v>
      </c>
      <c r="C140" s="1" t="s">
        <v>38</v>
      </c>
      <c r="D140" s="1">
        <v>9103550277</v>
      </c>
      <c r="E140" s="5">
        <v>41798</v>
      </c>
      <c r="F140" s="1" t="s">
        <v>3175</v>
      </c>
      <c r="G140" s="1" t="s">
        <v>40</v>
      </c>
      <c r="H140" s="1" t="s">
        <v>41</v>
      </c>
      <c r="I140" s="1" t="s">
        <v>2809</v>
      </c>
      <c r="J140" s="1" t="s">
        <v>55</v>
      </c>
      <c r="K140" s="1">
        <v>38237090</v>
      </c>
      <c r="L140" s="6">
        <v>508.35</v>
      </c>
      <c r="M140" s="1" t="s">
        <v>70</v>
      </c>
      <c r="N140" s="7" t="s">
        <v>44</v>
      </c>
      <c r="O140" s="1" t="s">
        <v>53</v>
      </c>
      <c r="P140" s="8">
        <v>1900</v>
      </c>
      <c r="Q140" s="17">
        <f t="shared" si="16"/>
        <v>965865</v>
      </c>
      <c r="R140" s="9">
        <v>77777.55</v>
      </c>
      <c r="S140" s="9">
        <v>138.12</v>
      </c>
      <c r="T140" s="9">
        <v>0</v>
      </c>
      <c r="U140" s="10">
        <v>0</v>
      </c>
      <c r="V140" s="1" t="s">
        <v>3176</v>
      </c>
      <c r="W140" s="1" t="s">
        <v>56</v>
      </c>
      <c r="X140" s="1">
        <v>3085956</v>
      </c>
      <c r="Y140" s="11">
        <v>41793</v>
      </c>
      <c r="Z140" s="11">
        <v>41798</v>
      </c>
      <c r="AA140" s="9">
        <f t="shared" si="11"/>
        <v>887949.33</v>
      </c>
      <c r="AB140" s="12">
        <v>59.1</v>
      </c>
      <c r="AC140" s="9">
        <f t="shared" si="12"/>
        <v>57082621.5</v>
      </c>
      <c r="AD140" s="9">
        <f t="shared" si="13"/>
        <v>52477805.402999997</v>
      </c>
      <c r="AE140" s="1" t="s">
        <v>48</v>
      </c>
      <c r="AF140" s="1" t="s">
        <v>53</v>
      </c>
      <c r="AG140" s="4">
        <f t="shared" si="17"/>
        <v>965865</v>
      </c>
      <c r="AH140" s="10">
        <v>965865</v>
      </c>
      <c r="AI140" s="9">
        <v>77777.55</v>
      </c>
      <c r="AJ140" s="9">
        <v>138.12</v>
      </c>
      <c r="AK140" s="9">
        <v>0</v>
      </c>
      <c r="AL140" s="9">
        <f t="shared" si="18"/>
        <v>887949.33</v>
      </c>
      <c r="AM140" s="1"/>
      <c r="AN140" s="1"/>
      <c r="AO140" s="12" t="e">
        <f>AB140/#REF!</f>
        <v>#REF!</v>
      </c>
      <c r="AP140" s="1" t="s">
        <v>3323</v>
      </c>
      <c r="AQ140" s="11">
        <v>41822</v>
      </c>
      <c r="AR140" s="18" t="s">
        <v>4405</v>
      </c>
      <c r="AS140" s="11">
        <v>41823</v>
      </c>
      <c r="AT140" s="1" t="s">
        <v>49</v>
      </c>
      <c r="AU140" s="1" t="s">
        <v>4171</v>
      </c>
    </row>
    <row r="141" spans="1:47" ht="15" customHeight="1" x14ac:dyDescent="0.25">
      <c r="A141" s="1">
        <v>140</v>
      </c>
      <c r="B141" s="1" t="s">
        <v>1258</v>
      </c>
      <c r="C141" s="1" t="s">
        <v>38</v>
      </c>
      <c r="D141" s="1" t="s">
        <v>3177</v>
      </c>
      <c r="E141" s="5">
        <v>41800</v>
      </c>
      <c r="F141" s="1" t="s">
        <v>3178</v>
      </c>
      <c r="G141" s="1" t="s">
        <v>40</v>
      </c>
      <c r="H141" s="1" t="s">
        <v>41</v>
      </c>
      <c r="I141" s="1" t="s">
        <v>2809</v>
      </c>
      <c r="J141" s="1" t="s">
        <v>3179</v>
      </c>
      <c r="K141" s="1">
        <v>38237090</v>
      </c>
      <c r="L141" s="6">
        <v>1005.09</v>
      </c>
      <c r="M141" s="1" t="s">
        <v>70</v>
      </c>
      <c r="N141" s="7" t="s">
        <v>44</v>
      </c>
      <c r="O141" s="1" t="s">
        <v>45</v>
      </c>
      <c r="P141" s="8">
        <v>1360</v>
      </c>
      <c r="Q141" s="17">
        <f t="shared" si="16"/>
        <v>1366922.4000000001</v>
      </c>
      <c r="R141" s="9">
        <v>95511.53</v>
      </c>
      <c r="S141" s="9">
        <v>195.47</v>
      </c>
      <c r="T141" s="9">
        <v>0</v>
      </c>
      <c r="U141" s="10">
        <v>0</v>
      </c>
      <c r="V141" s="1" t="s">
        <v>3176</v>
      </c>
      <c r="W141" s="1" t="s">
        <v>61</v>
      </c>
      <c r="X141" s="1">
        <v>3158513</v>
      </c>
      <c r="Y141" s="11">
        <v>41796</v>
      </c>
      <c r="Z141" s="11">
        <v>41802</v>
      </c>
      <c r="AA141" s="9">
        <f t="shared" si="11"/>
        <v>1271215.4000000001</v>
      </c>
      <c r="AB141" s="12">
        <v>79.75</v>
      </c>
      <c r="AC141" s="9">
        <f t="shared" si="12"/>
        <v>109012061.40000001</v>
      </c>
      <c r="AD141" s="9">
        <f t="shared" si="13"/>
        <v>101379428.15000001</v>
      </c>
      <c r="AE141" s="1" t="s">
        <v>48</v>
      </c>
      <c r="AF141" s="1" t="s">
        <v>45</v>
      </c>
      <c r="AG141" s="4">
        <f t="shared" si="17"/>
        <v>1366922.4000000001</v>
      </c>
      <c r="AH141" s="10">
        <v>1366872.4</v>
      </c>
      <c r="AI141" s="10">
        <v>98265.33</v>
      </c>
      <c r="AJ141" s="10">
        <v>195.47</v>
      </c>
      <c r="AK141" s="10">
        <v>0</v>
      </c>
      <c r="AL141" s="9">
        <f t="shared" si="18"/>
        <v>1268411.5999999999</v>
      </c>
      <c r="AM141" s="1"/>
      <c r="AN141" s="1"/>
      <c r="AO141" s="12" t="e">
        <f>AB141/#REF!</f>
        <v>#REF!</v>
      </c>
      <c r="AP141" s="1"/>
      <c r="AQ141" s="11">
        <v>41864</v>
      </c>
      <c r="AR141" s="1" t="s">
        <v>3677</v>
      </c>
      <c r="AS141" s="11">
        <v>41865</v>
      </c>
      <c r="AT141" s="1" t="s">
        <v>49</v>
      </c>
      <c r="AU141" s="1" t="s">
        <v>4171</v>
      </c>
    </row>
    <row r="142" spans="1:47" ht="15" customHeight="1" x14ac:dyDescent="0.25">
      <c r="A142" s="1">
        <v>141</v>
      </c>
      <c r="B142" s="1" t="s">
        <v>1258</v>
      </c>
      <c r="C142" s="1" t="s">
        <v>38</v>
      </c>
      <c r="D142" s="1" t="s">
        <v>3180</v>
      </c>
      <c r="E142" s="5">
        <v>41858</v>
      </c>
      <c r="F142" s="1" t="s">
        <v>3181</v>
      </c>
      <c r="G142" s="1" t="s">
        <v>40</v>
      </c>
      <c r="H142" s="1" t="s">
        <v>41</v>
      </c>
      <c r="I142" s="1" t="s">
        <v>2809</v>
      </c>
      <c r="J142" s="1" t="s">
        <v>187</v>
      </c>
      <c r="K142" s="1">
        <v>38237090</v>
      </c>
      <c r="L142" s="6">
        <v>1508.05</v>
      </c>
      <c r="M142" s="1" t="s">
        <v>70</v>
      </c>
      <c r="N142" s="7" t="s">
        <v>44</v>
      </c>
      <c r="O142" s="1" t="s">
        <v>53</v>
      </c>
      <c r="P142" s="8">
        <v>1730</v>
      </c>
      <c r="Q142" s="17">
        <f t="shared" si="16"/>
        <v>2608926.5</v>
      </c>
      <c r="R142" s="9">
        <v>242796.05</v>
      </c>
      <c r="S142" s="9">
        <v>373.08</v>
      </c>
      <c r="T142" s="9">
        <v>0</v>
      </c>
      <c r="U142" s="10">
        <v>0</v>
      </c>
      <c r="V142" s="1" t="s">
        <v>3176</v>
      </c>
      <c r="W142" s="1" t="s">
        <v>56</v>
      </c>
      <c r="X142" s="1">
        <v>4241396</v>
      </c>
      <c r="Y142" s="11">
        <v>41855</v>
      </c>
      <c r="Z142" s="11">
        <v>41858</v>
      </c>
      <c r="AA142" s="9">
        <f t="shared" si="11"/>
        <v>2365757.37</v>
      </c>
      <c r="AB142" s="12">
        <v>59.7</v>
      </c>
      <c r="AC142" s="9">
        <f t="shared" si="12"/>
        <v>155752912.05000001</v>
      </c>
      <c r="AD142" s="9">
        <f t="shared" si="13"/>
        <v>141235714.98900002</v>
      </c>
      <c r="AE142" s="1" t="s">
        <v>51</v>
      </c>
      <c r="AF142" s="1" t="s">
        <v>53</v>
      </c>
      <c r="AG142" s="4">
        <f t="shared" si="17"/>
        <v>2608926.5</v>
      </c>
      <c r="AH142" s="10">
        <v>2608891</v>
      </c>
      <c r="AI142" s="10">
        <v>242796.05</v>
      </c>
      <c r="AJ142" s="10">
        <v>373.08</v>
      </c>
      <c r="AK142" s="10">
        <v>0</v>
      </c>
      <c r="AL142" s="9">
        <f t="shared" si="18"/>
        <v>2365721.87</v>
      </c>
      <c r="AM142" s="1"/>
      <c r="AN142" s="1"/>
      <c r="AO142" s="12" t="e">
        <f>AB142/#REF!</f>
        <v>#REF!</v>
      </c>
      <c r="AP142" s="1" t="s">
        <v>3324</v>
      </c>
      <c r="AQ142" s="11">
        <v>41893</v>
      </c>
      <c r="AR142" s="1" t="s">
        <v>3913</v>
      </c>
      <c r="AS142" s="11">
        <v>41920</v>
      </c>
      <c r="AT142" s="1" t="s">
        <v>49</v>
      </c>
      <c r="AU142" s="1" t="s">
        <v>4171</v>
      </c>
    </row>
    <row r="143" spans="1:47" ht="15" customHeight="1" x14ac:dyDescent="0.25">
      <c r="A143" s="1">
        <v>142</v>
      </c>
      <c r="B143" s="1" t="s">
        <v>1258</v>
      </c>
      <c r="C143" s="1" t="s">
        <v>38</v>
      </c>
      <c r="D143" s="1" t="s">
        <v>3182</v>
      </c>
      <c r="E143" s="5">
        <v>41983</v>
      </c>
      <c r="F143" s="1" t="s">
        <v>3183</v>
      </c>
      <c r="G143" s="1" t="s">
        <v>40</v>
      </c>
      <c r="H143" s="1" t="s">
        <v>41</v>
      </c>
      <c r="I143" s="1" t="s">
        <v>2809</v>
      </c>
      <c r="J143" s="1" t="s">
        <v>187</v>
      </c>
      <c r="K143" s="1">
        <v>38237090</v>
      </c>
      <c r="L143" s="6">
        <v>2006.85</v>
      </c>
      <c r="M143" s="1" t="s">
        <v>70</v>
      </c>
      <c r="N143" s="7" t="s">
        <v>44</v>
      </c>
      <c r="O143" s="1" t="s">
        <v>53</v>
      </c>
      <c r="P143" s="8">
        <v>1320</v>
      </c>
      <c r="Q143" s="17">
        <f t="shared" si="16"/>
        <v>2649042</v>
      </c>
      <c r="R143" s="9">
        <v>315075.45</v>
      </c>
      <c r="S143" s="9">
        <v>378.81</v>
      </c>
      <c r="T143" s="9">
        <v>0</v>
      </c>
      <c r="U143" s="10">
        <v>0</v>
      </c>
      <c r="V143" s="1" t="s">
        <v>3176</v>
      </c>
      <c r="W143" s="1" t="s">
        <v>56</v>
      </c>
      <c r="X143" s="1">
        <v>6438852</v>
      </c>
      <c r="Y143" s="11">
        <v>41977</v>
      </c>
      <c r="Z143" s="11">
        <v>41984</v>
      </c>
      <c r="AA143" s="9">
        <f t="shared" si="11"/>
        <v>2333587.7399999998</v>
      </c>
      <c r="AB143" s="12">
        <v>61.6</v>
      </c>
      <c r="AC143" s="9">
        <f t="shared" si="12"/>
        <v>163180987.20000002</v>
      </c>
      <c r="AD143" s="9">
        <f t="shared" si="13"/>
        <v>143749004.78399998</v>
      </c>
      <c r="AE143" s="1" t="s">
        <v>51</v>
      </c>
      <c r="AF143" s="1" t="s">
        <v>53</v>
      </c>
      <c r="AG143" s="4">
        <f t="shared" si="17"/>
        <v>2649042</v>
      </c>
      <c r="AH143" s="10">
        <v>2649042</v>
      </c>
      <c r="AI143" s="10">
        <v>307805.64</v>
      </c>
      <c r="AJ143" s="10">
        <v>378.81</v>
      </c>
      <c r="AK143" s="10">
        <v>0</v>
      </c>
      <c r="AL143" s="9">
        <f t="shared" si="18"/>
        <v>2340857.5499999998</v>
      </c>
      <c r="AM143" s="1"/>
      <c r="AN143" s="1"/>
      <c r="AO143" s="12" t="e">
        <f>AB143/#REF!</f>
        <v>#REF!</v>
      </c>
      <c r="AP143" s="1" t="s">
        <v>3325</v>
      </c>
      <c r="AQ143" s="11">
        <v>42079</v>
      </c>
      <c r="AR143" s="1" t="s">
        <v>3914</v>
      </c>
      <c r="AS143" s="11">
        <v>42081</v>
      </c>
      <c r="AT143" s="1" t="s">
        <v>49</v>
      </c>
      <c r="AU143" s="1" t="s">
        <v>4171</v>
      </c>
    </row>
    <row r="144" spans="1:47" ht="15" customHeight="1" x14ac:dyDescent="0.25">
      <c r="A144" s="1">
        <v>143</v>
      </c>
      <c r="B144" s="1" t="s">
        <v>1258</v>
      </c>
      <c r="C144" s="1" t="s">
        <v>38</v>
      </c>
      <c r="D144" s="1" t="s">
        <v>3184</v>
      </c>
      <c r="E144" s="5">
        <v>41992</v>
      </c>
      <c r="F144" s="1" t="s">
        <v>3185</v>
      </c>
      <c r="G144" s="1" t="s">
        <v>40</v>
      </c>
      <c r="H144" s="1" t="s">
        <v>41</v>
      </c>
      <c r="I144" s="1" t="s">
        <v>2809</v>
      </c>
      <c r="J144" s="1" t="s">
        <v>200</v>
      </c>
      <c r="K144" s="1">
        <v>29157010</v>
      </c>
      <c r="L144" s="6">
        <v>1006.57</v>
      </c>
      <c r="M144" s="1" t="s">
        <v>70</v>
      </c>
      <c r="N144" s="7" t="s">
        <v>44</v>
      </c>
      <c r="O144" s="1" t="s">
        <v>53</v>
      </c>
      <c r="P144" s="8">
        <v>1100</v>
      </c>
      <c r="Q144" s="17">
        <f t="shared" si="16"/>
        <v>1107227</v>
      </c>
      <c r="R144" s="9">
        <v>166084.04999999999</v>
      </c>
      <c r="S144" s="9">
        <v>158.34</v>
      </c>
      <c r="T144" s="9">
        <v>15098.55</v>
      </c>
      <c r="U144" s="10">
        <v>0</v>
      </c>
      <c r="V144" s="1" t="s">
        <v>3176</v>
      </c>
      <c r="W144" s="1" t="s">
        <v>59</v>
      </c>
      <c r="X144" s="1">
        <v>6593379</v>
      </c>
      <c r="Y144" s="11">
        <v>41985</v>
      </c>
      <c r="Z144" s="11">
        <v>41996</v>
      </c>
      <c r="AA144" s="9">
        <f t="shared" si="11"/>
        <v>940984.61</v>
      </c>
      <c r="AB144" s="12">
        <v>61.5</v>
      </c>
      <c r="AC144" s="9">
        <f t="shared" si="12"/>
        <v>68094460.5</v>
      </c>
      <c r="AD144" s="9">
        <f t="shared" si="13"/>
        <v>57870553.515000001</v>
      </c>
      <c r="AE144" s="1" t="s">
        <v>51</v>
      </c>
      <c r="AF144" s="1" t="s">
        <v>53</v>
      </c>
      <c r="AG144" s="4">
        <f t="shared" si="17"/>
        <v>1107227</v>
      </c>
      <c r="AH144" s="10">
        <v>1107227</v>
      </c>
      <c r="AI144" s="9">
        <v>166084.04999999999</v>
      </c>
      <c r="AJ144" s="9">
        <v>158.34</v>
      </c>
      <c r="AK144" s="9">
        <v>15098.55</v>
      </c>
      <c r="AL144" s="9">
        <f t="shared" si="18"/>
        <v>925886.06</v>
      </c>
      <c r="AM144" s="1"/>
      <c r="AN144" s="1"/>
      <c r="AO144" s="12" t="e">
        <f>AB144/#REF!</f>
        <v>#REF!</v>
      </c>
      <c r="AP144" s="1" t="s">
        <v>3326</v>
      </c>
      <c r="AQ144" s="11">
        <v>42018</v>
      </c>
      <c r="AR144" s="1" t="s">
        <v>3915</v>
      </c>
      <c r="AS144" s="11">
        <v>42018</v>
      </c>
      <c r="AT144" s="1" t="s">
        <v>49</v>
      </c>
      <c r="AU144" s="1" t="s">
        <v>4171</v>
      </c>
    </row>
    <row r="145" spans="1:47" ht="15" customHeight="1" x14ac:dyDescent="0.25">
      <c r="A145" s="1">
        <v>144</v>
      </c>
      <c r="B145" s="1" t="s">
        <v>1258</v>
      </c>
      <c r="C145" s="1" t="s">
        <v>38</v>
      </c>
      <c r="D145" s="1">
        <v>9103550001</v>
      </c>
      <c r="E145" s="5">
        <v>41738</v>
      </c>
      <c r="F145" s="1" t="s">
        <v>39</v>
      </c>
      <c r="G145" s="1" t="s">
        <v>40</v>
      </c>
      <c r="H145" s="1" t="s">
        <v>41</v>
      </c>
      <c r="I145" s="1" t="s">
        <v>2809</v>
      </c>
      <c r="J145" s="1" t="s">
        <v>2764</v>
      </c>
      <c r="K145" s="1">
        <v>38237090</v>
      </c>
      <c r="L145" s="6">
        <v>24</v>
      </c>
      <c r="M145" s="1" t="s">
        <v>70</v>
      </c>
      <c r="N145" s="7" t="s">
        <v>67</v>
      </c>
      <c r="O145" s="1" t="s">
        <v>53</v>
      </c>
      <c r="P145" s="8">
        <v>1465</v>
      </c>
      <c r="Q145" s="17">
        <f t="shared" si="16"/>
        <v>35160</v>
      </c>
      <c r="R145" s="9">
        <v>0</v>
      </c>
      <c r="S145" s="9">
        <v>0</v>
      </c>
      <c r="T145" s="9">
        <v>0</v>
      </c>
      <c r="U145" s="10">
        <v>0</v>
      </c>
      <c r="V145" s="1" t="s">
        <v>46</v>
      </c>
      <c r="W145" s="1" t="s">
        <v>143</v>
      </c>
      <c r="X145" s="1">
        <v>1962241</v>
      </c>
      <c r="Y145" s="11">
        <v>41731</v>
      </c>
      <c r="Z145" s="11">
        <v>41732</v>
      </c>
      <c r="AA145" s="9">
        <f t="shared" si="11"/>
        <v>35160</v>
      </c>
      <c r="AB145" s="12">
        <v>60.75</v>
      </c>
      <c r="AC145" s="9">
        <f t="shared" si="12"/>
        <v>2135970</v>
      </c>
      <c r="AD145" s="9">
        <f t="shared" si="13"/>
        <v>2135970</v>
      </c>
      <c r="AE145" s="1" t="s">
        <v>48</v>
      </c>
      <c r="AF145" s="1" t="s">
        <v>53</v>
      </c>
      <c r="AG145" s="4">
        <f t="shared" si="17"/>
        <v>35160</v>
      </c>
      <c r="AH145" s="10">
        <v>35160</v>
      </c>
      <c r="AI145" s="9">
        <v>0</v>
      </c>
      <c r="AJ145" s="9">
        <v>0</v>
      </c>
      <c r="AK145" s="9">
        <v>0</v>
      </c>
      <c r="AL145" s="9">
        <f t="shared" si="18"/>
        <v>35160</v>
      </c>
      <c r="AM145" s="1"/>
      <c r="AN145" s="1"/>
      <c r="AO145" s="12" t="e">
        <f>AB145/#REF!</f>
        <v>#REF!</v>
      </c>
      <c r="AP145" s="1" t="s">
        <v>1297</v>
      </c>
      <c r="AQ145" s="11">
        <v>41789</v>
      </c>
      <c r="AR145" s="1" t="s">
        <v>1298</v>
      </c>
      <c r="AS145" s="11">
        <v>41790</v>
      </c>
      <c r="AT145" s="1" t="s">
        <v>49</v>
      </c>
      <c r="AU145" s="1" t="s">
        <v>4171</v>
      </c>
    </row>
    <row r="146" spans="1:47" ht="15" customHeight="1" x14ac:dyDescent="0.25">
      <c r="A146" s="1">
        <v>145</v>
      </c>
      <c r="B146" s="1" t="s">
        <v>1258</v>
      </c>
      <c r="C146" s="1" t="s">
        <v>38</v>
      </c>
      <c r="D146" s="1">
        <v>9103550001</v>
      </c>
      <c r="E146" s="5">
        <v>41738</v>
      </c>
      <c r="F146" s="1" t="s">
        <v>39</v>
      </c>
      <c r="G146" s="1" t="s">
        <v>40</v>
      </c>
      <c r="H146" s="1" t="s">
        <v>41</v>
      </c>
      <c r="I146" s="1" t="s">
        <v>2809</v>
      </c>
      <c r="J146" s="1" t="s">
        <v>2764</v>
      </c>
      <c r="K146" s="1">
        <v>29051700</v>
      </c>
      <c r="L146" s="6">
        <v>0.6</v>
      </c>
      <c r="M146" s="1" t="s">
        <v>70</v>
      </c>
      <c r="N146" s="7" t="s">
        <v>67</v>
      </c>
      <c r="O146" s="1" t="s">
        <v>53</v>
      </c>
      <c r="P146" s="8">
        <v>1750</v>
      </c>
      <c r="Q146" s="17">
        <f t="shared" si="16"/>
        <v>1050</v>
      </c>
      <c r="R146" s="9">
        <v>0</v>
      </c>
      <c r="S146" s="9">
        <v>0</v>
      </c>
      <c r="T146" s="9">
        <v>0</v>
      </c>
      <c r="U146" s="10">
        <v>0</v>
      </c>
      <c r="V146" s="1" t="s">
        <v>46</v>
      </c>
      <c r="W146" s="1" t="s">
        <v>143</v>
      </c>
      <c r="X146" s="1">
        <v>1962241</v>
      </c>
      <c r="Y146" s="11">
        <v>41731</v>
      </c>
      <c r="Z146" s="11">
        <v>41732</v>
      </c>
      <c r="AA146" s="9">
        <f t="shared" si="11"/>
        <v>1050</v>
      </c>
      <c r="AB146" s="12">
        <v>60.75</v>
      </c>
      <c r="AC146" s="9">
        <f t="shared" si="12"/>
        <v>63787.5</v>
      </c>
      <c r="AD146" s="9">
        <f t="shared" si="13"/>
        <v>63787.5</v>
      </c>
      <c r="AE146" s="1" t="s">
        <v>48</v>
      </c>
      <c r="AF146" s="1" t="s">
        <v>53</v>
      </c>
      <c r="AG146" s="4">
        <f t="shared" si="17"/>
        <v>1050</v>
      </c>
      <c r="AH146" s="10">
        <v>1030</v>
      </c>
      <c r="AI146" s="9">
        <v>0</v>
      </c>
      <c r="AJ146" s="9">
        <v>0</v>
      </c>
      <c r="AK146" s="9">
        <v>0</v>
      </c>
      <c r="AL146" s="9">
        <f t="shared" si="18"/>
        <v>1030</v>
      </c>
      <c r="AM146" s="1"/>
      <c r="AN146" s="1"/>
      <c r="AO146" s="12" t="e">
        <f>AB146/#REF!</f>
        <v>#REF!</v>
      </c>
      <c r="AP146" s="1" t="s">
        <v>1297</v>
      </c>
      <c r="AQ146" s="11">
        <v>41789</v>
      </c>
      <c r="AR146" s="1" t="s">
        <v>1298</v>
      </c>
      <c r="AS146" s="11">
        <v>41790</v>
      </c>
      <c r="AT146" s="1" t="s">
        <v>49</v>
      </c>
      <c r="AU146" s="1" t="s">
        <v>4171</v>
      </c>
    </row>
    <row r="147" spans="1:47" ht="15" customHeight="1" x14ac:dyDescent="0.25">
      <c r="A147" s="1">
        <v>146</v>
      </c>
      <c r="B147" s="1" t="s">
        <v>1258</v>
      </c>
      <c r="C147" s="1" t="s">
        <v>38</v>
      </c>
      <c r="D147" s="1">
        <v>9103550002</v>
      </c>
      <c r="E147" s="5">
        <v>41737</v>
      </c>
      <c r="F147" s="1" t="s">
        <v>108</v>
      </c>
      <c r="G147" s="1" t="s">
        <v>40</v>
      </c>
      <c r="H147" s="1" t="s">
        <v>41</v>
      </c>
      <c r="I147" s="1" t="s">
        <v>2809</v>
      </c>
      <c r="J147" s="1" t="s">
        <v>43</v>
      </c>
      <c r="K147" s="1">
        <v>29159090</v>
      </c>
      <c r="L147" s="6">
        <v>79.900000000000006</v>
      </c>
      <c r="M147" s="1" t="s">
        <v>70</v>
      </c>
      <c r="N147" s="7" t="s">
        <v>44</v>
      </c>
      <c r="O147" s="1" t="s">
        <v>45</v>
      </c>
      <c r="P147" s="8">
        <v>1280</v>
      </c>
      <c r="Q147" s="17">
        <f t="shared" si="16"/>
        <v>102272</v>
      </c>
      <c r="R147" s="9">
        <v>5268.29</v>
      </c>
      <c r="S147" s="9">
        <v>20.25</v>
      </c>
      <c r="T147" s="9">
        <v>0</v>
      </c>
      <c r="U147" s="10">
        <v>0</v>
      </c>
      <c r="V147" s="1" t="s">
        <v>46</v>
      </c>
      <c r="W147" s="1" t="s">
        <v>47</v>
      </c>
      <c r="X147" s="1">
        <v>1961841</v>
      </c>
      <c r="Y147" s="11">
        <v>41731</v>
      </c>
      <c r="Z147" s="11">
        <v>41733</v>
      </c>
      <c r="AA147" s="9">
        <f t="shared" si="11"/>
        <v>96983.46</v>
      </c>
      <c r="AB147" s="12">
        <v>83.65</v>
      </c>
      <c r="AC147" s="9">
        <f t="shared" si="12"/>
        <v>8555052.8000000007</v>
      </c>
      <c r="AD147" s="9">
        <f t="shared" si="13"/>
        <v>8112666.4290000014</v>
      </c>
      <c r="AE147" s="1" t="s">
        <v>48</v>
      </c>
      <c r="AF147" s="1" t="s">
        <v>45</v>
      </c>
      <c r="AG147" s="4">
        <f t="shared" si="17"/>
        <v>102272</v>
      </c>
      <c r="AH147" s="10">
        <v>102272</v>
      </c>
      <c r="AI147" s="10">
        <v>4981.5200000000004</v>
      </c>
      <c r="AJ147" s="10">
        <v>20.25</v>
      </c>
      <c r="AK147" s="10">
        <v>0</v>
      </c>
      <c r="AL147" s="9">
        <f t="shared" si="18"/>
        <v>97270.23</v>
      </c>
      <c r="AM147" s="1"/>
      <c r="AN147" s="1"/>
      <c r="AO147" s="12" t="e">
        <f>AB147/#REF!</f>
        <v>#REF!</v>
      </c>
      <c r="AP147" s="1" t="s">
        <v>1299</v>
      </c>
      <c r="AQ147" s="11">
        <v>41799</v>
      </c>
      <c r="AR147" s="1" t="s">
        <v>1300</v>
      </c>
      <c r="AS147" s="11">
        <v>41800</v>
      </c>
      <c r="AT147" s="1" t="s">
        <v>49</v>
      </c>
      <c r="AU147" s="1" t="s">
        <v>4171</v>
      </c>
    </row>
    <row r="148" spans="1:47" ht="15" customHeight="1" x14ac:dyDescent="0.25">
      <c r="A148" s="1">
        <v>147</v>
      </c>
      <c r="B148" s="1" t="s">
        <v>1258</v>
      </c>
      <c r="C148" s="1" t="s">
        <v>38</v>
      </c>
      <c r="D148" s="1">
        <v>9103550003</v>
      </c>
      <c r="E148" s="5">
        <v>41733</v>
      </c>
      <c r="F148" s="1" t="s">
        <v>109</v>
      </c>
      <c r="G148" s="1" t="s">
        <v>40</v>
      </c>
      <c r="H148" s="1" t="s">
        <v>41</v>
      </c>
      <c r="I148" s="1" t="s">
        <v>2809</v>
      </c>
      <c r="J148" s="1" t="s">
        <v>55</v>
      </c>
      <c r="K148" s="1">
        <v>38237090</v>
      </c>
      <c r="L148" s="6">
        <v>18.145</v>
      </c>
      <c r="M148" s="1" t="s">
        <v>70</v>
      </c>
      <c r="N148" s="7" t="s">
        <v>44</v>
      </c>
      <c r="O148" s="1" t="s">
        <v>53</v>
      </c>
      <c r="P148" s="8">
        <v>1575</v>
      </c>
      <c r="Q148" s="17">
        <f t="shared" si="16"/>
        <v>28578.375</v>
      </c>
      <c r="R148" s="9">
        <v>3100</v>
      </c>
      <c r="S148" s="9">
        <v>5.66</v>
      </c>
      <c r="T148" s="9">
        <v>0</v>
      </c>
      <c r="U148" s="10">
        <v>0</v>
      </c>
      <c r="V148" s="1" t="s">
        <v>46</v>
      </c>
      <c r="W148" s="1" t="s">
        <v>56</v>
      </c>
      <c r="X148" s="1">
        <v>1962338</v>
      </c>
      <c r="Y148" s="11">
        <v>41731</v>
      </c>
      <c r="Z148" s="11">
        <v>41732</v>
      </c>
      <c r="AA148" s="9">
        <f t="shared" si="11"/>
        <v>25472.715</v>
      </c>
      <c r="AB148" s="12">
        <v>60.75</v>
      </c>
      <c r="AC148" s="9">
        <f t="shared" si="12"/>
        <v>1736136.28125</v>
      </c>
      <c r="AD148" s="9">
        <f t="shared" si="13"/>
        <v>1547467.43625</v>
      </c>
      <c r="AE148" s="1" t="s">
        <v>51</v>
      </c>
      <c r="AF148" s="1" t="s">
        <v>53</v>
      </c>
      <c r="AG148" s="4">
        <f t="shared" si="17"/>
        <v>28578.375</v>
      </c>
      <c r="AH148" s="10">
        <v>28578</v>
      </c>
      <c r="AI148" s="10">
        <v>3025</v>
      </c>
      <c r="AJ148" s="10">
        <v>5.66</v>
      </c>
      <c r="AK148" s="10">
        <v>0</v>
      </c>
      <c r="AL148" s="9">
        <f t="shared" si="18"/>
        <v>25547.34</v>
      </c>
      <c r="AM148" s="1"/>
      <c r="AN148" s="1"/>
      <c r="AO148" s="12" t="e">
        <f>AB148/#REF!</f>
        <v>#REF!</v>
      </c>
      <c r="AP148" s="1" t="s">
        <v>1301</v>
      </c>
      <c r="AQ148" s="11">
        <v>41794</v>
      </c>
      <c r="AR148" s="1" t="s">
        <v>1302</v>
      </c>
      <c r="AS148" s="11">
        <v>41843</v>
      </c>
      <c r="AT148" s="1" t="s">
        <v>49</v>
      </c>
      <c r="AU148" s="1" t="s">
        <v>4171</v>
      </c>
    </row>
    <row r="149" spans="1:47" ht="15" customHeight="1" x14ac:dyDescent="0.25">
      <c r="A149" s="1">
        <v>148</v>
      </c>
      <c r="B149" s="1" t="s">
        <v>1258</v>
      </c>
      <c r="C149" s="1" t="s">
        <v>38</v>
      </c>
      <c r="D149" s="1">
        <v>9103550004</v>
      </c>
      <c r="E149" s="5">
        <v>41733</v>
      </c>
      <c r="F149" s="1" t="s">
        <v>110</v>
      </c>
      <c r="G149" s="1" t="s">
        <v>40</v>
      </c>
      <c r="H149" s="1" t="s">
        <v>41</v>
      </c>
      <c r="I149" s="1" t="s">
        <v>2809</v>
      </c>
      <c r="J149" s="1" t="s">
        <v>55</v>
      </c>
      <c r="K149" s="1">
        <v>38237090</v>
      </c>
      <c r="L149" s="6">
        <v>18.14</v>
      </c>
      <c r="M149" s="1" t="s">
        <v>70</v>
      </c>
      <c r="N149" s="7" t="s">
        <v>44</v>
      </c>
      <c r="O149" s="1" t="s">
        <v>53</v>
      </c>
      <c r="P149" s="8">
        <v>1660</v>
      </c>
      <c r="Q149" s="17">
        <f t="shared" si="16"/>
        <v>30112.400000000001</v>
      </c>
      <c r="R149" s="9">
        <v>3000</v>
      </c>
      <c r="S149" s="9">
        <v>5.96</v>
      </c>
      <c r="T149" s="9">
        <v>0</v>
      </c>
      <c r="U149" s="10">
        <v>0</v>
      </c>
      <c r="V149" s="1" t="s">
        <v>46</v>
      </c>
      <c r="W149" s="1" t="s">
        <v>56</v>
      </c>
      <c r="X149" s="1">
        <v>1964691</v>
      </c>
      <c r="Y149" s="11">
        <v>41731</v>
      </c>
      <c r="Z149" s="11">
        <v>41732</v>
      </c>
      <c r="AA149" s="9">
        <f t="shared" si="11"/>
        <v>27106.440000000002</v>
      </c>
      <c r="AB149" s="12">
        <v>60.75</v>
      </c>
      <c r="AC149" s="9">
        <f t="shared" si="12"/>
        <v>1829328.3</v>
      </c>
      <c r="AD149" s="9">
        <f t="shared" si="13"/>
        <v>1646716.2300000002</v>
      </c>
      <c r="AE149" s="1" t="s">
        <v>51</v>
      </c>
      <c r="AF149" s="1" t="s">
        <v>53</v>
      </c>
      <c r="AG149" s="4">
        <f t="shared" si="17"/>
        <v>30112.400000000001</v>
      </c>
      <c r="AH149" s="10">
        <v>30112</v>
      </c>
      <c r="AI149" s="10">
        <v>2950</v>
      </c>
      <c r="AJ149" s="10">
        <v>5.96</v>
      </c>
      <c r="AK149" s="10">
        <v>0</v>
      </c>
      <c r="AL149" s="9">
        <f t="shared" si="18"/>
        <v>27156.04</v>
      </c>
      <c r="AM149" s="1"/>
      <c r="AN149" s="1"/>
      <c r="AO149" s="12" t="e">
        <f>AB149/#REF!</f>
        <v>#REF!</v>
      </c>
      <c r="AP149" s="1" t="s">
        <v>1303</v>
      </c>
      <c r="AQ149" s="11">
        <v>41789</v>
      </c>
      <c r="AR149" s="1" t="s">
        <v>1304</v>
      </c>
      <c r="AS149" s="11">
        <v>41843</v>
      </c>
      <c r="AT149" s="1" t="s">
        <v>49</v>
      </c>
      <c r="AU149" s="1" t="s">
        <v>4171</v>
      </c>
    </row>
    <row r="150" spans="1:47" ht="15" customHeight="1" x14ac:dyDescent="0.25">
      <c r="A150" s="1">
        <v>149</v>
      </c>
      <c r="B150" s="1" t="s">
        <v>1258</v>
      </c>
      <c r="C150" s="1" t="s">
        <v>38</v>
      </c>
      <c r="D150" s="1">
        <v>9103550005</v>
      </c>
      <c r="E150" s="5">
        <v>41738</v>
      </c>
      <c r="F150" s="1" t="s">
        <v>134</v>
      </c>
      <c r="G150" s="1" t="s">
        <v>40</v>
      </c>
      <c r="H150" s="1" t="s">
        <v>41</v>
      </c>
      <c r="I150" s="1" t="s">
        <v>2809</v>
      </c>
      <c r="J150" s="1" t="s">
        <v>1305</v>
      </c>
      <c r="K150" s="1">
        <v>38231190</v>
      </c>
      <c r="L150" s="6">
        <v>13.75</v>
      </c>
      <c r="M150" s="1" t="s">
        <v>70</v>
      </c>
      <c r="N150" s="7" t="s">
        <v>44</v>
      </c>
      <c r="O150" s="1" t="s">
        <v>53</v>
      </c>
      <c r="P150" s="8">
        <v>1020</v>
      </c>
      <c r="Q150" s="17">
        <f t="shared" si="16"/>
        <v>14025</v>
      </c>
      <c r="R150" s="9">
        <v>515</v>
      </c>
      <c r="S150" s="9">
        <v>2.78</v>
      </c>
      <c r="T150" s="9">
        <v>137.5</v>
      </c>
      <c r="U150" s="10">
        <v>0</v>
      </c>
      <c r="V150" s="1" t="s">
        <v>46</v>
      </c>
      <c r="W150" s="1" t="s">
        <v>1306</v>
      </c>
      <c r="X150" s="1">
        <v>1967823</v>
      </c>
      <c r="Y150" s="11">
        <v>41731</v>
      </c>
      <c r="Z150" s="11">
        <v>41732</v>
      </c>
      <c r="AA150" s="9">
        <f t="shared" si="11"/>
        <v>13507.22</v>
      </c>
      <c r="AB150" s="12">
        <v>60.75</v>
      </c>
      <c r="AC150" s="9">
        <f t="shared" si="12"/>
        <v>852018.75</v>
      </c>
      <c r="AD150" s="9">
        <f t="shared" si="13"/>
        <v>820563.61499999999</v>
      </c>
      <c r="AE150" s="1" t="s">
        <v>48</v>
      </c>
      <c r="AF150" s="1" t="s">
        <v>53</v>
      </c>
      <c r="AG150" s="4">
        <f t="shared" si="17"/>
        <v>14025</v>
      </c>
      <c r="AH150" s="10">
        <v>13988</v>
      </c>
      <c r="AI150" s="10">
        <v>550</v>
      </c>
      <c r="AJ150" s="10">
        <v>2.78</v>
      </c>
      <c r="AK150" s="10">
        <v>137.5</v>
      </c>
      <c r="AL150" s="9">
        <f t="shared" si="18"/>
        <v>13297.72</v>
      </c>
      <c r="AM150" s="1"/>
      <c r="AN150" s="1"/>
      <c r="AO150" s="12" t="e">
        <f>AB150/#REF!</f>
        <v>#REF!</v>
      </c>
      <c r="AP150" s="1" t="s">
        <v>1307</v>
      </c>
      <c r="AQ150" s="11">
        <v>41794</v>
      </c>
      <c r="AR150" s="1" t="s">
        <v>1308</v>
      </c>
      <c r="AS150" s="11">
        <v>41797</v>
      </c>
      <c r="AT150" s="1" t="s">
        <v>49</v>
      </c>
      <c r="AU150" s="1" t="s">
        <v>4171</v>
      </c>
    </row>
    <row r="151" spans="1:47" ht="15" customHeight="1" x14ac:dyDescent="0.25">
      <c r="A151" s="1">
        <v>150</v>
      </c>
      <c r="B151" s="1" t="s">
        <v>1258</v>
      </c>
      <c r="C151" s="1" t="s">
        <v>38</v>
      </c>
      <c r="D151" s="1" t="s">
        <v>1309</v>
      </c>
      <c r="E151" s="5">
        <v>41735</v>
      </c>
      <c r="F151" s="1" t="s">
        <v>112</v>
      </c>
      <c r="G151" s="1" t="s">
        <v>40</v>
      </c>
      <c r="H151" s="1" t="s">
        <v>41</v>
      </c>
      <c r="I151" s="1" t="s">
        <v>2809</v>
      </c>
      <c r="J151" s="1" t="s">
        <v>386</v>
      </c>
      <c r="K151" s="1">
        <v>38237090</v>
      </c>
      <c r="L151" s="6">
        <v>197.06</v>
      </c>
      <c r="M151" s="1" t="s">
        <v>70</v>
      </c>
      <c r="N151" s="7" t="s">
        <v>52</v>
      </c>
      <c r="O151" s="1" t="s">
        <v>53</v>
      </c>
      <c r="P151" s="8">
        <v>1858</v>
      </c>
      <c r="Q151" s="17">
        <f t="shared" si="16"/>
        <v>366137.48</v>
      </c>
      <c r="R151" s="9">
        <v>12250</v>
      </c>
      <c r="S151" s="9">
        <v>0</v>
      </c>
      <c r="T151" s="9">
        <v>0</v>
      </c>
      <c r="U151" s="10">
        <v>0</v>
      </c>
      <c r="V151" s="1" t="s">
        <v>46</v>
      </c>
      <c r="W151" s="1" t="s">
        <v>241</v>
      </c>
      <c r="X151" s="1">
        <v>1969027</v>
      </c>
      <c r="Y151" s="11">
        <v>41731</v>
      </c>
      <c r="Z151" s="11">
        <v>41732</v>
      </c>
      <c r="AA151" s="9">
        <f t="shared" si="11"/>
        <v>353887.48</v>
      </c>
      <c r="AB151" s="12">
        <v>60.75</v>
      </c>
      <c r="AC151" s="9">
        <f t="shared" si="12"/>
        <v>22242851.91</v>
      </c>
      <c r="AD151" s="9">
        <f t="shared" si="13"/>
        <v>21498664.41</v>
      </c>
      <c r="AE151" s="1" t="s">
        <v>48</v>
      </c>
      <c r="AF151" s="1" t="s">
        <v>53</v>
      </c>
      <c r="AG151" s="4">
        <f t="shared" si="17"/>
        <v>366137.48</v>
      </c>
      <c r="AH151" s="10">
        <v>366137.48</v>
      </c>
      <c r="AI151" s="10">
        <f>5686.1+800.12</f>
        <v>6486.22</v>
      </c>
      <c r="AJ151" s="10">
        <v>0</v>
      </c>
      <c r="AK151" s="10">
        <v>0</v>
      </c>
      <c r="AL151" s="9">
        <f t="shared" si="18"/>
        <v>359651.26</v>
      </c>
      <c r="AM151" s="1"/>
      <c r="AN151" s="1"/>
      <c r="AO151" s="12" t="e">
        <f>AB151/#REF!</f>
        <v>#REF!</v>
      </c>
      <c r="AP151" s="1" t="s">
        <v>1310</v>
      </c>
      <c r="AQ151" s="11">
        <v>41870</v>
      </c>
      <c r="AR151" s="1" t="s">
        <v>1311</v>
      </c>
      <c r="AS151" s="11">
        <v>41871</v>
      </c>
      <c r="AT151" s="1" t="s">
        <v>49</v>
      </c>
      <c r="AU151" s="1" t="s">
        <v>4171</v>
      </c>
    </row>
    <row r="152" spans="1:47" ht="15" customHeight="1" x14ac:dyDescent="0.25">
      <c r="A152" s="1">
        <v>151</v>
      </c>
      <c r="B152" s="1" t="s">
        <v>1258</v>
      </c>
      <c r="C152" s="1" t="s">
        <v>38</v>
      </c>
      <c r="D152" s="1" t="s">
        <v>1309</v>
      </c>
      <c r="E152" s="5">
        <v>41735</v>
      </c>
      <c r="F152" s="1" t="s">
        <v>115</v>
      </c>
      <c r="G152" s="1" t="s">
        <v>40</v>
      </c>
      <c r="H152" s="1" t="s">
        <v>41</v>
      </c>
      <c r="I152" s="1" t="s">
        <v>2809</v>
      </c>
      <c r="J152" s="1" t="s">
        <v>386</v>
      </c>
      <c r="K152" s="1">
        <v>38237090</v>
      </c>
      <c r="L152" s="6">
        <v>79.41</v>
      </c>
      <c r="M152" s="1" t="s">
        <v>70</v>
      </c>
      <c r="N152" s="7" t="s">
        <v>52</v>
      </c>
      <c r="O152" s="1" t="s">
        <v>53</v>
      </c>
      <c r="P152" s="8">
        <v>1858</v>
      </c>
      <c r="Q152" s="17">
        <f t="shared" si="16"/>
        <v>147543.78</v>
      </c>
      <c r="R152" s="9">
        <v>4900</v>
      </c>
      <c r="S152" s="9">
        <v>0</v>
      </c>
      <c r="T152" s="9">
        <v>0</v>
      </c>
      <c r="U152" s="10">
        <v>0</v>
      </c>
      <c r="V152" s="1" t="s">
        <v>46</v>
      </c>
      <c r="W152" s="1" t="s">
        <v>241</v>
      </c>
      <c r="X152" s="1">
        <v>1980770</v>
      </c>
      <c r="Y152" s="11">
        <v>41732</v>
      </c>
      <c r="Z152" s="11">
        <v>41733</v>
      </c>
      <c r="AA152" s="9">
        <f t="shared" si="11"/>
        <v>142643.78</v>
      </c>
      <c r="AB152" s="12">
        <v>60.75</v>
      </c>
      <c r="AC152" s="9">
        <f t="shared" si="12"/>
        <v>8963284.6349999998</v>
      </c>
      <c r="AD152" s="9">
        <f t="shared" si="13"/>
        <v>8665609.6349999998</v>
      </c>
      <c r="AE152" s="1" t="s">
        <v>48</v>
      </c>
      <c r="AF152" s="1" t="s">
        <v>53</v>
      </c>
      <c r="AG152" s="4">
        <f t="shared" si="17"/>
        <v>147543.78</v>
      </c>
      <c r="AH152" s="10">
        <v>147543.78</v>
      </c>
      <c r="AI152" s="10">
        <v>2613.7800000000002</v>
      </c>
      <c r="AJ152" s="10">
        <v>0</v>
      </c>
      <c r="AK152" s="10">
        <v>0</v>
      </c>
      <c r="AL152" s="9">
        <f t="shared" si="18"/>
        <v>144930</v>
      </c>
      <c r="AM152" s="1"/>
      <c r="AN152" s="1"/>
      <c r="AO152" s="12" t="e">
        <f>AB152/#REF!</f>
        <v>#REF!</v>
      </c>
      <c r="AP152" s="1" t="s">
        <v>1310</v>
      </c>
      <c r="AQ152" s="11">
        <v>41905</v>
      </c>
      <c r="AR152" s="1" t="s">
        <v>1312</v>
      </c>
      <c r="AS152" s="11">
        <v>41906</v>
      </c>
      <c r="AT152" s="1" t="s">
        <v>49</v>
      </c>
      <c r="AU152" s="1" t="s">
        <v>4171</v>
      </c>
    </row>
    <row r="153" spans="1:47" ht="15" customHeight="1" x14ac:dyDescent="0.25">
      <c r="A153" s="1">
        <v>152</v>
      </c>
      <c r="B153" s="1" t="s">
        <v>1258</v>
      </c>
      <c r="C153" s="1" t="s">
        <v>38</v>
      </c>
      <c r="D153" s="1">
        <v>9103550008</v>
      </c>
      <c r="E153" s="5">
        <v>41736</v>
      </c>
      <c r="F153" s="1" t="s">
        <v>114</v>
      </c>
      <c r="G153" s="1" t="s">
        <v>40</v>
      </c>
      <c r="H153" s="1" t="s">
        <v>41</v>
      </c>
      <c r="I153" s="1" t="s">
        <v>2809</v>
      </c>
      <c r="J153" s="1" t="s">
        <v>837</v>
      </c>
      <c r="K153" s="1">
        <v>38231900</v>
      </c>
      <c r="L153" s="6">
        <v>19.87</v>
      </c>
      <c r="M153" s="1" t="s">
        <v>70</v>
      </c>
      <c r="N153" s="7" t="s">
        <v>44</v>
      </c>
      <c r="O153" s="1" t="s">
        <v>53</v>
      </c>
      <c r="P153" s="8">
        <v>3600</v>
      </c>
      <c r="Q153" s="17">
        <f t="shared" si="16"/>
        <v>71532</v>
      </c>
      <c r="R153" s="9">
        <v>6665</v>
      </c>
      <c r="S153" s="9">
        <v>14.16</v>
      </c>
      <c r="T153" s="9">
        <v>0</v>
      </c>
      <c r="U153" s="10">
        <v>0</v>
      </c>
      <c r="V153" s="1" t="s">
        <v>46</v>
      </c>
      <c r="W153" s="1" t="s">
        <v>56</v>
      </c>
      <c r="X153" s="1">
        <v>1981225</v>
      </c>
      <c r="Y153" s="11">
        <v>41732</v>
      </c>
      <c r="Z153" s="11">
        <v>41733</v>
      </c>
      <c r="AA153" s="9">
        <f t="shared" si="11"/>
        <v>64852.84</v>
      </c>
      <c r="AB153" s="12">
        <v>60.75</v>
      </c>
      <c r="AC153" s="9">
        <f t="shared" si="12"/>
        <v>4345569</v>
      </c>
      <c r="AD153" s="9">
        <f t="shared" si="13"/>
        <v>3939810.03</v>
      </c>
      <c r="AE153" s="1" t="s">
        <v>57</v>
      </c>
      <c r="AF153" s="1" t="s">
        <v>53</v>
      </c>
      <c r="AG153" s="4">
        <f t="shared" si="17"/>
        <v>71532</v>
      </c>
      <c r="AH153" s="10">
        <v>71527</v>
      </c>
      <c r="AI153" s="10">
        <v>6250</v>
      </c>
      <c r="AJ153" s="10">
        <v>14.14</v>
      </c>
      <c r="AK153" s="10">
        <v>0</v>
      </c>
      <c r="AL153" s="9">
        <f t="shared" si="18"/>
        <v>65262.86</v>
      </c>
      <c r="AM153" s="1"/>
      <c r="AN153" s="1"/>
      <c r="AO153" s="12" t="e">
        <f>AB153/#REF!</f>
        <v>#REF!</v>
      </c>
      <c r="AP153" s="1" t="s">
        <v>1313</v>
      </c>
      <c r="AQ153" s="11">
        <v>41778</v>
      </c>
      <c r="AR153" s="1" t="s">
        <v>1314</v>
      </c>
      <c r="AS153" s="11">
        <v>41899</v>
      </c>
      <c r="AT153" s="1" t="s">
        <v>49</v>
      </c>
      <c r="AU153" s="1" t="s">
        <v>4171</v>
      </c>
    </row>
    <row r="154" spans="1:47" ht="15" customHeight="1" x14ac:dyDescent="0.25">
      <c r="A154" s="1">
        <v>153</v>
      </c>
      <c r="B154" s="1" t="s">
        <v>1258</v>
      </c>
      <c r="C154" s="1" t="s">
        <v>38</v>
      </c>
      <c r="D154" s="1">
        <v>9103550009</v>
      </c>
      <c r="E154" s="5">
        <v>41746</v>
      </c>
      <c r="F154" s="1" t="s">
        <v>113</v>
      </c>
      <c r="G154" s="1" t="s">
        <v>40</v>
      </c>
      <c r="H154" s="1" t="s">
        <v>41</v>
      </c>
      <c r="I154" s="1" t="s">
        <v>2809</v>
      </c>
      <c r="J154" s="1" t="s">
        <v>1315</v>
      </c>
      <c r="K154" s="1">
        <v>38231900</v>
      </c>
      <c r="L154" s="6">
        <v>20.05</v>
      </c>
      <c r="M154" s="1" t="s">
        <v>70</v>
      </c>
      <c r="N154" s="7" t="s">
        <v>44</v>
      </c>
      <c r="O154" s="1" t="s">
        <v>45</v>
      </c>
      <c r="P154" s="8">
        <v>2650</v>
      </c>
      <c r="Q154" s="17">
        <f t="shared" si="16"/>
        <v>53132.5</v>
      </c>
      <c r="R154" s="9">
        <v>939.76</v>
      </c>
      <c r="S154" s="9">
        <v>10.52</v>
      </c>
      <c r="T154" s="9">
        <v>0</v>
      </c>
      <c r="U154" s="10">
        <v>0</v>
      </c>
      <c r="V154" s="1" t="s">
        <v>46</v>
      </c>
      <c r="W154" s="1" t="s">
        <v>59</v>
      </c>
      <c r="X154" s="1">
        <v>1984760</v>
      </c>
      <c r="Y154" s="11">
        <v>41732</v>
      </c>
      <c r="Z154" s="11">
        <v>41736</v>
      </c>
      <c r="AA154" s="9">
        <f t="shared" si="11"/>
        <v>52182.22</v>
      </c>
      <c r="AB154" s="12">
        <v>83.65</v>
      </c>
      <c r="AC154" s="9">
        <f t="shared" si="12"/>
        <v>4444533.625</v>
      </c>
      <c r="AD154" s="9">
        <f t="shared" si="13"/>
        <v>4365042.7030000007</v>
      </c>
      <c r="AE154" s="1" t="s">
        <v>48</v>
      </c>
      <c r="AF154" s="1" t="s">
        <v>45</v>
      </c>
      <c r="AG154" s="4">
        <f t="shared" si="17"/>
        <v>53132.5</v>
      </c>
      <c r="AH154" s="10">
        <v>53132.5</v>
      </c>
      <c r="AI154" s="10">
        <v>1008.73</v>
      </c>
      <c r="AJ154" s="10">
        <v>7.6</v>
      </c>
      <c r="AK154" s="10">
        <v>0</v>
      </c>
      <c r="AL154" s="9">
        <f t="shared" si="18"/>
        <v>52116.17</v>
      </c>
      <c r="AM154" s="1"/>
      <c r="AN154" s="1"/>
      <c r="AO154" s="12" t="e">
        <f>AB154/#REF!</f>
        <v>#REF!</v>
      </c>
      <c r="AP154" s="1" t="s">
        <v>1316</v>
      </c>
      <c r="AQ154" s="11">
        <v>41778</v>
      </c>
      <c r="AR154" s="1" t="s">
        <v>1317</v>
      </c>
      <c r="AS154" s="11">
        <v>41779</v>
      </c>
      <c r="AT154" s="1" t="s">
        <v>49</v>
      </c>
      <c r="AU154" s="1" t="s">
        <v>4171</v>
      </c>
    </row>
    <row r="155" spans="1:47" ht="15" customHeight="1" x14ac:dyDescent="0.25">
      <c r="A155" s="1">
        <v>154</v>
      </c>
      <c r="B155" s="1" t="s">
        <v>1258</v>
      </c>
      <c r="C155" s="1" t="s">
        <v>38</v>
      </c>
      <c r="D155" s="1" t="s">
        <v>1318</v>
      </c>
      <c r="E155" s="5">
        <v>41739</v>
      </c>
      <c r="F155" s="1" t="s">
        <v>1319</v>
      </c>
      <c r="G155" s="1" t="s">
        <v>40</v>
      </c>
      <c r="H155" s="1" t="s">
        <v>41</v>
      </c>
      <c r="I155" s="1" t="s">
        <v>2809</v>
      </c>
      <c r="J155" s="1" t="s">
        <v>63</v>
      </c>
      <c r="K155" s="1">
        <v>38231200</v>
      </c>
      <c r="L155" s="6">
        <v>19.89</v>
      </c>
      <c r="M155" s="1" t="s">
        <v>70</v>
      </c>
      <c r="N155" s="7" t="s">
        <v>52</v>
      </c>
      <c r="O155" s="1" t="s">
        <v>53</v>
      </c>
      <c r="P155" s="8">
        <v>1328</v>
      </c>
      <c r="Q155" s="17">
        <f t="shared" si="16"/>
        <v>26413.920000000002</v>
      </c>
      <c r="R155" s="9">
        <v>560</v>
      </c>
      <c r="S155" s="9">
        <v>0</v>
      </c>
      <c r="T155" s="9">
        <v>0</v>
      </c>
      <c r="U155" s="10">
        <v>0</v>
      </c>
      <c r="V155" s="1" t="s">
        <v>46</v>
      </c>
      <c r="W155" s="1" t="s">
        <v>64</v>
      </c>
      <c r="X155" s="1">
        <v>1987409</v>
      </c>
      <c r="Y155" s="11">
        <v>41732</v>
      </c>
      <c r="Z155" s="11">
        <v>41733</v>
      </c>
      <c r="AA155" s="9">
        <f t="shared" si="11"/>
        <v>25853.920000000002</v>
      </c>
      <c r="AB155" s="12">
        <v>60.75</v>
      </c>
      <c r="AC155" s="9">
        <f t="shared" si="12"/>
        <v>1604645.6400000001</v>
      </c>
      <c r="AD155" s="9">
        <f t="shared" si="13"/>
        <v>1570625.6400000001</v>
      </c>
      <c r="AE155" s="1" t="s">
        <v>51</v>
      </c>
      <c r="AF155" s="1" t="s">
        <v>53</v>
      </c>
      <c r="AG155" s="4">
        <f t="shared" si="17"/>
        <v>26413.920000000002</v>
      </c>
      <c r="AH155" s="10">
        <v>26414</v>
      </c>
      <c r="AI155" s="10">
        <v>560</v>
      </c>
      <c r="AJ155" s="10">
        <v>0</v>
      </c>
      <c r="AK155" s="10">
        <v>0</v>
      </c>
      <c r="AL155" s="9">
        <f t="shared" si="18"/>
        <v>25854</v>
      </c>
      <c r="AM155" s="1"/>
      <c r="AN155" s="1"/>
      <c r="AO155" s="12" t="e">
        <f>AB155/#REF!</f>
        <v>#REF!</v>
      </c>
      <c r="AP155" s="1" t="s">
        <v>1320</v>
      </c>
      <c r="AQ155" s="11">
        <v>41789</v>
      </c>
      <c r="AR155" s="1" t="s">
        <v>1321</v>
      </c>
      <c r="AS155" s="11">
        <v>41851</v>
      </c>
      <c r="AT155" s="1" t="s">
        <v>49</v>
      </c>
      <c r="AU155" s="1" t="s">
        <v>4171</v>
      </c>
    </row>
    <row r="156" spans="1:47" ht="15" customHeight="1" x14ac:dyDescent="0.25">
      <c r="A156" s="1">
        <v>155</v>
      </c>
      <c r="B156" s="1" t="s">
        <v>1258</v>
      </c>
      <c r="C156" s="1" t="s">
        <v>38</v>
      </c>
      <c r="D156" s="1" t="s">
        <v>1318</v>
      </c>
      <c r="E156" s="5">
        <v>41739</v>
      </c>
      <c r="F156" s="1" t="s">
        <v>116</v>
      </c>
      <c r="G156" s="1" t="s">
        <v>40</v>
      </c>
      <c r="H156" s="1" t="s">
        <v>41</v>
      </c>
      <c r="I156" s="1" t="s">
        <v>2809</v>
      </c>
      <c r="J156" s="1" t="s">
        <v>63</v>
      </c>
      <c r="K156" s="1">
        <v>38231200</v>
      </c>
      <c r="L156" s="6">
        <v>39.47</v>
      </c>
      <c r="M156" s="1" t="s">
        <v>70</v>
      </c>
      <c r="N156" s="7" t="s">
        <v>52</v>
      </c>
      <c r="O156" s="1" t="s">
        <v>53</v>
      </c>
      <c r="P156" s="8">
        <v>1328</v>
      </c>
      <c r="Q156" s="17">
        <f t="shared" si="16"/>
        <v>52416.159999999996</v>
      </c>
      <c r="R156" s="9">
        <v>1120</v>
      </c>
      <c r="S156" s="9">
        <v>0</v>
      </c>
      <c r="T156" s="9">
        <v>0</v>
      </c>
      <c r="U156" s="10">
        <v>0</v>
      </c>
      <c r="V156" s="1" t="s">
        <v>46</v>
      </c>
      <c r="W156" s="1" t="s">
        <v>64</v>
      </c>
      <c r="X156" s="1">
        <v>2002731</v>
      </c>
      <c r="Y156" s="11">
        <v>41733</v>
      </c>
      <c r="Z156" s="11">
        <v>41736</v>
      </c>
      <c r="AA156" s="9">
        <f t="shared" si="11"/>
        <v>51296.159999999996</v>
      </c>
      <c r="AB156" s="12">
        <v>59.45</v>
      </c>
      <c r="AC156" s="9">
        <f t="shared" si="12"/>
        <v>3116140.7119999998</v>
      </c>
      <c r="AD156" s="9">
        <f t="shared" si="13"/>
        <v>3049556.7119999998</v>
      </c>
      <c r="AE156" s="1" t="s">
        <v>51</v>
      </c>
      <c r="AF156" s="1" t="s">
        <v>53</v>
      </c>
      <c r="AG156" s="4">
        <f t="shared" si="17"/>
        <v>52416.159999999996</v>
      </c>
      <c r="AH156" s="10">
        <v>52416</v>
      </c>
      <c r="AI156" s="10">
        <v>1120</v>
      </c>
      <c r="AJ156" s="10">
        <v>0</v>
      </c>
      <c r="AK156" s="10">
        <v>0</v>
      </c>
      <c r="AL156" s="9">
        <f t="shared" si="18"/>
        <v>51296</v>
      </c>
      <c r="AM156" s="1"/>
      <c r="AN156" s="1"/>
      <c r="AO156" s="12" t="e">
        <f>AB156/#REF!</f>
        <v>#REF!</v>
      </c>
      <c r="AP156" s="1" t="s">
        <v>1320</v>
      </c>
      <c r="AQ156" s="11">
        <v>41789</v>
      </c>
      <c r="AR156" s="1" t="s">
        <v>1322</v>
      </c>
      <c r="AS156" s="11">
        <v>41843</v>
      </c>
      <c r="AT156" s="1" t="s">
        <v>49</v>
      </c>
      <c r="AU156" s="1" t="s">
        <v>4171</v>
      </c>
    </row>
    <row r="157" spans="1:47" ht="15" customHeight="1" x14ac:dyDescent="0.25">
      <c r="A157" s="1">
        <v>156</v>
      </c>
      <c r="B157" s="1" t="s">
        <v>1258</v>
      </c>
      <c r="C157" s="1" t="s">
        <v>38</v>
      </c>
      <c r="D157" s="1">
        <v>9103550012</v>
      </c>
      <c r="E157" s="5">
        <v>41735</v>
      </c>
      <c r="F157" s="1" t="s">
        <v>111</v>
      </c>
      <c r="G157" s="1" t="s">
        <v>40</v>
      </c>
      <c r="H157" s="1" t="s">
        <v>41</v>
      </c>
      <c r="I157" s="1" t="s">
        <v>2809</v>
      </c>
      <c r="J157" s="1" t="s">
        <v>169</v>
      </c>
      <c r="K157" s="1">
        <v>38231200</v>
      </c>
      <c r="L157" s="6">
        <v>59.71</v>
      </c>
      <c r="M157" s="1" t="s">
        <v>70</v>
      </c>
      <c r="N157" s="7" t="s">
        <v>67</v>
      </c>
      <c r="O157" s="1" t="s">
        <v>53</v>
      </c>
      <c r="P157" s="8">
        <v>1085</v>
      </c>
      <c r="Q157" s="17">
        <f t="shared" si="16"/>
        <v>64785.35</v>
      </c>
      <c r="R157" s="9">
        <v>0</v>
      </c>
      <c r="S157" s="9">
        <v>0</v>
      </c>
      <c r="T157" s="9">
        <v>0</v>
      </c>
      <c r="U157" s="10">
        <v>0</v>
      </c>
      <c r="V157" s="1" t="s">
        <v>46</v>
      </c>
      <c r="W157" s="1" t="s">
        <v>1323</v>
      </c>
      <c r="X157" s="1">
        <v>1969194</v>
      </c>
      <c r="Y157" s="11">
        <v>41731</v>
      </c>
      <c r="Z157" s="11">
        <v>41732</v>
      </c>
      <c r="AA157" s="9">
        <f t="shared" si="11"/>
        <v>64785.35</v>
      </c>
      <c r="AB157" s="12">
        <v>59.71</v>
      </c>
      <c r="AC157" s="9">
        <f t="shared" si="12"/>
        <v>3868333.2484999998</v>
      </c>
      <c r="AD157" s="9">
        <f t="shared" si="13"/>
        <v>3868333.2484999998</v>
      </c>
      <c r="AE157" s="1" t="s">
        <v>48</v>
      </c>
      <c r="AF157" s="1" t="s">
        <v>53</v>
      </c>
      <c r="AG157" s="4">
        <f t="shared" si="17"/>
        <v>64785.35</v>
      </c>
      <c r="AH157" s="10">
        <v>64785.35</v>
      </c>
      <c r="AI157" s="9">
        <v>0</v>
      </c>
      <c r="AJ157" s="9">
        <v>0</v>
      </c>
      <c r="AK157" s="9">
        <v>0</v>
      </c>
      <c r="AL157" s="9">
        <f t="shared" si="18"/>
        <v>64785.35</v>
      </c>
      <c r="AM157" s="1"/>
      <c r="AN157" s="1"/>
      <c r="AO157" s="12" t="e">
        <f>AB157/#REF!</f>
        <v>#REF!</v>
      </c>
      <c r="AP157" s="1" t="s">
        <v>1324</v>
      </c>
      <c r="AQ157" s="11">
        <v>41792</v>
      </c>
      <c r="AR157" s="1" t="s">
        <v>1325</v>
      </c>
      <c r="AS157" s="11">
        <v>41793</v>
      </c>
      <c r="AT157" s="1" t="s">
        <v>49</v>
      </c>
      <c r="AU157" s="1" t="s">
        <v>4171</v>
      </c>
    </row>
    <row r="158" spans="1:47" ht="15" customHeight="1" x14ac:dyDescent="0.25">
      <c r="A158" s="1">
        <v>157</v>
      </c>
      <c r="B158" s="1" t="s">
        <v>1258</v>
      </c>
      <c r="C158" s="1" t="s">
        <v>38</v>
      </c>
      <c r="D158" s="1">
        <v>9103550013</v>
      </c>
      <c r="E158" s="5">
        <v>41747</v>
      </c>
      <c r="F158" s="1" t="s">
        <v>120</v>
      </c>
      <c r="G158" s="1" t="s">
        <v>40</v>
      </c>
      <c r="H158" s="1" t="s">
        <v>41</v>
      </c>
      <c r="I158" s="1" t="s">
        <v>2809</v>
      </c>
      <c r="J158" s="1" t="s">
        <v>187</v>
      </c>
      <c r="K158" s="1">
        <v>29051700</v>
      </c>
      <c r="L158" s="6">
        <v>36.28</v>
      </c>
      <c r="M158" s="1" t="s">
        <v>70</v>
      </c>
      <c r="N158" s="7" t="s">
        <v>44</v>
      </c>
      <c r="O158" s="1" t="s">
        <v>53</v>
      </c>
      <c r="P158" s="8">
        <v>1975</v>
      </c>
      <c r="Q158" s="17">
        <f t="shared" si="16"/>
        <v>71653</v>
      </c>
      <c r="R158" s="9">
        <v>6400</v>
      </c>
      <c r="S158" s="9">
        <v>14.19</v>
      </c>
      <c r="T158" s="9">
        <v>0</v>
      </c>
      <c r="U158" s="10">
        <v>0</v>
      </c>
      <c r="V158" s="1" t="s">
        <v>46</v>
      </c>
      <c r="W158" s="1" t="s">
        <v>56</v>
      </c>
      <c r="X158" s="1">
        <v>2002441</v>
      </c>
      <c r="Y158" s="11">
        <v>41733</v>
      </c>
      <c r="Z158" s="11">
        <v>41736</v>
      </c>
      <c r="AA158" s="9">
        <f t="shared" si="11"/>
        <v>65238.81</v>
      </c>
      <c r="AB158" s="12">
        <v>59.45</v>
      </c>
      <c r="AC158" s="9">
        <f t="shared" si="12"/>
        <v>4259770.8500000006</v>
      </c>
      <c r="AD158" s="9">
        <f t="shared" si="13"/>
        <v>3878447.2545000003</v>
      </c>
      <c r="AE158" s="1" t="s">
        <v>48</v>
      </c>
      <c r="AF158" s="1" t="s">
        <v>53</v>
      </c>
      <c r="AG158" s="4">
        <f t="shared" si="17"/>
        <v>71653</v>
      </c>
      <c r="AH158" s="10">
        <v>71653</v>
      </c>
      <c r="AI158" s="10">
        <v>6400</v>
      </c>
      <c r="AJ158" s="10">
        <v>10.25</v>
      </c>
      <c r="AK158" s="10">
        <v>0</v>
      </c>
      <c r="AL158" s="9">
        <f t="shared" si="18"/>
        <v>65242.75</v>
      </c>
      <c r="AM158" s="1"/>
      <c r="AN158" s="1"/>
      <c r="AO158" s="12" t="e">
        <f>AB158/#REF!</f>
        <v>#REF!</v>
      </c>
      <c r="AP158" s="1" t="s">
        <v>1326</v>
      </c>
      <c r="AQ158" s="11">
        <v>41810</v>
      </c>
      <c r="AR158" s="1" t="s">
        <v>1327</v>
      </c>
      <c r="AS158" s="11">
        <v>41811</v>
      </c>
      <c r="AT158" s="1" t="s">
        <v>49</v>
      </c>
      <c r="AU158" s="1" t="s">
        <v>4171</v>
      </c>
    </row>
    <row r="159" spans="1:47" ht="15" customHeight="1" x14ac:dyDescent="0.25">
      <c r="A159" s="1">
        <v>158</v>
      </c>
      <c r="B159" s="1" t="s">
        <v>1258</v>
      </c>
      <c r="C159" s="1" t="s">
        <v>38</v>
      </c>
      <c r="D159" s="1">
        <v>9103550014</v>
      </c>
      <c r="E159" s="5">
        <v>41739</v>
      </c>
      <c r="F159" s="1" t="s">
        <v>121</v>
      </c>
      <c r="G159" s="1" t="s">
        <v>40</v>
      </c>
      <c r="H159" s="1" t="s">
        <v>41</v>
      </c>
      <c r="I159" s="1" t="s">
        <v>2809</v>
      </c>
      <c r="J159" s="45" t="s">
        <v>2631</v>
      </c>
      <c r="K159" s="1">
        <v>29051700</v>
      </c>
      <c r="L159" s="6">
        <v>12</v>
      </c>
      <c r="M159" s="1" t="s">
        <v>70</v>
      </c>
      <c r="N159" s="7" t="s">
        <v>44</v>
      </c>
      <c r="O159" s="1" t="s">
        <v>53</v>
      </c>
      <c r="P159" s="8">
        <v>1630</v>
      </c>
      <c r="Q159" s="17">
        <f t="shared" si="16"/>
        <v>19560</v>
      </c>
      <c r="R159" s="9">
        <v>75</v>
      </c>
      <c r="S159" s="9">
        <v>3.87</v>
      </c>
      <c r="T159" s="9">
        <v>360</v>
      </c>
      <c r="U159" s="10">
        <v>0</v>
      </c>
      <c r="V159" s="1" t="s">
        <v>46</v>
      </c>
      <c r="W159" s="1" t="s">
        <v>64</v>
      </c>
      <c r="X159" s="1">
        <v>2004913</v>
      </c>
      <c r="Y159" s="11">
        <v>41733</v>
      </c>
      <c r="Z159" s="11">
        <v>41736</v>
      </c>
      <c r="AA159" s="9">
        <f t="shared" si="11"/>
        <v>19481.13</v>
      </c>
      <c r="AB159" s="12">
        <v>59.45</v>
      </c>
      <c r="AC159" s="9">
        <f t="shared" si="12"/>
        <v>1162842</v>
      </c>
      <c r="AD159" s="9">
        <f t="shared" si="13"/>
        <v>1158153.1785000002</v>
      </c>
      <c r="AE159" s="1" t="s">
        <v>48</v>
      </c>
      <c r="AF159" s="1" t="s">
        <v>53</v>
      </c>
      <c r="AG159" s="4">
        <f t="shared" si="17"/>
        <v>19560</v>
      </c>
      <c r="AH159" s="10">
        <v>19409</v>
      </c>
      <c r="AI159" s="10">
        <v>113</v>
      </c>
      <c r="AJ159" s="10">
        <v>2.8</v>
      </c>
      <c r="AK159" s="10">
        <v>360</v>
      </c>
      <c r="AL159" s="9">
        <f t="shared" si="18"/>
        <v>18933.2</v>
      </c>
      <c r="AM159" s="1"/>
      <c r="AN159" s="1"/>
      <c r="AO159" s="12" t="e">
        <f>AB159/#REF!</f>
        <v>#REF!</v>
      </c>
      <c r="AP159" s="1" t="s">
        <v>1328</v>
      </c>
      <c r="AQ159" s="11">
        <v>41781</v>
      </c>
      <c r="AR159" s="1" t="s">
        <v>1329</v>
      </c>
      <c r="AS159" s="11">
        <v>41783</v>
      </c>
      <c r="AT159" s="1" t="s">
        <v>49</v>
      </c>
      <c r="AU159" s="1" t="s">
        <v>4171</v>
      </c>
    </row>
    <row r="160" spans="1:47" ht="15" customHeight="1" x14ac:dyDescent="0.25">
      <c r="A160" s="1">
        <v>159</v>
      </c>
      <c r="B160" s="1" t="s">
        <v>1258</v>
      </c>
      <c r="C160" s="1" t="s">
        <v>38</v>
      </c>
      <c r="D160" s="1">
        <v>9103550015</v>
      </c>
      <c r="E160" s="5">
        <v>41733</v>
      </c>
      <c r="F160" s="1" t="s">
        <v>124</v>
      </c>
      <c r="G160" s="1" t="s">
        <v>40</v>
      </c>
      <c r="H160" s="1" t="s">
        <v>41</v>
      </c>
      <c r="I160" s="1" t="s">
        <v>2809</v>
      </c>
      <c r="J160" s="1" t="s">
        <v>2660</v>
      </c>
      <c r="K160" s="1">
        <v>38237090</v>
      </c>
      <c r="L160" s="6">
        <v>24</v>
      </c>
      <c r="M160" s="1" t="s">
        <v>70</v>
      </c>
      <c r="N160" s="7" t="s">
        <v>52</v>
      </c>
      <c r="O160" s="1" t="s">
        <v>53</v>
      </c>
      <c r="P160" s="8">
        <v>1562</v>
      </c>
      <c r="Q160" s="17">
        <f t="shared" si="16"/>
        <v>37488</v>
      </c>
      <c r="R160" s="9">
        <v>272</v>
      </c>
      <c r="S160" s="9">
        <v>0</v>
      </c>
      <c r="T160" s="9">
        <v>0</v>
      </c>
      <c r="U160" s="10">
        <v>0</v>
      </c>
      <c r="V160" s="1" t="s">
        <v>46</v>
      </c>
      <c r="W160" s="1" t="s">
        <v>81</v>
      </c>
      <c r="X160" s="1">
        <v>2009276</v>
      </c>
      <c r="Y160" s="11">
        <v>41733</v>
      </c>
      <c r="Z160" s="11">
        <v>41736</v>
      </c>
      <c r="AA160" s="9">
        <f t="shared" si="11"/>
        <v>37216</v>
      </c>
      <c r="AB160" s="12">
        <v>59.45</v>
      </c>
      <c r="AC160" s="9">
        <f t="shared" si="12"/>
        <v>2228661.6</v>
      </c>
      <c r="AD160" s="9">
        <f t="shared" si="13"/>
        <v>2212491.2000000002</v>
      </c>
      <c r="AE160" s="1" t="s">
        <v>48</v>
      </c>
      <c r="AF160" s="1" t="s">
        <v>53</v>
      </c>
      <c r="AG160" s="4">
        <f t="shared" si="17"/>
        <v>37488</v>
      </c>
      <c r="AH160" s="10">
        <v>37488</v>
      </c>
      <c r="AI160" s="10">
        <v>236</v>
      </c>
      <c r="AJ160" s="10">
        <v>0</v>
      </c>
      <c r="AK160" s="10">
        <v>0</v>
      </c>
      <c r="AL160" s="9">
        <f t="shared" si="18"/>
        <v>37252</v>
      </c>
      <c r="AM160" s="1"/>
      <c r="AN160" s="1"/>
      <c r="AO160" s="12" t="e">
        <f>AB160/#REF!</f>
        <v>#REF!</v>
      </c>
      <c r="AP160" s="1" t="s">
        <v>1330</v>
      </c>
      <c r="AQ160" s="11">
        <v>41778</v>
      </c>
      <c r="AR160" s="1" t="s">
        <v>1331</v>
      </c>
      <c r="AS160" s="11">
        <v>41779</v>
      </c>
      <c r="AT160" s="1" t="s">
        <v>49</v>
      </c>
      <c r="AU160" s="1" t="s">
        <v>4171</v>
      </c>
    </row>
    <row r="161" spans="1:47" ht="15" customHeight="1" x14ac:dyDescent="0.25">
      <c r="A161" s="1">
        <v>160</v>
      </c>
      <c r="B161" s="1" t="s">
        <v>1258</v>
      </c>
      <c r="C161" s="1" t="s">
        <v>38</v>
      </c>
      <c r="D161" s="1">
        <v>9103550016</v>
      </c>
      <c r="E161" s="5">
        <v>41738</v>
      </c>
      <c r="F161" s="1" t="s">
        <v>119</v>
      </c>
      <c r="G161" s="1" t="s">
        <v>40</v>
      </c>
      <c r="H161" s="1" t="s">
        <v>41</v>
      </c>
      <c r="I161" s="1" t="s">
        <v>2809</v>
      </c>
      <c r="J161" s="1" t="s">
        <v>2723</v>
      </c>
      <c r="K161" s="1">
        <v>29051700</v>
      </c>
      <c r="L161" s="6">
        <v>11</v>
      </c>
      <c r="M161" s="1" t="s">
        <v>70</v>
      </c>
      <c r="N161" s="7" t="s">
        <v>44</v>
      </c>
      <c r="O161" s="1" t="s">
        <v>53</v>
      </c>
      <c r="P161" s="8">
        <v>2080</v>
      </c>
      <c r="Q161" s="17">
        <f t="shared" si="16"/>
        <v>22880</v>
      </c>
      <c r="R161" s="9">
        <v>997.33</v>
      </c>
      <c r="S161" s="9">
        <v>4.53</v>
      </c>
      <c r="T161" s="9">
        <v>0</v>
      </c>
      <c r="U161" s="10">
        <v>0</v>
      </c>
      <c r="V161" s="1" t="s">
        <v>46</v>
      </c>
      <c r="W161" s="1" t="s">
        <v>90</v>
      </c>
      <c r="X161" s="1">
        <v>2008983</v>
      </c>
      <c r="Y161" s="11">
        <v>41733</v>
      </c>
      <c r="Z161" s="11">
        <v>41736</v>
      </c>
      <c r="AA161" s="9">
        <f>Q161-R161-S161</f>
        <v>21878.14</v>
      </c>
      <c r="AB161" s="12">
        <v>59.45</v>
      </c>
      <c r="AC161" s="9">
        <f t="shared" si="12"/>
        <v>1360216</v>
      </c>
      <c r="AD161" s="9">
        <f t="shared" si="13"/>
        <v>1300655.423</v>
      </c>
      <c r="AE161" s="1" t="s">
        <v>48</v>
      </c>
      <c r="AF161" s="1" t="s">
        <v>53</v>
      </c>
      <c r="AG161" s="4">
        <f t="shared" si="17"/>
        <v>22880</v>
      </c>
      <c r="AH161" s="10">
        <v>22880</v>
      </c>
      <c r="AI161" s="9">
        <v>997.33</v>
      </c>
      <c r="AJ161" s="9">
        <v>4.53</v>
      </c>
      <c r="AK161" s="10">
        <v>0</v>
      </c>
      <c r="AL161" s="9">
        <f t="shared" si="18"/>
        <v>21878.14</v>
      </c>
      <c r="AM161" s="1"/>
      <c r="AN161" s="1"/>
      <c r="AO161" s="12" t="e">
        <f>AB161/#REF!</f>
        <v>#REF!</v>
      </c>
      <c r="AP161" s="1" t="s">
        <v>1332</v>
      </c>
      <c r="AQ161" s="11">
        <v>41797</v>
      </c>
      <c r="AR161" s="1" t="s">
        <v>1333</v>
      </c>
      <c r="AS161" s="11">
        <v>41799</v>
      </c>
      <c r="AT161" s="1" t="s">
        <v>49</v>
      </c>
      <c r="AU161" s="1" t="s">
        <v>4171</v>
      </c>
    </row>
    <row r="162" spans="1:47" ht="15" customHeight="1" x14ac:dyDescent="0.25">
      <c r="A162" s="1">
        <v>161</v>
      </c>
      <c r="B162" s="1" t="s">
        <v>1258</v>
      </c>
      <c r="C162" s="1" t="s">
        <v>38</v>
      </c>
      <c r="D162" s="1">
        <v>9103550016</v>
      </c>
      <c r="E162" s="5">
        <v>41738</v>
      </c>
      <c r="F162" s="1" t="s">
        <v>119</v>
      </c>
      <c r="G162" s="1" t="s">
        <v>40</v>
      </c>
      <c r="H162" s="1" t="s">
        <v>41</v>
      </c>
      <c r="I162" s="1" t="s">
        <v>2809</v>
      </c>
      <c r="J162" s="1" t="s">
        <v>2723</v>
      </c>
      <c r="K162" s="1">
        <v>38237090</v>
      </c>
      <c r="L162" s="6">
        <v>4</v>
      </c>
      <c r="M162" s="1" t="s">
        <v>70</v>
      </c>
      <c r="N162" s="7" t="s">
        <v>44</v>
      </c>
      <c r="O162" s="1" t="s">
        <v>53</v>
      </c>
      <c r="P162" s="8">
        <v>2000</v>
      </c>
      <c r="Q162" s="17">
        <f t="shared" si="16"/>
        <v>8000</v>
      </c>
      <c r="R162" s="9">
        <v>362.67</v>
      </c>
      <c r="S162" s="9">
        <v>1.58</v>
      </c>
      <c r="T162" s="9">
        <v>0</v>
      </c>
      <c r="U162" s="10">
        <v>0</v>
      </c>
      <c r="V162" s="1" t="s">
        <v>46</v>
      </c>
      <c r="W162" s="1" t="s">
        <v>90</v>
      </c>
      <c r="X162" s="1">
        <v>2008983</v>
      </c>
      <c r="Y162" s="11">
        <v>41733</v>
      </c>
      <c r="Z162" s="11">
        <v>41736</v>
      </c>
      <c r="AA162" s="9">
        <f t="shared" si="11"/>
        <v>7635.75</v>
      </c>
      <c r="AB162" s="12">
        <v>59.45</v>
      </c>
      <c r="AC162" s="9">
        <f t="shared" si="12"/>
        <v>475600</v>
      </c>
      <c r="AD162" s="9">
        <f t="shared" si="13"/>
        <v>453945.33750000002</v>
      </c>
      <c r="AE162" s="1" t="s">
        <v>48</v>
      </c>
      <c r="AF162" s="1" t="s">
        <v>53</v>
      </c>
      <c r="AG162" s="4">
        <f t="shared" si="17"/>
        <v>8000</v>
      </c>
      <c r="AH162" s="10">
        <v>7953</v>
      </c>
      <c r="AI162" s="9">
        <v>362.67</v>
      </c>
      <c r="AJ162" s="9">
        <v>1.58</v>
      </c>
      <c r="AK162" s="10">
        <v>0</v>
      </c>
      <c r="AL162" s="9">
        <f t="shared" si="18"/>
        <v>7588.75</v>
      </c>
      <c r="AM162" s="1"/>
      <c r="AN162" s="1"/>
      <c r="AO162" s="12" t="e">
        <f>AB162/#REF!</f>
        <v>#REF!</v>
      </c>
      <c r="AP162" s="1" t="s">
        <v>1332</v>
      </c>
      <c r="AQ162" s="11">
        <v>41797</v>
      </c>
      <c r="AR162" s="1" t="s">
        <v>1333</v>
      </c>
      <c r="AS162" s="11">
        <v>41799</v>
      </c>
      <c r="AT162" s="1" t="s">
        <v>49</v>
      </c>
      <c r="AU162" s="1" t="s">
        <v>4171</v>
      </c>
    </row>
    <row r="163" spans="1:47" ht="15" customHeight="1" x14ac:dyDescent="0.25">
      <c r="A163" s="1">
        <v>162</v>
      </c>
      <c r="B163" s="1" t="s">
        <v>1258</v>
      </c>
      <c r="C163" s="1" t="s">
        <v>38</v>
      </c>
      <c r="D163" s="1">
        <v>9103550017</v>
      </c>
      <c r="E163" s="5">
        <v>41739</v>
      </c>
      <c r="F163" s="1" t="s">
        <v>118</v>
      </c>
      <c r="G163" s="1" t="s">
        <v>40</v>
      </c>
      <c r="H163" s="1" t="s">
        <v>41</v>
      </c>
      <c r="I163" s="1" t="s">
        <v>2809</v>
      </c>
      <c r="J163" s="1" t="s">
        <v>63</v>
      </c>
      <c r="K163" s="1">
        <v>29161990</v>
      </c>
      <c r="L163" s="6">
        <v>39.44</v>
      </c>
      <c r="M163" s="1" t="s">
        <v>70</v>
      </c>
      <c r="N163" s="7" t="s">
        <v>44</v>
      </c>
      <c r="O163" s="1" t="s">
        <v>53</v>
      </c>
      <c r="P163" s="8">
        <v>2765</v>
      </c>
      <c r="Q163" s="17">
        <f t="shared" si="16"/>
        <v>109051.59999999999</v>
      </c>
      <c r="R163" s="9">
        <v>1120</v>
      </c>
      <c r="S163" s="9">
        <v>21.59</v>
      </c>
      <c r="T163" s="9">
        <v>0</v>
      </c>
      <c r="U163" s="10">
        <v>0</v>
      </c>
      <c r="V163" s="1" t="s">
        <v>46</v>
      </c>
      <c r="W163" s="1" t="s">
        <v>64</v>
      </c>
      <c r="X163" s="1">
        <v>2008556</v>
      </c>
      <c r="Y163" s="11">
        <v>41733</v>
      </c>
      <c r="Z163" s="11">
        <v>41736</v>
      </c>
      <c r="AA163" s="9">
        <f>Q163-R163-S163</f>
        <v>107910.01</v>
      </c>
      <c r="AB163" s="12">
        <v>59.45</v>
      </c>
      <c r="AC163" s="9">
        <f t="shared" si="12"/>
        <v>6483117.6200000001</v>
      </c>
      <c r="AD163" s="9">
        <f t="shared" si="13"/>
        <v>6415250.0944999997</v>
      </c>
      <c r="AE163" s="1" t="s">
        <v>51</v>
      </c>
      <c r="AF163" s="1" t="s">
        <v>53</v>
      </c>
      <c r="AG163" s="4">
        <f t="shared" si="17"/>
        <v>109051.59999999999</v>
      </c>
      <c r="AH163" s="10">
        <v>109010</v>
      </c>
      <c r="AI163" s="9">
        <v>1120</v>
      </c>
      <c r="AJ163" s="9">
        <v>21.59</v>
      </c>
      <c r="AK163" s="10">
        <v>0</v>
      </c>
      <c r="AL163" s="9">
        <f t="shared" si="18"/>
        <v>107868.41</v>
      </c>
      <c r="AM163" s="1"/>
      <c r="AN163" s="1"/>
      <c r="AO163" s="12" t="e">
        <f>AB163/#REF!</f>
        <v>#REF!</v>
      </c>
      <c r="AP163" s="1" t="s">
        <v>1334</v>
      </c>
      <c r="AQ163" s="11">
        <v>41774</v>
      </c>
      <c r="AR163" s="1" t="s">
        <v>1335</v>
      </c>
      <c r="AS163" s="11">
        <v>41843</v>
      </c>
      <c r="AT163" s="1" t="s">
        <v>49</v>
      </c>
      <c r="AU163" s="1" t="s">
        <v>4171</v>
      </c>
    </row>
    <row r="164" spans="1:47" ht="15" customHeight="1" x14ac:dyDescent="0.25">
      <c r="A164" s="1">
        <v>163</v>
      </c>
      <c r="B164" s="1" t="s">
        <v>1258</v>
      </c>
      <c r="C164" s="1" t="s">
        <v>38</v>
      </c>
      <c r="D164" s="1" t="s">
        <v>1336</v>
      </c>
      <c r="E164" s="5">
        <v>41740</v>
      </c>
      <c r="F164" s="1" t="s">
        <v>125</v>
      </c>
      <c r="G164" s="1" t="s">
        <v>40</v>
      </c>
      <c r="H164" s="1" t="s">
        <v>41</v>
      </c>
      <c r="I164" s="1" t="s">
        <v>2809</v>
      </c>
      <c r="J164" s="1" t="s">
        <v>169</v>
      </c>
      <c r="K164" s="1">
        <v>38231200</v>
      </c>
      <c r="L164" s="6">
        <v>19.96</v>
      </c>
      <c r="M164" s="1" t="s">
        <v>70</v>
      </c>
      <c r="N164" s="7" t="s">
        <v>67</v>
      </c>
      <c r="O164" s="1" t="s">
        <v>53</v>
      </c>
      <c r="P164" s="8">
        <v>1085</v>
      </c>
      <c r="Q164" s="17">
        <f t="shared" si="16"/>
        <v>21656.600000000002</v>
      </c>
      <c r="R164" s="9">
        <v>0</v>
      </c>
      <c r="S164" s="9">
        <v>0</v>
      </c>
      <c r="T164" s="9">
        <v>0</v>
      </c>
      <c r="U164" s="10">
        <v>0</v>
      </c>
      <c r="V164" s="1" t="s">
        <v>46</v>
      </c>
      <c r="W164" s="1" t="s">
        <v>1323</v>
      </c>
      <c r="X164" s="1">
        <v>2009473</v>
      </c>
      <c r="Y164" s="11">
        <v>41733</v>
      </c>
      <c r="Z164" s="11">
        <v>41736</v>
      </c>
      <c r="AA164" s="9">
        <f t="shared" si="11"/>
        <v>21656.600000000002</v>
      </c>
      <c r="AB164" s="12">
        <v>59.45</v>
      </c>
      <c r="AC164" s="9">
        <f t="shared" si="12"/>
        <v>1287484.8700000001</v>
      </c>
      <c r="AD164" s="9">
        <f t="shared" si="13"/>
        <v>1287484.8700000001</v>
      </c>
      <c r="AE164" s="1" t="s">
        <v>48</v>
      </c>
      <c r="AF164" s="1" t="s">
        <v>53</v>
      </c>
      <c r="AG164" s="4">
        <f t="shared" si="17"/>
        <v>21656.600000000002</v>
      </c>
      <c r="AH164" s="10">
        <v>21656.6</v>
      </c>
      <c r="AI164" s="9">
        <v>0</v>
      </c>
      <c r="AJ164" s="9">
        <v>0</v>
      </c>
      <c r="AK164" s="9">
        <v>0</v>
      </c>
      <c r="AL164" s="9">
        <f t="shared" si="18"/>
        <v>21656.6</v>
      </c>
      <c r="AM164" s="1"/>
      <c r="AN164" s="1"/>
      <c r="AO164" s="12" t="e">
        <f>AB164/#REF!</f>
        <v>#REF!</v>
      </c>
      <c r="AP164" s="1" t="s">
        <v>1337</v>
      </c>
      <c r="AQ164" s="11">
        <v>41793</v>
      </c>
      <c r="AR164" s="1" t="s">
        <v>1338</v>
      </c>
      <c r="AS164" s="11">
        <v>41794</v>
      </c>
      <c r="AT164" s="1" t="s">
        <v>49</v>
      </c>
      <c r="AU164" s="1" t="s">
        <v>4171</v>
      </c>
    </row>
    <row r="165" spans="1:47" ht="15" customHeight="1" x14ac:dyDescent="0.25">
      <c r="A165" s="1">
        <v>164</v>
      </c>
      <c r="B165" s="1" t="s">
        <v>1258</v>
      </c>
      <c r="C165" s="1" t="s">
        <v>38</v>
      </c>
      <c r="D165" s="1" t="s">
        <v>1336</v>
      </c>
      <c r="E165" s="5">
        <v>41740</v>
      </c>
      <c r="F165" s="1" t="s">
        <v>128</v>
      </c>
      <c r="G165" s="1" t="s">
        <v>40</v>
      </c>
      <c r="H165" s="1" t="s">
        <v>41</v>
      </c>
      <c r="I165" s="1" t="s">
        <v>2809</v>
      </c>
      <c r="J165" s="1" t="s">
        <v>169</v>
      </c>
      <c r="K165" s="1">
        <v>38231200</v>
      </c>
      <c r="L165" s="6">
        <v>19.97</v>
      </c>
      <c r="M165" s="1" t="s">
        <v>70</v>
      </c>
      <c r="N165" s="7" t="s">
        <v>67</v>
      </c>
      <c r="O165" s="1" t="s">
        <v>53</v>
      </c>
      <c r="P165" s="8">
        <v>1085</v>
      </c>
      <c r="Q165" s="17">
        <f t="shared" si="16"/>
        <v>21667.449999999997</v>
      </c>
      <c r="R165" s="9">
        <v>0</v>
      </c>
      <c r="S165" s="9">
        <v>0</v>
      </c>
      <c r="T165" s="9">
        <v>0</v>
      </c>
      <c r="U165" s="10">
        <v>0</v>
      </c>
      <c r="V165" s="1" t="s">
        <v>46</v>
      </c>
      <c r="W165" s="1" t="s">
        <v>1323</v>
      </c>
      <c r="X165" s="1">
        <v>2017556</v>
      </c>
      <c r="Y165" s="11">
        <v>41734</v>
      </c>
      <c r="Z165" s="11">
        <v>41736</v>
      </c>
      <c r="AA165" s="9">
        <f t="shared" si="11"/>
        <v>21667.449999999997</v>
      </c>
      <c r="AB165" s="12">
        <v>59.45</v>
      </c>
      <c r="AC165" s="9">
        <f t="shared" si="12"/>
        <v>1288129.9024999999</v>
      </c>
      <c r="AD165" s="9">
        <f t="shared" si="13"/>
        <v>1288129.9024999999</v>
      </c>
      <c r="AE165" s="1" t="s">
        <v>48</v>
      </c>
      <c r="AF165" s="1" t="s">
        <v>53</v>
      </c>
      <c r="AG165" s="4">
        <f t="shared" si="17"/>
        <v>21667.449999999997</v>
      </c>
      <c r="AH165" s="10">
        <v>21667.45</v>
      </c>
      <c r="AI165" s="9">
        <v>0</v>
      </c>
      <c r="AJ165" s="9">
        <v>0</v>
      </c>
      <c r="AK165" s="9">
        <v>0</v>
      </c>
      <c r="AL165" s="9">
        <f t="shared" si="18"/>
        <v>21667.45</v>
      </c>
      <c r="AM165" s="1"/>
      <c r="AN165" s="1"/>
      <c r="AO165" s="12" t="e">
        <f>AB165/#REF!</f>
        <v>#REF!</v>
      </c>
      <c r="AP165" s="1" t="s">
        <v>1337</v>
      </c>
      <c r="AQ165" s="11">
        <v>41793</v>
      </c>
      <c r="AR165" s="1" t="s">
        <v>1339</v>
      </c>
      <c r="AS165" s="11">
        <v>41794</v>
      </c>
      <c r="AT165" s="1" t="s">
        <v>49</v>
      </c>
      <c r="AU165" s="1" t="s">
        <v>4171</v>
      </c>
    </row>
    <row r="166" spans="1:47" ht="15" customHeight="1" x14ac:dyDescent="0.25">
      <c r="A166" s="1">
        <v>165</v>
      </c>
      <c r="B166" s="1" t="s">
        <v>1258</v>
      </c>
      <c r="C166" s="1" t="s">
        <v>38</v>
      </c>
      <c r="D166" s="1">
        <v>9103550020</v>
      </c>
      <c r="E166" s="5">
        <v>41740</v>
      </c>
      <c r="F166" s="1" t="s">
        <v>131</v>
      </c>
      <c r="G166" s="1" t="s">
        <v>40</v>
      </c>
      <c r="H166" s="1" t="s">
        <v>41</v>
      </c>
      <c r="I166" s="1" t="s">
        <v>2809</v>
      </c>
      <c r="J166" s="1" t="s">
        <v>55</v>
      </c>
      <c r="K166" s="1">
        <v>38237090</v>
      </c>
      <c r="L166" s="6">
        <v>18.14</v>
      </c>
      <c r="M166" s="1" t="s">
        <v>70</v>
      </c>
      <c r="N166" s="7" t="s">
        <v>44</v>
      </c>
      <c r="O166" s="1" t="s">
        <v>53</v>
      </c>
      <c r="P166" s="8">
        <v>1755</v>
      </c>
      <c r="Q166" s="17">
        <f t="shared" si="16"/>
        <v>31835.7</v>
      </c>
      <c r="R166" s="9">
        <v>2200</v>
      </c>
      <c r="S166" s="9">
        <v>6.3</v>
      </c>
      <c r="T166" s="9">
        <v>0</v>
      </c>
      <c r="U166" s="10">
        <v>0</v>
      </c>
      <c r="V166" s="1" t="s">
        <v>46</v>
      </c>
      <c r="W166" s="1" t="s">
        <v>56</v>
      </c>
      <c r="X166" s="1">
        <v>2023215</v>
      </c>
      <c r="Y166" s="11">
        <v>41734</v>
      </c>
      <c r="Z166" s="11">
        <v>41736</v>
      </c>
      <c r="AA166" s="9">
        <f t="shared" si="11"/>
        <v>29629.4</v>
      </c>
      <c r="AB166" s="12">
        <v>59.45</v>
      </c>
      <c r="AC166" s="9">
        <f t="shared" si="12"/>
        <v>1892632.3650000002</v>
      </c>
      <c r="AD166" s="9">
        <f t="shared" si="13"/>
        <v>1761467.83</v>
      </c>
      <c r="AE166" s="1" t="s">
        <v>48</v>
      </c>
      <c r="AF166" s="1" t="s">
        <v>53</v>
      </c>
      <c r="AG166" s="4">
        <f t="shared" si="17"/>
        <v>31835.7</v>
      </c>
      <c r="AH166" s="10">
        <v>31835.7</v>
      </c>
      <c r="AI166" s="10">
        <v>2175</v>
      </c>
      <c r="AJ166" s="10">
        <v>4.55</v>
      </c>
      <c r="AK166" s="10">
        <v>0</v>
      </c>
      <c r="AL166" s="9">
        <f t="shared" si="18"/>
        <v>29656.15</v>
      </c>
      <c r="AM166" s="1"/>
      <c r="AN166" s="1"/>
      <c r="AO166" s="12" t="e">
        <f>AB166/#REF!</f>
        <v>#REF!</v>
      </c>
      <c r="AP166" s="1" t="s">
        <v>1340</v>
      </c>
      <c r="AQ166" s="11">
        <v>41789</v>
      </c>
      <c r="AR166" s="1" t="s">
        <v>1341</v>
      </c>
      <c r="AS166" s="11">
        <v>41790</v>
      </c>
      <c r="AT166" s="1" t="s">
        <v>49</v>
      </c>
      <c r="AU166" s="1" t="s">
        <v>4171</v>
      </c>
    </row>
    <row r="167" spans="1:47" ht="15" customHeight="1" x14ac:dyDescent="0.25">
      <c r="A167" s="1">
        <v>166</v>
      </c>
      <c r="B167" s="1" t="s">
        <v>1258</v>
      </c>
      <c r="C167" s="1" t="s">
        <v>38</v>
      </c>
      <c r="D167" s="1">
        <v>9103550021</v>
      </c>
      <c r="E167" s="5">
        <v>41738</v>
      </c>
      <c r="F167" s="1" t="s">
        <v>132</v>
      </c>
      <c r="G167" s="1" t="s">
        <v>40</v>
      </c>
      <c r="H167" s="1" t="s">
        <v>41</v>
      </c>
      <c r="I167" s="1" t="s">
        <v>2809</v>
      </c>
      <c r="J167" s="1" t="s">
        <v>1115</v>
      </c>
      <c r="K167" s="1">
        <v>38237090</v>
      </c>
      <c r="L167" s="6">
        <v>15</v>
      </c>
      <c r="M167" s="1" t="s">
        <v>70</v>
      </c>
      <c r="N167" s="7" t="s">
        <v>44</v>
      </c>
      <c r="O167" s="1" t="s">
        <v>53</v>
      </c>
      <c r="P167" s="8">
        <v>1810</v>
      </c>
      <c r="Q167" s="17">
        <f t="shared" si="16"/>
        <v>27150</v>
      </c>
      <c r="R167" s="9">
        <v>1400</v>
      </c>
      <c r="S167" s="9">
        <v>5.38</v>
      </c>
      <c r="T167" s="9">
        <v>0</v>
      </c>
      <c r="U167" s="10">
        <v>0</v>
      </c>
      <c r="V167" s="1" t="s">
        <v>46</v>
      </c>
      <c r="W167" s="1" t="s">
        <v>790</v>
      </c>
      <c r="X167" s="1">
        <v>2032005</v>
      </c>
      <c r="Y167" s="11">
        <v>41736</v>
      </c>
      <c r="Z167" s="11">
        <v>41736</v>
      </c>
      <c r="AA167" s="9">
        <f t="shared" si="11"/>
        <v>25744.62</v>
      </c>
      <c r="AB167" s="12">
        <v>59.45</v>
      </c>
      <c r="AC167" s="9">
        <f t="shared" si="12"/>
        <v>1614067.5</v>
      </c>
      <c r="AD167" s="9">
        <f t="shared" si="13"/>
        <v>1530517.659</v>
      </c>
      <c r="AE167" s="1" t="s">
        <v>48</v>
      </c>
      <c r="AF167" s="1" t="s">
        <v>53</v>
      </c>
      <c r="AG167" s="4">
        <f t="shared" si="17"/>
        <v>27150</v>
      </c>
      <c r="AH167" s="10">
        <v>27150</v>
      </c>
      <c r="AI167" s="10">
        <v>1345</v>
      </c>
      <c r="AJ167" s="10">
        <v>5.38</v>
      </c>
      <c r="AK167" s="10">
        <v>0</v>
      </c>
      <c r="AL167" s="9">
        <f t="shared" si="18"/>
        <v>25799.62</v>
      </c>
      <c r="AM167" s="1"/>
      <c r="AN167" s="1"/>
      <c r="AO167" s="12" t="e">
        <f>AB167/#REF!</f>
        <v>#REF!</v>
      </c>
      <c r="AP167" s="1" t="s">
        <v>1342</v>
      </c>
      <c r="AQ167" s="11">
        <v>41888</v>
      </c>
      <c r="AR167" s="1" t="s">
        <v>1343</v>
      </c>
      <c r="AS167" s="11">
        <v>41890</v>
      </c>
      <c r="AT167" s="1" t="s">
        <v>49</v>
      </c>
      <c r="AU167" s="1" t="s">
        <v>4171</v>
      </c>
    </row>
    <row r="168" spans="1:47" ht="15" customHeight="1" x14ac:dyDescent="0.25">
      <c r="A168" s="1">
        <v>167</v>
      </c>
      <c r="B168" s="1" t="s">
        <v>1258</v>
      </c>
      <c r="C168" s="1" t="s">
        <v>38</v>
      </c>
      <c r="D168" s="1">
        <v>9103550022</v>
      </c>
      <c r="E168" s="5">
        <v>41743</v>
      </c>
      <c r="F168" s="1" t="s">
        <v>135</v>
      </c>
      <c r="G168" s="1" t="s">
        <v>40</v>
      </c>
      <c r="H168" s="1" t="s">
        <v>41</v>
      </c>
      <c r="I168" s="1" t="s">
        <v>2809</v>
      </c>
      <c r="J168" s="1" t="s">
        <v>747</v>
      </c>
      <c r="K168" s="1">
        <v>38237090</v>
      </c>
      <c r="L168" s="6">
        <v>32</v>
      </c>
      <c r="M168" s="1" t="s">
        <v>70</v>
      </c>
      <c r="N168" s="7" t="s">
        <v>44</v>
      </c>
      <c r="O168" s="1" t="s">
        <v>53</v>
      </c>
      <c r="P168" s="8">
        <v>1400</v>
      </c>
      <c r="Q168" s="17">
        <f t="shared" si="16"/>
        <v>44800</v>
      </c>
      <c r="R168" s="9">
        <v>1300</v>
      </c>
      <c r="S168" s="9">
        <v>8.8699999999999992</v>
      </c>
      <c r="T168" s="9">
        <v>0</v>
      </c>
      <c r="U168" s="10">
        <v>0</v>
      </c>
      <c r="V168" s="1" t="s">
        <v>46</v>
      </c>
      <c r="W168" s="1" t="s">
        <v>54</v>
      </c>
      <c r="X168" s="1">
        <v>2045755</v>
      </c>
      <c r="Y168" s="11">
        <v>41736</v>
      </c>
      <c r="Z168" s="11">
        <v>41737</v>
      </c>
      <c r="AA168" s="9">
        <f t="shared" si="11"/>
        <v>43491.13</v>
      </c>
      <c r="AB168" s="12">
        <v>59.45</v>
      </c>
      <c r="AC168" s="9">
        <f t="shared" si="12"/>
        <v>2663360</v>
      </c>
      <c r="AD168" s="9">
        <f t="shared" si="13"/>
        <v>2585547.6784999999</v>
      </c>
      <c r="AE168" s="1" t="s">
        <v>48</v>
      </c>
      <c r="AF168" s="1" t="s">
        <v>53</v>
      </c>
      <c r="AG168" s="4">
        <f t="shared" si="17"/>
        <v>44800</v>
      </c>
      <c r="AH168" s="10">
        <v>44659</v>
      </c>
      <c r="AI168" s="10">
        <v>1260</v>
      </c>
      <c r="AJ168" s="10">
        <v>6.41</v>
      </c>
      <c r="AK168" s="10">
        <v>0</v>
      </c>
      <c r="AL168" s="9">
        <f t="shared" si="18"/>
        <v>43392.59</v>
      </c>
      <c r="AM168" s="1"/>
      <c r="AN168" s="1"/>
      <c r="AO168" s="12" t="e">
        <f>AB168/#REF!</f>
        <v>#REF!</v>
      </c>
      <c r="AP168" s="1" t="s">
        <v>1344</v>
      </c>
      <c r="AQ168" s="11">
        <v>41806</v>
      </c>
      <c r="AR168" s="1" t="s">
        <v>1345</v>
      </c>
      <c r="AS168" s="11">
        <v>41808</v>
      </c>
      <c r="AT168" s="1" t="s">
        <v>49</v>
      </c>
      <c r="AU168" s="1" t="s">
        <v>4171</v>
      </c>
    </row>
    <row r="169" spans="1:47" ht="15" customHeight="1" x14ac:dyDescent="0.25">
      <c r="A169" s="1">
        <v>168</v>
      </c>
      <c r="B169" s="1" t="s">
        <v>1258</v>
      </c>
      <c r="C169" s="1" t="s">
        <v>38</v>
      </c>
      <c r="D169" s="1">
        <v>9103550023</v>
      </c>
      <c r="E169" s="5">
        <v>41741</v>
      </c>
      <c r="F169" s="1" t="s">
        <v>133</v>
      </c>
      <c r="G169" s="1" t="s">
        <v>40</v>
      </c>
      <c r="H169" s="1" t="s">
        <v>41</v>
      </c>
      <c r="I169" s="1" t="s">
        <v>2809</v>
      </c>
      <c r="J169" s="1" t="s">
        <v>50</v>
      </c>
      <c r="K169" s="1">
        <v>38237090</v>
      </c>
      <c r="L169" s="6">
        <v>17</v>
      </c>
      <c r="M169" s="1" t="s">
        <v>70</v>
      </c>
      <c r="N169" s="7" t="s">
        <v>52</v>
      </c>
      <c r="O169" s="1" t="s">
        <v>53</v>
      </c>
      <c r="P169" s="8">
        <v>4175</v>
      </c>
      <c r="Q169" s="17">
        <f t="shared" si="16"/>
        <v>70975</v>
      </c>
      <c r="R169" s="9">
        <v>1800</v>
      </c>
      <c r="S169" s="9">
        <v>0</v>
      </c>
      <c r="T169" s="9">
        <v>0</v>
      </c>
      <c r="U169" s="10">
        <v>0</v>
      </c>
      <c r="V169" s="1" t="s">
        <v>46</v>
      </c>
      <c r="W169" s="1" t="s">
        <v>2657</v>
      </c>
      <c r="X169" s="1">
        <v>2043660</v>
      </c>
      <c r="Y169" s="11">
        <v>41736</v>
      </c>
      <c r="Z169" s="11">
        <v>41737</v>
      </c>
      <c r="AA169" s="9">
        <f t="shared" si="11"/>
        <v>69175</v>
      </c>
      <c r="AB169" s="12">
        <v>59.45</v>
      </c>
      <c r="AC169" s="9">
        <f t="shared" si="12"/>
        <v>4219463.75</v>
      </c>
      <c r="AD169" s="9">
        <f t="shared" si="13"/>
        <v>4112453.75</v>
      </c>
      <c r="AE169" s="1" t="s">
        <v>51</v>
      </c>
      <c r="AF169" s="1" t="s">
        <v>53</v>
      </c>
      <c r="AG169" s="4">
        <f t="shared" si="17"/>
        <v>70975</v>
      </c>
      <c r="AH169" s="10">
        <v>70797</v>
      </c>
      <c r="AI169" s="10">
        <v>1850</v>
      </c>
      <c r="AJ169" s="10"/>
      <c r="AK169" s="10"/>
      <c r="AL169" s="9">
        <f t="shared" si="18"/>
        <v>68947</v>
      </c>
      <c r="AM169" s="1"/>
      <c r="AN169" s="1"/>
      <c r="AO169" s="12" t="e">
        <f>AB169/#REF!</f>
        <v>#REF!</v>
      </c>
      <c r="AP169" s="1" t="s">
        <v>1346</v>
      </c>
      <c r="AQ169" s="11">
        <v>41803</v>
      </c>
      <c r="AR169" s="1" t="s">
        <v>1347</v>
      </c>
      <c r="AS169" s="11">
        <v>41864</v>
      </c>
      <c r="AT169" s="1" t="s">
        <v>49</v>
      </c>
      <c r="AU169" s="1" t="s">
        <v>4171</v>
      </c>
    </row>
    <row r="170" spans="1:47" ht="15" customHeight="1" x14ac:dyDescent="0.25">
      <c r="A170" s="1">
        <v>169</v>
      </c>
      <c r="B170" s="1" t="s">
        <v>1258</v>
      </c>
      <c r="C170" s="1" t="s">
        <v>38</v>
      </c>
      <c r="D170" s="1">
        <v>9103550024</v>
      </c>
      <c r="E170" s="5">
        <v>41743</v>
      </c>
      <c r="F170" s="1" t="s">
        <v>136</v>
      </c>
      <c r="G170" s="1" t="s">
        <v>40</v>
      </c>
      <c r="H170" s="1" t="s">
        <v>41</v>
      </c>
      <c r="I170" s="1" t="s">
        <v>2809</v>
      </c>
      <c r="J170" s="1" t="s">
        <v>2641</v>
      </c>
      <c r="K170" s="1">
        <v>38237090</v>
      </c>
      <c r="L170" s="6">
        <v>96.88</v>
      </c>
      <c r="M170" s="1" t="s">
        <v>70</v>
      </c>
      <c r="N170" s="7" t="s">
        <v>44</v>
      </c>
      <c r="O170" s="1" t="s">
        <v>53</v>
      </c>
      <c r="P170" s="8">
        <v>1360</v>
      </c>
      <c r="Q170" s="17">
        <f t="shared" si="16"/>
        <v>131756.79999999999</v>
      </c>
      <c r="R170" s="9">
        <v>5250</v>
      </c>
      <c r="S170" s="9">
        <v>26.09</v>
      </c>
      <c r="T170" s="9">
        <v>0</v>
      </c>
      <c r="U170" s="10">
        <v>0</v>
      </c>
      <c r="V170" s="1" t="s">
        <v>46</v>
      </c>
      <c r="W170" s="1" t="s">
        <v>54</v>
      </c>
      <c r="X170" s="1">
        <v>2047085</v>
      </c>
      <c r="Y170" s="11">
        <v>41736</v>
      </c>
      <c r="Z170" s="11">
        <v>41737</v>
      </c>
      <c r="AA170" s="9">
        <f t="shared" si="11"/>
        <v>126480.70999999999</v>
      </c>
      <c r="AB170" s="12">
        <v>59.45</v>
      </c>
      <c r="AC170" s="9">
        <f t="shared" si="12"/>
        <v>7832941.7599999998</v>
      </c>
      <c r="AD170" s="9">
        <f t="shared" si="13"/>
        <v>7519278.2094999999</v>
      </c>
      <c r="AE170" s="1" t="s">
        <v>48</v>
      </c>
      <c r="AF170" s="1" t="s">
        <v>53</v>
      </c>
      <c r="AG170" s="4">
        <f t="shared" si="17"/>
        <v>131756.79999999999</v>
      </c>
      <c r="AH170" s="10">
        <v>131591.29999999999</v>
      </c>
      <c r="AI170" s="10">
        <v>5000</v>
      </c>
      <c r="AJ170" s="10">
        <v>26.09</v>
      </c>
      <c r="AK170" s="10">
        <v>0</v>
      </c>
      <c r="AL170" s="9">
        <f t="shared" si="18"/>
        <v>126565.20999999999</v>
      </c>
      <c r="AM170" s="1"/>
      <c r="AN170" s="1"/>
      <c r="AO170" s="12" t="e">
        <f>AB170/#REF!</f>
        <v>#REF!</v>
      </c>
      <c r="AP170" s="1" t="s">
        <v>1348</v>
      </c>
      <c r="AQ170" s="11">
        <v>41835</v>
      </c>
      <c r="AR170" s="1" t="s">
        <v>1349</v>
      </c>
      <c r="AS170" s="11">
        <v>41836</v>
      </c>
      <c r="AT170" s="1" t="s">
        <v>49</v>
      </c>
      <c r="AU170" s="1" t="s">
        <v>4171</v>
      </c>
    </row>
    <row r="171" spans="1:47" ht="15" customHeight="1" x14ac:dyDescent="0.25">
      <c r="A171" s="1">
        <v>170</v>
      </c>
      <c r="B171" s="1" t="s">
        <v>1258</v>
      </c>
      <c r="C171" s="1" t="s">
        <v>38</v>
      </c>
      <c r="D171" s="1">
        <v>9103550025</v>
      </c>
      <c r="E171" s="5">
        <v>41740</v>
      </c>
      <c r="F171" s="1" t="s">
        <v>157</v>
      </c>
      <c r="G171" s="1" t="s">
        <v>40</v>
      </c>
      <c r="H171" s="1" t="s">
        <v>41</v>
      </c>
      <c r="I171" s="1" t="s">
        <v>2809</v>
      </c>
      <c r="J171" s="1" t="s">
        <v>55</v>
      </c>
      <c r="K171" s="1">
        <v>38237090</v>
      </c>
      <c r="L171" s="6">
        <v>18.145</v>
      </c>
      <c r="M171" s="1" t="s">
        <v>70</v>
      </c>
      <c r="N171" s="7" t="s">
        <v>44</v>
      </c>
      <c r="O171" s="1" t="s">
        <v>53</v>
      </c>
      <c r="P171" s="8">
        <v>1575</v>
      </c>
      <c r="Q171" s="17">
        <f t="shared" si="16"/>
        <v>28578.375</v>
      </c>
      <c r="R171" s="9">
        <v>3100</v>
      </c>
      <c r="S171" s="9">
        <v>5.66</v>
      </c>
      <c r="T171" s="9">
        <v>0</v>
      </c>
      <c r="U171" s="10">
        <v>0</v>
      </c>
      <c r="V171" s="1" t="s">
        <v>46</v>
      </c>
      <c r="W171" s="1" t="s">
        <v>56</v>
      </c>
      <c r="X171" s="1">
        <v>2068795</v>
      </c>
      <c r="Y171" s="11">
        <v>41737</v>
      </c>
      <c r="Z171" s="11">
        <v>41738</v>
      </c>
      <c r="AA171" s="9">
        <f t="shared" si="11"/>
        <v>25472.715</v>
      </c>
      <c r="AB171" s="12">
        <v>59.45</v>
      </c>
      <c r="AC171" s="9">
        <f t="shared" si="12"/>
        <v>1698984.39375</v>
      </c>
      <c r="AD171" s="9">
        <f t="shared" si="13"/>
        <v>1514352.9067500001</v>
      </c>
      <c r="AE171" s="1" t="s">
        <v>48</v>
      </c>
      <c r="AF171" s="1" t="s">
        <v>53</v>
      </c>
      <c r="AG171" s="4">
        <f t="shared" si="17"/>
        <v>28578.375</v>
      </c>
      <c r="AH171" s="10">
        <v>28578.38</v>
      </c>
      <c r="AI171" s="10">
        <v>3050</v>
      </c>
      <c r="AJ171" s="10">
        <v>5.66</v>
      </c>
      <c r="AK171" s="10">
        <v>0</v>
      </c>
      <c r="AL171" s="9">
        <f t="shared" si="18"/>
        <v>25522.720000000001</v>
      </c>
      <c r="AM171" s="1"/>
      <c r="AN171" s="1"/>
      <c r="AO171" s="12" t="e">
        <f>AB171/#REF!</f>
        <v>#REF!</v>
      </c>
      <c r="AP171" s="1" t="s">
        <v>1350</v>
      </c>
      <c r="AQ171" s="11">
        <v>41789</v>
      </c>
      <c r="AR171" s="1" t="s">
        <v>1351</v>
      </c>
      <c r="AS171" s="11">
        <v>41790</v>
      </c>
      <c r="AT171" s="1" t="s">
        <v>49</v>
      </c>
      <c r="AU171" s="1" t="s">
        <v>4171</v>
      </c>
    </row>
    <row r="172" spans="1:47" ht="15" customHeight="1" x14ac:dyDescent="0.25">
      <c r="A172" s="1">
        <v>171</v>
      </c>
      <c r="B172" s="1" t="s">
        <v>1258</v>
      </c>
      <c r="C172" s="1" t="s">
        <v>38</v>
      </c>
      <c r="D172" s="1">
        <v>9103550026</v>
      </c>
      <c r="E172" s="5">
        <v>41740</v>
      </c>
      <c r="F172" s="1" t="s">
        <v>145</v>
      </c>
      <c r="G172" s="1" t="s">
        <v>40</v>
      </c>
      <c r="H172" s="1" t="s">
        <v>41</v>
      </c>
      <c r="I172" s="1" t="s">
        <v>2809</v>
      </c>
      <c r="J172" s="1" t="s">
        <v>55</v>
      </c>
      <c r="K172" s="1">
        <v>38237090</v>
      </c>
      <c r="L172" s="6">
        <v>18.145</v>
      </c>
      <c r="M172" s="1" t="s">
        <v>70</v>
      </c>
      <c r="N172" s="7" t="s">
        <v>44</v>
      </c>
      <c r="O172" s="1" t="s">
        <v>53</v>
      </c>
      <c r="P172" s="8">
        <v>1600</v>
      </c>
      <c r="Q172" s="17">
        <f t="shared" si="16"/>
        <v>29032</v>
      </c>
      <c r="R172" s="9">
        <v>3100</v>
      </c>
      <c r="S172" s="9">
        <v>5.75</v>
      </c>
      <c r="T172" s="9">
        <v>0</v>
      </c>
      <c r="U172" s="10">
        <v>0</v>
      </c>
      <c r="V172" s="1" t="s">
        <v>46</v>
      </c>
      <c r="W172" s="1" t="s">
        <v>56</v>
      </c>
      <c r="X172" s="1">
        <v>2064041</v>
      </c>
      <c r="Y172" s="11">
        <v>41737</v>
      </c>
      <c r="Z172" s="11">
        <v>41738</v>
      </c>
      <c r="AA172" s="9">
        <f t="shared" si="11"/>
        <v>25926.25</v>
      </c>
      <c r="AB172" s="12">
        <v>59.45</v>
      </c>
      <c r="AC172" s="9">
        <f t="shared" si="12"/>
        <v>1725952.4000000001</v>
      </c>
      <c r="AD172" s="9">
        <f t="shared" si="13"/>
        <v>1541315.5625</v>
      </c>
      <c r="AE172" s="1" t="s">
        <v>48</v>
      </c>
      <c r="AF172" s="1" t="s">
        <v>53</v>
      </c>
      <c r="AG172" s="4">
        <f t="shared" si="17"/>
        <v>29032</v>
      </c>
      <c r="AH172" s="10">
        <v>29032</v>
      </c>
      <c r="AI172" s="10">
        <v>3050</v>
      </c>
      <c r="AJ172" s="10">
        <v>5.75</v>
      </c>
      <c r="AK172" s="10">
        <v>0</v>
      </c>
      <c r="AL172" s="9">
        <f t="shared" si="18"/>
        <v>25976.25</v>
      </c>
      <c r="AM172" s="1"/>
      <c r="AN172" s="1"/>
      <c r="AO172" s="12" t="e">
        <f>AB172/#REF!</f>
        <v>#REF!</v>
      </c>
      <c r="AP172" s="1" t="s">
        <v>1352</v>
      </c>
      <c r="AQ172" s="11">
        <v>41789</v>
      </c>
      <c r="AR172" s="1" t="s">
        <v>1353</v>
      </c>
      <c r="AS172" s="11">
        <v>41790</v>
      </c>
      <c r="AT172" s="1" t="s">
        <v>49</v>
      </c>
      <c r="AU172" s="1" t="s">
        <v>4171</v>
      </c>
    </row>
    <row r="173" spans="1:47" ht="15" customHeight="1" x14ac:dyDescent="0.25">
      <c r="A173" s="1">
        <v>172</v>
      </c>
      <c r="B173" s="1" t="s">
        <v>1258</v>
      </c>
      <c r="C173" s="1" t="s">
        <v>38</v>
      </c>
      <c r="D173" s="1" t="s">
        <v>1354</v>
      </c>
      <c r="E173" s="5">
        <v>41740</v>
      </c>
      <c r="F173" s="1" t="s">
        <v>140</v>
      </c>
      <c r="G173" s="1" t="s">
        <v>40</v>
      </c>
      <c r="H173" s="1" t="s">
        <v>41</v>
      </c>
      <c r="I173" s="1" t="s">
        <v>2809</v>
      </c>
      <c r="J173" s="1" t="s">
        <v>55</v>
      </c>
      <c r="K173" s="1">
        <v>38237090</v>
      </c>
      <c r="L173" s="6">
        <v>36</v>
      </c>
      <c r="M173" s="1" t="s">
        <v>70</v>
      </c>
      <c r="N173" s="7" t="s">
        <v>44</v>
      </c>
      <c r="O173" s="1" t="s">
        <v>53</v>
      </c>
      <c r="P173" s="8">
        <v>4275</v>
      </c>
      <c r="Q173" s="17">
        <f t="shared" si="16"/>
        <v>153900</v>
      </c>
      <c r="R173" s="9">
        <v>6200</v>
      </c>
      <c r="S173" s="9">
        <v>30.47</v>
      </c>
      <c r="T173" s="9">
        <v>0</v>
      </c>
      <c r="U173" s="10">
        <v>0</v>
      </c>
      <c r="V173" s="1" t="s">
        <v>46</v>
      </c>
      <c r="W173" s="1" t="s">
        <v>56</v>
      </c>
      <c r="X173" s="1">
        <v>2046954</v>
      </c>
      <c r="Y173" s="11">
        <v>41736</v>
      </c>
      <c r="Z173" s="11">
        <v>41737</v>
      </c>
      <c r="AA173" s="9">
        <f t="shared" si="11"/>
        <v>147669.53</v>
      </c>
      <c r="AB173" s="12">
        <v>59.45</v>
      </c>
      <c r="AC173" s="9">
        <f t="shared" si="12"/>
        <v>9149355</v>
      </c>
      <c r="AD173" s="9">
        <f t="shared" si="13"/>
        <v>8778953.5585000012</v>
      </c>
      <c r="AE173" s="1" t="s">
        <v>48</v>
      </c>
      <c r="AF173" s="1" t="s">
        <v>53</v>
      </c>
      <c r="AG173" s="4">
        <f t="shared" si="17"/>
        <v>153900</v>
      </c>
      <c r="AH173" s="10">
        <v>153900</v>
      </c>
      <c r="AI173" s="10">
        <v>1523.5</v>
      </c>
      <c r="AJ173" s="10">
        <v>30.47</v>
      </c>
      <c r="AK173" s="10">
        <v>0</v>
      </c>
      <c r="AL173" s="9">
        <f t="shared" si="18"/>
        <v>152346.03</v>
      </c>
      <c r="AM173" s="1"/>
      <c r="AN173" s="1"/>
      <c r="AO173" s="12" t="e">
        <f>AB173/#REF!</f>
        <v>#REF!</v>
      </c>
      <c r="AP173" s="1" t="s">
        <v>1355</v>
      </c>
      <c r="AQ173" s="11">
        <v>41789</v>
      </c>
      <c r="AR173" s="1" t="s">
        <v>1356</v>
      </c>
      <c r="AS173" s="11">
        <v>41790</v>
      </c>
      <c r="AT173" s="1" t="s">
        <v>49</v>
      </c>
      <c r="AU173" s="1" t="s">
        <v>4171</v>
      </c>
    </row>
    <row r="174" spans="1:47" ht="15" customHeight="1" x14ac:dyDescent="0.25">
      <c r="A174" s="1">
        <v>173</v>
      </c>
      <c r="B174" s="1" t="s">
        <v>1258</v>
      </c>
      <c r="C174" s="1" t="s">
        <v>38</v>
      </c>
      <c r="D174" s="1" t="s">
        <v>1354</v>
      </c>
      <c r="E174" s="5">
        <v>41740</v>
      </c>
      <c r="F174" s="1" t="s">
        <v>144</v>
      </c>
      <c r="G174" s="1" t="s">
        <v>40</v>
      </c>
      <c r="H174" s="1" t="s">
        <v>41</v>
      </c>
      <c r="I174" s="1" t="s">
        <v>2809</v>
      </c>
      <c r="J174" s="1" t="s">
        <v>55</v>
      </c>
      <c r="K174" s="1">
        <v>38237090</v>
      </c>
      <c r="L174" s="6">
        <v>36</v>
      </c>
      <c r="M174" s="1" t="s">
        <v>70</v>
      </c>
      <c r="N174" s="7" t="s">
        <v>44</v>
      </c>
      <c r="O174" s="1" t="s">
        <v>53</v>
      </c>
      <c r="P174" s="8">
        <v>4275</v>
      </c>
      <c r="Q174" s="17">
        <f t="shared" si="16"/>
        <v>153900</v>
      </c>
      <c r="R174" s="9">
        <v>6200</v>
      </c>
      <c r="S174" s="9">
        <v>30.47</v>
      </c>
      <c r="T174" s="9">
        <v>0</v>
      </c>
      <c r="U174" s="10">
        <v>0</v>
      </c>
      <c r="V174" s="1" t="s">
        <v>46</v>
      </c>
      <c r="W174" s="1" t="s">
        <v>56</v>
      </c>
      <c r="X174" s="1">
        <v>2063649</v>
      </c>
      <c r="Y174" s="11">
        <v>41737</v>
      </c>
      <c r="Z174" s="11">
        <v>41739</v>
      </c>
      <c r="AA174" s="9">
        <f t="shared" si="11"/>
        <v>147669.53</v>
      </c>
      <c r="AB174" s="12">
        <v>59.45</v>
      </c>
      <c r="AC174" s="9">
        <f t="shared" si="12"/>
        <v>9149355</v>
      </c>
      <c r="AD174" s="9">
        <f t="shared" si="13"/>
        <v>8778953.5585000012</v>
      </c>
      <c r="AE174" s="1" t="s">
        <v>48</v>
      </c>
      <c r="AF174" s="1" t="s">
        <v>53</v>
      </c>
      <c r="AG174" s="4">
        <f t="shared" si="17"/>
        <v>153900</v>
      </c>
      <c r="AH174" s="10">
        <v>153900</v>
      </c>
      <c r="AI174" s="10">
        <v>1523.5</v>
      </c>
      <c r="AJ174" s="10">
        <v>30.47</v>
      </c>
      <c r="AK174" s="10">
        <v>0</v>
      </c>
      <c r="AL174" s="9">
        <f t="shared" si="18"/>
        <v>152346.03</v>
      </c>
      <c r="AM174" s="1"/>
      <c r="AN174" s="1"/>
      <c r="AO174" s="12" t="e">
        <f>AB174/#REF!</f>
        <v>#REF!</v>
      </c>
      <c r="AP174" s="1" t="s">
        <v>1355</v>
      </c>
      <c r="AQ174" s="11">
        <v>41789</v>
      </c>
      <c r="AR174" s="1" t="s">
        <v>1357</v>
      </c>
      <c r="AS174" s="11">
        <v>41790</v>
      </c>
      <c r="AT174" s="1" t="s">
        <v>49</v>
      </c>
      <c r="AU174" s="1" t="s">
        <v>4171</v>
      </c>
    </row>
    <row r="175" spans="1:47" ht="15" customHeight="1" x14ac:dyDescent="0.25">
      <c r="A175" s="1">
        <v>174</v>
      </c>
      <c r="B175" s="1" t="s">
        <v>1258</v>
      </c>
      <c r="C175" s="1" t="s">
        <v>38</v>
      </c>
      <c r="D175" s="1">
        <v>9103550029</v>
      </c>
      <c r="E175" s="5">
        <v>41738</v>
      </c>
      <c r="F175" s="1" t="s">
        <v>139</v>
      </c>
      <c r="G175" s="1" t="s">
        <v>40</v>
      </c>
      <c r="H175" s="1" t="s">
        <v>41</v>
      </c>
      <c r="I175" s="1" t="s">
        <v>2809</v>
      </c>
      <c r="J175" s="1" t="s">
        <v>1092</v>
      </c>
      <c r="K175" s="1">
        <v>38237090</v>
      </c>
      <c r="L175" s="6">
        <v>0.9</v>
      </c>
      <c r="M175" s="1" t="s">
        <v>70</v>
      </c>
      <c r="N175" s="7" t="s">
        <v>44</v>
      </c>
      <c r="O175" s="1" t="s">
        <v>53</v>
      </c>
      <c r="P175" s="8">
        <v>5277</v>
      </c>
      <c r="Q175" s="17">
        <f t="shared" si="16"/>
        <v>4749.3</v>
      </c>
      <c r="R175" s="9">
        <v>1194.7</v>
      </c>
      <c r="S175" s="9">
        <v>0.94</v>
      </c>
      <c r="T175" s="9">
        <v>0</v>
      </c>
      <c r="U175" s="10">
        <v>0</v>
      </c>
      <c r="V175" s="1" t="s">
        <v>46</v>
      </c>
      <c r="W175" s="1" t="s">
        <v>143</v>
      </c>
      <c r="X175" s="1">
        <v>2065562</v>
      </c>
      <c r="Y175" s="11">
        <v>41737</v>
      </c>
      <c r="Z175" s="11">
        <v>41738</v>
      </c>
      <c r="AA175" s="9">
        <f t="shared" si="11"/>
        <v>3553.6600000000003</v>
      </c>
      <c r="AB175" s="12">
        <v>59.45</v>
      </c>
      <c r="AC175" s="9">
        <f t="shared" si="12"/>
        <v>282345.88500000001</v>
      </c>
      <c r="AD175" s="9">
        <f t="shared" si="13"/>
        <v>211265.08700000003</v>
      </c>
      <c r="AE175" s="1" t="s">
        <v>48</v>
      </c>
      <c r="AF175" s="1" t="s">
        <v>53</v>
      </c>
      <c r="AG175" s="4">
        <f t="shared" si="17"/>
        <v>4749.3</v>
      </c>
      <c r="AH175" s="10">
        <v>4749.3</v>
      </c>
      <c r="AI175" s="10">
        <v>1959.31</v>
      </c>
      <c r="AJ175" s="10">
        <v>0.92</v>
      </c>
      <c r="AK175" s="10">
        <v>0</v>
      </c>
      <c r="AL175" s="9">
        <f t="shared" si="18"/>
        <v>2789.07</v>
      </c>
      <c r="AM175" s="1"/>
      <c r="AN175" s="1"/>
      <c r="AO175" s="12" t="e">
        <f>AB175/#REF!</f>
        <v>#REF!</v>
      </c>
      <c r="AP175" s="1" t="s">
        <v>1358</v>
      </c>
      <c r="AQ175" s="11">
        <v>41792</v>
      </c>
      <c r="AR175" s="1" t="s">
        <v>1359</v>
      </c>
      <c r="AS175" s="11">
        <v>41793</v>
      </c>
      <c r="AT175" s="1" t="s">
        <v>49</v>
      </c>
      <c r="AU175" s="1" t="s">
        <v>4171</v>
      </c>
    </row>
    <row r="176" spans="1:47" ht="15" customHeight="1" x14ac:dyDescent="0.25">
      <c r="A176" s="1">
        <v>175</v>
      </c>
      <c r="B176" s="1" t="s">
        <v>1258</v>
      </c>
      <c r="C176" s="1" t="s">
        <v>38</v>
      </c>
      <c r="D176" s="1">
        <v>9103550030</v>
      </c>
      <c r="E176" s="5">
        <v>41744</v>
      </c>
      <c r="F176" s="1" t="s">
        <v>149</v>
      </c>
      <c r="G176" s="1" t="s">
        <v>40</v>
      </c>
      <c r="H176" s="1" t="s">
        <v>41</v>
      </c>
      <c r="I176" s="1" t="s">
        <v>2809</v>
      </c>
      <c r="J176" s="1" t="s">
        <v>264</v>
      </c>
      <c r="K176" s="1">
        <v>38237090</v>
      </c>
      <c r="L176" s="6">
        <v>30</v>
      </c>
      <c r="M176" s="1" t="s">
        <v>70</v>
      </c>
      <c r="N176" s="7" t="s">
        <v>44</v>
      </c>
      <c r="O176" s="1" t="s">
        <v>53</v>
      </c>
      <c r="P176" s="8">
        <v>1475</v>
      </c>
      <c r="Q176" s="17">
        <f t="shared" si="16"/>
        <v>44250</v>
      </c>
      <c r="R176" s="9">
        <v>682</v>
      </c>
      <c r="S176" s="9">
        <v>8.76</v>
      </c>
      <c r="T176" s="9">
        <v>0</v>
      </c>
      <c r="U176" s="10">
        <v>0</v>
      </c>
      <c r="V176" s="1" t="s">
        <v>46</v>
      </c>
      <c r="W176" s="1" t="s">
        <v>54</v>
      </c>
      <c r="X176" s="1">
        <v>2069109</v>
      </c>
      <c r="Y176" s="11">
        <v>41737</v>
      </c>
      <c r="Z176" s="11">
        <v>41738</v>
      </c>
      <c r="AA176" s="9">
        <f t="shared" si="11"/>
        <v>43559.24</v>
      </c>
      <c r="AB176" s="12">
        <v>59.45</v>
      </c>
      <c r="AC176" s="9">
        <f t="shared" si="12"/>
        <v>2630662.5</v>
      </c>
      <c r="AD176" s="9">
        <f t="shared" si="13"/>
        <v>2589596.818</v>
      </c>
      <c r="AE176" s="1" t="s">
        <v>48</v>
      </c>
      <c r="AF176" s="1" t="s">
        <v>53</v>
      </c>
      <c r="AG176" s="4">
        <f t="shared" si="17"/>
        <v>44250</v>
      </c>
      <c r="AH176" s="10">
        <v>44002</v>
      </c>
      <c r="AI176" s="10">
        <v>682</v>
      </c>
      <c r="AJ176" s="10">
        <v>6.33</v>
      </c>
      <c r="AK176" s="10">
        <v>0</v>
      </c>
      <c r="AL176" s="9">
        <f t="shared" si="18"/>
        <v>43313.67</v>
      </c>
      <c r="AM176" s="1"/>
      <c r="AN176" s="1"/>
      <c r="AO176" s="12" t="e">
        <f>AB176/#REF!</f>
        <v>#REF!</v>
      </c>
      <c r="AP176" s="1" t="s">
        <v>1360</v>
      </c>
      <c r="AQ176" s="11">
        <v>41771</v>
      </c>
      <c r="AR176" s="1" t="s">
        <v>1361</v>
      </c>
      <c r="AS176" s="11">
        <v>41772</v>
      </c>
      <c r="AT176" s="1" t="s">
        <v>49</v>
      </c>
      <c r="AU176" s="1" t="s">
        <v>4171</v>
      </c>
    </row>
    <row r="177" spans="1:47" ht="15" customHeight="1" x14ac:dyDescent="0.25">
      <c r="A177" s="1">
        <v>176</v>
      </c>
      <c r="B177" s="1" t="s">
        <v>1258</v>
      </c>
      <c r="C177" s="1" t="s">
        <v>38</v>
      </c>
      <c r="D177" s="1">
        <v>9103550031</v>
      </c>
      <c r="E177" s="5">
        <v>41740</v>
      </c>
      <c r="F177" s="1" t="s">
        <v>152</v>
      </c>
      <c r="G177" s="1" t="s">
        <v>40</v>
      </c>
      <c r="H177" s="1" t="s">
        <v>41</v>
      </c>
      <c r="I177" s="1" t="s">
        <v>2809</v>
      </c>
      <c r="J177" s="1" t="s">
        <v>55</v>
      </c>
      <c r="K177" s="1">
        <v>38237090</v>
      </c>
      <c r="L177" s="6">
        <v>18.57</v>
      </c>
      <c r="M177" s="1" t="s">
        <v>70</v>
      </c>
      <c r="N177" s="7" t="s">
        <v>44</v>
      </c>
      <c r="O177" s="1" t="s">
        <v>53</v>
      </c>
      <c r="P177" s="8">
        <v>1705</v>
      </c>
      <c r="Q177" s="17">
        <f t="shared" si="16"/>
        <v>31661.850000000002</v>
      </c>
      <c r="R177" s="9">
        <v>5050</v>
      </c>
      <c r="S177" s="9">
        <v>6.27</v>
      </c>
      <c r="T177" s="9">
        <v>0</v>
      </c>
      <c r="U177" s="10">
        <v>0</v>
      </c>
      <c r="V177" s="1" t="s">
        <v>46</v>
      </c>
      <c r="W177" s="1" t="s">
        <v>56</v>
      </c>
      <c r="X177" s="1">
        <v>2068793</v>
      </c>
      <c r="Y177" s="11">
        <v>41737</v>
      </c>
      <c r="Z177" s="11">
        <v>41738</v>
      </c>
      <c r="AA177" s="9">
        <f t="shared" si="11"/>
        <v>26605.58</v>
      </c>
      <c r="AB177" s="12">
        <v>59.45</v>
      </c>
      <c r="AC177" s="9">
        <f t="shared" si="12"/>
        <v>1882296.9825000002</v>
      </c>
      <c r="AD177" s="9">
        <f t="shared" si="13"/>
        <v>1581701.7310000001</v>
      </c>
      <c r="AE177" s="1" t="s">
        <v>48</v>
      </c>
      <c r="AF177" s="1" t="s">
        <v>53</v>
      </c>
      <c r="AG177" s="4">
        <f t="shared" si="17"/>
        <v>31661.850000000002</v>
      </c>
      <c r="AH177" s="10">
        <v>31661.85</v>
      </c>
      <c r="AI177" s="10">
        <v>5050</v>
      </c>
      <c r="AJ177" s="10">
        <v>6.27</v>
      </c>
      <c r="AK177" s="10">
        <v>0</v>
      </c>
      <c r="AL177" s="9">
        <f t="shared" si="18"/>
        <v>26605.579999999998</v>
      </c>
      <c r="AM177" s="1"/>
      <c r="AN177" s="1"/>
      <c r="AO177" s="12" t="e">
        <f>AB177/#REF!</f>
        <v>#REF!</v>
      </c>
      <c r="AP177" s="1" t="s">
        <v>1362</v>
      </c>
      <c r="AQ177" s="11">
        <v>41789</v>
      </c>
      <c r="AR177" s="1" t="s">
        <v>1363</v>
      </c>
      <c r="AS177" s="11">
        <v>41790</v>
      </c>
      <c r="AT177" s="1" t="s">
        <v>49</v>
      </c>
      <c r="AU177" s="1" t="s">
        <v>4171</v>
      </c>
    </row>
    <row r="178" spans="1:47" ht="15" customHeight="1" x14ac:dyDescent="0.25">
      <c r="A178" s="1">
        <v>177</v>
      </c>
      <c r="B178" s="1" t="s">
        <v>1258</v>
      </c>
      <c r="C178" s="1" t="s">
        <v>38</v>
      </c>
      <c r="D178" s="1">
        <v>9103550032</v>
      </c>
      <c r="E178" s="5">
        <v>41744</v>
      </c>
      <c r="F178" s="1" t="s">
        <v>147</v>
      </c>
      <c r="G178" s="1" t="s">
        <v>40</v>
      </c>
      <c r="H178" s="1" t="s">
        <v>41</v>
      </c>
      <c r="I178" s="1" t="s">
        <v>2809</v>
      </c>
      <c r="J178" s="1" t="s">
        <v>55</v>
      </c>
      <c r="K178" s="1">
        <v>29051700</v>
      </c>
      <c r="L178" s="6">
        <v>36.29</v>
      </c>
      <c r="M178" s="1" t="s">
        <v>70</v>
      </c>
      <c r="N178" s="7" t="s">
        <v>44</v>
      </c>
      <c r="O178" s="1" t="s">
        <v>53</v>
      </c>
      <c r="P178" s="8">
        <v>1975</v>
      </c>
      <c r="Q178" s="17">
        <f t="shared" si="16"/>
        <v>71672.75</v>
      </c>
      <c r="R178" s="9">
        <v>5400</v>
      </c>
      <c r="S178" s="9">
        <v>14.19</v>
      </c>
      <c r="T178" s="9">
        <v>0</v>
      </c>
      <c r="U178" s="10">
        <v>0</v>
      </c>
      <c r="V178" s="1" t="s">
        <v>46</v>
      </c>
      <c r="W178" s="1" t="s">
        <v>56</v>
      </c>
      <c r="X178" s="1">
        <v>2082930</v>
      </c>
      <c r="Y178" s="11">
        <v>41738</v>
      </c>
      <c r="Z178" s="11">
        <v>41739</v>
      </c>
      <c r="AA178" s="9">
        <f t="shared" si="11"/>
        <v>66258.559999999998</v>
      </c>
      <c r="AB178" s="12">
        <v>59.45</v>
      </c>
      <c r="AC178" s="9">
        <f t="shared" si="12"/>
        <v>4260944.9874999998</v>
      </c>
      <c r="AD178" s="9">
        <f t="shared" si="13"/>
        <v>3939071.392</v>
      </c>
      <c r="AE178" s="1" t="s">
        <v>48</v>
      </c>
      <c r="AF178" s="1" t="s">
        <v>53</v>
      </c>
      <c r="AG178" s="4">
        <f t="shared" si="17"/>
        <v>71672.75</v>
      </c>
      <c r="AH178" s="10">
        <v>71672.75</v>
      </c>
      <c r="AI178" s="10">
        <v>5400</v>
      </c>
      <c r="AJ178" s="10">
        <v>10.25</v>
      </c>
      <c r="AK178" s="10">
        <v>0</v>
      </c>
      <c r="AL178" s="9">
        <f t="shared" si="18"/>
        <v>66262.5</v>
      </c>
      <c r="AM178" s="1"/>
      <c r="AN178" s="1"/>
      <c r="AO178" s="12" t="e">
        <f>AB178/#REF!</f>
        <v>#REF!</v>
      </c>
      <c r="AP178" s="1" t="s">
        <v>1364</v>
      </c>
      <c r="AQ178" s="11">
        <v>41789</v>
      </c>
      <c r="AR178" s="1" t="s">
        <v>1365</v>
      </c>
      <c r="AS178" s="11">
        <v>41790</v>
      </c>
      <c r="AT178" s="1" t="s">
        <v>49</v>
      </c>
      <c r="AU178" s="1" t="s">
        <v>4171</v>
      </c>
    </row>
    <row r="179" spans="1:47" ht="15" customHeight="1" x14ac:dyDescent="0.25">
      <c r="A179" s="1">
        <v>178</v>
      </c>
      <c r="B179" s="1" t="s">
        <v>1258</v>
      </c>
      <c r="C179" s="1" t="s">
        <v>38</v>
      </c>
      <c r="D179" s="1">
        <v>9103550033</v>
      </c>
      <c r="E179" s="5">
        <v>41744</v>
      </c>
      <c r="F179" s="1" t="s">
        <v>161</v>
      </c>
      <c r="G179" s="1" t="s">
        <v>40</v>
      </c>
      <c r="H179" s="1" t="s">
        <v>41</v>
      </c>
      <c r="I179" s="1" t="s">
        <v>2809</v>
      </c>
      <c r="J179" s="1" t="s">
        <v>55</v>
      </c>
      <c r="K179" s="1">
        <v>29051700</v>
      </c>
      <c r="L179" s="6">
        <v>18.145</v>
      </c>
      <c r="M179" s="1" t="s">
        <v>70</v>
      </c>
      <c r="N179" s="7" t="s">
        <v>44</v>
      </c>
      <c r="O179" s="1" t="s">
        <v>53</v>
      </c>
      <c r="P179" s="8">
        <v>1975</v>
      </c>
      <c r="Q179" s="17">
        <f t="shared" si="16"/>
        <v>35836.375</v>
      </c>
      <c r="R179" s="9">
        <v>2700</v>
      </c>
      <c r="S179" s="9">
        <v>7.1</v>
      </c>
      <c r="T179" s="9">
        <v>0</v>
      </c>
      <c r="U179" s="10">
        <v>0</v>
      </c>
      <c r="V179" s="1" t="s">
        <v>46</v>
      </c>
      <c r="W179" s="1" t="s">
        <v>56</v>
      </c>
      <c r="X179" s="1">
        <v>2082979</v>
      </c>
      <c r="Y179" s="11">
        <v>41738</v>
      </c>
      <c r="Z179" s="11">
        <v>41739</v>
      </c>
      <c r="AA179" s="9">
        <f t="shared" si="11"/>
        <v>33129.275000000001</v>
      </c>
      <c r="AB179" s="12">
        <v>59.45</v>
      </c>
      <c r="AC179" s="9">
        <f t="shared" si="12"/>
        <v>2130472.4937499999</v>
      </c>
      <c r="AD179" s="9">
        <f t="shared" si="13"/>
        <v>1969535.3987500002</v>
      </c>
      <c r="AE179" s="1" t="s">
        <v>48</v>
      </c>
      <c r="AF179" s="1" t="s">
        <v>53</v>
      </c>
      <c r="AG179" s="4">
        <f t="shared" si="17"/>
        <v>35836.375</v>
      </c>
      <c r="AH179" s="10">
        <v>35836.379999999997</v>
      </c>
      <c r="AI179" s="10">
        <v>2700</v>
      </c>
      <c r="AJ179" s="10">
        <v>5.12</v>
      </c>
      <c r="AK179" s="10">
        <v>0</v>
      </c>
      <c r="AL179" s="9">
        <f t="shared" si="18"/>
        <v>33131.259999999995</v>
      </c>
      <c r="AM179" s="1"/>
      <c r="AN179" s="1"/>
      <c r="AO179" s="12" t="e">
        <f>AB179/#REF!</f>
        <v>#REF!</v>
      </c>
      <c r="AP179" s="1" t="s">
        <v>1366</v>
      </c>
      <c r="AQ179" s="11">
        <v>41789</v>
      </c>
      <c r="AR179" s="1" t="s">
        <v>1367</v>
      </c>
      <c r="AS179" s="11">
        <v>41790</v>
      </c>
      <c r="AT179" s="1" t="s">
        <v>49</v>
      </c>
      <c r="AU179" s="1" t="s">
        <v>4171</v>
      </c>
    </row>
    <row r="180" spans="1:47" ht="15" customHeight="1" x14ac:dyDescent="0.25">
      <c r="A180" s="1">
        <v>179</v>
      </c>
      <c r="B180" s="1" t="s">
        <v>1258</v>
      </c>
      <c r="C180" s="1" t="s">
        <v>38</v>
      </c>
      <c r="D180" s="1">
        <v>9103550034</v>
      </c>
      <c r="E180" s="5">
        <v>41744</v>
      </c>
      <c r="F180" s="1" t="s">
        <v>150</v>
      </c>
      <c r="G180" s="1" t="s">
        <v>40</v>
      </c>
      <c r="H180" s="1" t="s">
        <v>41</v>
      </c>
      <c r="I180" s="1" t="s">
        <v>2809</v>
      </c>
      <c r="J180" s="1" t="s">
        <v>55</v>
      </c>
      <c r="K180" s="1">
        <v>38237090</v>
      </c>
      <c r="L180" s="6">
        <v>18.14</v>
      </c>
      <c r="M180" s="1" t="s">
        <v>70</v>
      </c>
      <c r="N180" s="7" t="s">
        <v>44</v>
      </c>
      <c r="O180" s="1" t="s">
        <v>53</v>
      </c>
      <c r="P180" s="8">
        <v>1660</v>
      </c>
      <c r="Q180" s="17">
        <f t="shared" si="16"/>
        <v>30112.400000000001</v>
      </c>
      <c r="R180" s="9">
        <v>2700</v>
      </c>
      <c r="S180" s="9">
        <v>5.96</v>
      </c>
      <c r="T180" s="9">
        <v>0</v>
      </c>
      <c r="U180" s="10">
        <v>0</v>
      </c>
      <c r="V180" s="1" t="s">
        <v>46</v>
      </c>
      <c r="W180" s="1" t="s">
        <v>56</v>
      </c>
      <c r="X180" s="1">
        <v>2082720</v>
      </c>
      <c r="Y180" s="11">
        <v>41738</v>
      </c>
      <c r="Z180" s="11">
        <v>41739</v>
      </c>
      <c r="AA180" s="9">
        <f t="shared" si="11"/>
        <v>27406.440000000002</v>
      </c>
      <c r="AB180" s="12">
        <v>59.45</v>
      </c>
      <c r="AC180" s="9">
        <f t="shared" si="12"/>
        <v>1790182.1800000002</v>
      </c>
      <c r="AD180" s="9">
        <f t="shared" si="13"/>
        <v>1629312.8580000002</v>
      </c>
      <c r="AE180" s="1" t="s">
        <v>48</v>
      </c>
      <c r="AF180" s="1" t="s">
        <v>53</v>
      </c>
      <c r="AG180" s="4">
        <f t="shared" si="17"/>
        <v>30112.400000000001</v>
      </c>
      <c r="AH180" s="10">
        <v>30112.400000000001</v>
      </c>
      <c r="AI180" s="10">
        <v>2700</v>
      </c>
      <c r="AJ180" s="10">
        <v>4.3099999999999996</v>
      </c>
      <c r="AK180" s="10">
        <v>0</v>
      </c>
      <c r="AL180" s="9">
        <f t="shared" si="18"/>
        <v>27408.09</v>
      </c>
      <c r="AM180" s="1"/>
      <c r="AN180" s="1"/>
      <c r="AO180" s="12" t="e">
        <f>AB180/#REF!</f>
        <v>#REF!</v>
      </c>
      <c r="AP180" s="1" t="s">
        <v>1368</v>
      </c>
      <c r="AQ180" s="11">
        <v>41789</v>
      </c>
      <c r="AR180" s="1" t="s">
        <v>1369</v>
      </c>
      <c r="AS180" s="11">
        <v>41790</v>
      </c>
      <c r="AT180" s="1" t="s">
        <v>49</v>
      </c>
      <c r="AU180" s="1" t="s">
        <v>4171</v>
      </c>
    </row>
    <row r="181" spans="1:47" ht="15" customHeight="1" x14ac:dyDescent="0.25">
      <c r="A181" s="1">
        <v>180</v>
      </c>
      <c r="B181" s="1" t="s">
        <v>1258</v>
      </c>
      <c r="C181" s="1" t="s">
        <v>38</v>
      </c>
      <c r="D181" s="1">
        <v>9103550035</v>
      </c>
      <c r="E181" s="5">
        <v>41744</v>
      </c>
      <c r="F181" s="1" t="s">
        <v>153</v>
      </c>
      <c r="G181" s="1" t="s">
        <v>40</v>
      </c>
      <c r="H181" s="1" t="s">
        <v>41</v>
      </c>
      <c r="I181" s="1" t="s">
        <v>2809</v>
      </c>
      <c r="J181" s="1" t="s">
        <v>55</v>
      </c>
      <c r="K181" s="1">
        <v>29051700</v>
      </c>
      <c r="L181" s="6">
        <v>18.14</v>
      </c>
      <c r="M181" s="1" t="s">
        <v>70</v>
      </c>
      <c r="N181" s="7" t="s">
        <v>44</v>
      </c>
      <c r="O181" s="1" t="s">
        <v>53</v>
      </c>
      <c r="P181" s="8">
        <v>1975</v>
      </c>
      <c r="Q181" s="17">
        <f t="shared" si="16"/>
        <v>35826.5</v>
      </c>
      <c r="R181" s="9">
        <v>3396</v>
      </c>
      <c r="S181" s="9">
        <v>7.09</v>
      </c>
      <c r="T181" s="9">
        <v>0</v>
      </c>
      <c r="U181" s="10">
        <v>0</v>
      </c>
      <c r="V181" s="1" t="s">
        <v>46</v>
      </c>
      <c r="W181" s="1" t="s">
        <v>56</v>
      </c>
      <c r="X181" s="1">
        <v>2090131</v>
      </c>
      <c r="Y181" s="11">
        <v>41738</v>
      </c>
      <c r="Z181" s="11">
        <v>41739</v>
      </c>
      <c r="AA181" s="9">
        <f t="shared" si="11"/>
        <v>32423.41</v>
      </c>
      <c r="AB181" s="12">
        <v>59.45</v>
      </c>
      <c r="AC181" s="9">
        <f t="shared" si="12"/>
        <v>2129885.4250000003</v>
      </c>
      <c r="AD181" s="9">
        <f t="shared" si="13"/>
        <v>1927571.7245</v>
      </c>
      <c r="AE181" s="1" t="s">
        <v>48</v>
      </c>
      <c r="AF181" s="1" t="s">
        <v>53</v>
      </c>
      <c r="AG181" s="4">
        <f t="shared" si="17"/>
        <v>35826.5</v>
      </c>
      <c r="AH181" s="10">
        <v>35826.5</v>
      </c>
      <c r="AI181" s="10">
        <v>3396</v>
      </c>
      <c r="AJ181" s="10">
        <v>5.12</v>
      </c>
      <c r="AK181" s="10">
        <v>0</v>
      </c>
      <c r="AL181" s="9">
        <f t="shared" si="18"/>
        <v>32425.38</v>
      </c>
      <c r="AM181" s="1"/>
      <c r="AN181" s="1"/>
      <c r="AO181" s="12" t="e">
        <f>AB181/#REF!</f>
        <v>#REF!</v>
      </c>
      <c r="AP181" s="1" t="s">
        <v>1370</v>
      </c>
      <c r="AQ181" s="11">
        <v>41789</v>
      </c>
      <c r="AR181" s="1" t="s">
        <v>1371</v>
      </c>
      <c r="AS181" s="11">
        <v>41790</v>
      </c>
      <c r="AT181" s="1" t="s">
        <v>49</v>
      </c>
      <c r="AU181" s="1" t="s">
        <v>4171</v>
      </c>
    </row>
    <row r="182" spans="1:47" ht="15" customHeight="1" x14ac:dyDescent="0.25">
      <c r="A182" s="1">
        <v>181</v>
      </c>
      <c r="B182" s="1" t="s">
        <v>1258</v>
      </c>
      <c r="C182" s="1" t="s">
        <v>38</v>
      </c>
      <c r="D182" s="1">
        <v>9103550036</v>
      </c>
      <c r="E182" s="5">
        <v>41743</v>
      </c>
      <c r="F182" s="1" t="s">
        <v>154</v>
      </c>
      <c r="G182" s="1" t="s">
        <v>40</v>
      </c>
      <c r="H182" s="1" t="s">
        <v>41</v>
      </c>
      <c r="I182" s="1" t="s">
        <v>2809</v>
      </c>
      <c r="J182" s="1" t="s">
        <v>63</v>
      </c>
      <c r="K182" s="1">
        <v>29159090</v>
      </c>
      <c r="L182" s="6">
        <v>20</v>
      </c>
      <c r="M182" s="1" t="s">
        <v>70</v>
      </c>
      <c r="N182" s="7" t="s">
        <v>52</v>
      </c>
      <c r="O182" s="1" t="s">
        <v>53</v>
      </c>
      <c r="P182" s="8">
        <v>3925</v>
      </c>
      <c r="Q182" s="17">
        <f t="shared" si="16"/>
        <v>78500</v>
      </c>
      <c r="R182" s="9">
        <v>1235</v>
      </c>
      <c r="S182" s="9">
        <v>0</v>
      </c>
      <c r="T182" s="9">
        <v>0</v>
      </c>
      <c r="U182" s="10">
        <v>0</v>
      </c>
      <c r="V182" s="1" t="s">
        <v>46</v>
      </c>
      <c r="W182" s="1" t="s">
        <v>54</v>
      </c>
      <c r="X182" s="1">
        <v>2090314</v>
      </c>
      <c r="Y182" s="11">
        <v>41738</v>
      </c>
      <c r="Z182" s="11">
        <v>41739</v>
      </c>
      <c r="AA182" s="9">
        <f t="shared" si="11"/>
        <v>77265</v>
      </c>
      <c r="AB182" s="12">
        <v>59.45</v>
      </c>
      <c r="AC182" s="9">
        <f t="shared" si="12"/>
        <v>4666825</v>
      </c>
      <c r="AD182" s="9">
        <f t="shared" si="13"/>
        <v>4593404.25</v>
      </c>
      <c r="AE182" s="1" t="s">
        <v>48</v>
      </c>
      <c r="AF182" s="1" t="s">
        <v>53</v>
      </c>
      <c r="AG182" s="4">
        <f t="shared" si="17"/>
        <v>78500</v>
      </c>
      <c r="AH182" s="10">
        <v>78500</v>
      </c>
      <c r="AI182" s="10">
        <v>1235</v>
      </c>
      <c r="AJ182" s="10">
        <v>0</v>
      </c>
      <c r="AK182" s="10">
        <v>0</v>
      </c>
      <c r="AL182" s="9">
        <f t="shared" si="18"/>
        <v>77265</v>
      </c>
      <c r="AM182" s="1"/>
      <c r="AN182" s="1"/>
      <c r="AO182" s="12" t="e">
        <f>AB182/#REF!</f>
        <v>#REF!</v>
      </c>
      <c r="AP182" s="1" t="s">
        <v>1372</v>
      </c>
      <c r="AQ182" s="11">
        <v>41774</v>
      </c>
      <c r="AR182" s="1" t="s">
        <v>1373</v>
      </c>
      <c r="AS182" s="11">
        <v>41843</v>
      </c>
      <c r="AT182" s="1" t="s">
        <v>49</v>
      </c>
      <c r="AU182" s="1" t="s">
        <v>4171</v>
      </c>
    </row>
    <row r="183" spans="1:47" ht="15" customHeight="1" x14ac:dyDescent="0.25">
      <c r="A183" s="1">
        <v>182</v>
      </c>
      <c r="B183" s="1" t="s">
        <v>1258</v>
      </c>
      <c r="C183" s="1" t="s">
        <v>38</v>
      </c>
      <c r="D183" s="1">
        <v>9103550037</v>
      </c>
      <c r="E183" s="5">
        <v>41758</v>
      </c>
      <c r="F183" s="1" t="s">
        <v>117</v>
      </c>
      <c r="G183" s="1" t="s">
        <v>40</v>
      </c>
      <c r="H183" s="1" t="s">
        <v>41</v>
      </c>
      <c r="I183" s="1" t="s">
        <v>2809</v>
      </c>
      <c r="J183" s="1" t="s">
        <v>76</v>
      </c>
      <c r="K183" s="1">
        <v>38237090</v>
      </c>
      <c r="L183" s="6">
        <v>10</v>
      </c>
      <c r="M183" s="1" t="s">
        <v>70</v>
      </c>
      <c r="N183" s="7" t="s">
        <v>67</v>
      </c>
      <c r="O183" s="1" t="s">
        <v>53</v>
      </c>
      <c r="P183" s="8">
        <v>1590</v>
      </c>
      <c r="Q183" s="17">
        <f t="shared" si="16"/>
        <v>15900</v>
      </c>
      <c r="R183" s="9">
        <v>0</v>
      </c>
      <c r="S183" s="9">
        <v>0</v>
      </c>
      <c r="T183" s="9">
        <v>0</v>
      </c>
      <c r="U183" s="10">
        <v>0</v>
      </c>
      <c r="V183" s="1" t="s">
        <v>46</v>
      </c>
      <c r="W183" s="1" t="s">
        <v>77</v>
      </c>
      <c r="X183" s="1">
        <v>2043837</v>
      </c>
      <c r="Y183" s="11">
        <v>41736</v>
      </c>
      <c r="Z183" s="11">
        <v>41739</v>
      </c>
      <c r="AA183" s="9">
        <f t="shared" si="11"/>
        <v>15900</v>
      </c>
      <c r="AB183" s="12">
        <v>59.45</v>
      </c>
      <c r="AC183" s="9">
        <f t="shared" si="12"/>
        <v>945255</v>
      </c>
      <c r="AD183" s="9">
        <f t="shared" si="13"/>
        <v>945255</v>
      </c>
      <c r="AE183" s="1" t="s">
        <v>48</v>
      </c>
      <c r="AF183" s="1" t="s">
        <v>53</v>
      </c>
      <c r="AG183" s="4">
        <f t="shared" si="17"/>
        <v>15900</v>
      </c>
      <c r="AH183" s="10">
        <v>15900</v>
      </c>
      <c r="AI183" s="9">
        <v>0</v>
      </c>
      <c r="AJ183" s="9">
        <v>0</v>
      </c>
      <c r="AK183" s="9">
        <v>0</v>
      </c>
      <c r="AL183" s="9">
        <f t="shared" si="18"/>
        <v>15900</v>
      </c>
      <c r="AM183" s="1"/>
      <c r="AN183" s="1"/>
      <c r="AO183" s="12" t="e">
        <f>AB183/#REF!</f>
        <v>#REF!</v>
      </c>
      <c r="AP183" s="1" t="s">
        <v>1374</v>
      </c>
      <c r="AQ183" s="11">
        <v>41919</v>
      </c>
      <c r="AR183" s="1" t="s">
        <v>1375</v>
      </c>
      <c r="AS183" s="11">
        <v>41920</v>
      </c>
      <c r="AT183" s="1" t="s">
        <v>49</v>
      </c>
      <c r="AU183" s="1" t="s">
        <v>4171</v>
      </c>
    </row>
    <row r="184" spans="1:47" ht="15" customHeight="1" x14ac:dyDescent="0.25">
      <c r="A184" s="1">
        <v>183</v>
      </c>
      <c r="B184" s="1" t="s">
        <v>1258</v>
      </c>
      <c r="C184" s="1" t="s">
        <v>38</v>
      </c>
      <c r="D184" s="1">
        <v>9103550037</v>
      </c>
      <c r="E184" s="5">
        <v>41758</v>
      </c>
      <c r="F184" s="1" t="s">
        <v>117</v>
      </c>
      <c r="G184" s="1" t="s">
        <v>40</v>
      </c>
      <c r="H184" s="1" t="s">
        <v>41</v>
      </c>
      <c r="I184" s="1" t="s">
        <v>2809</v>
      </c>
      <c r="J184" s="1" t="s">
        <v>76</v>
      </c>
      <c r="K184" s="1">
        <v>34049090</v>
      </c>
      <c r="L184" s="6">
        <v>1</v>
      </c>
      <c r="M184" s="1" t="s">
        <v>70</v>
      </c>
      <c r="N184" s="7" t="s">
        <v>67</v>
      </c>
      <c r="O184" s="1" t="s">
        <v>53</v>
      </c>
      <c r="P184" s="8">
        <v>2500</v>
      </c>
      <c r="Q184" s="17">
        <f t="shared" si="16"/>
        <v>2500</v>
      </c>
      <c r="R184" s="9">
        <v>0</v>
      </c>
      <c r="S184" s="9">
        <v>0</v>
      </c>
      <c r="T184" s="9">
        <v>0</v>
      </c>
      <c r="U184" s="10">
        <v>0</v>
      </c>
      <c r="V184" s="1" t="s">
        <v>46</v>
      </c>
      <c r="W184" s="1" t="s">
        <v>77</v>
      </c>
      <c r="X184" s="1">
        <v>2043837</v>
      </c>
      <c r="Y184" s="11">
        <v>41736</v>
      </c>
      <c r="Z184" s="11">
        <v>41739</v>
      </c>
      <c r="AA184" s="9">
        <f t="shared" si="11"/>
        <v>2500</v>
      </c>
      <c r="AB184" s="12">
        <v>59.45</v>
      </c>
      <c r="AC184" s="9">
        <f t="shared" si="12"/>
        <v>148625</v>
      </c>
      <c r="AD184" s="9">
        <f t="shared" si="13"/>
        <v>148625</v>
      </c>
      <c r="AE184" s="1" t="s">
        <v>48</v>
      </c>
      <c r="AF184" s="1" t="s">
        <v>53</v>
      </c>
      <c r="AG184" s="4">
        <f t="shared" si="17"/>
        <v>2500</v>
      </c>
      <c r="AH184" s="10">
        <v>2485</v>
      </c>
      <c r="AI184" s="9">
        <v>0</v>
      </c>
      <c r="AJ184" s="9">
        <v>0</v>
      </c>
      <c r="AK184" s="9">
        <v>0</v>
      </c>
      <c r="AL184" s="9">
        <f t="shared" si="18"/>
        <v>2485</v>
      </c>
      <c r="AM184" s="1"/>
      <c r="AN184" s="1"/>
      <c r="AO184" s="12" t="e">
        <f>AB184/#REF!</f>
        <v>#REF!</v>
      </c>
      <c r="AP184" s="1" t="s">
        <v>1374</v>
      </c>
      <c r="AQ184" s="11">
        <v>41919</v>
      </c>
      <c r="AR184" s="1" t="s">
        <v>1375</v>
      </c>
      <c r="AS184" s="11">
        <v>41920</v>
      </c>
      <c r="AT184" s="1" t="s">
        <v>49</v>
      </c>
      <c r="AU184" s="1" t="s">
        <v>4171</v>
      </c>
    </row>
    <row r="185" spans="1:47" ht="15" customHeight="1" x14ac:dyDescent="0.25">
      <c r="A185" s="1">
        <v>184</v>
      </c>
      <c r="B185" s="1" t="s">
        <v>1258</v>
      </c>
      <c r="C185" s="1" t="s">
        <v>38</v>
      </c>
      <c r="D185" s="1">
        <v>9103550038</v>
      </c>
      <c r="E185" s="5">
        <v>41745</v>
      </c>
      <c r="F185" s="1" t="s">
        <v>151</v>
      </c>
      <c r="G185" s="1" t="s">
        <v>40</v>
      </c>
      <c r="H185" s="1" t="s">
        <v>41</v>
      </c>
      <c r="I185" s="1" t="s">
        <v>2809</v>
      </c>
      <c r="J185" s="1" t="s">
        <v>2731</v>
      </c>
      <c r="K185" s="1">
        <v>29161990</v>
      </c>
      <c r="L185" s="6">
        <v>86.4</v>
      </c>
      <c r="M185" s="1" t="s">
        <v>70</v>
      </c>
      <c r="N185" s="7" t="s">
        <v>44</v>
      </c>
      <c r="O185" s="1" t="s">
        <v>53</v>
      </c>
      <c r="P185" s="8">
        <v>3198</v>
      </c>
      <c r="Q185" s="17">
        <f t="shared" si="16"/>
        <v>276307.20000000001</v>
      </c>
      <c r="R185" s="9">
        <v>2700</v>
      </c>
      <c r="S185" s="9">
        <v>54.71</v>
      </c>
      <c r="T185" s="9">
        <v>0</v>
      </c>
      <c r="U185" s="10">
        <v>0</v>
      </c>
      <c r="V185" s="1" t="s">
        <v>46</v>
      </c>
      <c r="W185" s="1" t="s">
        <v>54</v>
      </c>
      <c r="X185" s="1">
        <v>2087051</v>
      </c>
      <c r="Y185" s="11">
        <v>41738</v>
      </c>
      <c r="Z185" s="11">
        <v>41740</v>
      </c>
      <c r="AA185" s="9">
        <f t="shared" si="11"/>
        <v>273552.49</v>
      </c>
      <c r="AB185" s="12">
        <v>59.45</v>
      </c>
      <c r="AC185" s="9">
        <f t="shared" si="12"/>
        <v>16426463.040000001</v>
      </c>
      <c r="AD185" s="9">
        <f t="shared" si="13"/>
        <v>16262695.5305</v>
      </c>
      <c r="AE185" s="1" t="s">
        <v>48</v>
      </c>
      <c r="AF185" s="1" t="s">
        <v>53</v>
      </c>
      <c r="AG185" s="4">
        <f t="shared" si="17"/>
        <v>276307.20000000001</v>
      </c>
      <c r="AH185" s="10">
        <v>276107.2</v>
      </c>
      <c r="AI185" s="10">
        <v>2400</v>
      </c>
      <c r="AJ185" s="10">
        <v>39.51</v>
      </c>
      <c r="AK185" s="10">
        <v>0</v>
      </c>
      <c r="AL185" s="9">
        <f t="shared" si="18"/>
        <v>273667.69</v>
      </c>
      <c r="AM185" s="1"/>
      <c r="AN185" s="1"/>
      <c r="AO185" s="12" t="e">
        <f>AB185/#REF!</f>
        <v>#REF!</v>
      </c>
      <c r="AP185" s="1" t="s">
        <v>1376</v>
      </c>
      <c r="AQ185" s="11">
        <v>41772</v>
      </c>
      <c r="AR185" s="1" t="s">
        <v>1377</v>
      </c>
      <c r="AS185" s="11">
        <v>41774</v>
      </c>
      <c r="AT185" s="1" t="s">
        <v>49</v>
      </c>
      <c r="AU185" s="1" t="s">
        <v>4171</v>
      </c>
    </row>
    <row r="186" spans="1:47" ht="15" customHeight="1" x14ac:dyDescent="0.25">
      <c r="A186" s="1">
        <v>185</v>
      </c>
      <c r="B186" s="1" t="s">
        <v>1258</v>
      </c>
      <c r="C186" s="1" t="s">
        <v>38</v>
      </c>
      <c r="D186" s="1">
        <v>9103550039</v>
      </c>
      <c r="E186" s="5">
        <v>41752</v>
      </c>
      <c r="F186" s="1" t="s">
        <v>141</v>
      </c>
      <c r="G186" s="1" t="s">
        <v>40</v>
      </c>
      <c r="H186" s="1" t="s">
        <v>41</v>
      </c>
      <c r="I186" s="1" t="s">
        <v>2809</v>
      </c>
      <c r="J186" s="1" t="s">
        <v>221</v>
      </c>
      <c r="K186" s="1">
        <v>38237090</v>
      </c>
      <c r="L186" s="6">
        <v>3</v>
      </c>
      <c r="M186" s="1" t="s">
        <v>70</v>
      </c>
      <c r="N186" s="7" t="s">
        <v>44</v>
      </c>
      <c r="O186" s="1" t="s">
        <v>53</v>
      </c>
      <c r="P186" s="8">
        <v>4700</v>
      </c>
      <c r="Q186" s="17">
        <f t="shared" si="16"/>
        <v>14100</v>
      </c>
      <c r="R186" s="9">
        <v>60</v>
      </c>
      <c r="S186" s="9">
        <v>2.79</v>
      </c>
      <c r="T186" s="9">
        <v>0</v>
      </c>
      <c r="U186" s="10">
        <v>0</v>
      </c>
      <c r="V186" s="1" t="s">
        <v>46</v>
      </c>
      <c r="W186" s="1" t="s">
        <v>205</v>
      </c>
      <c r="X186" s="1">
        <v>2068281</v>
      </c>
      <c r="Y186" s="11">
        <v>41737</v>
      </c>
      <c r="Z186" s="11">
        <v>41740</v>
      </c>
      <c r="AA186" s="9">
        <f t="shared" si="11"/>
        <v>14037.21</v>
      </c>
      <c r="AB186" s="12">
        <v>59.45</v>
      </c>
      <c r="AC186" s="9">
        <f t="shared" si="12"/>
        <v>838245</v>
      </c>
      <c r="AD186" s="9">
        <f t="shared" si="13"/>
        <v>834512.13450000004</v>
      </c>
      <c r="AE186" s="1" t="s">
        <v>48</v>
      </c>
      <c r="AF186" s="1" t="s">
        <v>53</v>
      </c>
      <c r="AG186" s="4">
        <f t="shared" si="17"/>
        <v>14100</v>
      </c>
      <c r="AH186" s="10">
        <v>14080</v>
      </c>
      <c r="AI186" s="10">
        <v>55</v>
      </c>
      <c r="AJ186" s="10">
        <v>2.79</v>
      </c>
      <c r="AK186" s="10"/>
      <c r="AL186" s="9">
        <f t="shared" si="18"/>
        <v>14022.21</v>
      </c>
      <c r="AM186" s="1"/>
      <c r="AN186" s="1"/>
      <c r="AO186" s="12" t="e">
        <f>AB186/#REF!</f>
        <v>#REF!</v>
      </c>
      <c r="AP186" s="1" t="s">
        <v>1378</v>
      </c>
      <c r="AQ186" s="11">
        <v>41771</v>
      </c>
      <c r="AR186" s="1" t="s">
        <v>1379</v>
      </c>
      <c r="AS186" s="11">
        <v>41772</v>
      </c>
      <c r="AT186" s="1" t="s">
        <v>49</v>
      </c>
      <c r="AU186" s="1" t="s">
        <v>4171</v>
      </c>
    </row>
    <row r="187" spans="1:47" ht="15" customHeight="1" x14ac:dyDescent="0.25">
      <c r="A187" s="1">
        <v>186</v>
      </c>
      <c r="B187" s="1" t="s">
        <v>1258</v>
      </c>
      <c r="C187" s="1" t="s">
        <v>38</v>
      </c>
      <c r="D187" s="1">
        <v>9103550040</v>
      </c>
      <c r="E187" s="5">
        <v>41751</v>
      </c>
      <c r="F187" s="1" t="s">
        <v>138</v>
      </c>
      <c r="G187" s="1" t="s">
        <v>40</v>
      </c>
      <c r="H187" s="1" t="s">
        <v>41</v>
      </c>
      <c r="I187" s="1" t="s">
        <v>2809</v>
      </c>
      <c r="J187" s="1" t="s">
        <v>2671</v>
      </c>
      <c r="K187" s="1">
        <v>38237090</v>
      </c>
      <c r="L187" s="6">
        <v>2</v>
      </c>
      <c r="M187" s="1" t="s">
        <v>70</v>
      </c>
      <c r="N187" s="7" t="s">
        <v>44</v>
      </c>
      <c r="O187" s="1" t="s">
        <v>53</v>
      </c>
      <c r="P187" s="8">
        <v>4600</v>
      </c>
      <c r="Q187" s="17">
        <f t="shared" si="16"/>
        <v>9200</v>
      </c>
      <c r="R187" s="9">
        <v>100</v>
      </c>
      <c r="S187" s="9">
        <v>1.82</v>
      </c>
      <c r="T187" s="9">
        <v>0</v>
      </c>
      <c r="U187" s="10">
        <v>0</v>
      </c>
      <c r="V187" s="1" t="s">
        <v>46</v>
      </c>
      <c r="W187" s="1" t="s">
        <v>236</v>
      </c>
      <c r="X187" s="1">
        <v>2055834</v>
      </c>
      <c r="Y187" s="11">
        <v>41732</v>
      </c>
      <c r="Z187" s="11">
        <v>41738</v>
      </c>
      <c r="AA187" s="9">
        <f t="shared" ref="AA187:AA250" si="19">Q187-R187-S187</f>
        <v>9098.18</v>
      </c>
      <c r="AB187" s="12">
        <v>59.45</v>
      </c>
      <c r="AC187" s="9">
        <f t="shared" ref="AC187:AC250" si="20">+Q187*AB187</f>
        <v>546940</v>
      </c>
      <c r="AD187" s="9">
        <f t="shared" ref="AD187:AD250" si="21">+AA187*AB187</f>
        <v>540886.80100000009</v>
      </c>
      <c r="AE187" s="1" t="s">
        <v>48</v>
      </c>
      <c r="AF187" s="1" t="s">
        <v>53</v>
      </c>
      <c r="AG187" s="4">
        <f t="shared" si="17"/>
        <v>9200</v>
      </c>
      <c r="AH187" s="10">
        <v>9165</v>
      </c>
      <c r="AI187" s="10">
        <v>23.95</v>
      </c>
      <c r="AJ187" s="10">
        <v>1.32</v>
      </c>
      <c r="AK187" s="10">
        <v>0</v>
      </c>
      <c r="AL187" s="9">
        <f t="shared" si="18"/>
        <v>9139.73</v>
      </c>
      <c r="AM187" s="1"/>
      <c r="AN187" s="1"/>
      <c r="AO187" s="12" t="e">
        <f>AB187/#REF!</f>
        <v>#REF!</v>
      </c>
      <c r="AP187" s="1" t="s">
        <v>1380</v>
      </c>
      <c r="AQ187" s="11">
        <v>41817</v>
      </c>
      <c r="AR187" s="1" t="s">
        <v>1381</v>
      </c>
      <c r="AS187" s="11">
        <v>41818</v>
      </c>
      <c r="AT187" s="1" t="s">
        <v>49</v>
      </c>
      <c r="AU187" s="1" t="s">
        <v>4171</v>
      </c>
    </row>
    <row r="188" spans="1:47" ht="15" customHeight="1" x14ac:dyDescent="0.25">
      <c r="A188" s="1">
        <v>187</v>
      </c>
      <c r="B188" s="1" t="s">
        <v>1258</v>
      </c>
      <c r="C188" s="1" t="s">
        <v>38</v>
      </c>
      <c r="D188" s="1" t="s">
        <v>1382</v>
      </c>
      <c r="E188" s="5">
        <v>41745</v>
      </c>
      <c r="F188" s="1" t="s">
        <v>155</v>
      </c>
      <c r="G188" s="1" t="s">
        <v>40</v>
      </c>
      <c r="H188" s="1" t="s">
        <v>41</v>
      </c>
      <c r="I188" s="1" t="s">
        <v>2809</v>
      </c>
      <c r="J188" s="1" t="s">
        <v>1383</v>
      </c>
      <c r="K188" s="1">
        <v>38231200</v>
      </c>
      <c r="L188" s="6">
        <v>19.47</v>
      </c>
      <c r="M188" s="1" t="s">
        <v>70</v>
      </c>
      <c r="N188" s="7" t="s">
        <v>52</v>
      </c>
      <c r="O188" s="1" t="s">
        <v>53</v>
      </c>
      <c r="P188" s="8">
        <v>1410</v>
      </c>
      <c r="Q188" s="17">
        <f t="shared" si="16"/>
        <v>27452.699999999997</v>
      </c>
      <c r="R188" s="9">
        <v>685</v>
      </c>
      <c r="S188" s="9">
        <v>0</v>
      </c>
      <c r="T188" s="9">
        <v>0</v>
      </c>
      <c r="U188" s="10">
        <v>0</v>
      </c>
      <c r="V188" s="1" t="s">
        <v>46</v>
      </c>
      <c r="W188" s="1" t="s">
        <v>81</v>
      </c>
      <c r="X188" s="1">
        <v>2090344</v>
      </c>
      <c r="Y188" s="11">
        <v>41738</v>
      </c>
      <c r="Z188" s="11">
        <v>41740</v>
      </c>
      <c r="AA188" s="9">
        <f t="shared" si="19"/>
        <v>26767.699999999997</v>
      </c>
      <c r="AB188" s="12">
        <v>59.45</v>
      </c>
      <c r="AC188" s="9">
        <f t="shared" si="20"/>
        <v>1632063.0149999999</v>
      </c>
      <c r="AD188" s="9">
        <f t="shared" si="21"/>
        <v>1591339.7649999999</v>
      </c>
      <c r="AE188" s="1" t="s">
        <v>48</v>
      </c>
      <c r="AF188" s="1" t="s">
        <v>53</v>
      </c>
      <c r="AG188" s="4">
        <f t="shared" si="17"/>
        <v>27452.699999999997</v>
      </c>
      <c r="AH188" s="10">
        <v>27452.7</v>
      </c>
      <c r="AI188" s="10">
        <v>274.14999999999998</v>
      </c>
      <c r="AJ188" s="10">
        <v>0</v>
      </c>
      <c r="AK188" s="10">
        <v>0</v>
      </c>
      <c r="AL188" s="9">
        <f t="shared" si="18"/>
        <v>27178.55</v>
      </c>
      <c r="AM188" s="1"/>
      <c r="AN188" s="1"/>
      <c r="AO188" s="12" t="e">
        <f>AB188/#REF!</f>
        <v>#REF!</v>
      </c>
      <c r="AP188" s="1" t="s">
        <v>1384</v>
      </c>
      <c r="AQ188" s="11">
        <v>41781</v>
      </c>
      <c r="AR188" s="1" t="s">
        <v>1385</v>
      </c>
      <c r="AS188" s="11">
        <v>41783</v>
      </c>
      <c r="AT188" s="1" t="s">
        <v>49</v>
      </c>
      <c r="AU188" s="1" t="s">
        <v>4171</v>
      </c>
    </row>
    <row r="189" spans="1:47" ht="15" customHeight="1" x14ac:dyDescent="0.25">
      <c r="A189" s="1">
        <v>188</v>
      </c>
      <c r="B189" s="1" t="s">
        <v>1258</v>
      </c>
      <c r="C189" s="1" t="s">
        <v>38</v>
      </c>
      <c r="D189" s="1" t="s">
        <v>1382</v>
      </c>
      <c r="E189" s="5">
        <v>41745</v>
      </c>
      <c r="F189" s="1" t="s">
        <v>156</v>
      </c>
      <c r="G189" s="1" t="s">
        <v>40</v>
      </c>
      <c r="H189" s="1" t="s">
        <v>41</v>
      </c>
      <c r="I189" s="1" t="s">
        <v>2809</v>
      </c>
      <c r="J189" s="1" t="s">
        <v>1383</v>
      </c>
      <c r="K189" s="1">
        <v>38231200</v>
      </c>
      <c r="L189" s="6">
        <v>39.119999999999997</v>
      </c>
      <c r="M189" s="1" t="s">
        <v>70</v>
      </c>
      <c r="N189" s="7" t="s">
        <v>52</v>
      </c>
      <c r="O189" s="1" t="s">
        <v>53</v>
      </c>
      <c r="P189" s="8">
        <v>1410</v>
      </c>
      <c r="Q189" s="17">
        <f t="shared" si="16"/>
        <v>55159.199999999997</v>
      </c>
      <c r="R189" s="9">
        <v>1370</v>
      </c>
      <c r="S189" s="9">
        <v>0</v>
      </c>
      <c r="T189" s="9">
        <v>0</v>
      </c>
      <c r="U189" s="10">
        <v>0</v>
      </c>
      <c r="V189" s="1" t="s">
        <v>46</v>
      </c>
      <c r="W189" s="1" t="s">
        <v>81</v>
      </c>
      <c r="X189" s="1">
        <v>2105315</v>
      </c>
      <c r="Y189" s="11">
        <v>41739</v>
      </c>
      <c r="Z189" s="11">
        <v>41740</v>
      </c>
      <c r="AA189" s="9">
        <f t="shared" si="19"/>
        <v>53789.2</v>
      </c>
      <c r="AB189" s="12">
        <v>59.45</v>
      </c>
      <c r="AC189" s="9">
        <f t="shared" si="20"/>
        <v>3279214.44</v>
      </c>
      <c r="AD189" s="9">
        <f t="shared" si="21"/>
        <v>3197767.94</v>
      </c>
      <c r="AE189" s="1" t="s">
        <v>48</v>
      </c>
      <c r="AF189" s="1" t="s">
        <v>53</v>
      </c>
      <c r="AG189" s="4">
        <f t="shared" si="17"/>
        <v>55159.199999999997</v>
      </c>
      <c r="AH189" s="10">
        <v>55159.199999999997</v>
      </c>
      <c r="AI189" s="10">
        <v>550.85</v>
      </c>
      <c r="AJ189" s="10">
        <v>0</v>
      </c>
      <c r="AK189" s="10">
        <v>0</v>
      </c>
      <c r="AL189" s="9">
        <f t="shared" si="18"/>
        <v>54608.35</v>
      </c>
      <c r="AM189" s="1"/>
      <c r="AN189" s="1"/>
      <c r="AO189" s="12" t="e">
        <f>AB189/#REF!</f>
        <v>#REF!</v>
      </c>
      <c r="AP189" s="1" t="s">
        <v>1384</v>
      </c>
      <c r="AQ189" s="11">
        <v>41781</v>
      </c>
      <c r="AR189" s="1" t="s">
        <v>1386</v>
      </c>
      <c r="AS189" s="11">
        <v>41783</v>
      </c>
      <c r="AT189" s="1" t="s">
        <v>49</v>
      </c>
      <c r="AU189" s="1" t="s">
        <v>4171</v>
      </c>
    </row>
    <row r="190" spans="1:47" ht="15" customHeight="1" x14ac:dyDescent="0.25">
      <c r="A190" s="1">
        <v>189</v>
      </c>
      <c r="B190" s="1" t="s">
        <v>1258</v>
      </c>
      <c r="C190" s="1" t="s">
        <v>38</v>
      </c>
      <c r="D190" s="1">
        <v>9103550043</v>
      </c>
      <c r="E190" s="5">
        <v>41744</v>
      </c>
      <c r="F190" s="1" t="s">
        <v>158</v>
      </c>
      <c r="G190" s="1" t="s">
        <v>40</v>
      </c>
      <c r="H190" s="1" t="s">
        <v>41</v>
      </c>
      <c r="I190" s="1" t="s">
        <v>2809</v>
      </c>
      <c r="J190" s="1" t="s">
        <v>55</v>
      </c>
      <c r="K190" s="1">
        <v>38237090</v>
      </c>
      <c r="L190" s="6">
        <v>36.28</v>
      </c>
      <c r="M190" s="1" t="s">
        <v>70</v>
      </c>
      <c r="N190" s="7" t="s">
        <v>44</v>
      </c>
      <c r="O190" s="1" t="s">
        <v>53</v>
      </c>
      <c r="P190" s="8">
        <v>1600</v>
      </c>
      <c r="Q190" s="17">
        <f t="shared" si="16"/>
        <v>58048</v>
      </c>
      <c r="R190" s="9">
        <v>6792</v>
      </c>
      <c r="S190" s="9">
        <v>11.49</v>
      </c>
      <c r="T190" s="9">
        <v>0</v>
      </c>
      <c r="U190" s="10">
        <v>0</v>
      </c>
      <c r="V190" s="1" t="s">
        <v>46</v>
      </c>
      <c r="W190" s="1" t="s">
        <v>56</v>
      </c>
      <c r="X190" s="1">
        <v>2105309</v>
      </c>
      <c r="Y190" s="11">
        <v>41739</v>
      </c>
      <c r="Z190" s="11">
        <v>41740</v>
      </c>
      <c r="AA190" s="9">
        <f t="shared" si="19"/>
        <v>51244.51</v>
      </c>
      <c r="AB190" s="12">
        <v>59.45</v>
      </c>
      <c r="AC190" s="9">
        <f t="shared" si="20"/>
        <v>3450953.6</v>
      </c>
      <c r="AD190" s="9">
        <f t="shared" si="21"/>
        <v>3046486.1195000005</v>
      </c>
      <c r="AE190" s="1" t="s">
        <v>48</v>
      </c>
      <c r="AF190" s="1" t="s">
        <v>53</v>
      </c>
      <c r="AG190" s="4">
        <f t="shared" si="17"/>
        <v>58048</v>
      </c>
      <c r="AH190" s="10">
        <v>58048</v>
      </c>
      <c r="AI190" s="10">
        <v>6792</v>
      </c>
      <c r="AJ190" s="10">
        <v>8.3000000000000007</v>
      </c>
      <c r="AK190" s="10">
        <v>0</v>
      </c>
      <c r="AL190" s="9">
        <f t="shared" si="18"/>
        <v>51247.7</v>
      </c>
      <c r="AM190" s="1"/>
      <c r="AN190" s="1"/>
      <c r="AO190" s="12" t="e">
        <f>AB190/#REF!</f>
        <v>#REF!</v>
      </c>
      <c r="AP190" s="1" t="s">
        <v>1387</v>
      </c>
      <c r="AQ190" s="11">
        <v>41789</v>
      </c>
      <c r="AR190" s="1" t="s">
        <v>1388</v>
      </c>
      <c r="AS190" s="11">
        <v>41790</v>
      </c>
      <c r="AT190" s="1" t="s">
        <v>49</v>
      </c>
      <c r="AU190" s="1" t="s">
        <v>4171</v>
      </c>
    </row>
    <row r="191" spans="1:47" ht="15" customHeight="1" x14ac:dyDescent="0.25">
      <c r="A191" s="1">
        <v>190</v>
      </c>
      <c r="B191" s="1" t="s">
        <v>1258</v>
      </c>
      <c r="C191" s="1" t="s">
        <v>38</v>
      </c>
      <c r="D191" s="1">
        <v>9103550044</v>
      </c>
      <c r="E191" s="5">
        <v>41749</v>
      </c>
      <c r="F191" s="1" t="s">
        <v>148</v>
      </c>
      <c r="G191" s="1" t="s">
        <v>40</v>
      </c>
      <c r="H191" s="1" t="s">
        <v>41</v>
      </c>
      <c r="I191" s="1" t="s">
        <v>2809</v>
      </c>
      <c r="J191" s="1" t="s">
        <v>86</v>
      </c>
      <c r="K191" s="1">
        <v>38231190</v>
      </c>
      <c r="L191" s="6">
        <v>1.25</v>
      </c>
      <c r="M191" s="1" t="s">
        <v>70</v>
      </c>
      <c r="N191" s="7" t="s">
        <v>67</v>
      </c>
      <c r="O191" s="1" t="s">
        <v>53</v>
      </c>
      <c r="P191" s="8">
        <v>1895</v>
      </c>
      <c r="Q191" s="17">
        <f t="shared" si="16"/>
        <v>2368.75</v>
      </c>
      <c r="R191" s="9">
        <v>0</v>
      </c>
      <c r="S191" s="9">
        <v>0</v>
      </c>
      <c r="T191" s="9">
        <v>0</v>
      </c>
      <c r="U191" s="10">
        <v>0</v>
      </c>
      <c r="V191" s="1" t="s">
        <v>46</v>
      </c>
      <c r="W191" s="1" t="s">
        <v>72</v>
      </c>
      <c r="X191" s="1">
        <v>2079737</v>
      </c>
      <c r="Y191" s="11">
        <v>41738</v>
      </c>
      <c r="Z191" s="11">
        <v>41740</v>
      </c>
      <c r="AA191" s="9">
        <f t="shared" si="19"/>
        <v>2368.75</v>
      </c>
      <c r="AB191" s="12">
        <v>59.45</v>
      </c>
      <c r="AC191" s="9">
        <f t="shared" si="20"/>
        <v>140822.1875</v>
      </c>
      <c r="AD191" s="9">
        <f t="shared" si="21"/>
        <v>140822.1875</v>
      </c>
      <c r="AE191" s="1" t="s">
        <v>48</v>
      </c>
      <c r="AF191" s="1" t="s">
        <v>53</v>
      </c>
      <c r="AG191" s="4">
        <f t="shared" si="17"/>
        <v>2368.75</v>
      </c>
      <c r="AH191" s="10">
        <v>2368.75</v>
      </c>
      <c r="AI191" s="10"/>
      <c r="AJ191" s="10"/>
      <c r="AK191" s="10"/>
      <c r="AL191" s="9">
        <f t="shared" si="18"/>
        <v>2368.75</v>
      </c>
      <c r="AM191" s="1"/>
      <c r="AN191" s="1"/>
      <c r="AO191" s="12" t="e">
        <f>AB191/#REF!</f>
        <v>#REF!</v>
      </c>
      <c r="AP191" s="1" t="s">
        <v>1389</v>
      </c>
      <c r="AQ191" s="11">
        <v>41774</v>
      </c>
      <c r="AR191" s="1" t="s">
        <v>1390</v>
      </c>
      <c r="AS191" s="11">
        <v>41775</v>
      </c>
      <c r="AT191" s="1" t="s">
        <v>49</v>
      </c>
      <c r="AU191" s="1" t="s">
        <v>4171</v>
      </c>
    </row>
    <row r="192" spans="1:47" ht="15" customHeight="1" x14ac:dyDescent="0.25">
      <c r="A192" s="1">
        <v>191</v>
      </c>
      <c r="B192" s="1" t="s">
        <v>1258</v>
      </c>
      <c r="C192" s="1" t="s">
        <v>38</v>
      </c>
      <c r="D192" s="1">
        <v>9103550045</v>
      </c>
      <c r="E192" s="5">
        <v>41747</v>
      </c>
      <c r="F192" s="1" t="s">
        <v>163</v>
      </c>
      <c r="G192" s="1" t="s">
        <v>40</v>
      </c>
      <c r="H192" s="1" t="s">
        <v>41</v>
      </c>
      <c r="I192" s="1" t="s">
        <v>2809</v>
      </c>
      <c r="J192" s="1" t="s">
        <v>169</v>
      </c>
      <c r="K192" s="1">
        <v>38231200</v>
      </c>
      <c r="L192" s="6">
        <v>99.33</v>
      </c>
      <c r="M192" s="1" t="s">
        <v>70</v>
      </c>
      <c r="N192" s="7" t="s">
        <v>67</v>
      </c>
      <c r="O192" s="1" t="s">
        <v>53</v>
      </c>
      <c r="P192" s="8">
        <v>1085</v>
      </c>
      <c r="Q192" s="17">
        <f t="shared" si="16"/>
        <v>107773.05</v>
      </c>
      <c r="R192" s="9">
        <v>0</v>
      </c>
      <c r="S192" s="9">
        <v>0</v>
      </c>
      <c r="T192" s="9">
        <v>0</v>
      </c>
      <c r="U192" s="10">
        <v>0</v>
      </c>
      <c r="V192" s="1" t="s">
        <v>46</v>
      </c>
      <c r="W192" s="1" t="s">
        <v>1323</v>
      </c>
      <c r="X192" s="1">
        <v>2130958</v>
      </c>
      <c r="Y192" s="11">
        <v>41740</v>
      </c>
      <c r="Z192" s="11">
        <v>41741</v>
      </c>
      <c r="AA192" s="9">
        <f t="shared" si="19"/>
        <v>107773.05</v>
      </c>
      <c r="AB192" s="12">
        <v>59.45</v>
      </c>
      <c r="AC192" s="9">
        <f t="shared" si="20"/>
        <v>6407107.8225000007</v>
      </c>
      <c r="AD192" s="9">
        <f t="shared" si="21"/>
        <v>6407107.8225000007</v>
      </c>
      <c r="AE192" s="1" t="s">
        <v>48</v>
      </c>
      <c r="AF192" s="1" t="s">
        <v>53</v>
      </c>
      <c r="AG192" s="4">
        <f t="shared" si="17"/>
        <v>107773.05</v>
      </c>
      <c r="AH192" s="10">
        <v>107736.05</v>
      </c>
      <c r="AI192" s="9">
        <v>0</v>
      </c>
      <c r="AJ192" s="9">
        <v>0</v>
      </c>
      <c r="AK192" s="9">
        <v>0</v>
      </c>
      <c r="AL192" s="9">
        <f t="shared" si="18"/>
        <v>107736.05</v>
      </c>
      <c r="AM192" s="1"/>
      <c r="AN192" s="1"/>
      <c r="AO192" s="12" t="e">
        <f>AB192/#REF!</f>
        <v>#REF!</v>
      </c>
      <c r="AP192" s="1" t="s">
        <v>1391</v>
      </c>
      <c r="AQ192" s="11">
        <v>38273</v>
      </c>
      <c r="AR192" s="1" t="s">
        <v>1392</v>
      </c>
      <c r="AS192" s="11">
        <v>41926</v>
      </c>
      <c r="AT192" s="1" t="s">
        <v>49</v>
      </c>
      <c r="AU192" s="1" t="s">
        <v>4171</v>
      </c>
    </row>
    <row r="193" spans="1:47" ht="15" customHeight="1" x14ac:dyDescent="0.25">
      <c r="A193" s="1">
        <v>192</v>
      </c>
      <c r="B193" s="1" t="s">
        <v>1258</v>
      </c>
      <c r="C193" s="1" t="s">
        <v>38</v>
      </c>
      <c r="D193" s="1" t="s">
        <v>1393</v>
      </c>
      <c r="E193" s="5">
        <v>41743</v>
      </c>
      <c r="F193" s="1" t="s">
        <v>160</v>
      </c>
      <c r="G193" s="1" t="s">
        <v>40</v>
      </c>
      <c r="H193" s="1" t="s">
        <v>41</v>
      </c>
      <c r="I193" s="1" t="s">
        <v>2809</v>
      </c>
      <c r="J193" s="1" t="s">
        <v>2716</v>
      </c>
      <c r="K193" s="1">
        <v>38231900</v>
      </c>
      <c r="L193" s="6">
        <v>20</v>
      </c>
      <c r="M193" s="1" t="s">
        <v>70</v>
      </c>
      <c r="N193" s="7" t="s">
        <v>67</v>
      </c>
      <c r="O193" s="1" t="s">
        <v>45</v>
      </c>
      <c r="P193" s="8">
        <v>2630</v>
      </c>
      <c r="Q193" s="17">
        <f t="shared" si="16"/>
        <v>52600</v>
      </c>
      <c r="R193" s="9">
        <v>0</v>
      </c>
      <c r="S193" s="9">
        <v>0</v>
      </c>
      <c r="T193" s="9">
        <v>0</v>
      </c>
      <c r="U193" s="10">
        <v>0</v>
      </c>
      <c r="V193" s="1" t="s">
        <v>46</v>
      </c>
      <c r="W193" s="1" t="s">
        <v>47</v>
      </c>
      <c r="X193" s="1">
        <v>2107724</v>
      </c>
      <c r="Y193" s="11">
        <v>41739</v>
      </c>
      <c r="Z193" s="11">
        <v>41740</v>
      </c>
      <c r="AA193" s="9">
        <f t="shared" si="19"/>
        <v>52600</v>
      </c>
      <c r="AB193" s="12">
        <v>81.45</v>
      </c>
      <c r="AC193" s="9">
        <f t="shared" si="20"/>
        <v>4284270</v>
      </c>
      <c r="AD193" s="9">
        <f t="shared" si="21"/>
        <v>4284270</v>
      </c>
      <c r="AE193" s="1" t="s">
        <v>48</v>
      </c>
      <c r="AF193" s="1" t="s">
        <v>45</v>
      </c>
      <c r="AG193" s="4">
        <f t="shared" si="17"/>
        <v>52600</v>
      </c>
      <c r="AH193" s="10">
        <v>52600</v>
      </c>
      <c r="AI193" s="9">
        <v>0</v>
      </c>
      <c r="AJ193" s="9">
        <v>0</v>
      </c>
      <c r="AK193" s="9">
        <v>0</v>
      </c>
      <c r="AL193" s="9">
        <f t="shared" si="18"/>
        <v>52600</v>
      </c>
      <c r="AM193" s="1"/>
      <c r="AN193" s="1"/>
      <c r="AO193" s="12" t="e">
        <f>AB193/#REF!</f>
        <v>#REF!</v>
      </c>
      <c r="AP193" s="1" t="s">
        <v>1394</v>
      </c>
      <c r="AQ193" s="11">
        <v>41789</v>
      </c>
      <c r="AR193" s="1" t="s">
        <v>1395</v>
      </c>
      <c r="AS193" s="11">
        <v>41790</v>
      </c>
      <c r="AT193" s="1" t="s">
        <v>49</v>
      </c>
      <c r="AU193" s="1" t="s">
        <v>4171</v>
      </c>
    </row>
    <row r="194" spans="1:47" ht="15" customHeight="1" x14ac:dyDescent="0.25">
      <c r="A194" s="1">
        <v>193</v>
      </c>
      <c r="B194" s="1" t="s">
        <v>1258</v>
      </c>
      <c r="C194" s="1" t="s">
        <v>38</v>
      </c>
      <c r="D194" s="1" t="s">
        <v>1393</v>
      </c>
      <c r="E194" s="5">
        <v>41743</v>
      </c>
      <c r="F194" s="1" t="s">
        <v>159</v>
      </c>
      <c r="G194" s="1" t="s">
        <v>40</v>
      </c>
      <c r="H194" s="1" t="s">
        <v>41</v>
      </c>
      <c r="I194" s="1" t="s">
        <v>2809</v>
      </c>
      <c r="J194" s="1" t="s">
        <v>2716</v>
      </c>
      <c r="K194" s="1">
        <v>38231900</v>
      </c>
      <c r="L194" s="6">
        <v>20.03</v>
      </c>
      <c r="M194" s="1" t="s">
        <v>70</v>
      </c>
      <c r="N194" s="7" t="s">
        <v>67</v>
      </c>
      <c r="O194" s="1" t="s">
        <v>45</v>
      </c>
      <c r="P194" s="8">
        <v>2630</v>
      </c>
      <c r="Q194" s="17">
        <f t="shared" si="16"/>
        <v>52678.9</v>
      </c>
      <c r="R194" s="9">
        <v>0</v>
      </c>
      <c r="S194" s="9">
        <v>0</v>
      </c>
      <c r="T194" s="9">
        <v>0</v>
      </c>
      <c r="U194" s="10">
        <v>0</v>
      </c>
      <c r="V194" s="1" t="s">
        <v>46</v>
      </c>
      <c r="W194" s="1" t="s">
        <v>47</v>
      </c>
      <c r="X194" s="1">
        <v>2130605</v>
      </c>
      <c r="Y194" s="11">
        <v>41740</v>
      </c>
      <c r="Z194" s="11">
        <v>41741</v>
      </c>
      <c r="AA194" s="9">
        <f t="shared" si="19"/>
        <v>52678.9</v>
      </c>
      <c r="AB194" s="12">
        <v>81.45</v>
      </c>
      <c r="AC194" s="9">
        <f t="shared" si="20"/>
        <v>4290696.4050000003</v>
      </c>
      <c r="AD194" s="9">
        <f t="shared" si="21"/>
        <v>4290696.4050000003</v>
      </c>
      <c r="AE194" s="1" t="s">
        <v>48</v>
      </c>
      <c r="AF194" s="1" t="s">
        <v>45</v>
      </c>
      <c r="AG194" s="4">
        <f t="shared" ref="AG194:AG257" si="22">Q194</f>
        <v>52678.9</v>
      </c>
      <c r="AH194" s="10">
        <v>52678.9</v>
      </c>
      <c r="AI194" s="9">
        <v>0</v>
      </c>
      <c r="AJ194" s="9">
        <v>0</v>
      </c>
      <c r="AK194" s="9">
        <v>0</v>
      </c>
      <c r="AL194" s="9">
        <f t="shared" ref="AL194:AL257" si="23">AH194-(AI194+AJ194+AK194)</f>
        <v>52678.9</v>
      </c>
      <c r="AM194" s="1"/>
      <c r="AN194" s="1"/>
      <c r="AO194" s="12" t="e">
        <f>AB194/#REF!</f>
        <v>#REF!</v>
      </c>
      <c r="AP194" s="1" t="s">
        <v>1394</v>
      </c>
      <c r="AQ194" s="11">
        <v>41789</v>
      </c>
      <c r="AR194" s="1" t="s">
        <v>1396</v>
      </c>
      <c r="AS194" s="11">
        <v>41790</v>
      </c>
      <c r="AT194" s="1" t="s">
        <v>49</v>
      </c>
      <c r="AU194" s="1" t="s">
        <v>4171</v>
      </c>
    </row>
    <row r="195" spans="1:47" ht="15" customHeight="1" x14ac:dyDescent="0.25">
      <c r="A195" s="1">
        <v>194</v>
      </c>
      <c r="B195" s="1" t="s">
        <v>1258</v>
      </c>
      <c r="C195" s="1" t="s">
        <v>38</v>
      </c>
      <c r="D195" s="1" t="s">
        <v>1397</v>
      </c>
      <c r="E195" s="5">
        <v>41747</v>
      </c>
      <c r="F195" s="1" t="s">
        <v>167</v>
      </c>
      <c r="G195" s="1" t="s">
        <v>40</v>
      </c>
      <c r="H195" s="1" t="s">
        <v>41</v>
      </c>
      <c r="I195" s="1" t="s">
        <v>2809</v>
      </c>
      <c r="J195" s="1" t="s">
        <v>63</v>
      </c>
      <c r="K195" s="1">
        <v>38231200</v>
      </c>
      <c r="L195" s="6">
        <v>39.74</v>
      </c>
      <c r="M195" s="1" t="s">
        <v>70</v>
      </c>
      <c r="N195" s="7" t="s">
        <v>52</v>
      </c>
      <c r="O195" s="1" t="s">
        <v>53</v>
      </c>
      <c r="P195" s="8">
        <v>1328</v>
      </c>
      <c r="Q195" s="17">
        <f t="shared" si="16"/>
        <v>52774.720000000001</v>
      </c>
      <c r="R195" s="9">
        <v>1120</v>
      </c>
      <c r="S195" s="9">
        <v>0</v>
      </c>
      <c r="T195" s="9">
        <v>0</v>
      </c>
      <c r="U195" s="10">
        <v>0</v>
      </c>
      <c r="V195" s="1" t="s">
        <v>46</v>
      </c>
      <c r="W195" s="1" t="s">
        <v>64</v>
      </c>
      <c r="X195" s="1">
        <v>2142922</v>
      </c>
      <c r="Y195" s="11">
        <v>41741</v>
      </c>
      <c r="Z195" s="11">
        <v>41742</v>
      </c>
      <c r="AA195" s="9">
        <f t="shared" si="19"/>
        <v>51654.720000000001</v>
      </c>
      <c r="AB195" s="12">
        <v>59.45</v>
      </c>
      <c r="AC195" s="9">
        <f t="shared" si="20"/>
        <v>3137457.1040000003</v>
      </c>
      <c r="AD195" s="9">
        <f t="shared" si="21"/>
        <v>3070873.1040000003</v>
      </c>
      <c r="AE195" s="1" t="s">
        <v>51</v>
      </c>
      <c r="AF195" s="1" t="s">
        <v>53</v>
      </c>
      <c r="AG195" s="4">
        <f t="shared" si="22"/>
        <v>52774.720000000001</v>
      </c>
      <c r="AH195" s="10">
        <v>52774</v>
      </c>
      <c r="AI195" s="10">
        <v>1120</v>
      </c>
      <c r="AJ195" s="10">
        <v>0</v>
      </c>
      <c r="AK195" s="10">
        <v>0</v>
      </c>
      <c r="AL195" s="9">
        <f t="shared" si="23"/>
        <v>51654</v>
      </c>
      <c r="AM195" s="1"/>
      <c r="AN195" s="1"/>
      <c r="AO195" s="12" t="e">
        <f>AB195/#REF!</f>
        <v>#REF!</v>
      </c>
      <c r="AP195" s="1" t="s">
        <v>1398</v>
      </c>
      <c r="AQ195" s="11">
        <v>41779</v>
      </c>
      <c r="AR195" s="1" t="s">
        <v>1399</v>
      </c>
      <c r="AS195" s="11">
        <v>41841</v>
      </c>
      <c r="AT195" s="1" t="s">
        <v>49</v>
      </c>
      <c r="AU195" s="1" t="s">
        <v>4171</v>
      </c>
    </row>
    <row r="196" spans="1:47" ht="15" customHeight="1" x14ac:dyDescent="0.25">
      <c r="A196" s="1">
        <v>195</v>
      </c>
      <c r="B196" s="1" t="s">
        <v>1258</v>
      </c>
      <c r="C196" s="1" t="s">
        <v>38</v>
      </c>
      <c r="D196" s="1" t="s">
        <v>1397</v>
      </c>
      <c r="E196" s="5">
        <v>41747</v>
      </c>
      <c r="F196" s="1" t="s">
        <v>177</v>
      </c>
      <c r="G196" s="1" t="s">
        <v>40</v>
      </c>
      <c r="H196" s="1" t="s">
        <v>41</v>
      </c>
      <c r="I196" s="1" t="s">
        <v>2809</v>
      </c>
      <c r="J196" s="1" t="s">
        <v>63</v>
      </c>
      <c r="K196" s="1">
        <v>38231200</v>
      </c>
      <c r="L196" s="6">
        <v>19.84</v>
      </c>
      <c r="M196" s="1" t="s">
        <v>70</v>
      </c>
      <c r="N196" s="7" t="s">
        <v>52</v>
      </c>
      <c r="O196" s="1" t="s">
        <v>53</v>
      </c>
      <c r="P196" s="8">
        <v>1328</v>
      </c>
      <c r="Q196" s="17">
        <f t="shared" si="16"/>
        <v>26347.52</v>
      </c>
      <c r="R196" s="9">
        <v>560</v>
      </c>
      <c r="S196" s="9">
        <v>0</v>
      </c>
      <c r="T196" s="9">
        <v>0</v>
      </c>
      <c r="U196" s="10">
        <v>0</v>
      </c>
      <c r="V196" s="1" t="s">
        <v>46</v>
      </c>
      <c r="W196" s="1" t="s">
        <v>64</v>
      </c>
      <c r="X196" s="1">
        <v>2155798</v>
      </c>
      <c r="Y196" s="11">
        <v>41743</v>
      </c>
      <c r="Z196" s="11">
        <v>41744</v>
      </c>
      <c r="AA196" s="9">
        <f t="shared" si="19"/>
        <v>25787.52</v>
      </c>
      <c r="AB196" s="12">
        <v>59.45</v>
      </c>
      <c r="AC196" s="9">
        <f t="shared" si="20"/>
        <v>1566360.064</v>
      </c>
      <c r="AD196" s="9">
        <f t="shared" si="21"/>
        <v>1533068.064</v>
      </c>
      <c r="AE196" s="1" t="s">
        <v>51</v>
      </c>
      <c r="AF196" s="1" t="s">
        <v>53</v>
      </c>
      <c r="AG196" s="4">
        <f t="shared" si="22"/>
        <v>26347.52</v>
      </c>
      <c r="AH196" s="10">
        <v>26347</v>
      </c>
      <c r="AI196" s="10">
        <v>560</v>
      </c>
      <c r="AJ196" s="10">
        <v>0</v>
      </c>
      <c r="AK196" s="10">
        <v>0</v>
      </c>
      <c r="AL196" s="9">
        <f t="shared" si="23"/>
        <v>25787</v>
      </c>
      <c r="AM196" s="1"/>
      <c r="AN196" s="1"/>
      <c r="AO196" s="12" t="e">
        <f>AB196/#REF!</f>
        <v>#REF!</v>
      </c>
      <c r="AP196" s="1" t="s">
        <v>1398</v>
      </c>
      <c r="AQ196" s="11">
        <v>41779</v>
      </c>
      <c r="AR196" s="1" t="s">
        <v>1400</v>
      </c>
      <c r="AS196" s="11">
        <v>41841</v>
      </c>
      <c r="AT196" s="1" t="s">
        <v>49</v>
      </c>
      <c r="AU196" s="1" t="s">
        <v>4171</v>
      </c>
    </row>
    <row r="197" spans="1:47" ht="15" customHeight="1" x14ac:dyDescent="0.25">
      <c r="A197" s="1">
        <v>196</v>
      </c>
      <c r="B197" s="1" t="s">
        <v>1258</v>
      </c>
      <c r="C197" s="1" t="s">
        <v>38</v>
      </c>
      <c r="D197" s="1">
        <v>9103550050</v>
      </c>
      <c r="E197" s="5">
        <v>41748</v>
      </c>
      <c r="F197" s="1" t="s">
        <v>164</v>
      </c>
      <c r="G197" s="1" t="s">
        <v>40</v>
      </c>
      <c r="H197" s="1" t="s">
        <v>41</v>
      </c>
      <c r="I197" s="1" t="s">
        <v>2809</v>
      </c>
      <c r="J197" s="1" t="s">
        <v>55</v>
      </c>
      <c r="K197" s="1">
        <v>29051700</v>
      </c>
      <c r="L197" s="6">
        <v>18.145</v>
      </c>
      <c r="M197" s="1" t="s">
        <v>70</v>
      </c>
      <c r="N197" s="7" t="s">
        <v>44</v>
      </c>
      <c r="O197" s="1" t="s">
        <v>53</v>
      </c>
      <c r="P197" s="8">
        <v>1975</v>
      </c>
      <c r="Q197" s="17">
        <f t="shared" si="16"/>
        <v>35836.375</v>
      </c>
      <c r="R197" s="9">
        <v>2700</v>
      </c>
      <c r="S197" s="9">
        <v>7.1</v>
      </c>
      <c r="T197" s="9">
        <v>0</v>
      </c>
      <c r="U197" s="10">
        <v>0</v>
      </c>
      <c r="V197" s="1" t="s">
        <v>46</v>
      </c>
      <c r="W197" s="1" t="s">
        <v>56</v>
      </c>
      <c r="X197" s="1">
        <v>2141695</v>
      </c>
      <c r="Y197" s="11">
        <v>41741</v>
      </c>
      <c r="Z197" s="11">
        <v>41744</v>
      </c>
      <c r="AA197" s="9">
        <f t="shared" si="19"/>
        <v>33129.275000000001</v>
      </c>
      <c r="AB197" s="12">
        <v>59.45</v>
      </c>
      <c r="AC197" s="9">
        <f t="shared" si="20"/>
        <v>2130472.4937499999</v>
      </c>
      <c r="AD197" s="9">
        <f t="shared" si="21"/>
        <v>1969535.3987500002</v>
      </c>
      <c r="AE197" s="1" t="s">
        <v>48</v>
      </c>
      <c r="AF197" s="1" t="s">
        <v>53</v>
      </c>
      <c r="AG197" s="4">
        <f t="shared" si="22"/>
        <v>35836.375</v>
      </c>
      <c r="AH197" s="10">
        <v>35836.379999999997</v>
      </c>
      <c r="AI197" s="10">
        <v>2196</v>
      </c>
      <c r="AJ197" s="10">
        <v>5.12</v>
      </c>
      <c r="AK197" s="10">
        <v>0</v>
      </c>
      <c r="AL197" s="9">
        <f t="shared" si="23"/>
        <v>33635.259999999995</v>
      </c>
      <c r="AM197" s="1"/>
      <c r="AN197" s="1"/>
      <c r="AO197" s="12" t="e">
        <f>AB197/#REF!</f>
        <v>#REF!</v>
      </c>
      <c r="AP197" s="1" t="s">
        <v>1401</v>
      </c>
      <c r="AQ197" s="11">
        <v>41789</v>
      </c>
      <c r="AR197" s="1" t="s">
        <v>1402</v>
      </c>
      <c r="AS197" s="11">
        <v>41790</v>
      </c>
      <c r="AT197" s="1" t="s">
        <v>49</v>
      </c>
      <c r="AU197" s="1" t="s">
        <v>4171</v>
      </c>
    </row>
    <row r="198" spans="1:47" ht="15" customHeight="1" x14ac:dyDescent="0.25">
      <c r="A198" s="1">
        <v>197</v>
      </c>
      <c r="B198" s="1" t="s">
        <v>1258</v>
      </c>
      <c r="C198" s="1" t="s">
        <v>38</v>
      </c>
      <c r="D198" s="1">
        <v>9103550051</v>
      </c>
      <c r="E198" s="5">
        <v>41748</v>
      </c>
      <c r="F198" s="1" t="s">
        <v>171</v>
      </c>
      <c r="G198" s="1" t="s">
        <v>40</v>
      </c>
      <c r="H198" s="1" t="s">
        <v>41</v>
      </c>
      <c r="I198" s="1" t="s">
        <v>2809</v>
      </c>
      <c r="J198" s="1" t="s">
        <v>55</v>
      </c>
      <c r="K198" s="1">
        <v>38237090</v>
      </c>
      <c r="L198" s="6">
        <v>18.145</v>
      </c>
      <c r="M198" s="1" t="s">
        <v>70</v>
      </c>
      <c r="N198" s="7" t="s">
        <v>44</v>
      </c>
      <c r="O198" s="1" t="s">
        <v>53</v>
      </c>
      <c r="P198" s="8">
        <v>1600</v>
      </c>
      <c r="Q198" s="17">
        <f t="shared" si="16"/>
        <v>29032</v>
      </c>
      <c r="R198" s="9">
        <v>3100</v>
      </c>
      <c r="S198" s="9">
        <v>5.75</v>
      </c>
      <c r="T198" s="9">
        <v>0</v>
      </c>
      <c r="U198" s="10">
        <v>0</v>
      </c>
      <c r="V198" s="1" t="s">
        <v>46</v>
      </c>
      <c r="W198" s="1" t="s">
        <v>56</v>
      </c>
      <c r="X198" s="1">
        <v>2142924</v>
      </c>
      <c r="Y198" s="11">
        <v>41741</v>
      </c>
      <c r="Z198" s="11">
        <v>41742</v>
      </c>
      <c r="AA198" s="9">
        <f t="shared" si="19"/>
        <v>25926.25</v>
      </c>
      <c r="AB198" s="12">
        <v>59.45</v>
      </c>
      <c r="AC198" s="9">
        <f t="shared" si="20"/>
        <v>1725952.4000000001</v>
      </c>
      <c r="AD198" s="9">
        <f t="shared" si="21"/>
        <v>1541315.5625</v>
      </c>
      <c r="AE198" s="1" t="s">
        <v>48</v>
      </c>
      <c r="AF198" s="1" t="s">
        <v>53</v>
      </c>
      <c r="AG198" s="4">
        <f t="shared" si="22"/>
        <v>29032</v>
      </c>
      <c r="AH198" s="10">
        <v>29032</v>
      </c>
      <c r="AI198" s="10">
        <v>3050</v>
      </c>
      <c r="AJ198" s="10">
        <v>4.1500000000000004</v>
      </c>
      <c r="AK198" s="10">
        <v>0</v>
      </c>
      <c r="AL198" s="9">
        <f t="shared" si="23"/>
        <v>25977.85</v>
      </c>
      <c r="AM198" s="1"/>
      <c r="AN198" s="1"/>
      <c r="AO198" s="12" t="e">
        <f>AB198/#REF!</f>
        <v>#REF!</v>
      </c>
      <c r="AP198" s="1" t="s">
        <v>1403</v>
      </c>
      <c r="AQ198" s="11">
        <v>41789</v>
      </c>
      <c r="AR198" s="1" t="s">
        <v>1404</v>
      </c>
      <c r="AS198" s="11">
        <v>41790</v>
      </c>
      <c r="AT198" s="1" t="s">
        <v>49</v>
      </c>
      <c r="AU198" s="1" t="s">
        <v>4171</v>
      </c>
    </row>
    <row r="199" spans="1:47" ht="15" customHeight="1" x14ac:dyDescent="0.25">
      <c r="A199" s="1">
        <v>198</v>
      </c>
      <c r="B199" s="1" t="s">
        <v>1258</v>
      </c>
      <c r="C199" s="1" t="s">
        <v>38</v>
      </c>
      <c r="D199" s="1">
        <v>9103550052</v>
      </c>
      <c r="E199" s="5">
        <v>41748</v>
      </c>
      <c r="F199" s="1" t="s">
        <v>165</v>
      </c>
      <c r="G199" s="1" t="s">
        <v>40</v>
      </c>
      <c r="H199" s="1" t="s">
        <v>41</v>
      </c>
      <c r="I199" s="1" t="s">
        <v>2809</v>
      </c>
      <c r="J199" s="1" t="s">
        <v>55</v>
      </c>
      <c r="K199" s="1">
        <v>29051700</v>
      </c>
      <c r="L199" s="6">
        <v>72.56</v>
      </c>
      <c r="M199" s="1" t="s">
        <v>70</v>
      </c>
      <c r="N199" s="7" t="s">
        <v>44</v>
      </c>
      <c r="O199" s="1" t="s">
        <v>53</v>
      </c>
      <c r="P199" s="8">
        <v>1975</v>
      </c>
      <c r="Q199" s="17">
        <f t="shared" si="16"/>
        <v>143306</v>
      </c>
      <c r="R199" s="9">
        <v>12000</v>
      </c>
      <c r="S199" s="9">
        <v>28.37</v>
      </c>
      <c r="T199" s="9">
        <v>0</v>
      </c>
      <c r="U199" s="10">
        <v>0</v>
      </c>
      <c r="V199" s="1" t="s">
        <v>46</v>
      </c>
      <c r="W199" s="1" t="s">
        <v>56</v>
      </c>
      <c r="X199" s="1">
        <v>2141696</v>
      </c>
      <c r="Y199" s="11">
        <v>41741</v>
      </c>
      <c r="Z199" s="11">
        <v>41742</v>
      </c>
      <c r="AA199" s="9">
        <f t="shared" si="19"/>
        <v>131277.63</v>
      </c>
      <c r="AB199" s="12">
        <v>59.45</v>
      </c>
      <c r="AC199" s="9">
        <f t="shared" si="20"/>
        <v>8519541.7000000011</v>
      </c>
      <c r="AD199" s="9">
        <f t="shared" si="21"/>
        <v>7804455.1035000002</v>
      </c>
      <c r="AE199" s="1" t="s">
        <v>48</v>
      </c>
      <c r="AF199" s="1" t="s">
        <v>53</v>
      </c>
      <c r="AG199" s="4">
        <f t="shared" si="22"/>
        <v>143306</v>
      </c>
      <c r="AH199" s="10">
        <v>143306</v>
      </c>
      <c r="AI199" s="10">
        <v>11800</v>
      </c>
      <c r="AJ199" s="10">
        <v>20.49</v>
      </c>
      <c r="AK199" s="10">
        <v>0</v>
      </c>
      <c r="AL199" s="9">
        <f t="shared" si="23"/>
        <v>131485.51</v>
      </c>
      <c r="AM199" s="1"/>
      <c r="AN199" s="1"/>
      <c r="AO199" s="12" t="e">
        <f>AB199/#REF!</f>
        <v>#REF!</v>
      </c>
      <c r="AP199" s="1" t="s">
        <v>1405</v>
      </c>
      <c r="AQ199" s="11">
        <v>41789</v>
      </c>
      <c r="AR199" s="1" t="s">
        <v>1406</v>
      </c>
      <c r="AS199" s="11">
        <v>41790</v>
      </c>
      <c r="AT199" s="1" t="s">
        <v>49</v>
      </c>
      <c r="AU199" s="1" t="s">
        <v>4171</v>
      </c>
    </row>
    <row r="200" spans="1:47" ht="15" customHeight="1" x14ac:dyDescent="0.25">
      <c r="A200" s="1">
        <v>199</v>
      </c>
      <c r="B200" s="1" t="s">
        <v>1258</v>
      </c>
      <c r="C200" s="1" t="s">
        <v>38</v>
      </c>
      <c r="D200" s="1">
        <v>9103550053</v>
      </c>
      <c r="E200" s="5">
        <v>41746</v>
      </c>
      <c r="F200" s="1" t="s">
        <v>173</v>
      </c>
      <c r="G200" s="1" t="s">
        <v>40</v>
      </c>
      <c r="H200" s="1" t="s">
        <v>41</v>
      </c>
      <c r="I200" s="1" t="s">
        <v>2809</v>
      </c>
      <c r="J200" s="1" t="s">
        <v>187</v>
      </c>
      <c r="K200" s="1">
        <v>29051700</v>
      </c>
      <c r="L200" s="6">
        <v>18.14</v>
      </c>
      <c r="M200" s="1" t="s">
        <v>70</v>
      </c>
      <c r="N200" s="7" t="s">
        <v>44</v>
      </c>
      <c r="O200" s="1" t="s">
        <v>53</v>
      </c>
      <c r="P200" s="8">
        <v>1975</v>
      </c>
      <c r="Q200" s="17">
        <f t="shared" si="16"/>
        <v>35826.5</v>
      </c>
      <c r="R200" s="9">
        <v>3200</v>
      </c>
      <c r="S200" s="9">
        <v>7.09</v>
      </c>
      <c r="T200" s="9">
        <v>0</v>
      </c>
      <c r="U200" s="10">
        <v>0</v>
      </c>
      <c r="V200" s="1" t="s">
        <v>46</v>
      </c>
      <c r="W200" s="1" t="s">
        <v>56</v>
      </c>
      <c r="X200" s="1">
        <v>2155901</v>
      </c>
      <c r="Y200" s="11">
        <v>41743</v>
      </c>
      <c r="Z200" s="11">
        <v>41744</v>
      </c>
      <c r="AA200" s="9">
        <f t="shared" si="19"/>
        <v>32619.41</v>
      </c>
      <c r="AB200" s="12">
        <v>59.45</v>
      </c>
      <c r="AC200" s="9">
        <f t="shared" si="20"/>
        <v>2129885.4250000003</v>
      </c>
      <c r="AD200" s="9">
        <f t="shared" si="21"/>
        <v>1939223.9245000002</v>
      </c>
      <c r="AE200" s="1" t="s">
        <v>48</v>
      </c>
      <c r="AF200" s="1" t="s">
        <v>53</v>
      </c>
      <c r="AG200" s="4">
        <f t="shared" si="22"/>
        <v>35826.5</v>
      </c>
      <c r="AH200" s="10">
        <v>35826.5</v>
      </c>
      <c r="AI200" s="10">
        <v>3200</v>
      </c>
      <c r="AJ200" s="10">
        <v>5.12</v>
      </c>
      <c r="AK200" s="10">
        <v>0</v>
      </c>
      <c r="AL200" s="9">
        <f t="shared" si="23"/>
        <v>32621.38</v>
      </c>
      <c r="AM200" s="1"/>
      <c r="AN200" s="1"/>
      <c r="AO200" s="12" t="e">
        <f>AB200/#REF!</f>
        <v>#REF!</v>
      </c>
      <c r="AP200" s="1" t="s">
        <v>1407</v>
      </c>
      <c r="AQ200" s="11">
        <v>41810</v>
      </c>
      <c r="AR200" s="1" t="s">
        <v>1408</v>
      </c>
      <c r="AS200" s="11">
        <v>41811</v>
      </c>
      <c r="AT200" s="1" t="s">
        <v>49</v>
      </c>
      <c r="AU200" s="1" t="s">
        <v>4171</v>
      </c>
    </row>
    <row r="201" spans="1:47" ht="15" customHeight="1" x14ac:dyDescent="0.25">
      <c r="A201" s="1">
        <v>200</v>
      </c>
      <c r="B201" s="1" t="s">
        <v>1258</v>
      </c>
      <c r="C201" s="1" t="s">
        <v>38</v>
      </c>
      <c r="D201" s="1" t="s">
        <v>1409</v>
      </c>
      <c r="E201" s="5">
        <v>41747</v>
      </c>
      <c r="F201" s="1" t="s">
        <v>177</v>
      </c>
      <c r="G201" s="1" t="s">
        <v>40</v>
      </c>
      <c r="H201" s="1" t="s">
        <v>41</v>
      </c>
      <c r="I201" s="1" t="s">
        <v>2809</v>
      </c>
      <c r="J201" s="1" t="s">
        <v>2641</v>
      </c>
      <c r="K201" s="1">
        <v>38237090</v>
      </c>
      <c r="L201" s="6">
        <v>56.19</v>
      </c>
      <c r="M201" s="1" t="s">
        <v>70</v>
      </c>
      <c r="N201" s="7" t="s">
        <v>44</v>
      </c>
      <c r="O201" s="1" t="s">
        <v>53</v>
      </c>
      <c r="P201" s="8">
        <v>1360</v>
      </c>
      <c r="Q201" s="17">
        <f t="shared" si="16"/>
        <v>76418.399999999994</v>
      </c>
      <c r="R201" s="9">
        <v>3150</v>
      </c>
      <c r="S201" s="9">
        <v>15.13</v>
      </c>
      <c r="T201" s="9">
        <v>0</v>
      </c>
      <c r="U201" s="10">
        <v>0</v>
      </c>
      <c r="V201" s="1" t="s">
        <v>46</v>
      </c>
      <c r="W201" s="1" t="s">
        <v>54</v>
      </c>
      <c r="X201" s="1">
        <v>2143159</v>
      </c>
      <c r="Y201" s="11">
        <v>41741</v>
      </c>
      <c r="Z201" s="11">
        <v>41742</v>
      </c>
      <c r="AA201" s="9">
        <f t="shared" si="19"/>
        <v>73253.26999999999</v>
      </c>
      <c r="AB201" s="12">
        <v>59.45</v>
      </c>
      <c r="AC201" s="9">
        <f t="shared" si="20"/>
        <v>4543073.88</v>
      </c>
      <c r="AD201" s="9">
        <f t="shared" si="21"/>
        <v>4354906.9014999997</v>
      </c>
      <c r="AE201" s="1" t="s">
        <v>48</v>
      </c>
      <c r="AF201" s="1" t="s">
        <v>53</v>
      </c>
      <c r="AG201" s="4">
        <f t="shared" si="22"/>
        <v>76418.399999999994</v>
      </c>
      <c r="AH201" s="10">
        <v>76418.399999999994</v>
      </c>
      <c r="AI201" s="10">
        <v>3000</v>
      </c>
      <c r="AJ201" s="10">
        <v>15.13</v>
      </c>
      <c r="AK201" s="10">
        <v>0</v>
      </c>
      <c r="AL201" s="9">
        <f t="shared" si="23"/>
        <v>73403.26999999999</v>
      </c>
      <c r="AM201" s="1"/>
      <c r="AN201" s="1"/>
      <c r="AO201" s="12" t="e">
        <f>AB201/#REF!</f>
        <v>#REF!</v>
      </c>
      <c r="AP201" s="1" t="s">
        <v>1410</v>
      </c>
      <c r="AQ201" s="11">
        <v>41838</v>
      </c>
      <c r="AR201" s="1" t="s">
        <v>1411</v>
      </c>
      <c r="AS201" s="11">
        <v>41839</v>
      </c>
      <c r="AT201" s="1" t="s">
        <v>49</v>
      </c>
      <c r="AU201" s="1" t="s">
        <v>4171</v>
      </c>
    </row>
    <row r="202" spans="1:47" ht="15" customHeight="1" x14ac:dyDescent="0.25">
      <c r="A202" s="1">
        <v>201</v>
      </c>
      <c r="B202" s="1" t="s">
        <v>1258</v>
      </c>
      <c r="C202" s="1" t="s">
        <v>38</v>
      </c>
      <c r="D202" s="1" t="s">
        <v>1409</v>
      </c>
      <c r="E202" s="5">
        <v>41747</v>
      </c>
      <c r="F202" s="1" t="s">
        <v>172</v>
      </c>
      <c r="G202" s="1" t="s">
        <v>40</v>
      </c>
      <c r="H202" s="1" t="s">
        <v>41</v>
      </c>
      <c r="I202" s="1" t="s">
        <v>2809</v>
      </c>
      <c r="J202" s="1" t="s">
        <v>2641</v>
      </c>
      <c r="K202" s="1">
        <v>38237090</v>
      </c>
      <c r="L202" s="6">
        <v>37.47</v>
      </c>
      <c r="M202" s="1" t="s">
        <v>70</v>
      </c>
      <c r="N202" s="7" t="s">
        <v>44</v>
      </c>
      <c r="O202" s="1" t="s">
        <v>53</v>
      </c>
      <c r="P202" s="8">
        <v>1360</v>
      </c>
      <c r="Q202" s="17">
        <f t="shared" si="16"/>
        <v>50959.199999999997</v>
      </c>
      <c r="R202" s="9">
        <v>2100</v>
      </c>
      <c r="S202" s="9">
        <v>10.09</v>
      </c>
      <c r="T202" s="9">
        <v>0</v>
      </c>
      <c r="U202" s="10">
        <v>0</v>
      </c>
      <c r="V202" s="1" t="s">
        <v>46</v>
      </c>
      <c r="W202" s="1" t="s">
        <v>54</v>
      </c>
      <c r="X202" s="1">
        <v>2155853</v>
      </c>
      <c r="Y202" s="11">
        <v>41743</v>
      </c>
      <c r="Z202" s="11">
        <v>41744</v>
      </c>
      <c r="AA202" s="9">
        <f t="shared" si="19"/>
        <v>48849.11</v>
      </c>
      <c r="AB202" s="12">
        <v>59.45</v>
      </c>
      <c r="AC202" s="9">
        <f t="shared" si="20"/>
        <v>3029524.44</v>
      </c>
      <c r="AD202" s="9">
        <f t="shared" si="21"/>
        <v>2904079.5895000002</v>
      </c>
      <c r="AE202" s="1" t="s">
        <v>48</v>
      </c>
      <c r="AF202" s="1" t="s">
        <v>53</v>
      </c>
      <c r="AG202" s="4">
        <f t="shared" si="22"/>
        <v>50959.199999999997</v>
      </c>
      <c r="AH202" s="10">
        <v>50959.199999999997</v>
      </c>
      <c r="AI202" s="10">
        <v>2000</v>
      </c>
      <c r="AJ202" s="10">
        <v>10.09</v>
      </c>
      <c r="AK202" s="10">
        <v>0</v>
      </c>
      <c r="AL202" s="9">
        <f t="shared" si="23"/>
        <v>48949.11</v>
      </c>
      <c r="AM202" s="1"/>
      <c r="AN202" s="1"/>
      <c r="AO202" s="12" t="e">
        <f>AB202/#REF!</f>
        <v>#REF!</v>
      </c>
      <c r="AP202" s="1" t="s">
        <v>1410</v>
      </c>
      <c r="AQ202" s="11">
        <v>41838</v>
      </c>
      <c r="AR202" s="1" t="s">
        <v>1412</v>
      </c>
      <c r="AS202" s="11">
        <v>41839</v>
      </c>
      <c r="AT202" s="1" t="s">
        <v>49</v>
      </c>
      <c r="AU202" s="1" t="s">
        <v>4171</v>
      </c>
    </row>
    <row r="203" spans="1:47" ht="15" customHeight="1" x14ac:dyDescent="0.25">
      <c r="A203" s="1">
        <v>202</v>
      </c>
      <c r="B203" s="1" t="s">
        <v>1258</v>
      </c>
      <c r="C203" s="1" t="s">
        <v>38</v>
      </c>
      <c r="D203" s="1">
        <v>9103550056</v>
      </c>
      <c r="E203" s="5">
        <v>41746</v>
      </c>
      <c r="F203" s="1" t="s">
        <v>166</v>
      </c>
      <c r="G203" s="1" t="s">
        <v>40</v>
      </c>
      <c r="H203" s="1" t="s">
        <v>41</v>
      </c>
      <c r="I203" s="1" t="s">
        <v>2809</v>
      </c>
      <c r="J203" s="1" t="s">
        <v>1124</v>
      </c>
      <c r="K203" s="1">
        <v>38237090</v>
      </c>
      <c r="L203" s="6">
        <v>24</v>
      </c>
      <c r="M203" s="1" t="s">
        <v>70</v>
      </c>
      <c r="N203" s="7" t="s">
        <v>67</v>
      </c>
      <c r="O203" s="1" t="s">
        <v>53</v>
      </c>
      <c r="P203" s="8">
        <v>1650</v>
      </c>
      <c r="Q203" s="17">
        <f t="shared" si="16"/>
        <v>39600</v>
      </c>
      <c r="R203" s="9">
        <v>0</v>
      </c>
      <c r="S203" s="9">
        <v>0</v>
      </c>
      <c r="T203" s="9">
        <v>0</v>
      </c>
      <c r="U203" s="10">
        <v>0</v>
      </c>
      <c r="V203" s="1" t="s">
        <v>46</v>
      </c>
      <c r="W203" s="1" t="s">
        <v>825</v>
      </c>
      <c r="X203" s="1">
        <v>2139337</v>
      </c>
      <c r="Y203" s="11">
        <v>41741</v>
      </c>
      <c r="Z203" s="11">
        <v>41742</v>
      </c>
      <c r="AA203" s="9">
        <f t="shared" si="19"/>
        <v>39600</v>
      </c>
      <c r="AB203" s="12">
        <v>59.45</v>
      </c>
      <c r="AC203" s="9">
        <f t="shared" si="20"/>
        <v>2354220</v>
      </c>
      <c r="AD203" s="9">
        <f t="shared" si="21"/>
        <v>2354220</v>
      </c>
      <c r="AE203" s="1" t="s">
        <v>48</v>
      </c>
      <c r="AF203" s="1" t="s">
        <v>53</v>
      </c>
      <c r="AG203" s="4">
        <f t="shared" si="22"/>
        <v>39600</v>
      </c>
      <c r="AH203" s="10">
        <v>39580</v>
      </c>
      <c r="AI203" s="10"/>
      <c r="AJ203" s="10"/>
      <c r="AK203" s="10"/>
      <c r="AL203" s="9">
        <f t="shared" si="23"/>
        <v>39580</v>
      </c>
      <c r="AM203" s="1"/>
      <c r="AN203" s="1"/>
      <c r="AO203" s="12" t="e">
        <f>AB203/#REF!</f>
        <v>#REF!</v>
      </c>
      <c r="AP203" s="1" t="s">
        <v>1413</v>
      </c>
      <c r="AQ203" s="11">
        <v>41761</v>
      </c>
      <c r="AR203" s="1" t="s">
        <v>1414</v>
      </c>
      <c r="AS203" s="11">
        <v>41762</v>
      </c>
      <c r="AT203" s="1" t="s">
        <v>49</v>
      </c>
      <c r="AU203" s="1" t="s">
        <v>4171</v>
      </c>
    </row>
    <row r="204" spans="1:47" ht="15" customHeight="1" x14ac:dyDescent="0.25">
      <c r="A204" s="1">
        <v>203</v>
      </c>
      <c r="B204" s="1" t="s">
        <v>1258</v>
      </c>
      <c r="C204" s="1" t="s">
        <v>38</v>
      </c>
      <c r="D204" s="1">
        <v>9103550057</v>
      </c>
      <c r="E204" s="5">
        <v>41747</v>
      </c>
      <c r="F204" s="1" t="s">
        <v>174</v>
      </c>
      <c r="G204" s="1" t="s">
        <v>40</v>
      </c>
      <c r="H204" s="1" t="s">
        <v>41</v>
      </c>
      <c r="I204" s="1" t="s">
        <v>2809</v>
      </c>
      <c r="J204" s="1" t="s">
        <v>1415</v>
      </c>
      <c r="K204" s="1">
        <v>29051700</v>
      </c>
      <c r="L204" s="6">
        <v>29.45</v>
      </c>
      <c r="M204" s="1" t="s">
        <v>70</v>
      </c>
      <c r="N204" s="7" t="s">
        <v>67</v>
      </c>
      <c r="O204" s="1" t="s">
        <v>53</v>
      </c>
      <c r="P204" s="8">
        <v>1800</v>
      </c>
      <c r="Q204" s="17">
        <f t="shared" ref="Q204:Q262" si="24">+L204*P204</f>
        <v>53010</v>
      </c>
      <c r="R204" s="9">
        <v>0</v>
      </c>
      <c r="S204" s="9">
        <v>0</v>
      </c>
      <c r="T204" s="9">
        <v>0</v>
      </c>
      <c r="U204" s="10">
        <v>0</v>
      </c>
      <c r="V204" s="1" t="s">
        <v>46</v>
      </c>
      <c r="W204" s="1" t="s">
        <v>1120</v>
      </c>
      <c r="X204" s="1">
        <v>2156079</v>
      </c>
      <c r="Y204" s="11">
        <v>41743</v>
      </c>
      <c r="Z204" s="11">
        <v>41744</v>
      </c>
      <c r="AA204" s="9">
        <f t="shared" si="19"/>
        <v>53010</v>
      </c>
      <c r="AB204" s="12">
        <v>59.45</v>
      </c>
      <c r="AC204" s="9">
        <f t="shared" si="20"/>
        <v>3151444.5</v>
      </c>
      <c r="AD204" s="9">
        <f t="shared" si="21"/>
        <v>3151444.5</v>
      </c>
      <c r="AE204" s="1" t="s">
        <v>48</v>
      </c>
      <c r="AF204" s="1" t="s">
        <v>53</v>
      </c>
      <c r="AG204" s="4">
        <f t="shared" si="22"/>
        <v>53010</v>
      </c>
      <c r="AH204" s="10">
        <v>53010</v>
      </c>
      <c r="AI204" s="9">
        <v>0</v>
      </c>
      <c r="AJ204" s="9">
        <v>0</v>
      </c>
      <c r="AK204" s="9">
        <v>0</v>
      </c>
      <c r="AL204" s="9">
        <f t="shared" si="23"/>
        <v>53010</v>
      </c>
      <c r="AM204" s="1"/>
      <c r="AN204" s="1"/>
      <c r="AO204" s="12" t="e">
        <f>AB204/#REF!</f>
        <v>#REF!</v>
      </c>
      <c r="AP204" s="1" t="s">
        <v>1416</v>
      </c>
      <c r="AQ204" s="11">
        <v>41768</v>
      </c>
      <c r="AR204" s="1" t="s">
        <v>1417</v>
      </c>
      <c r="AS204" s="11">
        <v>41769</v>
      </c>
      <c r="AT204" s="1" t="s">
        <v>49</v>
      </c>
      <c r="AU204" s="1" t="s">
        <v>4171</v>
      </c>
    </row>
    <row r="205" spans="1:47" ht="15" customHeight="1" x14ac:dyDescent="0.25">
      <c r="A205" s="1">
        <v>204</v>
      </c>
      <c r="B205" s="1" t="s">
        <v>1258</v>
      </c>
      <c r="C205" s="1" t="s">
        <v>38</v>
      </c>
      <c r="D205" s="1">
        <v>9103550057</v>
      </c>
      <c r="E205" s="5">
        <v>41747</v>
      </c>
      <c r="F205" s="1" t="s">
        <v>174</v>
      </c>
      <c r="G205" s="1" t="s">
        <v>40</v>
      </c>
      <c r="H205" s="1" t="s">
        <v>41</v>
      </c>
      <c r="I205" s="1" t="s">
        <v>2809</v>
      </c>
      <c r="J205" s="1" t="s">
        <v>1415</v>
      </c>
      <c r="K205" s="1">
        <v>38237090</v>
      </c>
      <c r="L205" s="6">
        <v>0.55000000000000004</v>
      </c>
      <c r="M205" s="1" t="s">
        <v>70</v>
      </c>
      <c r="N205" s="7" t="s">
        <v>67</v>
      </c>
      <c r="O205" s="1" t="s">
        <v>53</v>
      </c>
      <c r="P205" s="8">
        <v>1700</v>
      </c>
      <c r="Q205" s="17">
        <f t="shared" si="24"/>
        <v>935.00000000000011</v>
      </c>
      <c r="R205" s="9">
        <v>0</v>
      </c>
      <c r="S205" s="9">
        <v>0</v>
      </c>
      <c r="T205" s="9">
        <v>0</v>
      </c>
      <c r="U205" s="10">
        <v>0</v>
      </c>
      <c r="V205" s="1" t="s">
        <v>46</v>
      </c>
      <c r="W205" s="1" t="s">
        <v>1120</v>
      </c>
      <c r="X205" s="1">
        <v>2156079</v>
      </c>
      <c r="Y205" s="11">
        <v>41743</v>
      </c>
      <c r="Z205" s="11">
        <v>41744</v>
      </c>
      <c r="AA205" s="9">
        <f t="shared" si="19"/>
        <v>935.00000000000011</v>
      </c>
      <c r="AB205" s="12">
        <v>59.45</v>
      </c>
      <c r="AC205" s="9">
        <f t="shared" si="20"/>
        <v>55585.750000000007</v>
      </c>
      <c r="AD205" s="9">
        <f t="shared" si="21"/>
        <v>55585.750000000007</v>
      </c>
      <c r="AE205" s="1" t="s">
        <v>48</v>
      </c>
      <c r="AF205" s="1" t="s">
        <v>53</v>
      </c>
      <c r="AG205" s="4">
        <f t="shared" si="22"/>
        <v>935.00000000000011</v>
      </c>
      <c r="AH205" s="10">
        <v>935</v>
      </c>
      <c r="AI205" s="9">
        <v>0</v>
      </c>
      <c r="AJ205" s="9">
        <v>0</v>
      </c>
      <c r="AK205" s="9">
        <v>0</v>
      </c>
      <c r="AL205" s="9">
        <f t="shared" si="23"/>
        <v>935</v>
      </c>
      <c r="AM205" s="1"/>
      <c r="AN205" s="1"/>
      <c r="AO205" s="12" t="e">
        <f>AB205/#REF!</f>
        <v>#REF!</v>
      </c>
      <c r="AP205" s="1" t="s">
        <v>1416</v>
      </c>
      <c r="AQ205" s="11">
        <v>41768</v>
      </c>
      <c r="AR205" s="1" t="s">
        <v>1417</v>
      </c>
      <c r="AS205" s="11">
        <v>41769</v>
      </c>
      <c r="AT205" s="1" t="s">
        <v>49</v>
      </c>
      <c r="AU205" s="1" t="s">
        <v>4171</v>
      </c>
    </row>
    <row r="206" spans="1:47" ht="15" customHeight="1" x14ac:dyDescent="0.25">
      <c r="A206" s="1">
        <v>205</v>
      </c>
      <c r="B206" s="1" t="s">
        <v>1258</v>
      </c>
      <c r="C206" s="1" t="s">
        <v>38</v>
      </c>
      <c r="D206" s="1">
        <v>9103550058</v>
      </c>
      <c r="E206" s="5">
        <v>41748</v>
      </c>
      <c r="F206" s="1" t="s">
        <v>176</v>
      </c>
      <c r="G206" s="1" t="s">
        <v>40</v>
      </c>
      <c r="H206" s="1" t="s">
        <v>41</v>
      </c>
      <c r="I206" s="1" t="s">
        <v>2809</v>
      </c>
      <c r="J206" s="1" t="s">
        <v>55</v>
      </c>
      <c r="K206" s="1">
        <v>38237090</v>
      </c>
      <c r="L206" s="6">
        <v>18.14</v>
      </c>
      <c r="M206" s="1" t="s">
        <v>70</v>
      </c>
      <c r="N206" s="7" t="s">
        <v>44</v>
      </c>
      <c r="O206" s="1" t="s">
        <v>53</v>
      </c>
      <c r="P206" s="8">
        <v>1600</v>
      </c>
      <c r="Q206" s="17">
        <f t="shared" si="24"/>
        <v>29024</v>
      </c>
      <c r="R206" s="9">
        <v>3150</v>
      </c>
      <c r="S206" s="9">
        <v>5.75</v>
      </c>
      <c r="T206" s="9">
        <v>0</v>
      </c>
      <c r="U206" s="10">
        <v>0</v>
      </c>
      <c r="V206" s="1" t="s">
        <v>46</v>
      </c>
      <c r="W206" s="1" t="s">
        <v>56</v>
      </c>
      <c r="X206" s="1">
        <v>2176167</v>
      </c>
      <c r="Y206" s="11">
        <v>41744</v>
      </c>
      <c r="Z206" s="11">
        <v>41745</v>
      </c>
      <c r="AA206" s="9">
        <f t="shared" si="19"/>
        <v>25868.25</v>
      </c>
      <c r="AB206" s="12">
        <v>59.45</v>
      </c>
      <c r="AC206" s="9">
        <f t="shared" si="20"/>
        <v>1725476.8</v>
      </c>
      <c r="AD206" s="9">
        <f t="shared" si="21"/>
        <v>1537867.4625000001</v>
      </c>
      <c r="AE206" s="1" t="s">
        <v>51</v>
      </c>
      <c r="AF206" s="1" t="s">
        <v>53</v>
      </c>
      <c r="AG206" s="4">
        <f t="shared" si="22"/>
        <v>29024</v>
      </c>
      <c r="AH206" s="10">
        <v>28989</v>
      </c>
      <c r="AI206" s="10">
        <v>3150</v>
      </c>
      <c r="AJ206" s="10">
        <v>5.75</v>
      </c>
      <c r="AK206" s="10"/>
      <c r="AL206" s="9">
        <f t="shared" si="23"/>
        <v>25833.25</v>
      </c>
      <c r="AM206" s="1"/>
      <c r="AN206" s="1"/>
      <c r="AO206" s="12" t="e">
        <f>AB206/#REF!</f>
        <v>#REF!</v>
      </c>
      <c r="AP206" s="1" t="s">
        <v>1418</v>
      </c>
      <c r="AQ206" s="11">
        <v>41779</v>
      </c>
      <c r="AR206" s="1" t="s">
        <v>1419</v>
      </c>
      <c r="AS206" s="11">
        <v>41843</v>
      </c>
      <c r="AT206" s="1" t="s">
        <v>49</v>
      </c>
      <c r="AU206" s="1" t="s">
        <v>4171</v>
      </c>
    </row>
    <row r="207" spans="1:47" ht="15" customHeight="1" x14ac:dyDescent="0.25">
      <c r="A207" s="1">
        <v>206</v>
      </c>
      <c r="B207" s="1" t="s">
        <v>1258</v>
      </c>
      <c r="C207" s="1" t="s">
        <v>38</v>
      </c>
      <c r="D207" s="1">
        <v>9103550059</v>
      </c>
      <c r="E207" s="5">
        <v>41744</v>
      </c>
      <c r="F207" s="1" t="s">
        <v>175</v>
      </c>
      <c r="G207" s="1" t="s">
        <v>40</v>
      </c>
      <c r="H207" s="1" t="s">
        <v>41</v>
      </c>
      <c r="I207" s="1" t="s">
        <v>2809</v>
      </c>
      <c r="J207" s="1" t="s">
        <v>2660</v>
      </c>
      <c r="K207" s="1">
        <v>29051700</v>
      </c>
      <c r="L207" s="6">
        <v>4.76</v>
      </c>
      <c r="M207" s="1" t="s">
        <v>70</v>
      </c>
      <c r="N207" s="7" t="s">
        <v>44</v>
      </c>
      <c r="O207" s="1" t="s">
        <v>53</v>
      </c>
      <c r="P207" s="8">
        <v>2048</v>
      </c>
      <c r="Q207" s="17">
        <f t="shared" si="24"/>
        <v>9748.48</v>
      </c>
      <c r="R207" s="9">
        <v>61.25</v>
      </c>
      <c r="S207" s="9">
        <v>1.93</v>
      </c>
      <c r="T207" s="9">
        <v>0</v>
      </c>
      <c r="U207" s="10">
        <v>0</v>
      </c>
      <c r="V207" s="1" t="s">
        <v>46</v>
      </c>
      <c r="W207" s="1" t="s">
        <v>75</v>
      </c>
      <c r="X207" s="1">
        <v>2176180</v>
      </c>
      <c r="Y207" s="11">
        <v>41744</v>
      </c>
      <c r="Z207" s="11">
        <v>41746</v>
      </c>
      <c r="AA207" s="9">
        <f t="shared" si="19"/>
        <v>9685.2999999999993</v>
      </c>
      <c r="AB207" s="12">
        <v>59.45</v>
      </c>
      <c r="AC207" s="9">
        <f t="shared" si="20"/>
        <v>579547.13600000006</v>
      </c>
      <c r="AD207" s="9">
        <f t="shared" si="21"/>
        <v>575791.08499999996</v>
      </c>
      <c r="AE207" s="1" t="s">
        <v>48</v>
      </c>
      <c r="AF207" s="1" t="s">
        <v>53</v>
      </c>
      <c r="AG207" s="4">
        <f t="shared" si="22"/>
        <v>9748.48</v>
      </c>
      <c r="AH207" s="10">
        <v>9748.48</v>
      </c>
      <c r="AI207" s="10">
        <v>87.43</v>
      </c>
      <c r="AJ207" s="10">
        <v>1.4</v>
      </c>
      <c r="AK207" s="10">
        <v>0</v>
      </c>
      <c r="AL207" s="9">
        <f t="shared" si="23"/>
        <v>9659.65</v>
      </c>
      <c r="AM207" s="1"/>
      <c r="AN207" s="1"/>
      <c r="AO207" s="12" t="e">
        <f>AB207/#REF!</f>
        <v>#REF!</v>
      </c>
      <c r="AP207" s="1" t="s">
        <v>1420</v>
      </c>
      <c r="AQ207" s="11">
        <v>41779</v>
      </c>
      <c r="AR207" s="1" t="s">
        <v>1421</v>
      </c>
      <c r="AS207" s="11">
        <v>41780</v>
      </c>
      <c r="AT207" s="1" t="s">
        <v>49</v>
      </c>
      <c r="AU207" s="1" t="s">
        <v>4171</v>
      </c>
    </row>
    <row r="208" spans="1:47" ht="15" customHeight="1" x14ac:dyDescent="0.25">
      <c r="A208" s="1">
        <v>207</v>
      </c>
      <c r="B208" s="1" t="s">
        <v>1258</v>
      </c>
      <c r="C208" s="1" t="s">
        <v>38</v>
      </c>
      <c r="D208" s="1">
        <v>9103550059</v>
      </c>
      <c r="E208" s="5">
        <v>41744</v>
      </c>
      <c r="F208" s="1" t="s">
        <v>175</v>
      </c>
      <c r="G208" s="1" t="s">
        <v>40</v>
      </c>
      <c r="H208" s="1" t="s">
        <v>41</v>
      </c>
      <c r="I208" s="1" t="s">
        <v>2809</v>
      </c>
      <c r="J208" s="1" t="s">
        <v>2660</v>
      </c>
      <c r="K208" s="1">
        <v>29051700</v>
      </c>
      <c r="L208" s="6">
        <v>8.84</v>
      </c>
      <c r="M208" s="1" t="s">
        <v>70</v>
      </c>
      <c r="N208" s="7" t="s">
        <v>44</v>
      </c>
      <c r="O208" s="1" t="s">
        <v>53</v>
      </c>
      <c r="P208" s="8">
        <v>1798</v>
      </c>
      <c r="Q208" s="17">
        <f t="shared" si="24"/>
        <v>15894.32</v>
      </c>
      <c r="R208" s="9">
        <v>113.75</v>
      </c>
      <c r="S208" s="9">
        <v>3.15</v>
      </c>
      <c r="T208" s="9">
        <v>0</v>
      </c>
      <c r="U208" s="10">
        <v>0</v>
      </c>
      <c r="V208" s="1" t="s">
        <v>46</v>
      </c>
      <c r="W208" s="1" t="s">
        <v>75</v>
      </c>
      <c r="X208" s="1">
        <v>2176180</v>
      </c>
      <c r="Y208" s="11">
        <v>41744</v>
      </c>
      <c r="Z208" s="11">
        <v>41746</v>
      </c>
      <c r="AA208" s="9">
        <f t="shared" si="19"/>
        <v>15777.42</v>
      </c>
      <c r="AB208" s="12">
        <v>59.45</v>
      </c>
      <c r="AC208" s="9">
        <f t="shared" si="20"/>
        <v>944917.32400000002</v>
      </c>
      <c r="AD208" s="9">
        <f t="shared" si="21"/>
        <v>937967.61900000006</v>
      </c>
      <c r="AE208" s="1" t="s">
        <v>48</v>
      </c>
      <c r="AF208" s="1" t="s">
        <v>53</v>
      </c>
      <c r="AG208" s="4">
        <f t="shared" si="22"/>
        <v>15894.32</v>
      </c>
      <c r="AH208" s="10">
        <v>15894.32</v>
      </c>
      <c r="AI208" s="10">
        <v>142.57</v>
      </c>
      <c r="AJ208" s="10">
        <v>2.27</v>
      </c>
      <c r="AK208" s="10">
        <v>0</v>
      </c>
      <c r="AL208" s="9">
        <f t="shared" si="23"/>
        <v>15749.48</v>
      </c>
      <c r="AM208" s="1"/>
      <c r="AN208" s="1"/>
      <c r="AO208" s="12" t="e">
        <f>AB208/#REF!</f>
        <v>#REF!</v>
      </c>
      <c r="AP208" s="1" t="s">
        <v>1420</v>
      </c>
      <c r="AQ208" s="11">
        <v>41779</v>
      </c>
      <c r="AR208" s="1" t="s">
        <v>1421</v>
      </c>
      <c r="AS208" s="11">
        <v>41780</v>
      </c>
      <c r="AT208" s="1" t="s">
        <v>49</v>
      </c>
      <c r="AU208" s="1" t="s">
        <v>4171</v>
      </c>
    </row>
    <row r="209" spans="1:47" ht="15" customHeight="1" x14ac:dyDescent="0.25">
      <c r="A209" s="1">
        <v>208</v>
      </c>
      <c r="B209" s="1" t="s">
        <v>1258</v>
      </c>
      <c r="C209" s="1" t="s">
        <v>38</v>
      </c>
      <c r="D209" s="1">
        <v>9103550060</v>
      </c>
      <c r="E209" s="5">
        <v>41750</v>
      </c>
      <c r="F209" s="1" t="s">
        <v>170</v>
      </c>
      <c r="G209" s="1" t="s">
        <v>40</v>
      </c>
      <c r="H209" s="1" t="s">
        <v>41</v>
      </c>
      <c r="I209" s="1" t="s">
        <v>2809</v>
      </c>
      <c r="J209" s="1" t="s">
        <v>2641</v>
      </c>
      <c r="K209" s="1">
        <v>38237090</v>
      </c>
      <c r="L209" s="6">
        <v>60</v>
      </c>
      <c r="M209" s="1" t="s">
        <v>70</v>
      </c>
      <c r="N209" s="7" t="s">
        <v>44</v>
      </c>
      <c r="O209" s="1" t="s">
        <v>53</v>
      </c>
      <c r="P209" s="8">
        <v>4150</v>
      </c>
      <c r="Q209" s="17">
        <f t="shared" si="24"/>
        <v>249000</v>
      </c>
      <c r="R209" s="9">
        <v>850</v>
      </c>
      <c r="S209" s="9">
        <v>49.3</v>
      </c>
      <c r="T209" s="9">
        <v>0</v>
      </c>
      <c r="U209" s="10">
        <v>0</v>
      </c>
      <c r="V209" s="1" t="s">
        <v>46</v>
      </c>
      <c r="W209" s="1" t="s">
        <v>54</v>
      </c>
      <c r="X209" s="1">
        <v>2177145</v>
      </c>
      <c r="Y209" s="11">
        <v>41744</v>
      </c>
      <c r="Z209" s="11">
        <v>41746</v>
      </c>
      <c r="AA209" s="9">
        <f t="shared" si="19"/>
        <v>248100.7</v>
      </c>
      <c r="AB209" s="12">
        <v>59.45</v>
      </c>
      <c r="AC209" s="9">
        <f t="shared" si="20"/>
        <v>14803050</v>
      </c>
      <c r="AD209" s="9">
        <f t="shared" si="21"/>
        <v>14749586.615000002</v>
      </c>
      <c r="AE209" s="1" t="s">
        <v>48</v>
      </c>
      <c r="AF209" s="1" t="s">
        <v>53</v>
      </c>
      <c r="AG209" s="4">
        <f t="shared" si="22"/>
        <v>249000</v>
      </c>
      <c r="AH209" s="10">
        <v>248894.42</v>
      </c>
      <c r="AI209" s="10">
        <v>800</v>
      </c>
      <c r="AJ209" s="10">
        <v>35.61</v>
      </c>
      <c r="AK209" s="10">
        <v>0</v>
      </c>
      <c r="AL209" s="9">
        <f t="shared" si="23"/>
        <v>248058.81000000003</v>
      </c>
      <c r="AM209" s="1"/>
      <c r="AN209" s="1"/>
      <c r="AO209" s="12" t="e">
        <f>AB209/#REF!</f>
        <v>#REF!</v>
      </c>
      <c r="AP209" s="1" t="s">
        <v>1422</v>
      </c>
      <c r="AQ209" s="11">
        <v>41842</v>
      </c>
      <c r="AR209" s="1" t="s">
        <v>1423</v>
      </c>
      <c r="AS209" s="11">
        <v>41843</v>
      </c>
      <c r="AT209" s="1" t="s">
        <v>49</v>
      </c>
      <c r="AU209" s="1" t="s">
        <v>4171</v>
      </c>
    </row>
    <row r="210" spans="1:47" ht="15" customHeight="1" x14ac:dyDescent="0.25">
      <c r="A210" s="1">
        <v>209</v>
      </c>
      <c r="B210" s="1" t="s">
        <v>1258</v>
      </c>
      <c r="C210" s="1" t="s">
        <v>38</v>
      </c>
      <c r="D210" s="1">
        <v>9103550061</v>
      </c>
      <c r="E210" s="5">
        <v>41750</v>
      </c>
      <c r="F210" s="1" t="s">
        <v>183</v>
      </c>
      <c r="G210" s="1" t="s">
        <v>40</v>
      </c>
      <c r="H210" s="1" t="s">
        <v>41</v>
      </c>
      <c r="I210" s="1" t="s">
        <v>2809</v>
      </c>
      <c r="J210" s="1" t="s">
        <v>2641</v>
      </c>
      <c r="K210" s="1">
        <v>38237090</v>
      </c>
      <c r="L210" s="6">
        <v>12</v>
      </c>
      <c r="M210" s="1" t="s">
        <v>70</v>
      </c>
      <c r="N210" s="7" t="s">
        <v>44</v>
      </c>
      <c r="O210" s="1" t="s">
        <v>53</v>
      </c>
      <c r="P210" s="8">
        <v>4150</v>
      </c>
      <c r="Q210" s="17">
        <f t="shared" si="24"/>
        <v>49800</v>
      </c>
      <c r="R210" s="9">
        <v>170</v>
      </c>
      <c r="S210" s="9">
        <v>9.86</v>
      </c>
      <c r="T210" s="9">
        <v>0</v>
      </c>
      <c r="U210" s="10">
        <v>0</v>
      </c>
      <c r="V210" s="1" t="s">
        <v>46</v>
      </c>
      <c r="W210" s="1" t="s">
        <v>54</v>
      </c>
      <c r="X210" s="1">
        <v>2182910</v>
      </c>
      <c r="Y210" s="11">
        <v>41744</v>
      </c>
      <c r="Z210" s="11">
        <v>41746</v>
      </c>
      <c r="AA210" s="9">
        <f t="shared" si="19"/>
        <v>49620.14</v>
      </c>
      <c r="AB210" s="12">
        <v>59.45</v>
      </c>
      <c r="AC210" s="9">
        <f t="shared" si="20"/>
        <v>2960610</v>
      </c>
      <c r="AD210" s="9">
        <f t="shared" si="21"/>
        <v>2949917.3230000003</v>
      </c>
      <c r="AE210" s="1" t="s">
        <v>48</v>
      </c>
      <c r="AF210" s="1" t="s">
        <v>53</v>
      </c>
      <c r="AG210" s="4">
        <f t="shared" si="22"/>
        <v>49800</v>
      </c>
      <c r="AH210" s="10">
        <v>49640.41</v>
      </c>
      <c r="AI210" s="10">
        <v>160</v>
      </c>
      <c r="AJ210" s="10">
        <v>9.86</v>
      </c>
      <c r="AK210" s="10">
        <v>0</v>
      </c>
      <c r="AL210" s="9">
        <f t="shared" si="23"/>
        <v>49470.55</v>
      </c>
      <c r="AM210" s="1"/>
      <c r="AN210" s="1"/>
      <c r="AO210" s="12" t="e">
        <f>AB210/#REF!</f>
        <v>#REF!</v>
      </c>
      <c r="AP210" s="1" t="s">
        <v>1424</v>
      </c>
      <c r="AQ210" s="11">
        <v>41842</v>
      </c>
      <c r="AR210" s="1" t="s">
        <v>1425</v>
      </c>
      <c r="AS210" s="11">
        <v>41843</v>
      </c>
      <c r="AT210" s="1" t="s">
        <v>49</v>
      </c>
      <c r="AU210" s="1" t="s">
        <v>4171</v>
      </c>
    </row>
    <row r="211" spans="1:47" ht="15" customHeight="1" x14ac:dyDescent="0.25">
      <c r="A211" s="1">
        <v>210</v>
      </c>
      <c r="B211" s="1" t="s">
        <v>1258</v>
      </c>
      <c r="C211" s="1" t="s">
        <v>38</v>
      </c>
      <c r="D211" s="1">
        <v>9103550062</v>
      </c>
      <c r="E211" s="5">
        <v>41748</v>
      </c>
      <c r="F211" s="1" t="s">
        <v>182</v>
      </c>
      <c r="G211" s="1" t="s">
        <v>40</v>
      </c>
      <c r="H211" s="1" t="s">
        <v>41</v>
      </c>
      <c r="I211" s="1" t="s">
        <v>2809</v>
      </c>
      <c r="J211" s="1" t="s">
        <v>386</v>
      </c>
      <c r="K211" s="1">
        <v>38237090</v>
      </c>
      <c r="L211" s="6">
        <v>37.28</v>
      </c>
      <c r="M211" s="1" t="s">
        <v>70</v>
      </c>
      <c r="N211" s="7" t="s">
        <v>52</v>
      </c>
      <c r="O211" s="1" t="s">
        <v>53</v>
      </c>
      <c r="P211" s="8">
        <v>1396</v>
      </c>
      <c r="Q211" s="17">
        <f t="shared" si="24"/>
        <v>52042.880000000005</v>
      </c>
      <c r="R211" s="9">
        <v>2100</v>
      </c>
      <c r="S211" s="9">
        <v>0</v>
      </c>
      <c r="T211" s="9">
        <v>0</v>
      </c>
      <c r="U211" s="10">
        <v>0</v>
      </c>
      <c r="V211" s="1" t="s">
        <v>46</v>
      </c>
      <c r="W211" s="1" t="s">
        <v>241</v>
      </c>
      <c r="X211" s="1">
        <v>2181879</v>
      </c>
      <c r="Y211" s="11">
        <v>41744</v>
      </c>
      <c r="Z211" s="11">
        <v>41745</v>
      </c>
      <c r="AA211" s="9">
        <f t="shared" si="19"/>
        <v>49942.880000000005</v>
      </c>
      <c r="AB211" s="12">
        <v>59.45</v>
      </c>
      <c r="AC211" s="9">
        <f t="shared" si="20"/>
        <v>3093949.2160000005</v>
      </c>
      <c r="AD211" s="9">
        <f t="shared" si="21"/>
        <v>2969104.2160000005</v>
      </c>
      <c r="AE211" s="1" t="s">
        <v>48</v>
      </c>
      <c r="AF211" s="1" t="s">
        <v>53</v>
      </c>
      <c r="AG211" s="4">
        <f t="shared" si="22"/>
        <v>52042.880000000005</v>
      </c>
      <c r="AH211" s="10">
        <v>52042.879999999997</v>
      </c>
      <c r="AI211" s="10">
        <v>2000</v>
      </c>
      <c r="AJ211" s="10">
        <v>0</v>
      </c>
      <c r="AK211" s="10">
        <v>0</v>
      </c>
      <c r="AL211" s="9">
        <f t="shared" si="23"/>
        <v>50042.879999999997</v>
      </c>
      <c r="AM211" s="1"/>
      <c r="AN211" s="1"/>
      <c r="AO211" s="12" t="e">
        <f>AB211/#REF!</f>
        <v>#REF!</v>
      </c>
      <c r="AP211" s="1" t="s">
        <v>1426</v>
      </c>
      <c r="AQ211" s="11">
        <v>41816</v>
      </c>
      <c r="AR211" s="1" t="s">
        <v>1427</v>
      </c>
      <c r="AS211" s="11">
        <v>41818</v>
      </c>
      <c r="AT211" s="1" t="s">
        <v>49</v>
      </c>
      <c r="AU211" s="1" t="s">
        <v>4171</v>
      </c>
    </row>
    <row r="212" spans="1:47" ht="15" customHeight="1" x14ac:dyDescent="0.25">
      <c r="A212" s="1">
        <v>211</v>
      </c>
      <c r="B212" s="1" t="s">
        <v>1258</v>
      </c>
      <c r="C212" s="1" t="s">
        <v>38</v>
      </c>
      <c r="D212" s="1">
        <v>9103550063</v>
      </c>
      <c r="E212" s="5">
        <v>41747</v>
      </c>
      <c r="F212" s="1" t="s">
        <v>185</v>
      </c>
      <c r="G212" s="1" t="s">
        <v>40</v>
      </c>
      <c r="H212" s="1" t="s">
        <v>41</v>
      </c>
      <c r="I212" s="1" t="s">
        <v>2809</v>
      </c>
      <c r="J212" s="1" t="s">
        <v>307</v>
      </c>
      <c r="K212" s="1">
        <v>38237090</v>
      </c>
      <c r="L212" s="6">
        <v>8.4</v>
      </c>
      <c r="M212" s="1" t="s">
        <v>70</v>
      </c>
      <c r="N212" s="7" t="s">
        <v>52</v>
      </c>
      <c r="O212" s="1" t="s">
        <v>53</v>
      </c>
      <c r="P212" s="8">
        <v>4605</v>
      </c>
      <c r="Q212" s="17">
        <f t="shared" si="24"/>
        <v>38682</v>
      </c>
      <c r="R212" s="9">
        <v>1650</v>
      </c>
      <c r="S212" s="9">
        <v>0</v>
      </c>
      <c r="T212" s="9">
        <v>0</v>
      </c>
      <c r="U212" s="10">
        <v>0</v>
      </c>
      <c r="V212" s="1" t="s">
        <v>46</v>
      </c>
      <c r="W212" s="1" t="s">
        <v>308</v>
      </c>
      <c r="X212" s="1">
        <v>2183408</v>
      </c>
      <c r="Y212" s="11">
        <v>41744</v>
      </c>
      <c r="Z212" s="11">
        <v>41745</v>
      </c>
      <c r="AA212" s="9">
        <f t="shared" si="19"/>
        <v>37032</v>
      </c>
      <c r="AB212" s="12">
        <v>59.45</v>
      </c>
      <c r="AC212" s="9">
        <f t="shared" si="20"/>
        <v>2299644.9</v>
      </c>
      <c r="AD212" s="9">
        <f t="shared" si="21"/>
        <v>2201552.4</v>
      </c>
      <c r="AE212" s="1" t="s">
        <v>48</v>
      </c>
      <c r="AF212" s="1" t="s">
        <v>53</v>
      </c>
      <c r="AG212" s="4">
        <f t="shared" si="22"/>
        <v>38682</v>
      </c>
      <c r="AH212" s="10">
        <v>38637</v>
      </c>
      <c r="AI212" s="10">
        <v>1658</v>
      </c>
      <c r="AJ212" s="10">
        <v>0</v>
      </c>
      <c r="AK212" s="10">
        <v>0</v>
      </c>
      <c r="AL212" s="9">
        <f t="shared" si="23"/>
        <v>36979</v>
      </c>
      <c r="AM212" s="1"/>
      <c r="AN212" s="1"/>
      <c r="AO212" s="12" t="e">
        <f>AB212/#REF!</f>
        <v>#REF!</v>
      </c>
      <c r="AP212" s="1" t="s">
        <v>1428</v>
      </c>
      <c r="AQ212" s="11">
        <v>41843</v>
      </c>
      <c r="AR212" s="1" t="s">
        <v>1429</v>
      </c>
      <c r="AS212" s="11">
        <v>41844</v>
      </c>
      <c r="AT212" s="1" t="s">
        <v>49</v>
      </c>
      <c r="AU212" s="1" t="s">
        <v>4171</v>
      </c>
    </row>
    <row r="213" spans="1:47" ht="15" customHeight="1" x14ac:dyDescent="0.25">
      <c r="A213" s="1">
        <v>212</v>
      </c>
      <c r="B213" s="1" t="s">
        <v>1258</v>
      </c>
      <c r="C213" s="1" t="s">
        <v>38</v>
      </c>
      <c r="D213" s="1">
        <v>9103550064</v>
      </c>
      <c r="E213" s="5">
        <v>41751</v>
      </c>
      <c r="F213" s="1" t="s">
        <v>189</v>
      </c>
      <c r="G213" s="1" t="s">
        <v>40</v>
      </c>
      <c r="H213" s="1" t="s">
        <v>41</v>
      </c>
      <c r="I213" s="1" t="s">
        <v>2809</v>
      </c>
      <c r="J213" s="1" t="s">
        <v>55</v>
      </c>
      <c r="K213" s="1">
        <v>29051700</v>
      </c>
      <c r="L213" s="6">
        <v>36.28</v>
      </c>
      <c r="M213" s="1" t="s">
        <v>70</v>
      </c>
      <c r="N213" s="7" t="s">
        <v>44</v>
      </c>
      <c r="O213" s="1" t="s">
        <v>53</v>
      </c>
      <c r="P213" s="8">
        <v>1971</v>
      </c>
      <c r="Q213" s="17">
        <f t="shared" si="24"/>
        <v>71507.88</v>
      </c>
      <c r="R213" s="9">
        <v>4400</v>
      </c>
      <c r="S213" s="9">
        <v>14.16</v>
      </c>
      <c r="T213" s="9">
        <v>0</v>
      </c>
      <c r="U213" s="10">
        <v>0</v>
      </c>
      <c r="V213" s="1" t="s">
        <v>46</v>
      </c>
      <c r="W213" s="1" t="s">
        <v>56</v>
      </c>
      <c r="X213" s="1">
        <v>2177868</v>
      </c>
      <c r="Y213" s="11">
        <v>41744</v>
      </c>
      <c r="Z213" s="11">
        <v>41746</v>
      </c>
      <c r="AA213" s="9">
        <f t="shared" si="19"/>
        <v>67093.72</v>
      </c>
      <c r="AB213" s="12">
        <v>59.45</v>
      </c>
      <c r="AC213" s="9">
        <f t="shared" si="20"/>
        <v>4251143.466</v>
      </c>
      <c r="AD213" s="9">
        <f t="shared" si="21"/>
        <v>3988721.6540000001</v>
      </c>
      <c r="AE213" s="1" t="s">
        <v>48</v>
      </c>
      <c r="AF213" s="1" t="s">
        <v>53</v>
      </c>
      <c r="AG213" s="4">
        <f t="shared" si="22"/>
        <v>71507.88</v>
      </c>
      <c r="AH213" s="10">
        <v>71507.88</v>
      </c>
      <c r="AI213" s="10">
        <v>4500</v>
      </c>
      <c r="AJ213" s="10">
        <v>10.34</v>
      </c>
      <c r="AK213" s="10">
        <v>0</v>
      </c>
      <c r="AL213" s="9">
        <f t="shared" si="23"/>
        <v>66997.540000000008</v>
      </c>
      <c r="AM213" s="1"/>
      <c r="AN213" s="1"/>
      <c r="AO213" s="12" t="e">
        <f>AB213/#REF!</f>
        <v>#REF!</v>
      </c>
      <c r="AP213" s="1" t="s">
        <v>1430</v>
      </c>
      <c r="AQ213" s="11">
        <v>41789</v>
      </c>
      <c r="AR213" s="1" t="s">
        <v>1431</v>
      </c>
      <c r="AS213" s="11">
        <v>41790</v>
      </c>
      <c r="AT213" s="1" t="s">
        <v>49</v>
      </c>
      <c r="AU213" s="1" t="s">
        <v>4171</v>
      </c>
    </row>
    <row r="214" spans="1:47" ht="15" customHeight="1" x14ac:dyDescent="0.25">
      <c r="A214" s="1">
        <v>213</v>
      </c>
      <c r="B214" s="1" t="s">
        <v>1258</v>
      </c>
      <c r="C214" s="1" t="s">
        <v>38</v>
      </c>
      <c r="D214" s="1">
        <v>9103550064</v>
      </c>
      <c r="E214" s="5">
        <v>41751</v>
      </c>
      <c r="F214" s="1" t="s">
        <v>186</v>
      </c>
      <c r="G214" s="1" t="s">
        <v>40</v>
      </c>
      <c r="H214" s="1" t="s">
        <v>41</v>
      </c>
      <c r="I214" s="1" t="s">
        <v>2809</v>
      </c>
      <c r="J214" s="1" t="s">
        <v>55</v>
      </c>
      <c r="K214" s="1">
        <v>29051700</v>
      </c>
      <c r="L214" s="6">
        <v>18.14</v>
      </c>
      <c r="M214" s="1" t="s">
        <v>70</v>
      </c>
      <c r="N214" s="7" t="s">
        <v>44</v>
      </c>
      <c r="O214" s="1" t="s">
        <v>53</v>
      </c>
      <c r="P214" s="8">
        <v>1971</v>
      </c>
      <c r="Q214" s="17">
        <f t="shared" si="24"/>
        <v>35753.94</v>
      </c>
      <c r="R214" s="9">
        <v>2200</v>
      </c>
      <c r="S214" s="9">
        <v>7.08</v>
      </c>
      <c r="T214" s="9">
        <v>0</v>
      </c>
      <c r="U214" s="10">
        <v>0</v>
      </c>
      <c r="V214" s="1" t="s">
        <v>46</v>
      </c>
      <c r="W214" s="1" t="s">
        <v>56</v>
      </c>
      <c r="X214" s="1">
        <v>2183479</v>
      </c>
      <c r="Y214" s="11">
        <v>41744</v>
      </c>
      <c r="Z214" s="11">
        <v>41745</v>
      </c>
      <c r="AA214" s="9">
        <f t="shared" si="19"/>
        <v>33546.86</v>
      </c>
      <c r="AB214" s="12">
        <v>59.45</v>
      </c>
      <c r="AC214" s="9">
        <f t="shared" si="20"/>
        <v>2125571.733</v>
      </c>
      <c r="AD214" s="9">
        <f t="shared" si="21"/>
        <v>1994360.827</v>
      </c>
      <c r="AE214" s="1" t="s">
        <v>48</v>
      </c>
      <c r="AF214" s="1" t="s">
        <v>53</v>
      </c>
      <c r="AG214" s="4">
        <f t="shared" si="22"/>
        <v>35753.94</v>
      </c>
      <c r="AH214" s="10">
        <v>35753.94</v>
      </c>
      <c r="AI214" s="10">
        <v>2355</v>
      </c>
      <c r="AJ214" s="10">
        <f>15.54-AJ213</f>
        <v>5.1999999999999993</v>
      </c>
      <c r="AK214" s="10">
        <v>0</v>
      </c>
      <c r="AL214" s="9">
        <f t="shared" si="23"/>
        <v>33393.740000000005</v>
      </c>
      <c r="AM214" s="1"/>
      <c r="AN214" s="1"/>
      <c r="AO214" s="12" t="e">
        <f>AB214/#REF!</f>
        <v>#REF!</v>
      </c>
      <c r="AP214" s="1" t="s">
        <v>1430</v>
      </c>
      <c r="AQ214" s="11">
        <v>41789</v>
      </c>
      <c r="AR214" s="1" t="s">
        <v>1432</v>
      </c>
      <c r="AS214" s="11">
        <v>41790</v>
      </c>
      <c r="AT214" s="1" t="s">
        <v>49</v>
      </c>
      <c r="AU214" s="1" t="s">
        <v>4171</v>
      </c>
    </row>
    <row r="215" spans="1:47" ht="15" customHeight="1" x14ac:dyDescent="0.25">
      <c r="A215" s="1">
        <v>214</v>
      </c>
      <c r="B215" s="1" t="s">
        <v>1258</v>
      </c>
      <c r="C215" s="1" t="s">
        <v>38</v>
      </c>
      <c r="D215" s="1">
        <v>9103550065</v>
      </c>
      <c r="E215" s="5">
        <v>41758</v>
      </c>
      <c r="F215" s="1" t="s">
        <v>216</v>
      </c>
      <c r="G215" s="1" t="s">
        <v>40</v>
      </c>
      <c r="H215" s="1" t="s">
        <v>41</v>
      </c>
      <c r="I215" s="1" t="s">
        <v>2809</v>
      </c>
      <c r="J215" s="1" t="s">
        <v>837</v>
      </c>
      <c r="K215" s="1">
        <v>29159020</v>
      </c>
      <c r="L215" s="6">
        <v>19.850000000000001</v>
      </c>
      <c r="M215" s="1" t="s">
        <v>70</v>
      </c>
      <c r="N215" s="7" t="s">
        <v>44</v>
      </c>
      <c r="O215" s="1" t="s">
        <v>53</v>
      </c>
      <c r="P215" s="8">
        <v>4650</v>
      </c>
      <c r="Q215" s="17">
        <f t="shared" si="24"/>
        <v>92302.5</v>
      </c>
      <c r="R215" s="9">
        <v>6650</v>
      </c>
      <c r="S215" s="9">
        <v>18.28</v>
      </c>
      <c r="T215" s="9">
        <v>0</v>
      </c>
      <c r="U215" s="10">
        <v>0</v>
      </c>
      <c r="V215" s="1" t="s">
        <v>46</v>
      </c>
      <c r="W215" s="1" t="s">
        <v>56</v>
      </c>
      <c r="X215" s="1">
        <v>2199635</v>
      </c>
      <c r="Y215" s="11">
        <v>41745</v>
      </c>
      <c r="Z215" s="11">
        <v>41746</v>
      </c>
      <c r="AA215" s="9">
        <f t="shared" si="19"/>
        <v>85634.22</v>
      </c>
      <c r="AB215" s="12">
        <v>59.45</v>
      </c>
      <c r="AC215" s="9">
        <f t="shared" si="20"/>
        <v>5487383.625</v>
      </c>
      <c r="AD215" s="9">
        <f t="shared" si="21"/>
        <v>5090954.3790000007</v>
      </c>
      <c r="AE215" s="1" t="s">
        <v>57</v>
      </c>
      <c r="AF215" s="1" t="s">
        <v>53</v>
      </c>
      <c r="AG215" s="4">
        <f t="shared" si="22"/>
        <v>92302.5</v>
      </c>
      <c r="AH215" s="10">
        <v>92302.5</v>
      </c>
      <c r="AI215" s="10">
        <v>6555</v>
      </c>
      <c r="AJ215" s="10">
        <v>18.28</v>
      </c>
      <c r="AK215" s="10">
        <v>0</v>
      </c>
      <c r="AL215" s="9">
        <f t="shared" si="23"/>
        <v>85729.22</v>
      </c>
      <c r="AM215" s="1"/>
      <c r="AN215" s="1"/>
      <c r="AO215" s="12" t="e">
        <f>AB215/#REF!</f>
        <v>#REF!</v>
      </c>
      <c r="AP215" s="1" t="s">
        <v>1433</v>
      </c>
      <c r="AQ215" s="11">
        <v>41799</v>
      </c>
      <c r="AR215" s="1" t="s">
        <v>1434</v>
      </c>
      <c r="AS215" s="11">
        <v>41800</v>
      </c>
      <c r="AT215" s="1" t="s">
        <v>49</v>
      </c>
      <c r="AU215" s="1" t="s">
        <v>4171</v>
      </c>
    </row>
    <row r="216" spans="1:47" ht="15" customHeight="1" x14ac:dyDescent="0.25">
      <c r="A216" s="1">
        <v>215</v>
      </c>
      <c r="B216" s="1" t="s">
        <v>1258</v>
      </c>
      <c r="C216" s="1" t="s">
        <v>38</v>
      </c>
      <c r="D216" s="1" t="s">
        <v>1435</v>
      </c>
      <c r="E216" s="5">
        <v>41749</v>
      </c>
      <c r="F216" s="1" t="s">
        <v>181</v>
      </c>
      <c r="G216" s="1" t="s">
        <v>40</v>
      </c>
      <c r="H216" s="1" t="s">
        <v>41</v>
      </c>
      <c r="I216" s="1" t="s">
        <v>2809</v>
      </c>
      <c r="J216" s="1" t="s">
        <v>386</v>
      </c>
      <c r="K216" s="1">
        <v>38237090</v>
      </c>
      <c r="L216" s="6">
        <v>39.54</v>
      </c>
      <c r="M216" s="1" t="s">
        <v>70</v>
      </c>
      <c r="N216" s="7" t="s">
        <v>52</v>
      </c>
      <c r="O216" s="1" t="s">
        <v>53</v>
      </c>
      <c r="P216" s="8">
        <v>1858</v>
      </c>
      <c r="Q216" s="17">
        <f t="shared" si="24"/>
        <v>73465.319999999992</v>
      </c>
      <c r="R216" s="9">
        <v>2500</v>
      </c>
      <c r="S216" s="9">
        <v>0</v>
      </c>
      <c r="T216" s="9">
        <v>0</v>
      </c>
      <c r="U216" s="10">
        <v>0</v>
      </c>
      <c r="V216" s="1" t="s">
        <v>46</v>
      </c>
      <c r="W216" s="1" t="s">
        <v>241</v>
      </c>
      <c r="X216" s="1">
        <v>2180481</v>
      </c>
      <c r="Y216" s="11">
        <v>41744</v>
      </c>
      <c r="Z216" s="11">
        <v>41745</v>
      </c>
      <c r="AA216" s="9">
        <f t="shared" si="19"/>
        <v>70965.319999999992</v>
      </c>
      <c r="AB216" s="12">
        <v>59.45</v>
      </c>
      <c r="AC216" s="9">
        <f t="shared" si="20"/>
        <v>4367513.2740000002</v>
      </c>
      <c r="AD216" s="9">
        <f t="shared" si="21"/>
        <v>4218888.2740000002</v>
      </c>
      <c r="AE216" s="1" t="s">
        <v>48</v>
      </c>
      <c r="AF216" s="1" t="s">
        <v>53</v>
      </c>
      <c r="AG216" s="4">
        <f t="shared" si="22"/>
        <v>73465.319999999992</v>
      </c>
      <c r="AH216" s="10">
        <v>73465.320000000007</v>
      </c>
      <c r="AI216" s="9">
        <v>2500</v>
      </c>
      <c r="AJ216" s="10">
        <v>0</v>
      </c>
      <c r="AK216" s="10">
        <v>0</v>
      </c>
      <c r="AL216" s="9">
        <f t="shared" si="23"/>
        <v>70965.320000000007</v>
      </c>
      <c r="AM216" s="1"/>
      <c r="AN216" s="1"/>
      <c r="AO216" s="12" t="e">
        <f>AB216/#REF!</f>
        <v>#REF!</v>
      </c>
      <c r="AP216" s="1" t="s">
        <v>1436</v>
      </c>
      <c r="AQ216" s="11">
        <v>41816</v>
      </c>
      <c r="AR216" s="1" t="s">
        <v>1437</v>
      </c>
      <c r="AS216" s="11">
        <v>41818</v>
      </c>
      <c r="AT216" s="1" t="s">
        <v>49</v>
      </c>
      <c r="AU216" s="1" t="s">
        <v>4171</v>
      </c>
    </row>
    <row r="217" spans="1:47" ht="15" customHeight="1" x14ac:dyDescent="0.25">
      <c r="A217" s="1">
        <v>216</v>
      </c>
      <c r="B217" s="1" t="s">
        <v>1258</v>
      </c>
      <c r="C217" s="1" t="s">
        <v>38</v>
      </c>
      <c r="D217" s="1" t="s">
        <v>1435</v>
      </c>
      <c r="E217" s="5">
        <v>41749</v>
      </c>
      <c r="F217" s="1" t="s">
        <v>180</v>
      </c>
      <c r="G217" s="1" t="s">
        <v>40</v>
      </c>
      <c r="H217" s="1" t="s">
        <v>41</v>
      </c>
      <c r="I217" s="1" t="s">
        <v>2809</v>
      </c>
      <c r="J217" s="1" t="s">
        <v>386</v>
      </c>
      <c r="K217" s="1">
        <v>38237090</v>
      </c>
      <c r="L217" s="6">
        <v>99.35</v>
      </c>
      <c r="M217" s="1" t="s">
        <v>70</v>
      </c>
      <c r="N217" s="7" t="s">
        <v>52</v>
      </c>
      <c r="O217" s="1" t="s">
        <v>53</v>
      </c>
      <c r="P217" s="8">
        <v>1933</v>
      </c>
      <c r="Q217" s="17">
        <f t="shared" si="24"/>
        <v>192043.55</v>
      </c>
      <c r="R217" s="9">
        <v>6250</v>
      </c>
      <c r="S217" s="9">
        <v>0</v>
      </c>
      <c r="T217" s="9">
        <v>0</v>
      </c>
      <c r="U217" s="10">
        <v>0</v>
      </c>
      <c r="V217" s="1" t="s">
        <v>46</v>
      </c>
      <c r="W217" s="1" t="s">
        <v>241</v>
      </c>
      <c r="X217" s="1">
        <v>2183632</v>
      </c>
      <c r="Y217" s="11">
        <v>41744</v>
      </c>
      <c r="Z217" s="11">
        <v>41745</v>
      </c>
      <c r="AA217" s="9">
        <f t="shared" si="19"/>
        <v>185793.55</v>
      </c>
      <c r="AB217" s="12">
        <v>59.45</v>
      </c>
      <c r="AC217" s="9">
        <f t="shared" si="20"/>
        <v>11416989.047499999</v>
      </c>
      <c r="AD217" s="9">
        <f t="shared" si="21"/>
        <v>11045426.547499999</v>
      </c>
      <c r="AE217" s="1" t="s">
        <v>48</v>
      </c>
      <c r="AF217" s="1" t="s">
        <v>53</v>
      </c>
      <c r="AG217" s="4">
        <f t="shared" si="22"/>
        <v>192043.55</v>
      </c>
      <c r="AH217" s="10">
        <v>192043.55</v>
      </c>
      <c r="AI217" s="9">
        <v>6250</v>
      </c>
      <c r="AJ217" s="10">
        <v>0</v>
      </c>
      <c r="AK217" s="10">
        <v>0</v>
      </c>
      <c r="AL217" s="9">
        <f t="shared" si="23"/>
        <v>185793.55</v>
      </c>
      <c r="AM217" s="1"/>
      <c r="AN217" s="1"/>
      <c r="AO217" s="12" t="e">
        <f>AB217/#REF!</f>
        <v>#REF!</v>
      </c>
      <c r="AP217" s="1" t="s">
        <v>1436</v>
      </c>
      <c r="AQ217" s="11">
        <v>41816</v>
      </c>
      <c r="AR217" s="1" t="s">
        <v>1438</v>
      </c>
      <c r="AS217" s="11">
        <v>41818</v>
      </c>
      <c r="AT217" s="1" t="s">
        <v>49</v>
      </c>
      <c r="AU217" s="1" t="s">
        <v>4171</v>
      </c>
    </row>
    <row r="218" spans="1:47" ht="15" customHeight="1" x14ac:dyDescent="0.25">
      <c r="A218" s="1">
        <v>217</v>
      </c>
      <c r="B218" s="1" t="s">
        <v>1258</v>
      </c>
      <c r="C218" s="1" t="s">
        <v>38</v>
      </c>
      <c r="D218" s="1" t="s">
        <v>1435</v>
      </c>
      <c r="E218" s="5">
        <v>41749</v>
      </c>
      <c r="F218" s="1" t="s">
        <v>179</v>
      </c>
      <c r="G218" s="1" t="s">
        <v>40</v>
      </c>
      <c r="H218" s="1" t="s">
        <v>41</v>
      </c>
      <c r="I218" s="1" t="s">
        <v>2809</v>
      </c>
      <c r="J218" s="1" t="s">
        <v>386</v>
      </c>
      <c r="K218" s="1">
        <v>38237090</v>
      </c>
      <c r="L218" s="6">
        <v>19.579999999999998</v>
      </c>
      <c r="M218" s="1" t="s">
        <v>70</v>
      </c>
      <c r="N218" s="7" t="s">
        <v>52</v>
      </c>
      <c r="O218" s="1" t="s">
        <v>53</v>
      </c>
      <c r="P218" s="8">
        <v>1933</v>
      </c>
      <c r="Q218" s="17">
        <f t="shared" si="24"/>
        <v>37848.14</v>
      </c>
      <c r="R218" s="9">
        <v>1250</v>
      </c>
      <c r="S218" s="9">
        <v>0</v>
      </c>
      <c r="T218" s="9">
        <v>0</v>
      </c>
      <c r="U218" s="10">
        <v>0</v>
      </c>
      <c r="V218" s="1" t="s">
        <v>46</v>
      </c>
      <c r="W218" s="1" t="s">
        <v>241</v>
      </c>
      <c r="X218" s="1">
        <v>2199206</v>
      </c>
      <c r="Y218" s="11">
        <v>41745</v>
      </c>
      <c r="Z218" s="11">
        <v>41746</v>
      </c>
      <c r="AA218" s="9">
        <f t="shared" si="19"/>
        <v>36598.14</v>
      </c>
      <c r="AB218" s="12">
        <v>59.45</v>
      </c>
      <c r="AC218" s="9">
        <f t="shared" si="20"/>
        <v>2250071.923</v>
      </c>
      <c r="AD218" s="9">
        <f t="shared" si="21"/>
        <v>2175759.423</v>
      </c>
      <c r="AE218" s="1" t="s">
        <v>48</v>
      </c>
      <c r="AF218" s="1" t="s">
        <v>53</v>
      </c>
      <c r="AG218" s="4">
        <f t="shared" si="22"/>
        <v>37848.14</v>
      </c>
      <c r="AH218" s="10">
        <v>37848.14</v>
      </c>
      <c r="AI218" s="9">
        <v>1250</v>
      </c>
      <c r="AJ218" s="10">
        <v>0</v>
      </c>
      <c r="AK218" s="10">
        <v>0</v>
      </c>
      <c r="AL218" s="9">
        <f t="shared" si="23"/>
        <v>36598.14</v>
      </c>
      <c r="AM218" s="1"/>
      <c r="AN218" s="1"/>
      <c r="AO218" s="12" t="e">
        <f>AB218/#REF!</f>
        <v>#REF!</v>
      </c>
      <c r="AP218" s="1" t="s">
        <v>1436</v>
      </c>
      <c r="AQ218" s="11">
        <v>41816</v>
      </c>
      <c r="AR218" s="1" t="s">
        <v>1439</v>
      </c>
      <c r="AS218" s="11">
        <v>41818</v>
      </c>
      <c r="AT218" s="1" t="s">
        <v>49</v>
      </c>
      <c r="AU218" s="1" t="s">
        <v>4171</v>
      </c>
    </row>
    <row r="219" spans="1:47" ht="15" customHeight="1" x14ac:dyDescent="0.25">
      <c r="A219" s="1">
        <v>218</v>
      </c>
      <c r="B219" s="1" t="s">
        <v>1258</v>
      </c>
      <c r="C219" s="1" t="s">
        <v>38</v>
      </c>
      <c r="D219" s="1" t="s">
        <v>1435</v>
      </c>
      <c r="E219" s="5">
        <v>41749</v>
      </c>
      <c r="F219" s="1" t="s">
        <v>207</v>
      </c>
      <c r="G219" s="1" t="s">
        <v>40</v>
      </c>
      <c r="H219" s="1" t="s">
        <v>41</v>
      </c>
      <c r="I219" s="1" t="s">
        <v>2809</v>
      </c>
      <c r="J219" s="1" t="s">
        <v>386</v>
      </c>
      <c r="K219" s="1">
        <v>38237090</v>
      </c>
      <c r="L219" s="6">
        <v>78.88</v>
      </c>
      <c r="M219" s="1" t="s">
        <v>70</v>
      </c>
      <c r="N219" s="7" t="s">
        <v>52</v>
      </c>
      <c r="O219" s="1" t="s">
        <v>53</v>
      </c>
      <c r="P219" s="8">
        <v>1933</v>
      </c>
      <c r="Q219" s="17">
        <f t="shared" si="24"/>
        <v>152475.03999999998</v>
      </c>
      <c r="R219" s="9">
        <v>5000</v>
      </c>
      <c r="S219" s="9">
        <v>0</v>
      </c>
      <c r="T219" s="9">
        <v>0</v>
      </c>
      <c r="U219" s="10">
        <v>0</v>
      </c>
      <c r="V219" s="1" t="s">
        <v>46</v>
      </c>
      <c r="W219" s="1" t="s">
        <v>241</v>
      </c>
      <c r="X219" s="1">
        <v>2199647</v>
      </c>
      <c r="Y219" s="11">
        <v>41745</v>
      </c>
      <c r="Z219" s="11">
        <v>41746</v>
      </c>
      <c r="AA219" s="9">
        <f t="shared" si="19"/>
        <v>147475.03999999998</v>
      </c>
      <c r="AB219" s="12">
        <v>59.45</v>
      </c>
      <c r="AC219" s="9">
        <f t="shared" si="20"/>
        <v>9064641.1279999986</v>
      </c>
      <c r="AD219" s="9">
        <f t="shared" si="21"/>
        <v>8767391.1279999986</v>
      </c>
      <c r="AE219" s="1" t="s">
        <v>48</v>
      </c>
      <c r="AF219" s="1" t="s">
        <v>53</v>
      </c>
      <c r="AG219" s="4">
        <f t="shared" si="22"/>
        <v>152475.03999999998</v>
      </c>
      <c r="AH219" s="10">
        <v>152475.04</v>
      </c>
      <c r="AI219" s="9">
        <v>5000</v>
      </c>
      <c r="AJ219" s="10">
        <v>0</v>
      </c>
      <c r="AK219" s="10">
        <v>0</v>
      </c>
      <c r="AL219" s="9">
        <f t="shared" si="23"/>
        <v>147475.04</v>
      </c>
      <c r="AM219" s="1"/>
      <c r="AN219" s="1"/>
      <c r="AO219" s="12" t="e">
        <f>AB219/#REF!</f>
        <v>#REF!</v>
      </c>
      <c r="AP219" s="1" t="s">
        <v>1436</v>
      </c>
      <c r="AQ219" s="11">
        <v>41816</v>
      </c>
      <c r="AR219" s="1" t="s">
        <v>1440</v>
      </c>
      <c r="AS219" s="11">
        <v>41818</v>
      </c>
      <c r="AT219" s="1" t="s">
        <v>49</v>
      </c>
      <c r="AU219" s="1" t="s">
        <v>4171</v>
      </c>
    </row>
    <row r="220" spans="1:47" ht="15" customHeight="1" x14ac:dyDescent="0.25">
      <c r="A220" s="1">
        <v>219</v>
      </c>
      <c r="B220" s="1" t="s">
        <v>1258</v>
      </c>
      <c r="C220" s="1" t="s">
        <v>38</v>
      </c>
      <c r="D220" s="1">
        <v>9103550068</v>
      </c>
      <c r="E220" s="5">
        <v>41758</v>
      </c>
      <c r="F220" s="1" t="s">
        <v>191</v>
      </c>
      <c r="G220" s="1" t="s">
        <v>40</v>
      </c>
      <c r="H220" s="1" t="s">
        <v>41</v>
      </c>
      <c r="I220" s="1" t="s">
        <v>2809</v>
      </c>
      <c r="J220" s="1" t="s">
        <v>837</v>
      </c>
      <c r="K220" s="1">
        <v>38231900</v>
      </c>
      <c r="L220" s="6">
        <v>20.170000000000002</v>
      </c>
      <c r="M220" s="1" t="s">
        <v>70</v>
      </c>
      <c r="N220" s="7" t="s">
        <v>44</v>
      </c>
      <c r="O220" s="1" t="s">
        <v>53</v>
      </c>
      <c r="P220" s="8">
        <v>3600</v>
      </c>
      <c r="Q220" s="17">
        <f t="shared" si="24"/>
        <v>72612</v>
      </c>
      <c r="R220" s="9">
        <v>6650</v>
      </c>
      <c r="S220" s="9">
        <v>14.38</v>
      </c>
      <c r="T220" s="9">
        <v>0</v>
      </c>
      <c r="U220" s="10">
        <v>0</v>
      </c>
      <c r="V220" s="1" t="s">
        <v>46</v>
      </c>
      <c r="W220" s="1" t="s">
        <v>56</v>
      </c>
      <c r="X220" s="1">
        <v>2205571</v>
      </c>
      <c r="Y220" s="11">
        <v>41745</v>
      </c>
      <c r="Z220" s="11">
        <v>41746</v>
      </c>
      <c r="AA220" s="9">
        <f t="shared" si="19"/>
        <v>65947.62</v>
      </c>
      <c r="AB220" s="12">
        <v>59.45</v>
      </c>
      <c r="AC220" s="9">
        <f t="shared" si="20"/>
        <v>4316783.4000000004</v>
      </c>
      <c r="AD220" s="9">
        <f t="shared" si="21"/>
        <v>3920586.0090000001</v>
      </c>
      <c r="AE220" s="1" t="s">
        <v>57</v>
      </c>
      <c r="AF220" s="1" t="s">
        <v>53</v>
      </c>
      <c r="AG220" s="4">
        <f t="shared" si="22"/>
        <v>72612</v>
      </c>
      <c r="AH220" s="10">
        <v>72607</v>
      </c>
      <c r="AI220" s="10">
        <v>6250</v>
      </c>
      <c r="AJ220" s="10">
        <v>10.38</v>
      </c>
      <c r="AK220" s="10">
        <v>0</v>
      </c>
      <c r="AL220" s="9">
        <f t="shared" si="23"/>
        <v>66346.62</v>
      </c>
      <c r="AM220" s="1"/>
      <c r="AN220" s="1"/>
      <c r="AO220" s="12" t="e">
        <f>AB220/#REF!</f>
        <v>#REF!</v>
      </c>
      <c r="AP220" s="1" t="s">
        <v>1441</v>
      </c>
      <c r="AQ220" s="11">
        <v>41799</v>
      </c>
      <c r="AR220" s="1" t="s">
        <v>1442</v>
      </c>
      <c r="AS220" s="11">
        <v>41800</v>
      </c>
      <c r="AT220" s="1" t="s">
        <v>49</v>
      </c>
      <c r="AU220" s="1" t="s">
        <v>4171</v>
      </c>
    </row>
    <row r="221" spans="1:47" ht="15" customHeight="1" x14ac:dyDescent="0.25">
      <c r="A221" s="1">
        <v>220</v>
      </c>
      <c r="B221" s="1" t="s">
        <v>1258</v>
      </c>
      <c r="C221" s="1" t="s">
        <v>38</v>
      </c>
      <c r="D221" s="1">
        <v>9103550069</v>
      </c>
      <c r="E221" s="5">
        <v>41749</v>
      </c>
      <c r="F221" s="1" t="s">
        <v>168</v>
      </c>
      <c r="G221" s="1" t="s">
        <v>40</v>
      </c>
      <c r="H221" s="1" t="s">
        <v>41</v>
      </c>
      <c r="I221" s="1" t="s">
        <v>2809</v>
      </c>
      <c r="J221" s="1" t="s">
        <v>2806</v>
      </c>
      <c r="K221" s="1">
        <v>38237090</v>
      </c>
      <c r="L221" s="6">
        <v>57.14</v>
      </c>
      <c r="M221" s="1" t="s">
        <v>70</v>
      </c>
      <c r="N221" s="7" t="s">
        <v>67</v>
      </c>
      <c r="O221" s="1" t="s">
        <v>53</v>
      </c>
      <c r="P221" s="8">
        <v>1450</v>
      </c>
      <c r="Q221" s="17">
        <f t="shared" si="24"/>
        <v>82853</v>
      </c>
      <c r="R221" s="9">
        <v>0</v>
      </c>
      <c r="S221" s="9">
        <v>0</v>
      </c>
      <c r="T221" s="9">
        <v>0</v>
      </c>
      <c r="U221" s="10">
        <v>0</v>
      </c>
      <c r="V221" s="1" t="s">
        <v>46</v>
      </c>
      <c r="W221" s="1" t="s">
        <v>492</v>
      </c>
      <c r="X221" s="1">
        <v>2177147</v>
      </c>
      <c r="Y221" s="11">
        <v>41744</v>
      </c>
      <c r="Z221" s="11">
        <v>41745</v>
      </c>
      <c r="AA221" s="9">
        <f t="shared" si="19"/>
        <v>82853</v>
      </c>
      <c r="AB221" s="12">
        <v>59.45</v>
      </c>
      <c r="AC221" s="9">
        <f t="shared" si="20"/>
        <v>4925610.8500000006</v>
      </c>
      <c r="AD221" s="9">
        <f t="shared" si="21"/>
        <v>4925610.8500000006</v>
      </c>
      <c r="AE221" s="1" t="s">
        <v>48</v>
      </c>
      <c r="AF221" s="1" t="s">
        <v>53</v>
      </c>
      <c r="AG221" s="4">
        <f t="shared" si="22"/>
        <v>82853</v>
      </c>
      <c r="AH221" s="10">
        <v>82801</v>
      </c>
      <c r="AI221" s="9">
        <v>0</v>
      </c>
      <c r="AJ221" s="9">
        <v>0</v>
      </c>
      <c r="AK221" s="9">
        <v>0</v>
      </c>
      <c r="AL221" s="9">
        <f t="shared" si="23"/>
        <v>82801</v>
      </c>
      <c r="AM221" s="1"/>
      <c r="AN221" s="1"/>
      <c r="AO221" s="12" t="e">
        <f>AB221/#REF!</f>
        <v>#REF!</v>
      </c>
      <c r="AP221" s="1" t="s">
        <v>1443</v>
      </c>
      <c r="AQ221" s="11">
        <v>41888</v>
      </c>
      <c r="AR221" s="1" t="s">
        <v>1444</v>
      </c>
      <c r="AS221" s="11">
        <v>41890</v>
      </c>
      <c r="AT221" s="1" t="s">
        <v>49</v>
      </c>
      <c r="AU221" s="1" t="s">
        <v>4171</v>
      </c>
    </row>
    <row r="222" spans="1:47" ht="15" customHeight="1" x14ac:dyDescent="0.25">
      <c r="A222" s="1">
        <v>221</v>
      </c>
      <c r="B222" s="1" t="s">
        <v>1258</v>
      </c>
      <c r="C222" s="1" t="s">
        <v>38</v>
      </c>
      <c r="D222" s="1" t="s">
        <v>1445</v>
      </c>
      <c r="E222" s="5">
        <v>41751</v>
      </c>
      <c r="F222" s="1" t="s">
        <v>217</v>
      </c>
      <c r="G222" s="1" t="s">
        <v>40</v>
      </c>
      <c r="H222" s="1" t="s">
        <v>41</v>
      </c>
      <c r="I222" s="1" t="s">
        <v>2809</v>
      </c>
      <c r="J222" s="1" t="s">
        <v>2641</v>
      </c>
      <c r="K222" s="1">
        <v>38237090</v>
      </c>
      <c r="L222" s="6">
        <v>84</v>
      </c>
      <c r="M222" s="1" t="s">
        <v>70</v>
      </c>
      <c r="N222" s="7" t="s">
        <v>44</v>
      </c>
      <c r="O222" s="1" t="s">
        <v>53</v>
      </c>
      <c r="P222" s="8">
        <v>4150</v>
      </c>
      <c r="Q222" s="17">
        <f t="shared" si="24"/>
        <v>348600</v>
      </c>
      <c r="R222" s="9">
        <v>1190</v>
      </c>
      <c r="S222" s="9">
        <v>69.02</v>
      </c>
      <c r="T222" s="9">
        <v>0</v>
      </c>
      <c r="U222" s="10">
        <v>0</v>
      </c>
      <c r="V222" s="1" t="s">
        <v>46</v>
      </c>
      <c r="W222" s="1" t="s">
        <v>54</v>
      </c>
      <c r="X222" s="1">
        <v>2205841</v>
      </c>
      <c r="Y222" s="11">
        <v>41745</v>
      </c>
      <c r="Z222" s="11">
        <v>41746</v>
      </c>
      <c r="AA222" s="9">
        <f t="shared" si="19"/>
        <v>347340.98</v>
      </c>
      <c r="AB222" s="12">
        <v>59.45</v>
      </c>
      <c r="AC222" s="9">
        <f t="shared" si="20"/>
        <v>20724270</v>
      </c>
      <c r="AD222" s="9">
        <f t="shared" si="21"/>
        <v>20649421.261</v>
      </c>
      <c r="AE222" s="1" t="s">
        <v>48</v>
      </c>
      <c r="AF222" s="1" t="s">
        <v>53</v>
      </c>
      <c r="AG222" s="4">
        <f t="shared" si="22"/>
        <v>348600</v>
      </c>
      <c r="AH222" s="10">
        <v>348600</v>
      </c>
      <c r="AI222" s="9">
        <v>1190</v>
      </c>
      <c r="AJ222" s="10">
        <v>49.84</v>
      </c>
      <c r="AK222" s="10">
        <v>0</v>
      </c>
      <c r="AL222" s="9">
        <f t="shared" si="23"/>
        <v>347360.16</v>
      </c>
      <c r="AM222" s="1"/>
      <c r="AN222" s="1"/>
      <c r="AO222" s="12" t="e">
        <f>AB222/#REF!</f>
        <v>#REF!</v>
      </c>
      <c r="AP222" s="1" t="s">
        <v>1446</v>
      </c>
      <c r="AQ222" s="11">
        <v>41842</v>
      </c>
      <c r="AR222" s="1" t="s">
        <v>1447</v>
      </c>
      <c r="AS222" s="11">
        <v>41843</v>
      </c>
      <c r="AT222" s="1" t="s">
        <v>49</v>
      </c>
      <c r="AU222" s="1" t="s">
        <v>4171</v>
      </c>
    </row>
    <row r="223" spans="1:47" ht="15" customHeight="1" x14ac:dyDescent="0.25">
      <c r="A223" s="1">
        <v>222</v>
      </c>
      <c r="B223" s="1" t="s">
        <v>1258</v>
      </c>
      <c r="C223" s="1" t="s">
        <v>38</v>
      </c>
      <c r="D223" s="1" t="s">
        <v>1445</v>
      </c>
      <c r="E223" s="5">
        <v>41751</v>
      </c>
      <c r="F223" s="1" t="s">
        <v>197</v>
      </c>
      <c r="G223" s="1" t="s">
        <v>40</v>
      </c>
      <c r="H223" s="1" t="s">
        <v>41</v>
      </c>
      <c r="I223" s="1" t="s">
        <v>2809</v>
      </c>
      <c r="J223" s="1" t="s">
        <v>2641</v>
      </c>
      <c r="K223" s="1">
        <v>38237090</v>
      </c>
      <c r="L223" s="6">
        <v>36</v>
      </c>
      <c r="M223" s="1" t="s">
        <v>70</v>
      </c>
      <c r="N223" s="7" t="s">
        <v>44</v>
      </c>
      <c r="O223" s="1" t="s">
        <v>53</v>
      </c>
      <c r="P223" s="8">
        <v>4150</v>
      </c>
      <c r="Q223" s="17">
        <f t="shared" si="24"/>
        <v>149400</v>
      </c>
      <c r="R223" s="9">
        <v>510</v>
      </c>
      <c r="S223" s="9">
        <v>29.58</v>
      </c>
      <c r="T223" s="9">
        <v>0</v>
      </c>
      <c r="U223" s="10">
        <v>0</v>
      </c>
      <c r="V223" s="1" t="s">
        <v>46</v>
      </c>
      <c r="W223" s="1" t="s">
        <v>54</v>
      </c>
      <c r="X223" s="1">
        <v>2223222</v>
      </c>
      <c r="Y223" s="11">
        <v>41746</v>
      </c>
      <c r="Z223" s="11">
        <v>41748</v>
      </c>
      <c r="AA223" s="9">
        <f t="shared" si="19"/>
        <v>148860.42000000001</v>
      </c>
      <c r="AB223" s="12">
        <v>59.45</v>
      </c>
      <c r="AC223" s="9">
        <f t="shared" si="20"/>
        <v>8881830</v>
      </c>
      <c r="AD223" s="9">
        <f t="shared" si="21"/>
        <v>8849751.9690000005</v>
      </c>
      <c r="AE223" s="1" t="s">
        <v>48</v>
      </c>
      <c r="AF223" s="1" t="s">
        <v>53</v>
      </c>
      <c r="AG223" s="4">
        <f t="shared" si="22"/>
        <v>149400</v>
      </c>
      <c r="AH223" s="10">
        <v>149400</v>
      </c>
      <c r="AI223" s="9">
        <v>510</v>
      </c>
      <c r="AJ223" s="10">
        <v>21.37</v>
      </c>
      <c r="AK223" s="10">
        <v>0</v>
      </c>
      <c r="AL223" s="9">
        <f t="shared" si="23"/>
        <v>148868.63</v>
      </c>
      <c r="AM223" s="1"/>
      <c r="AN223" s="1"/>
      <c r="AO223" s="12" t="e">
        <f>AB223/#REF!</f>
        <v>#REF!</v>
      </c>
      <c r="AP223" s="1" t="s">
        <v>1446</v>
      </c>
      <c r="AQ223" s="11">
        <v>41842</v>
      </c>
      <c r="AR223" s="1" t="s">
        <v>1448</v>
      </c>
      <c r="AS223" s="11">
        <v>41843</v>
      </c>
      <c r="AT223" s="1" t="s">
        <v>49</v>
      </c>
      <c r="AU223" s="1" t="s">
        <v>4171</v>
      </c>
    </row>
    <row r="224" spans="1:47" ht="15" customHeight="1" x14ac:dyDescent="0.25">
      <c r="A224" s="1">
        <v>223</v>
      </c>
      <c r="B224" s="1" t="s">
        <v>1258</v>
      </c>
      <c r="C224" s="1" t="s">
        <v>38</v>
      </c>
      <c r="D224" s="1">
        <v>9103550071</v>
      </c>
      <c r="E224" s="5">
        <v>41746</v>
      </c>
      <c r="F224" s="1" t="s">
        <v>193</v>
      </c>
      <c r="G224" s="1" t="s">
        <v>40</v>
      </c>
      <c r="H224" s="1" t="s">
        <v>41</v>
      </c>
      <c r="I224" s="1" t="s">
        <v>2809</v>
      </c>
      <c r="J224" s="1" t="s">
        <v>2660</v>
      </c>
      <c r="K224" s="1">
        <v>29051700</v>
      </c>
      <c r="L224" s="6">
        <v>13.6</v>
      </c>
      <c r="M224" s="1" t="s">
        <v>70</v>
      </c>
      <c r="N224" s="7" t="s">
        <v>44</v>
      </c>
      <c r="O224" s="1" t="s">
        <v>53</v>
      </c>
      <c r="P224" s="8">
        <v>1798</v>
      </c>
      <c r="Q224" s="17">
        <f t="shared" si="24"/>
        <v>24452.799999999999</v>
      </c>
      <c r="R224" s="9">
        <v>170</v>
      </c>
      <c r="S224" s="9">
        <v>4.84</v>
      </c>
      <c r="T224" s="9">
        <v>0</v>
      </c>
      <c r="U224" s="10">
        <v>0</v>
      </c>
      <c r="V224" s="1" t="s">
        <v>46</v>
      </c>
      <c r="W224" s="1" t="s">
        <v>75</v>
      </c>
      <c r="X224" s="1">
        <v>2222557</v>
      </c>
      <c r="Y224" s="11">
        <v>41746</v>
      </c>
      <c r="Z224" s="11">
        <v>41748</v>
      </c>
      <c r="AA224" s="9">
        <f t="shared" si="19"/>
        <v>24277.96</v>
      </c>
      <c r="AB224" s="12">
        <v>59.45</v>
      </c>
      <c r="AC224" s="9">
        <f t="shared" si="20"/>
        <v>1453718.96</v>
      </c>
      <c r="AD224" s="9">
        <f t="shared" si="21"/>
        <v>1443324.7220000001</v>
      </c>
      <c r="AE224" s="1" t="s">
        <v>48</v>
      </c>
      <c r="AF224" s="1" t="s">
        <v>53</v>
      </c>
      <c r="AG224" s="4">
        <f t="shared" si="22"/>
        <v>24452.799999999999</v>
      </c>
      <c r="AH224" s="10">
        <v>24452.799999999999</v>
      </c>
      <c r="AI224" s="10">
        <v>230</v>
      </c>
      <c r="AJ224" s="10">
        <v>3.5</v>
      </c>
      <c r="AK224" s="10">
        <v>0</v>
      </c>
      <c r="AL224" s="9">
        <f t="shared" si="23"/>
        <v>24219.3</v>
      </c>
      <c r="AM224" s="1"/>
      <c r="AN224" s="1"/>
      <c r="AO224" s="12" t="e">
        <f>AB224/#REF!</f>
        <v>#REF!</v>
      </c>
      <c r="AP224" s="1" t="s">
        <v>1449</v>
      </c>
      <c r="AQ224" s="11">
        <v>41789</v>
      </c>
      <c r="AR224" s="1" t="s">
        <v>1450</v>
      </c>
      <c r="AS224" s="11">
        <v>41790</v>
      </c>
      <c r="AT224" s="1" t="s">
        <v>49</v>
      </c>
      <c r="AU224" s="1" t="s">
        <v>4171</v>
      </c>
    </row>
    <row r="225" spans="1:47" ht="15" customHeight="1" x14ac:dyDescent="0.25">
      <c r="A225" s="1">
        <v>224</v>
      </c>
      <c r="B225" s="1" t="s">
        <v>1258</v>
      </c>
      <c r="C225" s="1" t="s">
        <v>38</v>
      </c>
      <c r="D225" s="1">
        <v>9103550072</v>
      </c>
      <c r="E225" s="5">
        <v>41750</v>
      </c>
      <c r="F225" s="1" t="s">
        <v>198</v>
      </c>
      <c r="G225" s="1" t="s">
        <v>40</v>
      </c>
      <c r="H225" s="1" t="s">
        <v>41</v>
      </c>
      <c r="I225" s="1" t="s">
        <v>2809</v>
      </c>
      <c r="J225" s="1" t="s">
        <v>50</v>
      </c>
      <c r="K225" s="1">
        <v>38237090</v>
      </c>
      <c r="L225" s="6">
        <v>24</v>
      </c>
      <c r="M225" s="1" t="s">
        <v>70</v>
      </c>
      <c r="N225" s="7" t="s">
        <v>52</v>
      </c>
      <c r="O225" s="1" t="s">
        <v>53</v>
      </c>
      <c r="P225" s="8">
        <v>1720</v>
      </c>
      <c r="Q225" s="17">
        <f t="shared" si="24"/>
        <v>41280</v>
      </c>
      <c r="R225" s="9">
        <v>2000</v>
      </c>
      <c r="S225" s="9">
        <v>0</v>
      </c>
      <c r="T225" s="9">
        <v>0</v>
      </c>
      <c r="U225" s="10">
        <v>0</v>
      </c>
      <c r="V225" s="1" t="s">
        <v>46</v>
      </c>
      <c r="W225" s="1" t="s">
        <v>62</v>
      </c>
      <c r="X225" s="1">
        <v>2222946</v>
      </c>
      <c r="Y225" s="11">
        <v>41746</v>
      </c>
      <c r="Z225" s="11">
        <v>41748</v>
      </c>
      <c r="AA225" s="9">
        <f t="shared" si="19"/>
        <v>39280</v>
      </c>
      <c r="AB225" s="12">
        <v>59.45</v>
      </c>
      <c r="AC225" s="9">
        <f t="shared" si="20"/>
        <v>2454096</v>
      </c>
      <c r="AD225" s="9">
        <f t="shared" si="21"/>
        <v>2335196</v>
      </c>
      <c r="AE225" s="1" t="s">
        <v>51</v>
      </c>
      <c r="AF225" s="1" t="s">
        <v>53</v>
      </c>
      <c r="AG225" s="4">
        <f t="shared" si="22"/>
        <v>41280</v>
      </c>
      <c r="AH225" s="10">
        <v>41103</v>
      </c>
      <c r="AI225" s="10">
        <v>1925</v>
      </c>
      <c r="AJ225" s="10">
        <v>0</v>
      </c>
      <c r="AK225" s="10">
        <v>0</v>
      </c>
      <c r="AL225" s="9">
        <f t="shared" si="23"/>
        <v>39178</v>
      </c>
      <c r="AM225" s="1"/>
      <c r="AN225" s="1"/>
      <c r="AO225" s="12" t="e">
        <f>AB225/#REF!</f>
        <v>#REF!</v>
      </c>
      <c r="AP225" s="1" t="s">
        <v>1451</v>
      </c>
      <c r="AQ225" s="11">
        <v>41814</v>
      </c>
      <c r="AR225" s="1" t="s">
        <v>1452</v>
      </c>
      <c r="AS225" s="11">
        <v>41832</v>
      </c>
      <c r="AT225" s="1" t="s">
        <v>49</v>
      </c>
      <c r="AU225" s="1" t="s">
        <v>4171</v>
      </c>
    </row>
    <row r="226" spans="1:47" ht="15" customHeight="1" x14ac:dyDescent="0.25">
      <c r="A226" s="1">
        <v>225</v>
      </c>
      <c r="B226" s="1" t="s">
        <v>1258</v>
      </c>
      <c r="C226" s="1" t="s">
        <v>38</v>
      </c>
      <c r="D226" s="1">
        <v>9103550073</v>
      </c>
      <c r="E226" s="5">
        <v>41753</v>
      </c>
      <c r="F226" s="1" t="s">
        <v>199</v>
      </c>
      <c r="G226" s="1" t="s">
        <v>40</v>
      </c>
      <c r="H226" s="1" t="s">
        <v>41</v>
      </c>
      <c r="I226" s="1" t="s">
        <v>2809</v>
      </c>
      <c r="J226" s="1" t="s">
        <v>63</v>
      </c>
      <c r="K226" s="1">
        <v>29161990</v>
      </c>
      <c r="L226" s="6">
        <v>38.92</v>
      </c>
      <c r="M226" s="1" t="s">
        <v>70</v>
      </c>
      <c r="N226" s="7" t="s">
        <v>44</v>
      </c>
      <c r="O226" s="1" t="s">
        <v>53</v>
      </c>
      <c r="P226" s="8">
        <v>2765</v>
      </c>
      <c r="Q226" s="17">
        <f t="shared" si="24"/>
        <v>107613.8</v>
      </c>
      <c r="R226" s="9">
        <v>1120</v>
      </c>
      <c r="S226" s="9">
        <v>21.31</v>
      </c>
      <c r="T226" s="9">
        <v>0</v>
      </c>
      <c r="U226" s="10">
        <v>0</v>
      </c>
      <c r="V226" s="1" t="s">
        <v>46</v>
      </c>
      <c r="W226" s="1" t="s">
        <v>64</v>
      </c>
      <c r="X226" s="1">
        <v>2227611</v>
      </c>
      <c r="Y226" s="11">
        <v>41746</v>
      </c>
      <c r="Z226" s="11">
        <v>41748</v>
      </c>
      <c r="AA226" s="9">
        <f t="shared" si="19"/>
        <v>106472.49</v>
      </c>
      <c r="AB226" s="12">
        <v>59.45</v>
      </c>
      <c r="AC226" s="9">
        <f t="shared" si="20"/>
        <v>6397640.4100000001</v>
      </c>
      <c r="AD226" s="9">
        <f t="shared" si="21"/>
        <v>6329789.5305000003</v>
      </c>
      <c r="AE226" s="1" t="s">
        <v>51</v>
      </c>
      <c r="AF226" s="1" t="s">
        <v>53</v>
      </c>
      <c r="AG226" s="4">
        <f t="shared" si="22"/>
        <v>107613.8</v>
      </c>
      <c r="AH226" s="10">
        <v>107573</v>
      </c>
      <c r="AI226" s="10">
        <v>1120</v>
      </c>
      <c r="AJ226" s="10">
        <v>15.39</v>
      </c>
      <c r="AK226" s="10">
        <v>0</v>
      </c>
      <c r="AL226" s="9">
        <f t="shared" si="23"/>
        <v>106437.61</v>
      </c>
      <c r="AM226" s="1"/>
      <c r="AN226" s="1"/>
      <c r="AO226" s="12" t="e">
        <f>AB226/#REF!</f>
        <v>#REF!</v>
      </c>
      <c r="AP226" s="1" t="s">
        <v>1453</v>
      </c>
      <c r="AQ226" s="11">
        <v>41789</v>
      </c>
      <c r="AR226" s="1" t="s">
        <v>1454</v>
      </c>
      <c r="AS226" s="11">
        <v>41841</v>
      </c>
      <c r="AT226" s="1" t="s">
        <v>49</v>
      </c>
      <c r="AU226" s="1" t="s">
        <v>4171</v>
      </c>
    </row>
    <row r="227" spans="1:47" ht="15" customHeight="1" x14ac:dyDescent="0.25">
      <c r="A227" s="1">
        <v>226</v>
      </c>
      <c r="B227" s="1" t="s">
        <v>1258</v>
      </c>
      <c r="C227" s="1" t="s">
        <v>38</v>
      </c>
      <c r="D227" s="1" t="s">
        <v>1455</v>
      </c>
      <c r="E227" s="5">
        <v>41753</v>
      </c>
      <c r="F227" s="1" t="s">
        <v>192</v>
      </c>
      <c r="G227" s="1" t="s">
        <v>40</v>
      </c>
      <c r="H227" s="1" t="s">
        <v>41</v>
      </c>
      <c r="I227" s="1" t="s">
        <v>2809</v>
      </c>
      <c r="J227" s="1" t="s">
        <v>63</v>
      </c>
      <c r="K227" s="1">
        <v>29161990</v>
      </c>
      <c r="L227" s="6">
        <v>19.64</v>
      </c>
      <c r="M227" s="1" t="s">
        <v>70</v>
      </c>
      <c r="N227" s="7" t="s">
        <v>44</v>
      </c>
      <c r="O227" s="1" t="s">
        <v>53</v>
      </c>
      <c r="P227" s="8">
        <v>2765</v>
      </c>
      <c r="Q227" s="17">
        <f t="shared" si="24"/>
        <v>54304.6</v>
      </c>
      <c r="R227" s="9">
        <v>560</v>
      </c>
      <c r="S227" s="9">
        <v>10.75</v>
      </c>
      <c r="T227" s="9">
        <v>0</v>
      </c>
      <c r="U227" s="10">
        <v>0</v>
      </c>
      <c r="V227" s="1" t="s">
        <v>46</v>
      </c>
      <c r="W227" s="1" t="s">
        <v>64</v>
      </c>
      <c r="X227" s="1">
        <v>2206371</v>
      </c>
      <c r="Y227" s="11">
        <v>41745</v>
      </c>
      <c r="Z227" s="11">
        <v>41748</v>
      </c>
      <c r="AA227" s="9">
        <f t="shared" si="19"/>
        <v>53733.85</v>
      </c>
      <c r="AB227" s="12">
        <v>59.45</v>
      </c>
      <c r="AC227" s="9">
        <f t="shared" si="20"/>
        <v>3228408.47</v>
      </c>
      <c r="AD227" s="9">
        <f t="shared" si="21"/>
        <v>3194477.3825000003</v>
      </c>
      <c r="AE227" s="1" t="s">
        <v>51</v>
      </c>
      <c r="AF227" s="1" t="s">
        <v>53</v>
      </c>
      <c r="AG227" s="4">
        <f t="shared" si="22"/>
        <v>54304.6</v>
      </c>
      <c r="AH227" s="10">
        <v>54304</v>
      </c>
      <c r="AI227" s="9">
        <v>560</v>
      </c>
      <c r="AJ227" s="10">
        <v>7.85</v>
      </c>
      <c r="AK227" s="10">
        <v>0</v>
      </c>
      <c r="AL227" s="9">
        <f t="shared" si="23"/>
        <v>53736.15</v>
      </c>
      <c r="AM227" s="1"/>
      <c r="AN227" s="1"/>
      <c r="AO227" s="12" t="e">
        <f>AB227/#REF!</f>
        <v>#REF!</v>
      </c>
      <c r="AP227" s="1" t="s">
        <v>1456</v>
      </c>
      <c r="AQ227" s="11">
        <v>41774</v>
      </c>
      <c r="AR227" s="1" t="s">
        <v>1457</v>
      </c>
      <c r="AS227" s="11">
        <v>41841</v>
      </c>
      <c r="AT227" s="1" t="s">
        <v>49</v>
      </c>
      <c r="AU227" s="1" t="s">
        <v>4171</v>
      </c>
    </row>
    <row r="228" spans="1:47" ht="15" customHeight="1" x14ac:dyDescent="0.25">
      <c r="A228" s="1">
        <v>227</v>
      </c>
      <c r="B228" s="1" t="s">
        <v>1258</v>
      </c>
      <c r="C228" s="1" t="s">
        <v>38</v>
      </c>
      <c r="D228" s="1" t="s">
        <v>1455</v>
      </c>
      <c r="E228" s="5">
        <v>41753</v>
      </c>
      <c r="F228" s="1" t="s">
        <v>196</v>
      </c>
      <c r="G228" s="1" t="s">
        <v>40</v>
      </c>
      <c r="H228" s="1" t="s">
        <v>41</v>
      </c>
      <c r="I228" s="1" t="s">
        <v>2809</v>
      </c>
      <c r="J228" s="1" t="s">
        <v>63</v>
      </c>
      <c r="K228" s="1">
        <v>29161990</v>
      </c>
      <c r="L228" s="6">
        <v>19.559999999999999</v>
      </c>
      <c r="M228" s="1" t="s">
        <v>70</v>
      </c>
      <c r="N228" s="7" t="s">
        <v>44</v>
      </c>
      <c r="O228" s="1" t="s">
        <v>53</v>
      </c>
      <c r="P228" s="8">
        <v>2765</v>
      </c>
      <c r="Q228" s="17">
        <f t="shared" si="24"/>
        <v>54083.399999999994</v>
      </c>
      <c r="R228" s="9">
        <v>560</v>
      </c>
      <c r="S228" s="9">
        <v>10.71</v>
      </c>
      <c r="T228" s="9">
        <v>0</v>
      </c>
      <c r="U228" s="10">
        <v>0</v>
      </c>
      <c r="V228" s="1" t="s">
        <v>46</v>
      </c>
      <c r="W228" s="1" t="s">
        <v>64</v>
      </c>
      <c r="X228" s="1">
        <v>2227427</v>
      </c>
      <c r="Y228" s="11">
        <v>41746</v>
      </c>
      <c r="Z228" s="11">
        <v>41748</v>
      </c>
      <c r="AA228" s="9">
        <f t="shared" si="19"/>
        <v>53512.689999999995</v>
      </c>
      <c r="AB228" s="12">
        <v>59.45</v>
      </c>
      <c r="AC228" s="9">
        <f t="shared" si="20"/>
        <v>3215258.13</v>
      </c>
      <c r="AD228" s="9">
        <f t="shared" si="21"/>
        <v>3181329.4205</v>
      </c>
      <c r="AE228" s="1" t="s">
        <v>51</v>
      </c>
      <c r="AF228" s="1" t="s">
        <v>53</v>
      </c>
      <c r="AG228" s="4">
        <f t="shared" si="22"/>
        <v>54083.399999999994</v>
      </c>
      <c r="AH228" s="10">
        <v>54083</v>
      </c>
      <c r="AI228" s="9">
        <v>560</v>
      </c>
      <c r="AJ228" s="10">
        <v>7.65</v>
      </c>
      <c r="AK228" s="10">
        <v>0</v>
      </c>
      <c r="AL228" s="9">
        <f t="shared" si="23"/>
        <v>53515.35</v>
      </c>
      <c r="AM228" s="1"/>
      <c r="AN228" s="1"/>
      <c r="AO228" s="12" t="e">
        <f>AB228/#REF!</f>
        <v>#REF!</v>
      </c>
      <c r="AP228" s="1" t="s">
        <v>1456</v>
      </c>
      <c r="AQ228" s="11">
        <v>41774</v>
      </c>
      <c r="AR228" s="1" t="s">
        <v>1458</v>
      </c>
      <c r="AS228" s="11">
        <v>41841</v>
      </c>
      <c r="AT228" s="1" t="s">
        <v>49</v>
      </c>
      <c r="AU228" s="1" t="s">
        <v>4171</v>
      </c>
    </row>
    <row r="229" spans="1:47" ht="15" customHeight="1" x14ac:dyDescent="0.25">
      <c r="A229" s="1">
        <v>228</v>
      </c>
      <c r="B229" s="1" t="s">
        <v>1258</v>
      </c>
      <c r="C229" s="1" t="s">
        <v>38</v>
      </c>
      <c r="D229" s="1">
        <v>9103550077</v>
      </c>
      <c r="E229" s="5">
        <v>41767</v>
      </c>
      <c r="F229" s="1" t="s">
        <v>194</v>
      </c>
      <c r="G229" s="1" t="s">
        <v>40</v>
      </c>
      <c r="H229" s="1" t="s">
        <v>41</v>
      </c>
      <c r="I229" s="1" t="s">
        <v>2809</v>
      </c>
      <c r="J229" s="45" t="s">
        <v>2631</v>
      </c>
      <c r="K229" s="1">
        <v>38237090</v>
      </c>
      <c r="L229" s="6">
        <v>23.4</v>
      </c>
      <c r="M229" s="1" t="s">
        <v>70</v>
      </c>
      <c r="N229" s="7" t="s">
        <v>44</v>
      </c>
      <c r="O229" s="1" t="s">
        <v>53</v>
      </c>
      <c r="P229" s="8">
        <v>3530</v>
      </c>
      <c r="Q229" s="17">
        <f t="shared" si="24"/>
        <v>82602</v>
      </c>
      <c r="R229" s="9">
        <v>125</v>
      </c>
      <c r="S229" s="9">
        <v>16.36</v>
      </c>
      <c r="T229" s="9">
        <v>702</v>
      </c>
      <c r="U229" s="10">
        <v>0</v>
      </c>
      <c r="V229" s="1" t="s">
        <v>46</v>
      </c>
      <c r="W229" s="1" t="s">
        <v>64</v>
      </c>
      <c r="X229" s="1">
        <v>2227249</v>
      </c>
      <c r="Y229" s="11">
        <v>41746</v>
      </c>
      <c r="Z229" s="11">
        <v>41748</v>
      </c>
      <c r="AA229" s="9">
        <f t="shared" si="19"/>
        <v>82460.639999999999</v>
      </c>
      <c r="AB229" s="12">
        <v>59.45</v>
      </c>
      <c r="AC229" s="9">
        <f t="shared" si="20"/>
        <v>4910688.9000000004</v>
      </c>
      <c r="AD229" s="9">
        <f t="shared" si="21"/>
        <v>4902285.0480000004</v>
      </c>
      <c r="AE229" s="1" t="s">
        <v>48</v>
      </c>
      <c r="AF229" s="1" t="s">
        <v>53</v>
      </c>
      <c r="AG229" s="4">
        <f t="shared" si="22"/>
        <v>82602</v>
      </c>
      <c r="AH229" s="10">
        <v>82371</v>
      </c>
      <c r="AI229" s="10">
        <v>105</v>
      </c>
      <c r="AJ229" s="10">
        <v>16.36</v>
      </c>
      <c r="AK229" s="10">
        <v>702</v>
      </c>
      <c r="AL229" s="9">
        <f t="shared" si="23"/>
        <v>81547.64</v>
      </c>
      <c r="AM229" s="1"/>
      <c r="AN229" s="1"/>
      <c r="AO229" s="12" t="e">
        <f>AB229/#REF!</f>
        <v>#REF!</v>
      </c>
      <c r="AP229" s="1" t="s">
        <v>1459</v>
      </c>
      <c r="AQ229" s="11">
        <v>41787</v>
      </c>
      <c r="AR229" s="1" t="s">
        <v>1460</v>
      </c>
      <c r="AS229" s="11">
        <v>41788</v>
      </c>
      <c r="AT229" s="1" t="s">
        <v>49</v>
      </c>
      <c r="AU229" s="1" t="s">
        <v>4171</v>
      </c>
    </row>
    <row r="230" spans="1:47" ht="15" customHeight="1" x14ac:dyDescent="0.25">
      <c r="A230" s="1">
        <v>229</v>
      </c>
      <c r="B230" s="1" t="s">
        <v>1258</v>
      </c>
      <c r="C230" s="1" t="s">
        <v>38</v>
      </c>
      <c r="D230" s="1">
        <v>9103550078</v>
      </c>
      <c r="E230" s="5">
        <v>41754</v>
      </c>
      <c r="F230" s="1" t="s">
        <v>162</v>
      </c>
      <c r="G230" s="1" t="s">
        <v>40</v>
      </c>
      <c r="H230" s="1" t="s">
        <v>41</v>
      </c>
      <c r="I230" s="1" t="s">
        <v>2809</v>
      </c>
      <c r="J230" s="1" t="s">
        <v>86</v>
      </c>
      <c r="K230" s="1">
        <v>38231190</v>
      </c>
      <c r="L230" s="6">
        <v>9</v>
      </c>
      <c r="M230" s="1" t="s">
        <v>70</v>
      </c>
      <c r="N230" s="7" t="s">
        <v>67</v>
      </c>
      <c r="O230" s="1" t="s">
        <v>53</v>
      </c>
      <c r="P230" s="8">
        <v>1895</v>
      </c>
      <c r="Q230" s="17">
        <f t="shared" si="24"/>
        <v>17055</v>
      </c>
      <c r="R230" s="9">
        <v>0</v>
      </c>
      <c r="S230" s="9">
        <v>0</v>
      </c>
      <c r="T230" s="9">
        <v>0</v>
      </c>
      <c r="U230" s="10">
        <v>0</v>
      </c>
      <c r="V230" s="1" t="s">
        <v>46</v>
      </c>
      <c r="W230" s="1" t="s">
        <v>72</v>
      </c>
      <c r="X230" s="1">
        <v>2116864</v>
      </c>
      <c r="Y230" s="11">
        <v>41740</v>
      </c>
      <c r="Z230" s="11">
        <v>41748</v>
      </c>
      <c r="AA230" s="9">
        <f t="shared" si="19"/>
        <v>17055</v>
      </c>
      <c r="AB230" s="12">
        <v>59.45</v>
      </c>
      <c r="AC230" s="9">
        <f t="shared" si="20"/>
        <v>1013919.75</v>
      </c>
      <c r="AD230" s="9">
        <f t="shared" si="21"/>
        <v>1013919.75</v>
      </c>
      <c r="AE230" s="1" t="s">
        <v>48</v>
      </c>
      <c r="AF230" s="1" t="s">
        <v>53</v>
      </c>
      <c r="AG230" s="4">
        <f t="shared" si="22"/>
        <v>17055</v>
      </c>
      <c r="AH230" s="10">
        <v>17010</v>
      </c>
      <c r="AI230" s="10"/>
      <c r="AJ230" s="10"/>
      <c r="AK230" s="10"/>
      <c r="AL230" s="9">
        <f t="shared" si="23"/>
        <v>17010</v>
      </c>
      <c r="AM230" s="1"/>
      <c r="AN230" s="1"/>
      <c r="AO230" s="12" t="e">
        <f>AB230/#REF!</f>
        <v>#REF!</v>
      </c>
      <c r="AP230" s="1" t="s">
        <v>1461</v>
      </c>
      <c r="AQ230" s="11">
        <v>41892</v>
      </c>
      <c r="AR230" s="1" t="s">
        <v>1462</v>
      </c>
      <c r="AS230" s="11">
        <v>41894</v>
      </c>
      <c r="AT230" s="1" t="s">
        <v>49</v>
      </c>
      <c r="AU230" s="1" t="s">
        <v>4171</v>
      </c>
    </row>
    <row r="231" spans="1:47" ht="15" customHeight="1" x14ac:dyDescent="0.25">
      <c r="A231" s="1">
        <v>230</v>
      </c>
      <c r="B231" s="1" t="s">
        <v>1258</v>
      </c>
      <c r="C231" s="1" t="s">
        <v>38</v>
      </c>
      <c r="D231" s="1" t="s">
        <v>1463</v>
      </c>
      <c r="E231" s="5">
        <v>41756</v>
      </c>
      <c r="F231" s="1" t="s">
        <v>214</v>
      </c>
      <c r="G231" s="1" t="s">
        <v>40</v>
      </c>
      <c r="H231" s="1" t="s">
        <v>41</v>
      </c>
      <c r="I231" s="1" t="s">
        <v>2809</v>
      </c>
      <c r="J231" s="1" t="s">
        <v>1464</v>
      </c>
      <c r="K231" s="1">
        <v>29159020</v>
      </c>
      <c r="L231" s="6">
        <v>39.96</v>
      </c>
      <c r="M231" s="1" t="s">
        <v>70</v>
      </c>
      <c r="N231" s="7" t="s">
        <v>67</v>
      </c>
      <c r="O231" s="1" t="s">
        <v>53</v>
      </c>
      <c r="P231" s="8">
        <v>4650</v>
      </c>
      <c r="Q231" s="17">
        <f t="shared" si="24"/>
        <v>185814</v>
      </c>
      <c r="R231" s="9">
        <v>0</v>
      </c>
      <c r="S231" s="9">
        <v>0</v>
      </c>
      <c r="T231" s="9">
        <v>0</v>
      </c>
      <c r="U231" s="10">
        <v>0</v>
      </c>
      <c r="V231" s="1" t="s">
        <v>46</v>
      </c>
      <c r="W231" s="1" t="s">
        <v>492</v>
      </c>
      <c r="X231" s="1">
        <v>2231673</v>
      </c>
      <c r="Y231" s="11">
        <v>41747</v>
      </c>
      <c r="Z231" s="11">
        <v>41750</v>
      </c>
      <c r="AA231" s="9">
        <f t="shared" si="19"/>
        <v>185814</v>
      </c>
      <c r="AB231" s="12">
        <v>59.8</v>
      </c>
      <c r="AC231" s="9">
        <f t="shared" si="20"/>
        <v>11111677.199999999</v>
      </c>
      <c r="AD231" s="9">
        <f t="shared" si="21"/>
        <v>11111677.199999999</v>
      </c>
      <c r="AE231" s="1" t="s">
        <v>48</v>
      </c>
      <c r="AF231" s="1" t="s">
        <v>53</v>
      </c>
      <c r="AG231" s="4">
        <f t="shared" si="22"/>
        <v>185814</v>
      </c>
      <c r="AH231" s="10">
        <v>185814</v>
      </c>
      <c r="AI231" s="9">
        <v>0</v>
      </c>
      <c r="AJ231" s="9">
        <v>0</v>
      </c>
      <c r="AK231" s="9">
        <v>0</v>
      </c>
      <c r="AL231" s="9">
        <f t="shared" si="23"/>
        <v>185814</v>
      </c>
      <c r="AM231" s="1"/>
      <c r="AN231" s="1"/>
      <c r="AO231" s="12" t="e">
        <f>AB231/#REF!</f>
        <v>#REF!</v>
      </c>
      <c r="AP231" s="1"/>
      <c r="AQ231" s="11">
        <v>41776</v>
      </c>
      <c r="AR231" s="1" t="s">
        <v>3327</v>
      </c>
      <c r="AS231" s="11">
        <v>41778</v>
      </c>
      <c r="AT231" s="1" t="s">
        <v>49</v>
      </c>
      <c r="AU231" s="1" t="s">
        <v>4171</v>
      </c>
    </row>
    <row r="232" spans="1:47" ht="15" customHeight="1" x14ac:dyDescent="0.25">
      <c r="A232" s="1">
        <v>231</v>
      </c>
      <c r="B232" s="1" t="s">
        <v>1258</v>
      </c>
      <c r="C232" s="1" t="s">
        <v>38</v>
      </c>
      <c r="D232" s="1" t="s">
        <v>1463</v>
      </c>
      <c r="E232" s="5">
        <v>41756</v>
      </c>
      <c r="F232" s="1" t="s">
        <v>235</v>
      </c>
      <c r="G232" s="1" t="s">
        <v>40</v>
      </c>
      <c r="H232" s="1" t="s">
        <v>41</v>
      </c>
      <c r="I232" s="1" t="s">
        <v>2809</v>
      </c>
      <c r="J232" s="1" t="s">
        <v>1464</v>
      </c>
      <c r="K232" s="1">
        <v>29159020</v>
      </c>
      <c r="L232" s="6">
        <v>19.87</v>
      </c>
      <c r="M232" s="1" t="s">
        <v>70</v>
      </c>
      <c r="N232" s="7" t="s">
        <v>67</v>
      </c>
      <c r="O232" s="1" t="s">
        <v>53</v>
      </c>
      <c r="P232" s="8">
        <v>4650</v>
      </c>
      <c r="Q232" s="17">
        <f t="shared" si="24"/>
        <v>92395.5</v>
      </c>
      <c r="R232" s="9">
        <v>0</v>
      </c>
      <c r="S232" s="9">
        <v>0</v>
      </c>
      <c r="T232" s="9">
        <v>0</v>
      </c>
      <c r="U232" s="10">
        <v>0</v>
      </c>
      <c r="V232" s="1" t="s">
        <v>46</v>
      </c>
      <c r="W232" s="1" t="s">
        <v>492</v>
      </c>
      <c r="X232" s="1">
        <v>2232120</v>
      </c>
      <c r="Y232" s="11">
        <v>41747</v>
      </c>
      <c r="Z232" s="11">
        <v>41750</v>
      </c>
      <c r="AA232" s="9">
        <f t="shared" si="19"/>
        <v>92395.5</v>
      </c>
      <c r="AB232" s="12">
        <v>59.8</v>
      </c>
      <c r="AC232" s="9">
        <f t="shared" si="20"/>
        <v>5525250.8999999994</v>
      </c>
      <c r="AD232" s="9">
        <f t="shared" si="21"/>
        <v>5525250.8999999994</v>
      </c>
      <c r="AE232" s="1" t="s">
        <v>48</v>
      </c>
      <c r="AF232" s="1" t="s">
        <v>53</v>
      </c>
      <c r="AG232" s="4">
        <f t="shared" si="22"/>
        <v>92395.5</v>
      </c>
      <c r="AH232" s="10">
        <v>92395.5</v>
      </c>
      <c r="AI232" s="9">
        <v>0</v>
      </c>
      <c r="AJ232" s="9">
        <v>0</v>
      </c>
      <c r="AK232" s="9">
        <v>0</v>
      </c>
      <c r="AL232" s="9">
        <f t="shared" si="23"/>
        <v>92395.5</v>
      </c>
      <c r="AM232" s="1"/>
      <c r="AN232" s="1"/>
      <c r="AO232" s="12" t="e">
        <f>AB232/#REF!</f>
        <v>#REF!</v>
      </c>
      <c r="AP232" s="1" t="s">
        <v>1465</v>
      </c>
      <c r="AQ232" s="11">
        <v>41776</v>
      </c>
      <c r="AR232" s="1" t="s">
        <v>1466</v>
      </c>
      <c r="AS232" s="11">
        <v>41778</v>
      </c>
      <c r="AT232" s="1" t="s">
        <v>49</v>
      </c>
      <c r="AU232" s="1" t="s">
        <v>4171</v>
      </c>
    </row>
    <row r="233" spans="1:47" ht="15" customHeight="1" x14ac:dyDescent="0.25">
      <c r="A233" s="1">
        <v>232</v>
      </c>
      <c r="B233" s="1" t="s">
        <v>1258</v>
      </c>
      <c r="C233" s="1" t="s">
        <v>38</v>
      </c>
      <c r="D233" s="1">
        <v>9103550080</v>
      </c>
      <c r="E233" s="5">
        <v>41754</v>
      </c>
      <c r="F233" s="1" t="s">
        <v>202</v>
      </c>
      <c r="G233" s="1" t="s">
        <v>40</v>
      </c>
      <c r="H233" s="1" t="s">
        <v>41</v>
      </c>
      <c r="I233" s="1" t="s">
        <v>2809</v>
      </c>
      <c r="J233" s="1" t="s">
        <v>50</v>
      </c>
      <c r="K233" s="1">
        <v>38237090</v>
      </c>
      <c r="L233" s="6">
        <v>4</v>
      </c>
      <c r="M233" s="1" t="s">
        <v>70</v>
      </c>
      <c r="N233" s="7" t="s">
        <v>52</v>
      </c>
      <c r="O233" s="1" t="s">
        <v>53</v>
      </c>
      <c r="P233" s="8">
        <v>1770</v>
      </c>
      <c r="Q233" s="17">
        <f t="shared" si="24"/>
        <v>7080</v>
      </c>
      <c r="R233" s="9">
        <v>375</v>
      </c>
      <c r="S233" s="9">
        <v>0</v>
      </c>
      <c r="T233" s="9">
        <v>0</v>
      </c>
      <c r="U233" s="10">
        <v>0</v>
      </c>
      <c r="V233" s="1" t="s">
        <v>46</v>
      </c>
      <c r="W233" s="1" t="s">
        <v>59</v>
      </c>
      <c r="X233" s="1">
        <v>2283495</v>
      </c>
      <c r="Y233" s="11">
        <v>41751</v>
      </c>
      <c r="Z233" s="11">
        <v>41751</v>
      </c>
      <c r="AA233" s="9">
        <f t="shared" si="19"/>
        <v>6705</v>
      </c>
      <c r="AB233" s="12">
        <v>59.8</v>
      </c>
      <c r="AC233" s="9">
        <f t="shared" si="20"/>
        <v>423384</v>
      </c>
      <c r="AD233" s="9">
        <f t="shared" si="21"/>
        <v>400959</v>
      </c>
      <c r="AE233" s="1" t="s">
        <v>51</v>
      </c>
      <c r="AF233" s="1" t="s">
        <v>53</v>
      </c>
      <c r="AG233" s="4">
        <f t="shared" si="22"/>
        <v>7080</v>
      </c>
      <c r="AH233" s="10">
        <v>7080</v>
      </c>
      <c r="AI233" s="10">
        <v>349.57</v>
      </c>
      <c r="AJ233" s="10">
        <v>0</v>
      </c>
      <c r="AK233" s="10">
        <v>0</v>
      </c>
      <c r="AL233" s="9">
        <f t="shared" si="23"/>
        <v>6730.43</v>
      </c>
      <c r="AM233" s="1"/>
      <c r="AN233" s="1"/>
      <c r="AO233" s="12" t="e">
        <f>AB233/#REF!</f>
        <v>#REF!</v>
      </c>
      <c r="AP233" s="1" t="s">
        <v>1467</v>
      </c>
      <c r="AQ233" s="11">
        <v>41816</v>
      </c>
      <c r="AR233" s="1" t="s">
        <v>1468</v>
      </c>
      <c r="AS233" s="11">
        <v>41832</v>
      </c>
      <c r="AT233" s="1" t="s">
        <v>49</v>
      </c>
      <c r="AU233" s="1" t="s">
        <v>4171</v>
      </c>
    </row>
    <row r="234" spans="1:47" ht="15" customHeight="1" x14ac:dyDescent="0.25">
      <c r="A234" s="1">
        <v>233</v>
      </c>
      <c r="B234" s="1" t="s">
        <v>1258</v>
      </c>
      <c r="C234" s="1" t="s">
        <v>38</v>
      </c>
      <c r="D234" s="1">
        <v>9103550080</v>
      </c>
      <c r="E234" s="5">
        <v>41754</v>
      </c>
      <c r="F234" s="1" t="s">
        <v>202</v>
      </c>
      <c r="G234" s="1" t="s">
        <v>40</v>
      </c>
      <c r="H234" s="1" t="s">
        <v>41</v>
      </c>
      <c r="I234" s="1" t="s">
        <v>2809</v>
      </c>
      <c r="J234" s="1" t="s">
        <v>50</v>
      </c>
      <c r="K234" s="1">
        <v>38237090</v>
      </c>
      <c r="L234" s="6">
        <v>2.4</v>
      </c>
      <c r="M234" s="1" t="s">
        <v>70</v>
      </c>
      <c r="N234" s="7" t="s">
        <v>52</v>
      </c>
      <c r="O234" s="1" t="s">
        <v>53</v>
      </c>
      <c r="P234" s="8">
        <v>1670</v>
      </c>
      <c r="Q234" s="17">
        <f t="shared" si="24"/>
        <v>4008</v>
      </c>
      <c r="R234" s="9">
        <v>225</v>
      </c>
      <c r="S234" s="9">
        <v>0</v>
      </c>
      <c r="T234" s="9">
        <v>0</v>
      </c>
      <c r="U234" s="10">
        <v>0</v>
      </c>
      <c r="V234" s="1" t="s">
        <v>46</v>
      </c>
      <c r="W234" s="1" t="s">
        <v>59</v>
      </c>
      <c r="X234" s="1">
        <v>2283495</v>
      </c>
      <c r="Y234" s="11">
        <v>41751</v>
      </c>
      <c r="Z234" s="11">
        <v>41751</v>
      </c>
      <c r="AA234" s="9">
        <f t="shared" si="19"/>
        <v>3783</v>
      </c>
      <c r="AB234" s="12">
        <v>59.8</v>
      </c>
      <c r="AC234" s="9">
        <f t="shared" si="20"/>
        <v>239678.4</v>
      </c>
      <c r="AD234" s="9">
        <f t="shared" si="21"/>
        <v>226223.4</v>
      </c>
      <c r="AE234" s="1" t="s">
        <v>51</v>
      </c>
      <c r="AF234" s="1" t="s">
        <v>53</v>
      </c>
      <c r="AG234" s="4">
        <f t="shared" si="22"/>
        <v>4008</v>
      </c>
      <c r="AH234" s="10">
        <v>4008</v>
      </c>
      <c r="AI234" s="10">
        <v>197.57</v>
      </c>
      <c r="AJ234" s="10">
        <v>0</v>
      </c>
      <c r="AK234" s="10">
        <v>0</v>
      </c>
      <c r="AL234" s="9">
        <f t="shared" si="23"/>
        <v>3810.43</v>
      </c>
      <c r="AM234" s="1"/>
      <c r="AN234" s="1"/>
      <c r="AO234" s="12" t="e">
        <f>AB234/#REF!</f>
        <v>#REF!</v>
      </c>
      <c r="AP234" s="1" t="s">
        <v>1467</v>
      </c>
      <c r="AQ234" s="11">
        <v>41816</v>
      </c>
      <c r="AR234" s="1" t="s">
        <v>1468</v>
      </c>
      <c r="AS234" s="11">
        <v>41832</v>
      </c>
      <c r="AT234" s="1" t="s">
        <v>49</v>
      </c>
      <c r="AU234" s="1" t="s">
        <v>4171</v>
      </c>
    </row>
    <row r="235" spans="1:47" ht="15" customHeight="1" x14ac:dyDescent="0.25">
      <c r="A235" s="1">
        <v>234</v>
      </c>
      <c r="B235" s="1" t="s">
        <v>1258</v>
      </c>
      <c r="C235" s="1" t="s">
        <v>38</v>
      </c>
      <c r="D235" s="1">
        <v>9103550080</v>
      </c>
      <c r="E235" s="5">
        <v>41754</v>
      </c>
      <c r="F235" s="1" t="s">
        <v>202</v>
      </c>
      <c r="G235" s="1" t="s">
        <v>40</v>
      </c>
      <c r="H235" s="1" t="s">
        <v>41</v>
      </c>
      <c r="I235" s="1" t="s">
        <v>2809</v>
      </c>
      <c r="J235" s="1" t="s">
        <v>50</v>
      </c>
      <c r="K235" s="1">
        <v>29051700</v>
      </c>
      <c r="L235" s="6">
        <v>4.8</v>
      </c>
      <c r="M235" s="1" t="s">
        <v>70</v>
      </c>
      <c r="N235" s="7" t="s">
        <v>52</v>
      </c>
      <c r="O235" s="1" t="s">
        <v>53</v>
      </c>
      <c r="P235" s="8">
        <v>1890</v>
      </c>
      <c r="Q235" s="17">
        <f t="shared" si="24"/>
        <v>9072</v>
      </c>
      <c r="R235" s="9">
        <v>450</v>
      </c>
      <c r="S235" s="9">
        <v>0</v>
      </c>
      <c r="T235" s="9">
        <v>0</v>
      </c>
      <c r="U235" s="10">
        <v>0</v>
      </c>
      <c r="V235" s="1" t="s">
        <v>46</v>
      </c>
      <c r="W235" s="1" t="s">
        <v>59</v>
      </c>
      <c r="X235" s="1">
        <v>2283495</v>
      </c>
      <c r="Y235" s="11">
        <v>41751</v>
      </c>
      <c r="Z235" s="11">
        <v>41751</v>
      </c>
      <c r="AA235" s="9">
        <f t="shared" si="19"/>
        <v>8622</v>
      </c>
      <c r="AB235" s="12">
        <v>59.8</v>
      </c>
      <c r="AC235" s="9">
        <f t="shared" si="20"/>
        <v>542505.6</v>
      </c>
      <c r="AD235" s="9">
        <f t="shared" si="21"/>
        <v>515595.6</v>
      </c>
      <c r="AE235" s="1" t="s">
        <v>51</v>
      </c>
      <c r="AF235" s="1" t="s">
        <v>53</v>
      </c>
      <c r="AG235" s="4">
        <f t="shared" si="22"/>
        <v>9072</v>
      </c>
      <c r="AH235" s="10">
        <v>8894</v>
      </c>
      <c r="AI235" s="10">
        <v>438.86</v>
      </c>
      <c r="AJ235" s="10">
        <v>0</v>
      </c>
      <c r="AK235" s="10">
        <v>0</v>
      </c>
      <c r="AL235" s="9">
        <f t="shared" si="23"/>
        <v>8455.14</v>
      </c>
      <c r="AM235" s="1"/>
      <c r="AN235" s="1"/>
      <c r="AO235" s="12" t="e">
        <f>AB235/#REF!</f>
        <v>#REF!</v>
      </c>
      <c r="AP235" s="1" t="s">
        <v>1467</v>
      </c>
      <c r="AQ235" s="11">
        <v>41816</v>
      </c>
      <c r="AR235" s="1" t="s">
        <v>1468</v>
      </c>
      <c r="AS235" s="11">
        <v>41832</v>
      </c>
      <c r="AT235" s="1" t="s">
        <v>49</v>
      </c>
      <c r="AU235" s="1" t="s">
        <v>4171</v>
      </c>
    </row>
    <row r="236" spans="1:47" ht="15" customHeight="1" x14ac:dyDescent="0.25">
      <c r="A236" s="1">
        <v>235</v>
      </c>
      <c r="B236" s="1" t="s">
        <v>1258</v>
      </c>
      <c r="C236" s="1" t="s">
        <v>38</v>
      </c>
      <c r="D236" s="1">
        <v>9103550082</v>
      </c>
      <c r="E236" s="5">
        <v>41758</v>
      </c>
      <c r="F236" s="1" t="s">
        <v>220</v>
      </c>
      <c r="G236" s="1" t="s">
        <v>40</v>
      </c>
      <c r="H236" s="1" t="s">
        <v>41</v>
      </c>
      <c r="I236" s="1" t="s">
        <v>2809</v>
      </c>
      <c r="J236" s="1" t="s">
        <v>464</v>
      </c>
      <c r="K236" s="1">
        <v>38237090</v>
      </c>
      <c r="L236" s="6">
        <v>2</v>
      </c>
      <c r="M236" s="1" t="s">
        <v>70</v>
      </c>
      <c r="N236" s="7" t="s">
        <v>52</v>
      </c>
      <c r="O236" s="1" t="s">
        <v>53</v>
      </c>
      <c r="P236" s="8">
        <v>4645</v>
      </c>
      <c r="Q236" s="17">
        <f t="shared" si="24"/>
        <v>9290</v>
      </c>
      <c r="R236" s="9">
        <v>100</v>
      </c>
      <c r="S236" s="9">
        <v>0</v>
      </c>
      <c r="T236" s="9">
        <v>0</v>
      </c>
      <c r="U236" s="10">
        <v>0</v>
      </c>
      <c r="V236" s="1" t="s">
        <v>46</v>
      </c>
      <c r="W236" s="1" t="s">
        <v>54</v>
      </c>
      <c r="X236" s="1">
        <v>2251418</v>
      </c>
      <c r="Y236" s="11">
        <v>41748</v>
      </c>
      <c r="Z236" s="11">
        <v>41751</v>
      </c>
      <c r="AA236" s="9">
        <f t="shared" si="19"/>
        <v>9190</v>
      </c>
      <c r="AB236" s="12">
        <v>59.8</v>
      </c>
      <c r="AC236" s="9">
        <f t="shared" si="20"/>
        <v>555542</v>
      </c>
      <c r="AD236" s="9">
        <f t="shared" si="21"/>
        <v>549562</v>
      </c>
      <c r="AE236" s="1" t="s">
        <v>48</v>
      </c>
      <c r="AF236" s="1" t="s">
        <v>53</v>
      </c>
      <c r="AG236" s="4">
        <f t="shared" si="22"/>
        <v>9290</v>
      </c>
      <c r="AH236" s="10">
        <v>9290</v>
      </c>
      <c r="AI236" s="10">
        <v>266.42</v>
      </c>
      <c r="AJ236" s="10">
        <v>0</v>
      </c>
      <c r="AK236" s="10">
        <v>0</v>
      </c>
      <c r="AL236" s="9">
        <f t="shared" si="23"/>
        <v>9023.58</v>
      </c>
      <c r="AM236" s="1"/>
      <c r="AN236" s="1"/>
      <c r="AO236" s="12" t="e">
        <f>AB236/#REF!</f>
        <v>#REF!</v>
      </c>
      <c r="AP236" s="1" t="s">
        <v>1469</v>
      </c>
      <c r="AQ236" s="11">
        <v>41858</v>
      </c>
      <c r="AR236" s="1" t="s">
        <v>1470</v>
      </c>
      <c r="AS236" s="11">
        <v>41859</v>
      </c>
      <c r="AT236" s="1" t="s">
        <v>49</v>
      </c>
      <c r="AU236" s="1" t="s">
        <v>4171</v>
      </c>
    </row>
    <row r="237" spans="1:47" ht="15" customHeight="1" x14ac:dyDescent="0.25">
      <c r="A237" s="1">
        <v>236</v>
      </c>
      <c r="B237" s="1" t="s">
        <v>1258</v>
      </c>
      <c r="C237" s="1" t="s">
        <v>38</v>
      </c>
      <c r="D237" s="1" t="s">
        <v>1471</v>
      </c>
      <c r="E237" s="5">
        <v>41757</v>
      </c>
      <c r="F237" s="1" t="s">
        <v>201</v>
      </c>
      <c r="G237" s="1" t="s">
        <v>40</v>
      </c>
      <c r="H237" s="1" t="s">
        <v>41</v>
      </c>
      <c r="I237" s="1" t="s">
        <v>2809</v>
      </c>
      <c r="J237" s="1" t="s">
        <v>386</v>
      </c>
      <c r="K237" s="1">
        <v>38237090</v>
      </c>
      <c r="L237" s="6">
        <v>217.48</v>
      </c>
      <c r="M237" s="1" t="s">
        <v>70</v>
      </c>
      <c r="N237" s="7" t="s">
        <v>52</v>
      </c>
      <c r="O237" s="1" t="s">
        <v>53</v>
      </c>
      <c r="P237" s="8">
        <v>1933</v>
      </c>
      <c r="Q237" s="17">
        <f t="shared" si="24"/>
        <v>420388.83999999997</v>
      </c>
      <c r="R237" s="9">
        <v>13750</v>
      </c>
      <c r="S237" s="9">
        <v>0</v>
      </c>
      <c r="T237" s="9">
        <v>0</v>
      </c>
      <c r="U237" s="10">
        <v>0</v>
      </c>
      <c r="V237" s="1" t="s">
        <v>46</v>
      </c>
      <c r="W237" s="1" t="s">
        <v>241</v>
      </c>
      <c r="X237" s="1">
        <v>2290066</v>
      </c>
      <c r="Y237" s="11">
        <v>41751</v>
      </c>
      <c r="Z237" s="11">
        <v>41751</v>
      </c>
      <c r="AA237" s="9">
        <f t="shared" si="19"/>
        <v>406638.83999999997</v>
      </c>
      <c r="AB237" s="12">
        <v>59.8</v>
      </c>
      <c r="AC237" s="9">
        <f t="shared" si="20"/>
        <v>25139252.631999996</v>
      </c>
      <c r="AD237" s="9">
        <f t="shared" si="21"/>
        <v>24317002.631999996</v>
      </c>
      <c r="AE237" s="1" t="s">
        <v>48</v>
      </c>
      <c r="AF237" s="1" t="s">
        <v>53</v>
      </c>
      <c r="AG237" s="4">
        <f t="shared" si="22"/>
        <v>420388.83999999997</v>
      </c>
      <c r="AH237" s="10">
        <v>420388.84</v>
      </c>
      <c r="AI237" s="10">
        <v>8241.6200000000008</v>
      </c>
      <c r="AJ237" s="10">
        <v>0</v>
      </c>
      <c r="AK237" s="10">
        <v>0</v>
      </c>
      <c r="AL237" s="9">
        <f t="shared" si="23"/>
        <v>412147.22000000003</v>
      </c>
      <c r="AM237" s="1"/>
      <c r="AN237" s="1"/>
      <c r="AO237" s="12" t="e">
        <f>AB237/#REF!</f>
        <v>#REF!</v>
      </c>
      <c r="AP237" s="1" t="s">
        <v>1472</v>
      </c>
      <c r="AQ237" s="11">
        <v>41822</v>
      </c>
      <c r="AR237" s="1" t="s">
        <v>1473</v>
      </c>
      <c r="AS237" s="11">
        <v>41823</v>
      </c>
      <c r="AT237" s="1" t="s">
        <v>49</v>
      </c>
      <c r="AU237" s="1" t="s">
        <v>4171</v>
      </c>
    </row>
    <row r="238" spans="1:47" ht="15" customHeight="1" x14ac:dyDescent="0.25">
      <c r="A238" s="1">
        <v>237</v>
      </c>
      <c r="B238" s="1" t="s">
        <v>1258</v>
      </c>
      <c r="C238" s="1" t="s">
        <v>38</v>
      </c>
      <c r="D238" s="1" t="s">
        <v>1471</v>
      </c>
      <c r="E238" s="5">
        <v>41757</v>
      </c>
      <c r="F238" s="1" t="s">
        <v>203</v>
      </c>
      <c r="G238" s="1" t="s">
        <v>40</v>
      </c>
      <c r="H238" s="1" t="s">
        <v>41</v>
      </c>
      <c r="I238" s="1" t="s">
        <v>2809</v>
      </c>
      <c r="J238" s="1" t="s">
        <v>386</v>
      </c>
      <c r="K238" s="1">
        <v>38237090</v>
      </c>
      <c r="L238" s="6">
        <v>178.34</v>
      </c>
      <c r="M238" s="1" t="s">
        <v>70</v>
      </c>
      <c r="N238" s="7" t="s">
        <v>52</v>
      </c>
      <c r="O238" s="1" t="s">
        <v>53</v>
      </c>
      <c r="P238" s="8">
        <v>1933</v>
      </c>
      <c r="Q238" s="17">
        <f t="shared" si="24"/>
        <v>344731.22000000003</v>
      </c>
      <c r="R238" s="9">
        <v>11250</v>
      </c>
      <c r="S238" s="9">
        <v>0</v>
      </c>
      <c r="T238" s="9">
        <v>0</v>
      </c>
      <c r="U238" s="10">
        <v>0</v>
      </c>
      <c r="V238" s="1" t="s">
        <v>46</v>
      </c>
      <c r="W238" s="1" t="s">
        <v>241</v>
      </c>
      <c r="X238" s="1">
        <v>2307576</v>
      </c>
      <c r="Y238" s="11">
        <v>41751</v>
      </c>
      <c r="Z238" s="11">
        <v>41752</v>
      </c>
      <c r="AA238" s="9">
        <f t="shared" si="19"/>
        <v>333481.22000000003</v>
      </c>
      <c r="AB238" s="12">
        <v>59.8</v>
      </c>
      <c r="AC238" s="9">
        <f t="shared" si="20"/>
        <v>20614926.956</v>
      </c>
      <c r="AD238" s="9">
        <f t="shared" si="21"/>
        <v>19942176.956</v>
      </c>
      <c r="AE238" s="1" t="s">
        <v>48</v>
      </c>
      <c r="AF238" s="1" t="s">
        <v>53</v>
      </c>
      <c r="AG238" s="4">
        <f t="shared" si="22"/>
        <v>344731.22000000003</v>
      </c>
      <c r="AH238" s="10">
        <v>344731.22</v>
      </c>
      <c r="AI238" s="10">
        <v>6758.38</v>
      </c>
      <c r="AJ238" s="10">
        <v>0</v>
      </c>
      <c r="AK238" s="10">
        <v>0</v>
      </c>
      <c r="AL238" s="9">
        <f t="shared" si="23"/>
        <v>337972.83999999997</v>
      </c>
      <c r="AM238" s="1"/>
      <c r="AN238" s="1"/>
      <c r="AO238" s="12" t="e">
        <f>AB238/#REF!</f>
        <v>#REF!</v>
      </c>
      <c r="AP238" s="1" t="s">
        <v>1472</v>
      </c>
      <c r="AQ238" s="11">
        <v>41822</v>
      </c>
      <c r="AR238" s="1" t="s">
        <v>1474</v>
      </c>
      <c r="AS238" s="11">
        <v>41823</v>
      </c>
      <c r="AT238" s="1" t="s">
        <v>49</v>
      </c>
      <c r="AU238" s="1" t="s">
        <v>4171</v>
      </c>
    </row>
    <row r="239" spans="1:47" ht="15" customHeight="1" x14ac:dyDescent="0.25">
      <c r="A239" s="1">
        <v>238</v>
      </c>
      <c r="B239" s="1" t="s">
        <v>1258</v>
      </c>
      <c r="C239" s="1" t="s">
        <v>38</v>
      </c>
      <c r="D239" s="1">
        <v>9103550085</v>
      </c>
      <c r="E239" s="5">
        <v>41757</v>
      </c>
      <c r="F239" s="1" t="s">
        <v>218</v>
      </c>
      <c r="G239" s="1" t="s">
        <v>40</v>
      </c>
      <c r="H239" s="1" t="s">
        <v>41</v>
      </c>
      <c r="I239" s="1" t="s">
        <v>2809</v>
      </c>
      <c r="J239" s="1" t="s">
        <v>1475</v>
      </c>
      <c r="K239" s="1">
        <v>38237090</v>
      </c>
      <c r="L239" s="6">
        <v>30</v>
      </c>
      <c r="M239" s="1" t="s">
        <v>70</v>
      </c>
      <c r="N239" s="7" t="s">
        <v>44</v>
      </c>
      <c r="O239" s="1" t="s">
        <v>53</v>
      </c>
      <c r="P239" s="8">
        <v>4150</v>
      </c>
      <c r="Q239" s="17">
        <f t="shared" si="24"/>
        <v>124500</v>
      </c>
      <c r="R239" s="9">
        <v>200</v>
      </c>
      <c r="S239" s="9">
        <v>24.65</v>
      </c>
      <c r="T239" s="9">
        <v>0</v>
      </c>
      <c r="U239" s="10">
        <v>0</v>
      </c>
      <c r="V239" s="1" t="s">
        <v>46</v>
      </c>
      <c r="W239" s="1" t="s">
        <v>54</v>
      </c>
      <c r="X239" s="1">
        <v>2304818</v>
      </c>
      <c r="Y239" s="11">
        <v>41751</v>
      </c>
      <c r="Z239" s="11">
        <v>41752</v>
      </c>
      <c r="AA239" s="9">
        <f t="shared" si="19"/>
        <v>124275.35</v>
      </c>
      <c r="AB239" s="12">
        <v>59.8</v>
      </c>
      <c r="AC239" s="9">
        <f t="shared" si="20"/>
        <v>7445100</v>
      </c>
      <c r="AD239" s="9">
        <f t="shared" si="21"/>
        <v>7431665.9299999997</v>
      </c>
      <c r="AE239" s="1" t="s">
        <v>48</v>
      </c>
      <c r="AF239" s="1" t="s">
        <v>53</v>
      </c>
      <c r="AG239" s="4">
        <f t="shared" si="22"/>
        <v>124500</v>
      </c>
      <c r="AH239" s="10">
        <v>124354</v>
      </c>
      <c r="AI239" s="10">
        <v>120</v>
      </c>
      <c r="AJ239" s="10">
        <v>17.8</v>
      </c>
      <c r="AK239" s="10">
        <v>0</v>
      </c>
      <c r="AL239" s="9">
        <f t="shared" si="23"/>
        <v>124216.2</v>
      </c>
      <c r="AM239" s="1"/>
      <c r="AN239" s="1"/>
      <c r="AO239" s="12" t="e">
        <f>AB239/#REF!</f>
        <v>#REF!</v>
      </c>
      <c r="AP239" s="1" t="s">
        <v>1476</v>
      </c>
      <c r="AQ239" s="11">
        <v>41788</v>
      </c>
      <c r="AR239" s="1" t="s">
        <v>1477</v>
      </c>
      <c r="AS239" s="11">
        <v>41789</v>
      </c>
      <c r="AT239" s="1" t="s">
        <v>49</v>
      </c>
      <c r="AU239" s="1" t="s">
        <v>4171</v>
      </c>
    </row>
    <row r="240" spans="1:47" ht="15" customHeight="1" x14ac:dyDescent="0.25">
      <c r="A240" s="1">
        <v>239</v>
      </c>
      <c r="B240" s="1" t="s">
        <v>1258</v>
      </c>
      <c r="C240" s="1" t="s">
        <v>38</v>
      </c>
      <c r="D240" s="1">
        <v>9103550086</v>
      </c>
      <c r="E240" s="5">
        <v>41758</v>
      </c>
      <c r="F240" s="1" t="s">
        <v>206</v>
      </c>
      <c r="G240" s="1" t="s">
        <v>40</v>
      </c>
      <c r="H240" s="1" t="s">
        <v>41</v>
      </c>
      <c r="I240" s="1" t="s">
        <v>2809</v>
      </c>
      <c r="J240" s="1" t="s">
        <v>1115</v>
      </c>
      <c r="K240" s="1">
        <v>29051700</v>
      </c>
      <c r="L240" s="6">
        <v>3.8</v>
      </c>
      <c r="M240" s="1" t="s">
        <v>70</v>
      </c>
      <c r="N240" s="7" t="s">
        <v>67</v>
      </c>
      <c r="O240" s="1" t="s">
        <v>53</v>
      </c>
      <c r="P240" s="8">
        <v>1485</v>
      </c>
      <c r="Q240" s="17">
        <f t="shared" si="24"/>
        <v>5643</v>
      </c>
      <c r="R240" s="9">
        <v>0</v>
      </c>
      <c r="S240" s="9">
        <v>0</v>
      </c>
      <c r="T240" s="9">
        <v>0</v>
      </c>
      <c r="U240" s="10">
        <v>0</v>
      </c>
      <c r="V240" s="1" t="s">
        <v>46</v>
      </c>
      <c r="W240" s="1" t="s">
        <v>59</v>
      </c>
      <c r="X240" s="1">
        <v>2311711</v>
      </c>
      <c r="Y240" s="11">
        <v>41751</v>
      </c>
      <c r="Z240" s="11">
        <v>41752</v>
      </c>
      <c r="AA240" s="9">
        <f t="shared" si="19"/>
        <v>5643</v>
      </c>
      <c r="AB240" s="12">
        <v>59.8</v>
      </c>
      <c r="AC240" s="9">
        <f t="shared" si="20"/>
        <v>337451.39999999997</v>
      </c>
      <c r="AD240" s="9">
        <f t="shared" si="21"/>
        <v>337451.39999999997</v>
      </c>
      <c r="AE240" s="1" t="s">
        <v>48</v>
      </c>
      <c r="AF240" s="1" t="s">
        <v>53</v>
      </c>
      <c r="AG240" s="4">
        <f t="shared" si="22"/>
        <v>5643</v>
      </c>
      <c r="AH240" s="10">
        <v>5643</v>
      </c>
      <c r="AI240" s="9">
        <v>0</v>
      </c>
      <c r="AJ240" s="9">
        <v>0</v>
      </c>
      <c r="AK240" s="9">
        <v>0</v>
      </c>
      <c r="AL240" s="9">
        <f t="shared" si="23"/>
        <v>5643</v>
      </c>
      <c r="AM240" s="1"/>
      <c r="AN240" s="1"/>
      <c r="AO240" s="12" t="e">
        <f>AB240/#REF!</f>
        <v>#REF!</v>
      </c>
      <c r="AP240" s="1" t="s">
        <v>1478</v>
      </c>
      <c r="AQ240" s="11">
        <v>41768</v>
      </c>
      <c r="AR240" s="1" t="s">
        <v>1479</v>
      </c>
      <c r="AS240" s="11">
        <v>41769</v>
      </c>
      <c r="AT240" s="1" t="s">
        <v>49</v>
      </c>
      <c r="AU240" s="1" t="s">
        <v>4171</v>
      </c>
    </row>
    <row r="241" spans="1:47" ht="15" customHeight="1" x14ac:dyDescent="0.25">
      <c r="A241" s="1">
        <v>240</v>
      </c>
      <c r="B241" s="1" t="s">
        <v>1258</v>
      </c>
      <c r="C241" s="1" t="s">
        <v>38</v>
      </c>
      <c r="D241" s="1">
        <v>9103550086</v>
      </c>
      <c r="E241" s="5">
        <v>41758</v>
      </c>
      <c r="F241" s="1" t="s">
        <v>206</v>
      </c>
      <c r="G241" s="1" t="s">
        <v>40</v>
      </c>
      <c r="H241" s="1" t="s">
        <v>41</v>
      </c>
      <c r="I241" s="1" t="s">
        <v>2809</v>
      </c>
      <c r="J241" s="1" t="s">
        <v>1115</v>
      </c>
      <c r="K241" s="1">
        <v>29051700</v>
      </c>
      <c r="L241" s="6">
        <v>11.2</v>
      </c>
      <c r="M241" s="1" t="s">
        <v>70</v>
      </c>
      <c r="N241" s="7" t="s">
        <v>67</v>
      </c>
      <c r="O241" s="1" t="s">
        <v>53</v>
      </c>
      <c r="P241" s="8">
        <v>1825</v>
      </c>
      <c r="Q241" s="17">
        <f t="shared" si="24"/>
        <v>20440</v>
      </c>
      <c r="R241" s="9">
        <v>0</v>
      </c>
      <c r="S241" s="9">
        <v>0</v>
      </c>
      <c r="T241" s="9">
        <v>0</v>
      </c>
      <c r="U241" s="10">
        <v>0</v>
      </c>
      <c r="V241" s="1" t="s">
        <v>46</v>
      </c>
      <c r="W241" s="1" t="s">
        <v>59</v>
      </c>
      <c r="X241" s="1">
        <v>2311711</v>
      </c>
      <c r="Y241" s="11">
        <v>41751</v>
      </c>
      <c r="Z241" s="11">
        <v>41752</v>
      </c>
      <c r="AA241" s="9">
        <f t="shared" si="19"/>
        <v>20440</v>
      </c>
      <c r="AB241" s="12">
        <v>59.8</v>
      </c>
      <c r="AC241" s="9">
        <f t="shared" si="20"/>
        <v>1222312</v>
      </c>
      <c r="AD241" s="9">
        <f t="shared" si="21"/>
        <v>1222312</v>
      </c>
      <c r="AE241" s="1" t="s">
        <v>48</v>
      </c>
      <c r="AF241" s="1" t="s">
        <v>53</v>
      </c>
      <c r="AG241" s="4">
        <f t="shared" si="22"/>
        <v>20440</v>
      </c>
      <c r="AH241" s="10">
        <v>20440</v>
      </c>
      <c r="AI241" s="9">
        <v>0</v>
      </c>
      <c r="AJ241" s="9">
        <v>0</v>
      </c>
      <c r="AK241" s="9">
        <v>0</v>
      </c>
      <c r="AL241" s="9">
        <f t="shared" si="23"/>
        <v>20440</v>
      </c>
      <c r="AM241" s="1"/>
      <c r="AN241" s="1"/>
      <c r="AO241" s="12" t="e">
        <f>AB241/#REF!</f>
        <v>#REF!</v>
      </c>
      <c r="AP241" s="1" t="s">
        <v>1478</v>
      </c>
      <c r="AQ241" s="11">
        <v>41768</v>
      </c>
      <c r="AR241" s="1" t="s">
        <v>1479</v>
      </c>
      <c r="AS241" s="11">
        <v>41769</v>
      </c>
      <c r="AT241" s="1" t="s">
        <v>49</v>
      </c>
      <c r="AU241" s="1" t="s">
        <v>4171</v>
      </c>
    </row>
    <row r="242" spans="1:47" ht="15" customHeight="1" x14ac:dyDescent="0.25">
      <c r="A242" s="1">
        <v>241</v>
      </c>
      <c r="B242" s="1" t="s">
        <v>1258</v>
      </c>
      <c r="C242" s="1" t="s">
        <v>38</v>
      </c>
      <c r="D242" s="1">
        <v>9103550087</v>
      </c>
      <c r="E242" s="5">
        <v>41755</v>
      </c>
      <c r="F242" s="1" t="s">
        <v>208</v>
      </c>
      <c r="G242" s="1" t="s">
        <v>40</v>
      </c>
      <c r="H242" s="1" t="s">
        <v>41</v>
      </c>
      <c r="I242" s="1" t="s">
        <v>2809</v>
      </c>
      <c r="J242" s="1" t="s">
        <v>1415</v>
      </c>
      <c r="K242" s="1">
        <v>29051700</v>
      </c>
      <c r="L242" s="6">
        <v>12.75</v>
      </c>
      <c r="M242" s="1" t="s">
        <v>70</v>
      </c>
      <c r="N242" s="7" t="s">
        <v>67</v>
      </c>
      <c r="O242" s="1" t="s">
        <v>53</v>
      </c>
      <c r="P242" s="8">
        <v>1700</v>
      </c>
      <c r="Q242" s="17">
        <f t="shared" si="24"/>
        <v>21675</v>
      </c>
      <c r="R242" s="9">
        <v>0</v>
      </c>
      <c r="S242" s="9">
        <v>0</v>
      </c>
      <c r="T242" s="9">
        <v>0</v>
      </c>
      <c r="U242" s="10">
        <v>0</v>
      </c>
      <c r="V242" s="1" t="s">
        <v>46</v>
      </c>
      <c r="W242" s="1" t="s">
        <v>1120</v>
      </c>
      <c r="X242" s="1">
        <v>2310313</v>
      </c>
      <c r="Y242" s="11">
        <v>41751</v>
      </c>
      <c r="Z242" s="11">
        <v>41752</v>
      </c>
      <c r="AA242" s="9">
        <f t="shared" si="19"/>
        <v>21675</v>
      </c>
      <c r="AB242" s="12">
        <v>59.8</v>
      </c>
      <c r="AC242" s="9">
        <f t="shared" si="20"/>
        <v>1296165</v>
      </c>
      <c r="AD242" s="9">
        <f t="shared" si="21"/>
        <v>1296165</v>
      </c>
      <c r="AE242" s="1" t="s">
        <v>48</v>
      </c>
      <c r="AF242" s="1" t="s">
        <v>53</v>
      </c>
      <c r="AG242" s="4">
        <f t="shared" si="22"/>
        <v>21675</v>
      </c>
      <c r="AH242" s="10">
        <v>21660.55</v>
      </c>
      <c r="AI242" s="9">
        <v>0</v>
      </c>
      <c r="AJ242" s="9">
        <v>0</v>
      </c>
      <c r="AK242" s="9">
        <v>0</v>
      </c>
      <c r="AL242" s="9">
        <f t="shared" si="23"/>
        <v>21660.55</v>
      </c>
      <c r="AM242" s="1"/>
      <c r="AN242" s="1"/>
      <c r="AO242" s="12" t="e">
        <f>AB242/#REF!</f>
        <v>#REF!</v>
      </c>
      <c r="AP242" s="1"/>
      <c r="AQ242" s="11">
        <v>42087</v>
      </c>
      <c r="AR242" s="1" t="s">
        <v>3328</v>
      </c>
      <c r="AS242" s="11">
        <v>42088</v>
      </c>
      <c r="AT242" s="1" t="s">
        <v>49</v>
      </c>
      <c r="AU242" s="1" t="s">
        <v>4171</v>
      </c>
    </row>
    <row r="243" spans="1:47" ht="15" customHeight="1" x14ac:dyDescent="0.25">
      <c r="A243" s="1">
        <v>242</v>
      </c>
      <c r="B243" s="1" t="s">
        <v>1258</v>
      </c>
      <c r="C243" s="1" t="s">
        <v>38</v>
      </c>
      <c r="D243" s="1">
        <v>9103550087</v>
      </c>
      <c r="E243" s="5">
        <v>41755</v>
      </c>
      <c r="F243" s="1" t="s">
        <v>208</v>
      </c>
      <c r="G243" s="1" t="s">
        <v>40</v>
      </c>
      <c r="H243" s="1" t="s">
        <v>41</v>
      </c>
      <c r="I243" s="1" t="s">
        <v>2809</v>
      </c>
      <c r="J243" s="1" t="s">
        <v>1415</v>
      </c>
      <c r="K243" s="1">
        <v>38237090</v>
      </c>
      <c r="L243" s="6">
        <v>2.25</v>
      </c>
      <c r="M243" s="1" t="s">
        <v>70</v>
      </c>
      <c r="N243" s="7" t="s">
        <v>67</v>
      </c>
      <c r="O243" s="1" t="s">
        <v>53</v>
      </c>
      <c r="P243" s="8">
        <v>1700</v>
      </c>
      <c r="Q243" s="17">
        <f t="shared" si="24"/>
        <v>3825</v>
      </c>
      <c r="R243" s="9">
        <v>0</v>
      </c>
      <c r="S243" s="9">
        <v>0</v>
      </c>
      <c r="T243" s="9">
        <v>0</v>
      </c>
      <c r="U243" s="10">
        <v>0</v>
      </c>
      <c r="V243" s="1" t="s">
        <v>46</v>
      </c>
      <c r="W243" s="1" t="s">
        <v>1120</v>
      </c>
      <c r="X243" s="1">
        <v>2310313</v>
      </c>
      <c r="Y243" s="11">
        <v>41751</v>
      </c>
      <c r="Z243" s="11">
        <v>41752</v>
      </c>
      <c r="AA243" s="9">
        <f t="shared" si="19"/>
        <v>3825</v>
      </c>
      <c r="AB243" s="12">
        <v>59.8</v>
      </c>
      <c r="AC243" s="9">
        <f t="shared" si="20"/>
        <v>228735</v>
      </c>
      <c r="AD243" s="9">
        <f t="shared" si="21"/>
        <v>228735</v>
      </c>
      <c r="AE243" s="1" t="s">
        <v>48</v>
      </c>
      <c r="AF243" s="1" t="s">
        <v>53</v>
      </c>
      <c r="AG243" s="4">
        <f t="shared" si="22"/>
        <v>3825</v>
      </c>
      <c r="AH243" s="10">
        <v>3822.45</v>
      </c>
      <c r="AI243" s="9">
        <v>0</v>
      </c>
      <c r="AJ243" s="9">
        <v>0</v>
      </c>
      <c r="AK243" s="9">
        <v>0</v>
      </c>
      <c r="AL243" s="9">
        <f t="shared" si="23"/>
        <v>3822.45</v>
      </c>
      <c r="AM243" s="1"/>
      <c r="AN243" s="1"/>
      <c r="AO243" s="12" t="e">
        <f>AB243/#REF!</f>
        <v>#REF!</v>
      </c>
      <c r="AP243" s="1"/>
      <c r="AQ243" s="11">
        <v>42087</v>
      </c>
      <c r="AR243" s="1" t="s">
        <v>3328</v>
      </c>
      <c r="AS243" s="11">
        <v>42088</v>
      </c>
      <c r="AT243" s="1" t="s">
        <v>49</v>
      </c>
      <c r="AU243" s="1" t="s">
        <v>4171</v>
      </c>
    </row>
    <row r="244" spans="1:47" ht="15" customHeight="1" x14ac:dyDescent="0.25">
      <c r="A244" s="1">
        <v>243</v>
      </c>
      <c r="B244" s="1" t="s">
        <v>1258</v>
      </c>
      <c r="C244" s="1" t="s">
        <v>38</v>
      </c>
      <c r="D244" s="1">
        <v>9103550088</v>
      </c>
      <c r="E244" s="5">
        <v>41757</v>
      </c>
      <c r="F244" s="1" t="s">
        <v>204</v>
      </c>
      <c r="G244" s="1" t="s">
        <v>40</v>
      </c>
      <c r="H244" s="1" t="s">
        <v>41</v>
      </c>
      <c r="I244" s="1" t="s">
        <v>2809</v>
      </c>
      <c r="J244" s="1" t="s">
        <v>2641</v>
      </c>
      <c r="K244" s="1">
        <v>38237090</v>
      </c>
      <c r="L244" s="6">
        <v>60</v>
      </c>
      <c r="M244" s="1" t="s">
        <v>70</v>
      </c>
      <c r="N244" s="7" t="s">
        <v>44</v>
      </c>
      <c r="O244" s="1" t="s">
        <v>53</v>
      </c>
      <c r="P244" s="8">
        <v>4150</v>
      </c>
      <c r="Q244" s="17">
        <f t="shared" si="24"/>
        <v>249000</v>
      </c>
      <c r="R244" s="9">
        <v>850</v>
      </c>
      <c r="S244" s="9">
        <v>49.3</v>
      </c>
      <c r="T244" s="9">
        <v>0</v>
      </c>
      <c r="U244" s="10">
        <v>0</v>
      </c>
      <c r="V244" s="1" t="s">
        <v>46</v>
      </c>
      <c r="W244" s="1" t="s">
        <v>54</v>
      </c>
      <c r="X244" s="1">
        <v>2311720</v>
      </c>
      <c r="Y244" s="11">
        <v>41751</v>
      </c>
      <c r="Z244" s="11">
        <v>41752</v>
      </c>
      <c r="AA244" s="9">
        <f t="shared" si="19"/>
        <v>248100.7</v>
      </c>
      <c r="AB244" s="12">
        <v>59.8</v>
      </c>
      <c r="AC244" s="9">
        <f t="shared" si="20"/>
        <v>14890200</v>
      </c>
      <c r="AD244" s="9">
        <f t="shared" si="21"/>
        <v>14836421.859999999</v>
      </c>
      <c r="AE244" s="1" t="s">
        <v>48</v>
      </c>
      <c r="AF244" s="1" t="s">
        <v>53</v>
      </c>
      <c r="AG244" s="4">
        <f t="shared" si="22"/>
        <v>249000</v>
      </c>
      <c r="AH244" s="10">
        <v>248894.26</v>
      </c>
      <c r="AI244" s="10">
        <v>800</v>
      </c>
      <c r="AJ244" s="10">
        <v>35.61</v>
      </c>
      <c r="AK244" s="10"/>
      <c r="AL244" s="9">
        <f t="shared" si="23"/>
        <v>248058.65000000002</v>
      </c>
      <c r="AM244" s="1"/>
      <c r="AN244" s="1"/>
      <c r="AO244" s="12" t="e">
        <f>AB244/#REF!</f>
        <v>#REF!</v>
      </c>
      <c r="AP244" s="1" t="s">
        <v>1480</v>
      </c>
      <c r="AQ244" s="11">
        <v>41850</v>
      </c>
      <c r="AR244" s="1" t="s">
        <v>1481</v>
      </c>
      <c r="AS244" s="11">
        <v>41851</v>
      </c>
      <c r="AT244" s="1" t="s">
        <v>49</v>
      </c>
      <c r="AU244" s="1" t="s">
        <v>4171</v>
      </c>
    </row>
    <row r="245" spans="1:47" ht="15" customHeight="1" x14ac:dyDescent="0.25">
      <c r="A245" s="1">
        <v>244</v>
      </c>
      <c r="B245" s="1" t="s">
        <v>1258</v>
      </c>
      <c r="C245" s="1" t="s">
        <v>38</v>
      </c>
      <c r="D245" s="1" t="s">
        <v>1482</v>
      </c>
      <c r="E245" s="5">
        <v>41757</v>
      </c>
      <c r="F245" s="1" t="s">
        <v>219</v>
      </c>
      <c r="G245" s="1" t="s">
        <v>40</v>
      </c>
      <c r="H245" s="1" t="s">
        <v>41</v>
      </c>
      <c r="I245" s="1" t="s">
        <v>2809</v>
      </c>
      <c r="J245" s="1" t="s">
        <v>386</v>
      </c>
      <c r="K245" s="1">
        <v>38237090</v>
      </c>
      <c r="L245" s="6">
        <v>59.38</v>
      </c>
      <c r="M245" s="1" t="s">
        <v>70</v>
      </c>
      <c r="N245" s="7" t="s">
        <v>52</v>
      </c>
      <c r="O245" s="1" t="s">
        <v>53</v>
      </c>
      <c r="P245" s="8">
        <v>1933</v>
      </c>
      <c r="Q245" s="17">
        <f t="shared" si="24"/>
        <v>114781.54000000001</v>
      </c>
      <c r="R245" s="9">
        <v>3750</v>
      </c>
      <c r="S245" s="9">
        <v>0</v>
      </c>
      <c r="T245" s="9">
        <v>0</v>
      </c>
      <c r="U245" s="10">
        <v>0</v>
      </c>
      <c r="V245" s="1" t="s">
        <v>46</v>
      </c>
      <c r="W245" s="1" t="s">
        <v>241</v>
      </c>
      <c r="X245" s="1">
        <v>2311730</v>
      </c>
      <c r="Y245" s="11">
        <v>41751</v>
      </c>
      <c r="Z245" s="11">
        <v>41752</v>
      </c>
      <c r="AA245" s="9">
        <f t="shared" si="19"/>
        <v>111031.54000000001</v>
      </c>
      <c r="AB245" s="12">
        <v>59.8</v>
      </c>
      <c r="AC245" s="9">
        <f t="shared" si="20"/>
        <v>6863936.0920000002</v>
      </c>
      <c r="AD245" s="9">
        <f t="shared" si="21"/>
        <v>6639686.0920000002</v>
      </c>
      <c r="AE245" s="1" t="s">
        <v>48</v>
      </c>
      <c r="AF245" s="1" t="s">
        <v>53</v>
      </c>
      <c r="AG245" s="4">
        <f t="shared" si="22"/>
        <v>114781.54000000001</v>
      </c>
      <c r="AH245" s="10">
        <v>114781.54000000001</v>
      </c>
      <c r="AI245" s="10">
        <v>2250.77</v>
      </c>
      <c r="AJ245" s="10">
        <v>0</v>
      </c>
      <c r="AK245" s="10">
        <v>0</v>
      </c>
      <c r="AL245" s="9">
        <f t="shared" si="23"/>
        <v>112530.77</v>
      </c>
      <c r="AM245" s="1"/>
      <c r="AN245" s="1"/>
      <c r="AO245" s="12" t="e">
        <f>AB245/#REF!</f>
        <v>#REF!</v>
      </c>
      <c r="AP245" s="1" t="s">
        <v>1483</v>
      </c>
      <c r="AQ245" s="11">
        <v>41816</v>
      </c>
      <c r="AR245" s="1" t="s">
        <v>1484</v>
      </c>
      <c r="AS245" s="11">
        <v>41818</v>
      </c>
      <c r="AT245" s="1" t="s">
        <v>49</v>
      </c>
      <c r="AU245" s="1" t="s">
        <v>4171</v>
      </c>
    </row>
    <row r="246" spans="1:47" ht="15" customHeight="1" x14ac:dyDescent="0.25">
      <c r="A246" s="1">
        <v>245</v>
      </c>
      <c r="B246" s="1" t="s">
        <v>1258</v>
      </c>
      <c r="C246" s="1" t="s">
        <v>38</v>
      </c>
      <c r="D246" s="1" t="s">
        <v>1482</v>
      </c>
      <c r="E246" s="5">
        <v>41757</v>
      </c>
      <c r="F246" s="1" t="s">
        <v>215</v>
      </c>
      <c r="G246" s="1" t="s">
        <v>40</v>
      </c>
      <c r="H246" s="1" t="s">
        <v>41</v>
      </c>
      <c r="I246" s="1" t="s">
        <v>2809</v>
      </c>
      <c r="J246" s="1" t="s">
        <v>386</v>
      </c>
      <c r="K246" s="1">
        <v>38237090</v>
      </c>
      <c r="L246" s="6">
        <v>159.16</v>
      </c>
      <c r="M246" s="1" t="s">
        <v>70</v>
      </c>
      <c r="N246" s="7" t="s">
        <v>52</v>
      </c>
      <c r="O246" s="1" t="s">
        <v>53</v>
      </c>
      <c r="P246" s="8">
        <v>1933</v>
      </c>
      <c r="Q246" s="17">
        <f t="shared" si="24"/>
        <v>307656.27999999997</v>
      </c>
      <c r="R246" s="9">
        <v>10000</v>
      </c>
      <c r="S246" s="9">
        <v>0</v>
      </c>
      <c r="T246" s="9">
        <v>0</v>
      </c>
      <c r="U246" s="10">
        <v>0</v>
      </c>
      <c r="V246" s="1" t="s">
        <v>46</v>
      </c>
      <c r="W246" s="1" t="s">
        <v>241</v>
      </c>
      <c r="X246" s="1">
        <v>2329166</v>
      </c>
      <c r="Y246" s="11">
        <v>41752</v>
      </c>
      <c r="Z246" s="11">
        <v>41754</v>
      </c>
      <c r="AA246" s="9">
        <f t="shared" si="19"/>
        <v>297656.27999999997</v>
      </c>
      <c r="AB246" s="12">
        <v>59.8</v>
      </c>
      <c r="AC246" s="9">
        <f t="shared" si="20"/>
        <v>18397845.543999996</v>
      </c>
      <c r="AD246" s="9">
        <f t="shared" si="21"/>
        <v>17799845.543999996</v>
      </c>
      <c r="AE246" s="1" t="s">
        <v>48</v>
      </c>
      <c r="AF246" s="1" t="s">
        <v>53</v>
      </c>
      <c r="AG246" s="4">
        <f t="shared" si="22"/>
        <v>307656.27999999997</v>
      </c>
      <c r="AH246" s="10">
        <v>307656.28000000003</v>
      </c>
      <c r="AI246" s="10">
        <v>6032.9</v>
      </c>
      <c r="AJ246" s="10">
        <v>0</v>
      </c>
      <c r="AK246" s="10">
        <v>0</v>
      </c>
      <c r="AL246" s="9">
        <f t="shared" si="23"/>
        <v>301623.38</v>
      </c>
      <c r="AM246" s="1"/>
      <c r="AN246" s="1"/>
      <c r="AO246" s="12" t="e">
        <f>AB246/#REF!</f>
        <v>#REF!</v>
      </c>
      <c r="AP246" s="1" t="s">
        <v>1483</v>
      </c>
      <c r="AQ246" s="11">
        <v>41816</v>
      </c>
      <c r="AR246" s="1" t="s">
        <v>1485</v>
      </c>
      <c r="AS246" s="11">
        <v>41818</v>
      </c>
      <c r="AT246" s="1" t="s">
        <v>49</v>
      </c>
      <c r="AU246" s="1" t="s">
        <v>4171</v>
      </c>
    </row>
    <row r="247" spans="1:47" ht="15" customHeight="1" x14ac:dyDescent="0.25">
      <c r="A247" s="1">
        <v>246</v>
      </c>
      <c r="B247" s="1" t="s">
        <v>1258</v>
      </c>
      <c r="C247" s="1" t="s">
        <v>38</v>
      </c>
      <c r="D247" s="1" t="s">
        <v>1482</v>
      </c>
      <c r="E247" s="5">
        <v>41757</v>
      </c>
      <c r="F247" s="1" t="s">
        <v>213</v>
      </c>
      <c r="G247" s="1" t="s">
        <v>40</v>
      </c>
      <c r="H247" s="1" t="s">
        <v>41</v>
      </c>
      <c r="I247" s="1" t="s">
        <v>2809</v>
      </c>
      <c r="J247" s="1" t="s">
        <v>386</v>
      </c>
      <c r="K247" s="1">
        <v>38237090</v>
      </c>
      <c r="L247" s="6">
        <v>137.72</v>
      </c>
      <c r="M247" s="1" t="s">
        <v>70</v>
      </c>
      <c r="N247" s="7" t="s">
        <v>52</v>
      </c>
      <c r="O247" s="1" t="s">
        <v>53</v>
      </c>
      <c r="P247" s="8">
        <v>1933</v>
      </c>
      <c r="Q247" s="17">
        <f t="shared" si="24"/>
        <v>266212.76</v>
      </c>
      <c r="R247" s="9">
        <v>8750</v>
      </c>
      <c r="S247" s="9">
        <v>0</v>
      </c>
      <c r="T247" s="9">
        <v>0</v>
      </c>
      <c r="U247" s="10">
        <v>0</v>
      </c>
      <c r="V247" s="1" t="s">
        <v>46</v>
      </c>
      <c r="W247" s="1" t="s">
        <v>241</v>
      </c>
      <c r="X247" s="1">
        <v>2334485</v>
      </c>
      <c r="Y247" s="11">
        <v>41752</v>
      </c>
      <c r="Z247" s="11">
        <v>41754</v>
      </c>
      <c r="AA247" s="9">
        <f t="shared" si="19"/>
        <v>257462.76</v>
      </c>
      <c r="AB247" s="12">
        <v>59.8</v>
      </c>
      <c r="AC247" s="9">
        <f t="shared" si="20"/>
        <v>15919523.048</v>
      </c>
      <c r="AD247" s="9">
        <f t="shared" si="21"/>
        <v>15396273.048</v>
      </c>
      <c r="AE247" s="1" t="s">
        <v>48</v>
      </c>
      <c r="AF247" s="1" t="s">
        <v>53</v>
      </c>
      <c r="AG247" s="4">
        <f t="shared" si="22"/>
        <v>266212.76</v>
      </c>
      <c r="AH247" s="10">
        <v>266212.76</v>
      </c>
      <c r="AI247" s="10">
        <v>5220.22</v>
      </c>
      <c r="AJ247" s="10">
        <v>0</v>
      </c>
      <c r="AK247" s="10">
        <v>0</v>
      </c>
      <c r="AL247" s="9">
        <f t="shared" si="23"/>
        <v>260992.54</v>
      </c>
      <c r="AM247" s="1"/>
      <c r="AN247" s="1"/>
      <c r="AO247" s="12" t="e">
        <f>AB247/#REF!</f>
        <v>#REF!</v>
      </c>
      <c r="AP247" s="1" t="s">
        <v>1483</v>
      </c>
      <c r="AQ247" s="11">
        <v>41816</v>
      </c>
      <c r="AR247" s="1" t="s">
        <v>1486</v>
      </c>
      <c r="AS247" s="11">
        <v>41818</v>
      </c>
      <c r="AT247" s="1" t="s">
        <v>49</v>
      </c>
      <c r="AU247" s="1" t="s">
        <v>4171</v>
      </c>
    </row>
    <row r="248" spans="1:47" ht="15" customHeight="1" x14ac:dyDescent="0.25">
      <c r="A248" s="1">
        <v>247</v>
      </c>
      <c r="B248" s="1" t="s">
        <v>1258</v>
      </c>
      <c r="C248" s="1" t="s">
        <v>38</v>
      </c>
      <c r="D248" s="1" t="s">
        <v>1482</v>
      </c>
      <c r="E248" s="5">
        <v>41757</v>
      </c>
      <c r="F248" s="1" t="s">
        <v>212</v>
      </c>
      <c r="G248" s="1" t="s">
        <v>40</v>
      </c>
      <c r="H248" s="1" t="s">
        <v>41</v>
      </c>
      <c r="I248" s="1" t="s">
        <v>2809</v>
      </c>
      <c r="J248" s="1" t="s">
        <v>386</v>
      </c>
      <c r="K248" s="1">
        <v>38237090</v>
      </c>
      <c r="L248" s="6">
        <v>39.47</v>
      </c>
      <c r="M248" s="1" t="s">
        <v>70</v>
      </c>
      <c r="N248" s="7" t="s">
        <v>52</v>
      </c>
      <c r="O248" s="1" t="s">
        <v>53</v>
      </c>
      <c r="P248" s="8">
        <v>1933</v>
      </c>
      <c r="Q248" s="17">
        <f t="shared" si="24"/>
        <v>76295.509999999995</v>
      </c>
      <c r="R248" s="9">
        <v>2500</v>
      </c>
      <c r="S248" s="9">
        <v>0</v>
      </c>
      <c r="T248" s="9">
        <v>0</v>
      </c>
      <c r="U248" s="10">
        <v>0</v>
      </c>
      <c r="V248" s="1" t="s">
        <v>46</v>
      </c>
      <c r="W248" s="1" t="s">
        <v>241</v>
      </c>
      <c r="X248" s="1">
        <v>2341318</v>
      </c>
      <c r="Y248" s="11">
        <v>41753</v>
      </c>
      <c r="Z248" s="11">
        <v>41754</v>
      </c>
      <c r="AA248" s="9">
        <f t="shared" si="19"/>
        <v>73795.509999999995</v>
      </c>
      <c r="AB248" s="12">
        <v>59.8</v>
      </c>
      <c r="AC248" s="9">
        <f t="shared" si="20"/>
        <v>4562471.4979999997</v>
      </c>
      <c r="AD248" s="9">
        <f t="shared" si="21"/>
        <v>4412971.4979999997</v>
      </c>
      <c r="AE248" s="1" t="s">
        <v>48</v>
      </c>
      <c r="AF248" s="1" t="s">
        <v>53</v>
      </c>
      <c r="AG248" s="4">
        <f t="shared" si="22"/>
        <v>76295.509999999995</v>
      </c>
      <c r="AH248" s="10">
        <v>76295.509999999995</v>
      </c>
      <c r="AI248" s="10">
        <v>1496.11</v>
      </c>
      <c r="AJ248" s="10">
        <v>0</v>
      </c>
      <c r="AK248" s="10">
        <v>0</v>
      </c>
      <c r="AL248" s="9">
        <f t="shared" si="23"/>
        <v>74799.399999999994</v>
      </c>
      <c r="AM248" s="1"/>
      <c r="AN248" s="1"/>
      <c r="AO248" s="12" t="e">
        <f>AB248/#REF!</f>
        <v>#REF!</v>
      </c>
      <c r="AP248" s="1" t="s">
        <v>1483</v>
      </c>
      <c r="AQ248" s="11">
        <v>41816</v>
      </c>
      <c r="AR248" s="1" t="s">
        <v>1487</v>
      </c>
      <c r="AS248" s="11">
        <v>41818</v>
      </c>
      <c r="AT248" s="1" t="s">
        <v>49</v>
      </c>
      <c r="AU248" s="1" t="s">
        <v>4171</v>
      </c>
    </row>
    <row r="249" spans="1:47" ht="15" customHeight="1" x14ac:dyDescent="0.25">
      <c r="A249" s="1">
        <v>248</v>
      </c>
      <c r="B249" s="1" t="s">
        <v>1258</v>
      </c>
      <c r="C249" s="1" t="s">
        <v>38</v>
      </c>
      <c r="D249" s="3">
        <v>9103550092</v>
      </c>
      <c r="E249" s="19">
        <v>41759</v>
      </c>
      <c r="F249" s="3" t="s">
        <v>211</v>
      </c>
      <c r="G249" s="1" t="s">
        <v>40</v>
      </c>
      <c r="H249" s="1" t="s">
        <v>41</v>
      </c>
      <c r="I249" s="1" t="s">
        <v>2809</v>
      </c>
      <c r="J249" s="1" t="s">
        <v>55</v>
      </c>
      <c r="K249" s="1">
        <v>29051700</v>
      </c>
      <c r="L249" s="6">
        <v>18.14</v>
      </c>
      <c r="M249" s="1" t="s">
        <v>70</v>
      </c>
      <c r="N249" s="7" t="s">
        <v>44</v>
      </c>
      <c r="O249" s="1" t="s">
        <v>53</v>
      </c>
      <c r="P249" s="8">
        <v>1975</v>
      </c>
      <c r="Q249" s="17">
        <f t="shared" si="24"/>
        <v>35826.5</v>
      </c>
      <c r="R249" s="9">
        <v>3000</v>
      </c>
      <c r="S249" s="9">
        <v>7.09</v>
      </c>
      <c r="T249" s="9">
        <v>0</v>
      </c>
      <c r="U249" s="10">
        <v>0</v>
      </c>
      <c r="V249" s="1" t="s">
        <v>46</v>
      </c>
      <c r="W249" s="1" t="s">
        <v>56</v>
      </c>
      <c r="X249" s="1">
        <v>2341435</v>
      </c>
      <c r="Y249" s="11">
        <v>41753</v>
      </c>
      <c r="Z249" s="11">
        <v>41754</v>
      </c>
      <c r="AA249" s="9">
        <f t="shared" si="19"/>
        <v>32819.410000000003</v>
      </c>
      <c r="AB249" s="12">
        <v>59.8</v>
      </c>
      <c r="AC249" s="9">
        <f t="shared" si="20"/>
        <v>2142424.6999999997</v>
      </c>
      <c r="AD249" s="9">
        <f t="shared" si="21"/>
        <v>1962600.7180000001</v>
      </c>
      <c r="AE249" s="1" t="s">
        <v>48</v>
      </c>
      <c r="AF249" s="1" t="s">
        <v>53</v>
      </c>
      <c r="AG249" s="4">
        <f t="shared" si="22"/>
        <v>35826.5</v>
      </c>
      <c r="AH249" s="10">
        <v>35826.5</v>
      </c>
      <c r="AI249" s="10">
        <v>3150</v>
      </c>
      <c r="AJ249" s="10">
        <v>5.12</v>
      </c>
      <c r="AK249" s="10">
        <v>0</v>
      </c>
      <c r="AL249" s="9">
        <f t="shared" si="23"/>
        <v>32671.38</v>
      </c>
      <c r="AM249" s="1"/>
      <c r="AN249" s="1"/>
      <c r="AO249" s="12" t="e">
        <f>AB249/#REF!</f>
        <v>#REF!</v>
      </c>
      <c r="AP249" s="1" t="s">
        <v>1488</v>
      </c>
      <c r="AQ249" s="11">
        <v>41789</v>
      </c>
      <c r="AR249" s="1" t="s">
        <v>1489</v>
      </c>
      <c r="AS249" s="11">
        <v>41790</v>
      </c>
      <c r="AT249" s="1" t="s">
        <v>49</v>
      </c>
      <c r="AU249" s="1" t="s">
        <v>4171</v>
      </c>
    </row>
    <row r="250" spans="1:47" ht="15" customHeight="1" x14ac:dyDescent="0.25">
      <c r="A250" s="1">
        <v>249</v>
      </c>
      <c r="B250" s="1" t="s">
        <v>1258</v>
      </c>
      <c r="C250" s="1" t="s">
        <v>38</v>
      </c>
      <c r="D250" s="1">
        <v>9103550093</v>
      </c>
      <c r="E250" s="5">
        <v>41762</v>
      </c>
      <c r="F250" s="1" t="s">
        <v>225</v>
      </c>
      <c r="G250" s="1" t="s">
        <v>40</v>
      </c>
      <c r="H250" s="1" t="s">
        <v>41</v>
      </c>
      <c r="I250" s="1" t="s">
        <v>2809</v>
      </c>
      <c r="J250" s="1" t="s">
        <v>63</v>
      </c>
      <c r="K250" s="1">
        <v>29161990</v>
      </c>
      <c r="L250" s="6">
        <v>39.46</v>
      </c>
      <c r="M250" s="1" t="s">
        <v>70</v>
      </c>
      <c r="N250" s="7" t="s">
        <v>44</v>
      </c>
      <c r="O250" s="1" t="s">
        <v>53</v>
      </c>
      <c r="P250" s="8">
        <v>2765</v>
      </c>
      <c r="Q250" s="17">
        <f t="shared" si="24"/>
        <v>109106.90000000001</v>
      </c>
      <c r="R250" s="9">
        <v>1200</v>
      </c>
      <c r="S250" s="9">
        <v>15.6</v>
      </c>
      <c r="T250" s="9">
        <v>0</v>
      </c>
      <c r="U250" s="10">
        <v>0</v>
      </c>
      <c r="V250" s="1" t="s">
        <v>46</v>
      </c>
      <c r="W250" s="1" t="s">
        <v>64</v>
      </c>
      <c r="X250" s="1">
        <v>2363940</v>
      </c>
      <c r="Y250" s="11">
        <v>41754</v>
      </c>
      <c r="Z250" s="11">
        <v>41755</v>
      </c>
      <c r="AA250" s="9">
        <f t="shared" si="19"/>
        <v>107891.3</v>
      </c>
      <c r="AB250" s="12">
        <v>59.8</v>
      </c>
      <c r="AC250" s="9">
        <f t="shared" si="20"/>
        <v>6524592.6200000001</v>
      </c>
      <c r="AD250" s="9">
        <f t="shared" si="21"/>
        <v>6451899.7400000002</v>
      </c>
      <c r="AE250" s="1" t="s">
        <v>51</v>
      </c>
      <c r="AF250" s="1" t="s">
        <v>53</v>
      </c>
      <c r="AG250" s="4">
        <f t="shared" si="22"/>
        <v>109106.90000000001</v>
      </c>
      <c r="AH250" s="10">
        <v>109107</v>
      </c>
      <c r="AI250" s="10">
        <v>1200</v>
      </c>
      <c r="AJ250" s="10">
        <v>15.6</v>
      </c>
      <c r="AK250" s="10">
        <v>0</v>
      </c>
      <c r="AL250" s="9">
        <f t="shared" si="23"/>
        <v>107891.4</v>
      </c>
      <c r="AM250" s="1"/>
      <c r="AN250" s="1"/>
      <c r="AO250" s="12" t="e">
        <f>AB250/#REF!</f>
        <v>#REF!</v>
      </c>
      <c r="AP250" s="1" t="s">
        <v>1490</v>
      </c>
      <c r="AQ250" s="11">
        <v>41774</v>
      </c>
      <c r="AR250" s="1" t="s">
        <v>1491</v>
      </c>
      <c r="AS250" s="11">
        <v>41841</v>
      </c>
      <c r="AT250" s="1" t="s">
        <v>49</v>
      </c>
      <c r="AU250" s="1" t="s">
        <v>4171</v>
      </c>
    </row>
    <row r="251" spans="1:47" ht="15" customHeight="1" x14ac:dyDescent="0.25">
      <c r="A251" s="1">
        <v>250</v>
      </c>
      <c r="B251" s="1" t="s">
        <v>1258</v>
      </c>
      <c r="C251" s="1" t="s">
        <v>38</v>
      </c>
      <c r="D251" s="1">
        <v>9103550094</v>
      </c>
      <c r="E251" s="5">
        <v>41762</v>
      </c>
      <c r="F251" s="1" t="s">
        <v>233</v>
      </c>
      <c r="G251" s="1" t="s">
        <v>40</v>
      </c>
      <c r="H251" s="1" t="s">
        <v>41</v>
      </c>
      <c r="I251" s="1" t="s">
        <v>2809</v>
      </c>
      <c r="J251" s="1" t="s">
        <v>63</v>
      </c>
      <c r="K251" s="1">
        <v>29161990</v>
      </c>
      <c r="L251" s="6">
        <v>38.83</v>
      </c>
      <c r="M251" s="1" t="s">
        <v>70</v>
      </c>
      <c r="N251" s="7" t="s">
        <v>44</v>
      </c>
      <c r="O251" s="1" t="s">
        <v>53</v>
      </c>
      <c r="P251" s="8">
        <v>2765</v>
      </c>
      <c r="Q251" s="17">
        <f t="shared" si="24"/>
        <v>107364.95</v>
      </c>
      <c r="R251" s="9">
        <v>1200</v>
      </c>
      <c r="S251" s="9">
        <v>15.35</v>
      </c>
      <c r="T251" s="9">
        <v>0</v>
      </c>
      <c r="U251" s="10">
        <v>0</v>
      </c>
      <c r="V251" s="1" t="s">
        <v>46</v>
      </c>
      <c r="W251" s="1" t="s">
        <v>64</v>
      </c>
      <c r="X251" s="1">
        <v>2363732</v>
      </c>
      <c r="Y251" s="11">
        <v>41754</v>
      </c>
      <c r="Z251" s="11">
        <v>41755</v>
      </c>
      <c r="AA251" s="9">
        <f t="shared" ref="AA251:AA262" si="25">Q251-R251-S251</f>
        <v>106149.59999999999</v>
      </c>
      <c r="AB251" s="12">
        <v>59.8</v>
      </c>
      <c r="AC251" s="9">
        <f t="shared" ref="AC251:AC262" si="26">+Q251*AB251</f>
        <v>6420424.0099999998</v>
      </c>
      <c r="AD251" s="9">
        <f t="shared" ref="AD251:AD262" si="27">+AA251*AB251</f>
        <v>6347746.0799999991</v>
      </c>
      <c r="AE251" s="1" t="s">
        <v>51</v>
      </c>
      <c r="AF251" s="1" t="s">
        <v>53</v>
      </c>
      <c r="AG251" s="4">
        <f t="shared" si="22"/>
        <v>107364.95</v>
      </c>
      <c r="AH251" s="10">
        <v>107365</v>
      </c>
      <c r="AI251" s="10">
        <v>1200</v>
      </c>
      <c r="AJ251" s="10">
        <v>15.35</v>
      </c>
      <c r="AK251" s="10">
        <v>0</v>
      </c>
      <c r="AL251" s="9">
        <f t="shared" si="23"/>
        <v>106149.65</v>
      </c>
      <c r="AM251" s="1"/>
      <c r="AN251" s="1"/>
      <c r="AO251" s="12" t="e">
        <f>AB251/#REF!</f>
        <v>#REF!</v>
      </c>
      <c r="AP251" s="1" t="s">
        <v>1490</v>
      </c>
      <c r="AQ251" s="11">
        <v>41779</v>
      </c>
      <c r="AR251" s="1" t="s">
        <v>1492</v>
      </c>
      <c r="AS251" s="11">
        <v>41844</v>
      </c>
      <c r="AT251" s="1" t="s">
        <v>49</v>
      </c>
      <c r="AU251" s="1" t="s">
        <v>4171</v>
      </c>
    </row>
    <row r="252" spans="1:47" ht="15" customHeight="1" x14ac:dyDescent="0.25">
      <c r="A252" s="1">
        <v>251</v>
      </c>
      <c r="B252" s="1" t="s">
        <v>1258</v>
      </c>
      <c r="C252" s="1" t="s">
        <v>38</v>
      </c>
      <c r="D252" s="1">
        <v>9103550095</v>
      </c>
      <c r="E252" s="5">
        <v>41762</v>
      </c>
      <c r="F252" s="1" t="s">
        <v>209</v>
      </c>
      <c r="G252" s="1" t="s">
        <v>40</v>
      </c>
      <c r="H252" s="1" t="s">
        <v>41</v>
      </c>
      <c r="I252" s="1" t="s">
        <v>2809</v>
      </c>
      <c r="J252" s="1" t="s">
        <v>63</v>
      </c>
      <c r="K252" s="1">
        <v>29161990</v>
      </c>
      <c r="L252" s="6">
        <v>39.49</v>
      </c>
      <c r="M252" s="1" t="s">
        <v>70</v>
      </c>
      <c r="N252" s="7" t="s">
        <v>44</v>
      </c>
      <c r="O252" s="1" t="s">
        <v>53</v>
      </c>
      <c r="P252" s="8">
        <v>2765</v>
      </c>
      <c r="Q252" s="17">
        <f t="shared" si="24"/>
        <v>109189.85</v>
      </c>
      <c r="R252" s="9">
        <v>1200</v>
      </c>
      <c r="S252" s="9">
        <v>15.61</v>
      </c>
      <c r="T252" s="9">
        <v>0</v>
      </c>
      <c r="U252" s="10">
        <v>0</v>
      </c>
      <c r="V252" s="1" t="s">
        <v>46</v>
      </c>
      <c r="W252" s="1" t="s">
        <v>64</v>
      </c>
      <c r="X252" s="1">
        <v>2363740</v>
      </c>
      <c r="Y252" s="11">
        <v>41754</v>
      </c>
      <c r="Z252" s="11">
        <v>41755</v>
      </c>
      <c r="AA252" s="9">
        <f t="shared" si="25"/>
        <v>107974.24</v>
      </c>
      <c r="AB252" s="12">
        <v>59.8</v>
      </c>
      <c r="AC252" s="9">
        <f t="shared" si="26"/>
        <v>6529553.0300000003</v>
      </c>
      <c r="AD252" s="9">
        <f t="shared" si="27"/>
        <v>6456859.5520000001</v>
      </c>
      <c r="AE252" s="1" t="s">
        <v>51</v>
      </c>
      <c r="AF252" s="1" t="s">
        <v>53</v>
      </c>
      <c r="AG252" s="4">
        <f t="shared" si="22"/>
        <v>109189.85</v>
      </c>
      <c r="AH252" s="10">
        <v>109148</v>
      </c>
      <c r="AI252" s="10">
        <v>1120</v>
      </c>
      <c r="AJ252" s="10">
        <v>15.61</v>
      </c>
      <c r="AK252" s="10">
        <v>0</v>
      </c>
      <c r="AL252" s="9">
        <f t="shared" si="23"/>
        <v>108012.39</v>
      </c>
      <c r="AM252" s="1"/>
      <c r="AN252" s="1"/>
      <c r="AO252" s="12" t="e">
        <f>AB252/#REF!</f>
        <v>#REF!</v>
      </c>
      <c r="AP252" s="1" t="s">
        <v>1493</v>
      </c>
      <c r="AQ252" s="11">
        <v>41779</v>
      </c>
      <c r="AR252" s="1" t="s">
        <v>1494</v>
      </c>
      <c r="AS252" s="11">
        <v>41844</v>
      </c>
      <c r="AT252" s="1" t="s">
        <v>49</v>
      </c>
      <c r="AU252" s="1" t="s">
        <v>4171</v>
      </c>
    </row>
    <row r="253" spans="1:47" ht="15" customHeight="1" x14ac:dyDescent="0.25">
      <c r="A253" s="1">
        <v>252</v>
      </c>
      <c r="B253" s="1" t="s">
        <v>1258</v>
      </c>
      <c r="C253" s="1" t="s">
        <v>38</v>
      </c>
      <c r="D253" s="1">
        <v>9103550097</v>
      </c>
      <c r="E253" s="5">
        <v>41767</v>
      </c>
      <c r="F253" s="1" t="s">
        <v>222</v>
      </c>
      <c r="G253" s="1" t="s">
        <v>40</v>
      </c>
      <c r="H253" s="1" t="s">
        <v>41</v>
      </c>
      <c r="I253" s="1" t="s">
        <v>2809</v>
      </c>
      <c r="J253" s="1" t="s">
        <v>2806</v>
      </c>
      <c r="K253" s="1">
        <v>38237090</v>
      </c>
      <c r="L253" s="6">
        <v>55.38</v>
      </c>
      <c r="M253" s="1" t="s">
        <v>70</v>
      </c>
      <c r="N253" s="7" t="s">
        <v>67</v>
      </c>
      <c r="O253" s="1" t="s">
        <v>53</v>
      </c>
      <c r="P253" s="8">
        <v>1450</v>
      </c>
      <c r="Q253" s="17">
        <f t="shared" si="24"/>
        <v>80301</v>
      </c>
      <c r="R253" s="9">
        <v>0</v>
      </c>
      <c r="S253" s="9">
        <v>0</v>
      </c>
      <c r="T253" s="9">
        <v>0</v>
      </c>
      <c r="U253" s="10">
        <v>0</v>
      </c>
      <c r="V253" s="1" t="s">
        <v>46</v>
      </c>
      <c r="W253" s="1" t="s">
        <v>492</v>
      </c>
      <c r="X253" s="1">
        <v>2371143</v>
      </c>
      <c r="Y253" s="11">
        <v>41754</v>
      </c>
      <c r="Z253" s="11">
        <v>41755</v>
      </c>
      <c r="AA253" s="9">
        <f t="shared" si="25"/>
        <v>80301</v>
      </c>
      <c r="AB253" s="12">
        <v>59.8</v>
      </c>
      <c r="AC253" s="9">
        <f t="shared" si="26"/>
        <v>4801999.8</v>
      </c>
      <c r="AD253" s="9">
        <f t="shared" si="27"/>
        <v>4801999.8</v>
      </c>
      <c r="AE253" s="1" t="s">
        <v>48</v>
      </c>
      <c r="AF253" s="1" t="s">
        <v>53</v>
      </c>
      <c r="AG253" s="4">
        <f t="shared" si="22"/>
        <v>80301</v>
      </c>
      <c r="AH253" s="10">
        <v>80169.649999999994</v>
      </c>
      <c r="AI253" s="9">
        <v>0</v>
      </c>
      <c r="AJ253" s="9">
        <v>0</v>
      </c>
      <c r="AK253" s="9">
        <v>0</v>
      </c>
      <c r="AL253" s="9">
        <f t="shared" si="23"/>
        <v>80169.649999999994</v>
      </c>
      <c r="AM253" s="1"/>
      <c r="AN253" s="1"/>
      <c r="AO253" s="12" t="e">
        <f>AB253/#REF!</f>
        <v>#REF!</v>
      </c>
      <c r="AP253" s="1" t="s">
        <v>1495</v>
      </c>
      <c r="AQ253" s="11">
        <v>41792</v>
      </c>
      <c r="AR253" s="1" t="s">
        <v>1496</v>
      </c>
      <c r="AS253" s="11">
        <v>41793</v>
      </c>
      <c r="AT253" s="1" t="s">
        <v>49</v>
      </c>
      <c r="AU253" s="1" t="s">
        <v>4171</v>
      </c>
    </row>
    <row r="254" spans="1:47" ht="15" customHeight="1" x14ac:dyDescent="0.25">
      <c r="A254" s="1">
        <v>253</v>
      </c>
      <c r="B254" s="1" t="s">
        <v>1258</v>
      </c>
      <c r="C254" s="1" t="s">
        <v>38</v>
      </c>
      <c r="D254" s="1">
        <v>9103550098</v>
      </c>
      <c r="E254" s="5">
        <v>41756</v>
      </c>
      <c r="F254" s="1" t="s">
        <v>229</v>
      </c>
      <c r="G254" s="1" t="s">
        <v>40</v>
      </c>
      <c r="H254" s="1" t="s">
        <v>41</v>
      </c>
      <c r="I254" s="1" t="s">
        <v>2809</v>
      </c>
      <c r="J254" s="1" t="s">
        <v>1497</v>
      </c>
      <c r="K254" s="1">
        <v>38237090</v>
      </c>
      <c r="L254" s="6">
        <v>30</v>
      </c>
      <c r="M254" s="1" t="s">
        <v>70</v>
      </c>
      <c r="N254" s="7" t="s">
        <v>67</v>
      </c>
      <c r="O254" s="1" t="s">
        <v>53</v>
      </c>
      <c r="P254" s="8">
        <v>1655</v>
      </c>
      <c r="Q254" s="17">
        <f t="shared" si="24"/>
        <v>49650</v>
      </c>
      <c r="R254" s="9">
        <v>0</v>
      </c>
      <c r="S254" s="9">
        <v>0</v>
      </c>
      <c r="T254" s="9">
        <v>0</v>
      </c>
      <c r="U254" s="10">
        <v>0</v>
      </c>
      <c r="V254" s="1" t="s">
        <v>46</v>
      </c>
      <c r="W254" s="1" t="s">
        <v>492</v>
      </c>
      <c r="X254" s="1">
        <v>2371138</v>
      </c>
      <c r="Y254" s="11">
        <v>41754</v>
      </c>
      <c r="Z254" s="11">
        <v>41755</v>
      </c>
      <c r="AA254" s="9">
        <f t="shared" si="25"/>
        <v>49650</v>
      </c>
      <c r="AB254" s="12">
        <v>59.8</v>
      </c>
      <c r="AC254" s="9">
        <f t="shared" si="26"/>
        <v>2969070</v>
      </c>
      <c r="AD254" s="9">
        <f t="shared" si="27"/>
        <v>2969070</v>
      </c>
      <c r="AE254" s="1" t="s">
        <v>48</v>
      </c>
      <c r="AF254" s="1" t="s">
        <v>53</v>
      </c>
      <c r="AG254" s="4">
        <f t="shared" si="22"/>
        <v>49650</v>
      </c>
      <c r="AH254" s="10">
        <v>49605</v>
      </c>
      <c r="AI254" s="10"/>
      <c r="AJ254" s="10"/>
      <c r="AK254" s="10"/>
      <c r="AL254" s="9">
        <f t="shared" si="23"/>
        <v>49605</v>
      </c>
      <c r="AM254" s="1"/>
      <c r="AN254" s="1"/>
      <c r="AO254" s="12" t="e">
        <f>AB254/#REF!</f>
        <v>#REF!</v>
      </c>
      <c r="AP254" s="1" t="s">
        <v>1498</v>
      </c>
      <c r="AQ254" s="11">
        <v>41787</v>
      </c>
      <c r="AR254" s="1" t="s">
        <v>1499</v>
      </c>
      <c r="AS254" s="11">
        <v>41788</v>
      </c>
      <c r="AT254" s="1" t="s">
        <v>49</v>
      </c>
      <c r="AU254" s="1" t="s">
        <v>4171</v>
      </c>
    </row>
    <row r="255" spans="1:47" ht="15" customHeight="1" x14ac:dyDescent="0.25">
      <c r="A255" s="1">
        <v>254</v>
      </c>
      <c r="B255" s="1" t="s">
        <v>1258</v>
      </c>
      <c r="C255" s="1" t="s">
        <v>38</v>
      </c>
      <c r="D255" s="1">
        <v>9103550099</v>
      </c>
      <c r="E255" s="5">
        <v>41768</v>
      </c>
      <c r="F255" s="1" t="s">
        <v>224</v>
      </c>
      <c r="G255" s="1" t="s">
        <v>40</v>
      </c>
      <c r="H255" s="1" t="s">
        <v>41</v>
      </c>
      <c r="I255" s="1" t="s">
        <v>2809</v>
      </c>
      <c r="J255" s="1" t="s">
        <v>1092</v>
      </c>
      <c r="K255" s="1">
        <v>38237090</v>
      </c>
      <c r="L255" s="6">
        <v>15</v>
      </c>
      <c r="M255" s="1" t="s">
        <v>70</v>
      </c>
      <c r="N255" s="7" t="s">
        <v>44</v>
      </c>
      <c r="O255" s="1" t="s">
        <v>53</v>
      </c>
      <c r="P255" s="8">
        <v>1850</v>
      </c>
      <c r="Q255" s="17">
        <f t="shared" si="24"/>
        <v>27750</v>
      </c>
      <c r="R255" s="9">
        <v>681</v>
      </c>
      <c r="S255" s="9">
        <v>3.97</v>
      </c>
      <c r="T255" s="9">
        <v>0</v>
      </c>
      <c r="U255" s="10">
        <v>0</v>
      </c>
      <c r="V255" s="1" t="s">
        <v>46</v>
      </c>
      <c r="W255" s="1" t="s">
        <v>143</v>
      </c>
      <c r="X255" s="1">
        <v>2410389</v>
      </c>
      <c r="Y255" s="11">
        <v>41757</v>
      </c>
      <c r="Z255" s="11">
        <v>41758</v>
      </c>
      <c r="AA255" s="9">
        <f t="shared" si="25"/>
        <v>27065.03</v>
      </c>
      <c r="AB255" s="12">
        <v>59.8</v>
      </c>
      <c r="AC255" s="9">
        <f t="shared" si="26"/>
        <v>1659450</v>
      </c>
      <c r="AD255" s="9">
        <f t="shared" si="27"/>
        <v>1618488.7939999998</v>
      </c>
      <c r="AE255" s="1" t="s">
        <v>48</v>
      </c>
      <c r="AF255" s="1" t="s">
        <v>53</v>
      </c>
      <c r="AG255" s="4">
        <f t="shared" si="22"/>
        <v>27750</v>
      </c>
      <c r="AH255" s="10">
        <v>27750</v>
      </c>
      <c r="AI255" s="9">
        <v>681</v>
      </c>
      <c r="AJ255" s="9">
        <v>3.97</v>
      </c>
      <c r="AK255" s="10">
        <v>0</v>
      </c>
      <c r="AL255" s="9">
        <f t="shared" si="23"/>
        <v>27065.03</v>
      </c>
      <c r="AM255" s="1"/>
      <c r="AN255" s="1"/>
      <c r="AO255" s="12" t="e">
        <f>AB255/#REF!</f>
        <v>#REF!</v>
      </c>
      <c r="AP255" s="1" t="s">
        <v>1500</v>
      </c>
      <c r="AQ255" s="11">
        <v>41792</v>
      </c>
      <c r="AR255" s="1" t="s">
        <v>1501</v>
      </c>
      <c r="AS255" s="11">
        <v>41793</v>
      </c>
      <c r="AT255" s="1" t="s">
        <v>49</v>
      </c>
      <c r="AU255" s="1" t="s">
        <v>4171</v>
      </c>
    </row>
    <row r="256" spans="1:47" ht="15" customHeight="1" x14ac:dyDescent="0.25">
      <c r="A256" s="1">
        <v>255</v>
      </c>
      <c r="B256" s="1" t="s">
        <v>1258</v>
      </c>
      <c r="C256" s="1" t="s">
        <v>38</v>
      </c>
      <c r="D256" s="1">
        <v>9103550100</v>
      </c>
      <c r="E256" s="5">
        <v>41768</v>
      </c>
      <c r="F256" s="1" t="s">
        <v>234</v>
      </c>
      <c r="G256" s="1" t="s">
        <v>40</v>
      </c>
      <c r="H256" s="1" t="s">
        <v>41</v>
      </c>
      <c r="I256" s="1" t="s">
        <v>2809</v>
      </c>
      <c r="J256" s="1" t="s">
        <v>1006</v>
      </c>
      <c r="K256" s="1">
        <v>38237090</v>
      </c>
      <c r="L256" s="6">
        <v>15</v>
      </c>
      <c r="M256" s="1" t="s">
        <v>70</v>
      </c>
      <c r="N256" s="7" t="s">
        <v>52</v>
      </c>
      <c r="O256" s="1" t="s">
        <v>53</v>
      </c>
      <c r="P256" s="8">
        <v>1750</v>
      </c>
      <c r="Q256" s="17">
        <f t="shared" si="24"/>
        <v>26250</v>
      </c>
      <c r="R256" s="9">
        <v>681</v>
      </c>
      <c r="S256" s="9">
        <v>0</v>
      </c>
      <c r="T256" s="9">
        <v>150</v>
      </c>
      <c r="U256" s="10">
        <v>0</v>
      </c>
      <c r="V256" s="1" t="s">
        <v>46</v>
      </c>
      <c r="W256" s="1" t="s">
        <v>143</v>
      </c>
      <c r="X256" s="1">
        <v>2412373</v>
      </c>
      <c r="Y256" s="11">
        <v>41757</v>
      </c>
      <c r="Z256" s="11">
        <v>41758</v>
      </c>
      <c r="AA256" s="9">
        <f t="shared" si="25"/>
        <v>25569</v>
      </c>
      <c r="AB256" s="12">
        <v>59.8</v>
      </c>
      <c r="AC256" s="9">
        <f t="shared" si="26"/>
        <v>1569750</v>
      </c>
      <c r="AD256" s="9">
        <f t="shared" si="27"/>
        <v>1529026.2</v>
      </c>
      <c r="AE256" s="1" t="s">
        <v>48</v>
      </c>
      <c r="AF256" s="1" t="s">
        <v>53</v>
      </c>
      <c r="AG256" s="4">
        <f t="shared" si="22"/>
        <v>26250</v>
      </c>
      <c r="AH256" s="10">
        <v>26225</v>
      </c>
      <c r="AI256" s="10">
        <v>681</v>
      </c>
      <c r="AJ256" s="10">
        <v>0</v>
      </c>
      <c r="AK256" s="10">
        <v>150</v>
      </c>
      <c r="AL256" s="9">
        <f t="shared" si="23"/>
        <v>25394</v>
      </c>
      <c r="AM256" s="1"/>
      <c r="AN256" s="1"/>
      <c r="AO256" s="12" t="e">
        <f>AB256/#REF!</f>
        <v>#REF!</v>
      </c>
      <c r="AP256" s="1" t="s">
        <v>1502</v>
      </c>
      <c r="AQ256" s="11">
        <v>41780</v>
      </c>
      <c r="AR256" s="1" t="s">
        <v>1503</v>
      </c>
      <c r="AS256" s="11">
        <v>41781</v>
      </c>
      <c r="AT256" s="1" t="s">
        <v>49</v>
      </c>
      <c r="AU256" s="1" t="s">
        <v>4171</v>
      </c>
    </row>
    <row r="257" spans="1:47" ht="15" customHeight="1" x14ac:dyDescent="0.25">
      <c r="A257" s="1">
        <v>256</v>
      </c>
      <c r="B257" s="1" t="s">
        <v>1258</v>
      </c>
      <c r="C257" s="1" t="s">
        <v>38</v>
      </c>
      <c r="D257" s="1">
        <v>9103550101</v>
      </c>
      <c r="E257" s="5">
        <v>41762</v>
      </c>
      <c r="F257" s="1" t="s">
        <v>226</v>
      </c>
      <c r="G257" s="1" t="s">
        <v>40</v>
      </c>
      <c r="H257" s="1" t="s">
        <v>41</v>
      </c>
      <c r="I257" s="1" t="s">
        <v>2809</v>
      </c>
      <c r="J257" s="1" t="s">
        <v>55</v>
      </c>
      <c r="K257" s="1">
        <v>38237090</v>
      </c>
      <c r="L257" s="6">
        <v>18.510000000000002</v>
      </c>
      <c r="M257" s="1" t="s">
        <v>70</v>
      </c>
      <c r="N257" s="7" t="s">
        <v>44</v>
      </c>
      <c r="O257" s="1" t="s">
        <v>53</v>
      </c>
      <c r="P257" s="8">
        <v>1705</v>
      </c>
      <c r="Q257" s="17">
        <f t="shared" si="24"/>
        <v>31559.550000000003</v>
      </c>
      <c r="R257" s="9">
        <v>5050</v>
      </c>
      <c r="S257" s="9">
        <v>4.51</v>
      </c>
      <c r="T257" s="9">
        <v>0</v>
      </c>
      <c r="U257" s="10">
        <v>0</v>
      </c>
      <c r="V257" s="1" t="s">
        <v>46</v>
      </c>
      <c r="W257" s="1" t="s">
        <v>56</v>
      </c>
      <c r="X257" s="1">
        <v>2412665</v>
      </c>
      <c r="Y257" s="11">
        <v>41757</v>
      </c>
      <c r="Z257" s="11">
        <v>41758</v>
      </c>
      <c r="AA257" s="9">
        <f t="shared" si="25"/>
        <v>26505.040000000005</v>
      </c>
      <c r="AB257" s="12">
        <v>59.8</v>
      </c>
      <c r="AC257" s="9">
        <f t="shared" si="26"/>
        <v>1887261.09</v>
      </c>
      <c r="AD257" s="9">
        <f t="shared" si="27"/>
        <v>1585001.3920000002</v>
      </c>
      <c r="AE257" s="1" t="s">
        <v>48</v>
      </c>
      <c r="AF257" s="1" t="s">
        <v>53</v>
      </c>
      <c r="AG257" s="4">
        <f t="shared" si="22"/>
        <v>31559.550000000003</v>
      </c>
      <c r="AH257" s="10">
        <v>31524.55</v>
      </c>
      <c r="AI257" s="9">
        <v>5050</v>
      </c>
      <c r="AJ257" s="9">
        <v>4.51</v>
      </c>
      <c r="AK257" s="10">
        <v>0</v>
      </c>
      <c r="AL257" s="9">
        <f t="shared" si="23"/>
        <v>26470.04</v>
      </c>
      <c r="AM257" s="1"/>
      <c r="AN257" s="1"/>
      <c r="AO257" s="12" t="e">
        <f>AB257/#REF!</f>
        <v>#REF!</v>
      </c>
      <c r="AP257" s="1" t="s">
        <v>1504</v>
      </c>
      <c r="AQ257" s="11">
        <v>41789</v>
      </c>
      <c r="AR257" s="1" t="s">
        <v>1505</v>
      </c>
      <c r="AS257" s="11">
        <v>41790</v>
      </c>
      <c r="AT257" s="1" t="s">
        <v>49</v>
      </c>
      <c r="AU257" s="1" t="s">
        <v>4171</v>
      </c>
    </row>
    <row r="258" spans="1:47" ht="15" customHeight="1" x14ac:dyDescent="0.25">
      <c r="A258" s="1">
        <v>257</v>
      </c>
      <c r="B258" s="1" t="s">
        <v>1258</v>
      </c>
      <c r="C258" s="1" t="s">
        <v>38</v>
      </c>
      <c r="D258" s="1">
        <v>9103550102</v>
      </c>
      <c r="E258" s="5">
        <v>41763</v>
      </c>
      <c r="F258" s="1" t="s">
        <v>232</v>
      </c>
      <c r="G258" s="1" t="s">
        <v>40</v>
      </c>
      <c r="H258" s="1" t="s">
        <v>41</v>
      </c>
      <c r="I258" s="1" t="s">
        <v>2809</v>
      </c>
      <c r="J258" s="1" t="s">
        <v>187</v>
      </c>
      <c r="K258" s="1">
        <v>29051700</v>
      </c>
      <c r="L258" s="6">
        <v>36.28</v>
      </c>
      <c r="M258" s="1" t="s">
        <v>70</v>
      </c>
      <c r="N258" s="7" t="s">
        <v>44</v>
      </c>
      <c r="O258" s="1" t="s">
        <v>53</v>
      </c>
      <c r="P258" s="8">
        <v>1976</v>
      </c>
      <c r="Q258" s="17">
        <f t="shared" si="24"/>
        <v>71689.279999999999</v>
      </c>
      <c r="R258" s="9">
        <v>6400</v>
      </c>
      <c r="S258" s="9">
        <v>10.25</v>
      </c>
      <c r="T258" s="9">
        <v>0</v>
      </c>
      <c r="U258" s="10">
        <v>0</v>
      </c>
      <c r="V258" s="1" t="s">
        <v>46</v>
      </c>
      <c r="W258" s="1" t="s">
        <v>56</v>
      </c>
      <c r="X258" s="1">
        <v>2410398</v>
      </c>
      <c r="Y258" s="11">
        <v>41757</v>
      </c>
      <c r="Z258" s="11">
        <v>41758</v>
      </c>
      <c r="AA258" s="9">
        <f t="shared" si="25"/>
        <v>65279.03</v>
      </c>
      <c r="AB258" s="12">
        <v>59.8</v>
      </c>
      <c r="AC258" s="9">
        <f t="shared" si="26"/>
        <v>4287018.9440000001</v>
      </c>
      <c r="AD258" s="9">
        <f t="shared" si="27"/>
        <v>3903685.9939999999</v>
      </c>
      <c r="AE258" s="1" t="s">
        <v>48</v>
      </c>
      <c r="AF258" s="1" t="s">
        <v>53</v>
      </c>
      <c r="AG258" s="4">
        <f t="shared" ref="AG258:AG321" si="28">Q258</f>
        <v>71689.279999999999</v>
      </c>
      <c r="AH258" s="10">
        <v>71689.279999999999</v>
      </c>
      <c r="AI258" s="10">
        <v>3205</v>
      </c>
      <c r="AJ258" s="10">
        <v>10.25</v>
      </c>
      <c r="AK258" s="10">
        <v>0</v>
      </c>
      <c r="AL258" s="9">
        <f t="shared" ref="AL258:AL321" si="29">AH258-(AI258+AJ258+AK258)</f>
        <v>68474.03</v>
      </c>
      <c r="AM258" s="1"/>
      <c r="AN258" s="1"/>
      <c r="AO258" s="12" t="e">
        <f>AB258/#REF!</f>
        <v>#REF!</v>
      </c>
      <c r="AP258" s="1" t="s">
        <v>1506</v>
      </c>
      <c r="AQ258" s="11">
        <v>41893</v>
      </c>
      <c r="AR258" s="1" t="s">
        <v>1507</v>
      </c>
      <c r="AS258" s="11">
        <v>41894</v>
      </c>
      <c r="AT258" s="1" t="s">
        <v>49</v>
      </c>
      <c r="AU258" s="1" t="s">
        <v>4171</v>
      </c>
    </row>
    <row r="259" spans="1:47" ht="15" customHeight="1" x14ac:dyDescent="0.25">
      <c r="A259" s="1">
        <v>258</v>
      </c>
      <c r="B259" s="1" t="s">
        <v>1258</v>
      </c>
      <c r="C259" s="1" t="s">
        <v>38</v>
      </c>
      <c r="D259" s="1">
        <v>9103550103</v>
      </c>
      <c r="E259" s="5">
        <v>41762</v>
      </c>
      <c r="F259" s="1" t="s">
        <v>231</v>
      </c>
      <c r="G259" s="1" t="s">
        <v>40</v>
      </c>
      <c r="H259" s="1" t="s">
        <v>41</v>
      </c>
      <c r="I259" s="1" t="s">
        <v>2809</v>
      </c>
      <c r="J259" s="1" t="s">
        <v>1464</v>
      </c>
      <c r="K259" s="1">
        <v>29159020</v>
      </c>
      <c r="L259" s="6">
        <v>39.58</v>
      </c>
      <c r="M259" s="1" t="s">
        <v>70</v>
      </c>
      <c r="N259" s="7" t="s">
        <v>67</v>
      </c>
      <c r="O259" s="1" t="s">
        <v>53</v>
      </c>
      <c r="P259" s="8">
        <v>4650</v>
      </c>
      <c r="Q259" s="17">
        <f t="shared" si="24"/>
        <v>184047</v>
      </c>
      <c r="R259" s="9">
        <v>0</v>
      </c>
      <c r="S259" s="9">
        <v>0</v>
      </c>
      <c r="T259" s="9">
        <v>0</v>
      </c>
      <c r="U259" s="10">
        <v>0</v>
      </c>
      <c r="V259" s="1" t="s">
        <v>46</v>
      </c>
      <c r="W259" s="1" t="s">
        <v>492</v>
      </c>
      <c r="X259" s="1">
        <v>2462239</v>
      </c>
      <c r="Y259" s="11">
        <v>41759</v>
      </c>
      <c r="Z259" s="11">
        <v>41760</v>
      </c>
      <c r="AA259" s="9">
        <f t="shared" si="25"/>
        <v>184047</v>
      </c>
      <c r="AB259" s="12">
        <v>59.8</v>
      </c>
      <c r="AC259" s="9">
        <f t="shared" si="26"/>
        <v>11006010.6</v>
      </c>
      <c r="AD259" s="9">
        <f t="shared" si="27"/>
        <v>11006010.6</v>
      </c>
      <c r="AE259" s="1" t="s">
        <v>48</v>
      </c>
      <c r="AF259" s="1" t="s">
        <v>53</v>
      </c>
      <c r="AG259" s="4">
        <f t="shared" si="28"/>
        <v>184047</v>
      </c>
      <c r="AH259" s="10">
        <v>178031.5</v>
      </c>
      <c r="AI259" s="9">
        <v>0</v>
      </c>
      <c r="AJ259" s="9">
        <v>0</v>
      </c>
      <c r="AK259" s="9">
        <v>0</v>
      </c>
      <c r="AL259" s="9">
        <f t="shared" si="29"/>
        <v>178031.5</v>
      </c>
      <c r="AM259" s="1"/>
      <c r="AN259" s="1"/>
      <c r="AO259" s="12" t="e">
        <f>AB259/#REF!</f>
        <v>#REF!</v>
      </c>
      <c r="AP259" s="1" t="s">
        <v>1508</v>
      </c>
      <c r="AQ259" s="11">
        <v>41793</v>
      </c>
      <c r="AR259" s="1" t="s">
        <v>1509</v>
      </c>
      <c r="AS259" s="11">
        <v>41794</v>
      </c>
      <c r="AT259" s="1" t="s">
        <v>49</v>
      </c>
      <c r="AU259" s="1" t="s">
        <v>4171</v>
      </c>
    </row>
    <row r="260" spans="1:47" ht="15" customHeight="1" x14ac:dyDescent="0.25">
      <c r="A260" s="1">
        <v>259</v>
      </c>
      <c r="B260" s="1" t="s">
        <v>1258</v>
      </c>
      <c r="C260" s="1" t="s">
        <v>38</v>
      </c>
      <c r="D260" s="1">
        <v>9103550103</v>
      </c>
      <c r="E260" s="5">
        <v>41762</v>
      </c>
      <c r="F260" s="1" t="s">
        <v>228</v>
      </c>
      <c r="G260" s="1" t="s">
        <v>40</v>
      </c>
      <c r="H260" s="1" t="s">
        <v>41</v>
      </c>
      <c r="I260" s="1" t="s">
        <v>2809</v>
      </c>
      <c r="J260" s="1" t="s">
        <v>1464</v>
      </c>
      <c r="K260" s="1">
        <v>29159020</v>
      </c>
      <c r="L260" s="6">
        <v>20</v>
      </c>
      <c r="M260" s="1" t="s">
        <v>70</v>
      </c>
      <c r="N260" s="7" t="s">
        <v>67</v>
      </c>
      <c r="O260" s="1" t="s">
        <v>53</v>
      </c>
      <c r="P260" s="8">
        <v>4650</v>
      </c>
      <c r="Q260" s="17">
        <f t="shared" si="24"/>
        <v>93000</v>
      </c>
      <c r="R260" s="9">
        <v>0</v>
      </c>
      <c r="S260" s="9">
        <v>0</v>
      </c>
      <c r="T260" s="9">
        <v>0</v>
      </c>
      <c r="U260" s="10">
        <v>0</v>
      </c>
      <c r="V260" s="1" t="s">
        <v>46</v>
      </c>
      <c r="W260" s="1" t="s">
        <v>492</v>
      </c>
      <c r="X260" s="1">
        <v>2462240</v>
      </c>
      <c r="Y260" s="11">
        <v>41759</v>
      </c>
      <c r="Z260" s="11">
        <v>41760</v>
      </c>
      <c r="AA260" s="9">
        <f t="shared" si="25"/>
        <v>93000</v>
      </c>
      <c r="AB260" s="12">
        <v>59.8</v>
      </c>
      <c r="AC260" s="9">
        <f t="shared" si="26"/>
        <v>5561400</v>
      </c>
      <c r="AD260" s="9">
        <f t="shared" si="27"/>
        <v>5561400</v>
      </c>
      <c r="AE260" s="1" t="s">
        <v>48</v>
      </c>
      <c r="AF260" s="1" t="s">
        <v>53</v>
      </c>
      <c r="AG260" s="4">
        <f t="shared" si="28"/>
        <v>93000</v>
      </c>
      <c r="AH260" s="10">
        <v>93000</v>
      </c>
      <c r="AI260" s="9">
        <v>0</v>
      </c>
      <c r="AJ260" s="9">
        <v>0</v>
      </c>
      <c r="AK260" s="9">
        <v>0</v>
      </c>
      <c r="AL260" s="9">
        <f t="shared" si="29"/>
        <v>93000</v>
      </c>
      <c r="AM260" s="1"/>
      <c r="AN260" s="1"/>
      <c r="AO260" s="12" t="e">
        <f>AB260/#REF!</f>
        <v>#REF!</v>
      </c>
      <c r="AP260" s="1" t="s">
        <v>1508</v>
      </c>
      <c r="AQ260" s="11">
        <v>41793</v>
      </c>
      <c r="AR260" s="1" t="s">
        <v>1510</v>
      </c>
      <c r="AS260" s="11">
        <v>41794</v>
      </c>
      <c r="AT260" s="1" t="s">
        <v>49</v>
      </c>
      <c r="AU260" s="1" t="s">
        <v>4171</v>
      </c>
    </row>
    <row r="261" spans="1:47" ht="15" customHeight="1" x14ac:dyDescent="0.25">
      <c r="A261" s="1">
        <v>260</v>
      </c>
      <c r="B261" s="1" t="s">
        <v>1258</v>
      </c>
      <c r="C261" s="1" t="s">
        <v>38</v>
      </c>
      <c r="D261" s="1">
        <v>9103550105</v>
      </c>
      <c r="E261" s="5">
        <v>41766</v>
      </c>
      <c r="F261" s="1" t="s">
        <v>230</v>
      </c>
      <c r="G261" s="1" t="s">
        <v>40</v>
      </c>
      <c r="H261" s="1" t="s">
        <v>41</v>
      </c>
      <c r="I261" s="1" t="s">
        <v>2809</v>
      </c>
      <c r="J261" s="1" t="s">
        <v>1511</v>
      </c>
      <c r="K261" s="1">
        <v>38237090</v>
      </c>
      <c r="L261" s="6">
        <v>24</v>
      </c>
      <c r="M261" s="1" t="s">
        <v>70</v>
      </c>
      <c r="N261" s="7" t="s">
        <v>44</v>
      </c>
      <c r="O261" s="1" t="s">
        <v>53</v>
      </c>
      <c r="P261" s="8">
        <v>1875</v>
      </c>
      <c r="Q261" s="17">
        <f t="shared" si="24"/>
        <v>45000</v>
      </c>
      <c r="R261" s="9">
        <v>2297.61</v>
      </c>
      <c r="S261" s="9">
        <v>6.43</v>
      </c>
      <c r="T261" s="9">
        <v>0</v>
      </c>
      <c r="U261" s="10">
        <v>0</v>
      </c>
      <c r="V261" s="1" t="s">
        <v>46</v>
      </c>
      <c r="W261" s="1" t="s">
        <v>123</v>
      </c>
      <c r="X261" s="1">
        <v>2463762</v>
      </c>
      <c r="Y261" s="11">
        <v>41759</v>
      </c>
      <c r="Z261" s="11">
        <v>41761</v>
      </c>
      <c r="AA261" s="9">
        <f t="shared" si="25"/>
        <v>42695.96</v>
      </c>
      <c r="AB261" s="12">
        <v>59.8</v>
      </c>
      <c r="AC261" s="9">
        <f t="shared" si="26"/>
        <v>2691000</v>
      </c>
      <c r="AD261" s="9">
        <f t="shared" si="27"/>
        <v>2553218.4079999998</v>
      </c>
      <c r="AE261" s="1" t="s">
        <v>48</v>
      </c>
      <c r="AF261" s="1" t="s">
        <v>53</v>
      </c>
      <c r="AG261" s="4">
        <f t="shared" si="28"/>
        <v>45000</v>
      </c>
      <c r="AH261" s="10">
        <v>44943</v>
      </c>
      <c r="AI261" s="10">
        <v>2310</v>
      </c>
      <c r="AJ261" s="10">
        <v>6</v>
      </c>
      <c r="AK261" s="10">
        <v>0</v>
      </c>
      <c r="AL261" s="9">
        <f t="shared" si="29"/>
        <v>42627</v>
      </c>
      <c r="AM261" s="1"/>
      <c r="AN261" s="1"/>
      <c r="AO261" s="12" t="e">
        <f>AB261/#REF!</f>
        <v>#REF!</v>
      </c>
      <c r="AP261" s="1" t="s">
        <v>1512</v>
      </c>
      <c r="AQ261" s="11">
        <v>41780</v>
      </c>
      <c r="AR261" s="1" t="s">
        <v>1513</v>
      </c>
      <c r="AS261" s="11">
        <v>41781</v>
      </c>
      <c r="AT261" s="1" t="s">
        <v>49</v>
      </c>
      <c r="AU261" s="1" t="s">
        <v>4171</v>
      </c>
    </row>
    <row r="262" spans="1:47" ht="15" customHeight="1" x14ac:dyDescent="0.25">
      <c r="A262" s="1">
        <v>261</v>
      </c>
      <c r="B262" s="1" t="s">
        <v>1258</v>
      </c>
      <c r="C262" s="1" t="s">
        <v>38</v>
      </c>
      <c r="D262" s="1">
        <v>9103550105</v>
      </c>
      <c r="E262" s="5">
        <v>41766</v>
      </c>
      <c r="F262" s="1" t="s">
        <v>230</v>
      </c>
      <c r="G262" s="1" t="s">
        <v>40</v>
      </c>
      <c r="H262" s="1" t="s">
        <v>41</v>
      </c>
      <c r="I262" s="1" t="s">
        <v>2809</v>
      </c>
      <c r="J262" s="1" t="s">
        <v>1511</v>
      </c>
      <c r="K262" s="1">
        <v>38237090</v>
      </c>
      <c r="L262" s="6">
        <v>2.5000000000000001E-2</v>
      </c>
      <c r="M262" s="1" t="s">
        <v>70</v>
      </c>
      <c r="N262" s="7" t="s">
        <v>44</v>
      </c>
      <c r="O262" s="1" t="s">
        <v>53</v>
      </c>
      <c r="P262" s="8">
        <v>2000</v>
      </c>
      <c r="Q262" s="17">
        <f t="shared" si="24"/>
        <v>50</v>
      </c>
      <c r="R262" s="9">
        <v>2.39</v>
      </c>
      <c r="S262" s="9">
        <v>0.01</v>
      </c>
      <c r="T262" s="9">
        <v>0</v>
      </c>
      <c r="U262" s="10">
        <v>0</v>
      </c>
      <c r="V262" s="1" t="s">
        <v>46</v>
      </c>
      <c r="W262" s="1" t="s">
        <v>123</v>
      </c>
      <c r="X262" s="1">
        <v>2463762</v>
      </c>
      <c r="Y262" s="11">
        <v>41759</v>
      </c>
      <c r="Z262" s="11">
        <v>41761</v>
      </c>
      <c r="AA262" s="9">
        <f t="shared" si="25"/>
        <v>47.6</v>
      </c>
      <c r="AB262" s="12">
        <v>59.8</v>
      </c>
      <c r="AC262" s="9">
        <f t="shared" si="26"/>
        <v>2990</v>
      </c>
      <c r="AD262" s="9">
        <f t="shared" si="27"/>
        <v>2846.48</v>
      </c>
      <c r="AE262" s="1" t="s">
        <v>48</v>
      </c>
      <c r="AF262" s="1" t="s">
        <v>53</v>
      </c>
      <c r="AG262" s="4">
        <f t="shared" si="28"/>
        <v>50</v>
      </c>
      <c r="AH262" s="10">
        <v>50</v>
      </c>
      <c r="AI262" s="10">
        <v>3</v>
      </c>
      <c r="AJ262" s="10">
        <v>0.44</v>
      </c>
      <c r="AK262" s="10">
        <v>0</v>
      </c>
      <c r="AL262" s="9">
        <f t="shared" si="29"/>
        <v>46.56</v>
      </c>
      <c r="AM262" s="1"/>
      <c r="AN262" s="1"/>
      <c r="AO262" s="12" t="e">
        <f>AB262/#REF!</f>
        <v>#REF!</v>
      </c>
      <c r="AP262" s="1" t="s">
        <v>1512</v>
      </c>
      <c r="AQ262" s="11">
        <v>41780</v>
      </c>
      <c r="AR262" s="1" t="s">
        <v>1513</v>
      </c>
      <c r="AS262" s="11">
        <v>41781</v>
      </c>
      <c r="AT262" s="1" t="s">
        <v>49</v>
      </c>
      <c r="AU262" s="1" t="s">
        <v>4171</v>
      </c>
    </row>
    <row r="263" spans="1:47" ht="15" customHeight="1" x14ac:dyDescent="0.25">
      <c r="A263" s="1">
        <v>262</v>
      </c>
      <c r="B263" s="1" t="s">
        <v>1258</v>
      </c>
      <c r="C263" s="1" t="s">
        <v>38</v>
      </c>
      <c r="D263" s="1">
        <v>9103550107</v>
      </c>
      <c r="E263" s="5">
        <v>41765</v>
      </c>
      <c r="F263" s="1" t="s">
        <v>227</v>
      </c>
      <c r="G263" s="1" t="s">
        <v>40</v>
      </c>
      <c r="H263" s="1" t="s">
        <v>41</v>
      </c>
      <c r="I263" s="1" t="s">
        <v>2809</v>
      </c>
      <c r="J263" s="1" t="s">
        <v>2731</v>
      </c>
      <c r="K263" s="1">
        <v>38231900</v>
      </c>
      <c r="L263" s="6">
        <v>14.4</v>
      </c>
      <c r="M263" s="1" t="s">
        <v>70</v>
      </c>
      <c r="N263" s="7" t="s">
        <v>44</v>
      </c>
      <c r="O263" s="1" t="s">
        <v>53</v>
      </c>
      <c r="P263" s="8">
        <v>1305</v>
      </c>
      <c r="Q263" s="17">
        <f>+L263*P263</f>
        <v>18792</v>
      </c>
      <c r="R263" s="9">
        <v>500</v>
      </c>
      <c r="S263" s="9">
        <v>2.69</v>
      </c>
      <c r="T263" s="9">
        <v>0</v>
      </c>
      <c r="U263" s="10">
        <v>0</v>
      </c>
      <c r="V263" s="1" t="s">
        <v>46</v>
      </c>
      <c r="W263" s="1" t="s">
        <v>54</v>
      </c>
      <c r="X263" s="1">
        <v>2433314</v>
      </c>
      <c r="Y263" s="11">
        <v>41758</v>
      </c>
      <c r="Z263" s="11">
        <v>41759</v>
      </c>
      <c r="AA263" s="9">
        <f>Q263-R263-S263</f>
        <v>18289.310000000001</v>
      </c>
      <c r="AB263" s="12">
        <v>59.8</v>
      </c>
      <c r="AC263" s="9">
        <f>+Q263*AB263</f>
        <v>1123761.5999999999</v>
      </c>
      <c r="AD263" s="9">
        <f>+AA263*AB263</f>
        <v>1093700.7380000001</v>
      </c>
      <c r="AE263" s="1" t="s">
        <v>48</v>
      </c>
      <c r="AF263" s="1" t="s">
        <v>53</v>
      </c>
      <c r="AG263" s="4">
        <f t="shared" si="28"/>
        <v>18792</v>
      </c>
      <c r="AH263" s="10">
        <v>18662</v>
      </c>
      <c r="AI263" s="10">
        <v>425</v>
      </c>
      <c r="AJ263" s="10">
        <v>2.69</v>
      </c>
      <c r="AK263" s="10">
        <v>0</v>
      </c>
      <c r="AL263" s="9">
        <f t="shared" si="29"/>
        <v>18234.310000000001</v>
      </c>
      <c r="AM263" s="1"/>
      <c r="AN263" s="1"/>
      <c r="AO263" s="12" t="e">
        <f>AB263/#REF!</f>
        <v>#REF!</v>
      </c>
      <c r="AP263" s="1" t="s">
        <v>1514</v>
      </c>
      <c r="AQ263" s="11">
        <v>41787</v>
      </c>
      <c r="AR263" s="1" t="s">
        <v>1515</v>
      </c>
      <c r="AS263" s="11">
        <v>41788</v>
      </c>
      <c r="AT263" s="1" t="s">
        <v>49</v>
      </c>
      <c r="AU263" s="1" t="s">
        <v>4171</v>
      </c>
    </row>
    <row r="264" spans="1:47" ht="15" customHeight="1" x14ac:dyDescent="0.25">
      <c r="A264" s="1">
        <v>263</v>
      </c>
      <c r="B264" s="1" t="s">
        <v>1258</v>
      </c>
      <c r="C264" s="1" t="s">
        <v>38</v>
      </c>
      <c r="D264" s="1">
        <v>9103550108</v>
      </c>
      <c r="E264" s="5">
        <v>41765</v>
      </c>
      <c r="F264" s="1" t="s">
        <v>254</v>
      </c>
      <c r="G264" s="1" t="s">
        <v>40</v>
      </c>
      <c r="H264" s="1" t="s">
        <v>41</v>
      </c>
      <c r="I264" s="1" t="s">
        <v>2809</v>
      </c>
      <c r="J264" s="1" t="s">
        <v>2660</v>
      </c>
      <c r="K264" s="1">
        <v>29051700</v>
      </c>
      <c r="L264" s="6">
        <v>11</v>
      </c>
      <c r="M264" s="1" t="s">
        <v>70</v>
      </c>
      <c r="N264" s="7" t="s">
        <v>52</v>
      </c>
      <c r="O264" s="1" t="s">
        <v>53</v>
      </c>
      <c r="P264" s="8">
        <v>1510</v>
      </c>
      <c r="Q264" s="17">
        <f t="shared" ref="Q264:Q327" si="30">+L264*P264</f>
        <v>16610</v>
      </c>
      <c r="R264" s="9">
        <v>240</v>
      </c>
      <c r="S264" s="9">
        <v>0</v>
      </c>
      <c r="T264" s="9">
        <v>0</v>
      </c>
      <c r="U264" s="10">
        <v>0</v>
      </c>
      <c r="V264" s="1" t="s">
        <v>46</v>
      </c>
      <c r="W264" s="1" t="s">
        <v>75</v>
      </c>
      <c r="X264" s="1">
        <v>2497670</v>
      </c>
      <c r="Y264" s="11">
        <v>41761</v>
      </c>
      <c r="Z264" s="11">
        <v>41762</v>
      </c>
      <c r="AA264" s="9">
        <f t="shared" ref="AA264:AA279" si="31">Q264-R264-S264</f>
        <v>16370</v>
      </c>
      <c r="AB264" s="12">
        <v>59.85</v>
      </c>
      <c r="AC264" s="9">
        <f t="shared" ref="AC264:AC327" si="32">+Q264*AB264</f>
        <v>994108.5</v>
      </c>
      <c r="AD264" s="9">
        <f t="shared" ref="AD264:AD327" si="33">+AA264*AB264</f>
        <v>979744.5</v>
      </c>
      <c r="AE264" s="1" t="s">
        <v>48</v>
      </c>
      <c r="AF264" s="1" t="s">
        <v>53</v>
      </c>
      <c r="AG264" s="4">
        <f t="shared" si="28"/>
        <v>16610</v>
      </c>
      <c r="AH264" s="10">
        <v>16610</v>
      </c>
      <c r="AI264" s="10">
        <v>129</v>
      </c>
      <c r="AJ264" s="10">
        <v>0</v>
      </c>
      <c r="AK264" s="10">
        <v>0</v>
      </c>
      <c r="AL264" s="9">
        <f t="shared" si="29"/>
        <v>16481</v>
      </c>
      <c r="AM264" s="1"/>
      <c r="AN264" s="1"/>
      <c r="AO264" s="12" t="e">
        <f>AB264/#REF!</f>
        <v>#REF!</v>
      </c>
      <c r="AP264" s="1" t="s">
        <v>1516</v>
      </c>
      <c r="AQ264" s="11">
        <v>41810</v>
      </c>
      <c r="AR264" s="1" t="s">
        <v>1517</v>
      </c>
      <c r="AS264" s="11">
        <v>41811</v>
      </c>
      <c r="AT264" s="1" t="s">
        <v>49</v>
      </c>
      <c r="AU264" s="1" t="s">
        <v>4171</v>
      </c>
    </row>
    <row r="265" spans="1:47" ht="15" customHeight="1" x14ac:dyDescent="0.25">
      <c r="A265" s="1">
        <v>264</v>
      </c>
      <c r="B265" s="1" t="s">
        <v>1258</v>
      </c>
      <c r="C265" s="1" t="s">
        <v>38</v>
      </c>
      <c r="D265" s="1">
        <v>9103550108</v>
      </c>
      <c r="E265" s="5">
        <v>41765</v>
      </c>
      <c r="F265" s="1" t="s">
        <v>254</v>
      </c>
      <c r="G265" s="1" t="s">
        <v>40</v>
      </c>
      <c r="H265" s="1" t="s">
        <v>41</v>
      </c>
      <c r="I265" s="1" t="s">
        <v>2809</v>
      </c>
      <c r="J265" s="1" t="s">
        <v>2660</v>
      </c>
      <c r="K265" s="1">
        <v>29051700</v>
      </c>
      <c r="L265" s="6">
        <v>11</v>
      </c>
      <c r="M265" s="1" t="s">
        <v>70</v>
      </c>
      <c r="N265" s="7" t="s">
        <v>52</v>
      </c>
      <c r="O265" s="1" t="s">
        <v>53</v>
      </c>
      <c r="P265" s="8">
        <v>1510</v>
      </c>
      <c r="Q265" s="17">
        <f t="shared" si="30"/>
        <v>16610</v>
      </c>
      <c r="R265" s="9">
        <v>240</v>
      </c>
      <c r="S265" s="9">
        <v>0</v>
      </c>
      <c r="T265" s="9">
        <v>0</v>
      </c>
      <c r="U265" s="10">
        <v>0</v>
      </c>
      <c r="V265" s="1" t="s">
        <v>46</v>
      </c>
      <c r="W265" s="1" t="s">
        <v>75</v>
      </c>
      <c r="X265" s="1">
        <v>2497670</v>
      </c>
      <c r="Y265" s="11">
        <v>41761</v>
      </c>
      <c r="Z265" s="11">
        <v>41762</v>
      </c>
      <c r="AA265" s="9">
        <f t="shared" si="31"/>
        <v>16370</v>
      </c>
      <c r="AB265" s="12">
        <v>59.85</v>
      </c>
      <c r="AC265" s="9">
        <f t="shared" si="32"/>
        <v>994108.5</v>
      </c>
      <c r="AD265" s="9">
        <f t="shared" si="33"/>
        <v>979744.5</v>
      </c>
      <c r="AE265" s="1" t="s">
        <v>48</v>
      </c>
      <c r="AF265" s="1" t="s">
        <v>53</v>
      </c>
      <c r="AG265" s="4">
        <f t="shared" si="28"/>
        <v>16610</v>
      </c>
      <c r="AH265" s="10">
        <v>16610</v>
      </c>
      <c r="AI265" s="10">
        <v>129</v>
      </c>
      <c r="AJ265" s="10">
        <v>0</v>
      </c>
      <c r="AK265" s="10">
        <v>0</v>
      </c>
      <c r="AL265" s="9">
        <f t="shared" si="29"/>
        <v>16481</v>
      </c>
      <c r="AM265" s="1"/>
      <c r="AN265" s="1"/>
      <c r="AO265" s="12" t="e">
        <f>AB265/#REF!</f>
        <v>#REF!</v>
      </c>
      <c r="AP265" s="1" t="s">
        <v>1516</v>
      </c>
      <c r="AQ265" s="11">
        <v>41810</v>
      </c>
      <c r="AR265" s="1" t="s">
        <v>1517</v>
      </c>
      <c r="AS265" s="11">
        <v>41811</v>
      </c>
      <c r="AT265" s="1" t="s">
        <v>49</v>
      </c>
      <c r="AU265" s="1" t="s">
        <v>4171</v>
      </c>
    </row>
    <row r="266" spans="1:47" ht="15" customHeight="1" x14ac:dyDescent="0.25">
      <c r="A266" s="1">
        <v>265</v>
      </c>
      <c r="B266" s="1" t="s">
        <v>1258</v>
      </c>
      <c r="C266" s="1" t="s">
        <v>38</v>
      </c>
      <c r="D266" s="1">
        <v>9103550109</v>
      </c>
      <c r="E266" s="5">
        <v>41768</v>
      </c>
      <c r="F266" s="1" t="s">
        <v>237</v>
      </c>
      <c r="G266" s="1" t="s">
        <v>40</v>
      </c>
      <c r="H266" s="1" t="s">
        <v>41</v>
      </c>
      <c r="I266" s="1" t="s">
        <v>2809</v>
      </c>
      <c r="J266" s="1" t="s">
        <v>2740</v>
      </c>
      <c r="K266" s="1">
        <v>38237090</v>
      </c>
      <c r="L266" s="6">
        <v>12</v>
      </c>
      <c r="M266" s="1" t="s">
        <v>70</v>
      </c>
      <c r="N266" s="7" t="s">
        <v>67</v>
      </c>
      <c r="O266" s="1" t="s">
        <v>53</v>
      </c>
      <c r="P266" s="8">
        <v>1648</v>
      </c>
      <c r="Q266" s="17">
        <f t="shared" si="30"/>
        <v>19776</v>
      </c>
      <c r="R266" s="9">
        <v>0</v>
      </c>
      <c r="S266" s="9">
        <v>0</v>
      </c>
      <c r="T266" s="9">
        <v>0</v>
      </c>
      <c r="U266" s="10">
        <v>0</v>
      </c>
      <c r="V266" s="1" t="s">
        <v>46</v>
      </c>
      <c r="W266" s="1" t="s">
        <v>205</v>
      </c>
      <c r="X266" s="1">
        <v>2497244</v>
      </c>
      <c r="Y266" s="11">
        <v>41761</v>
      </c>
      <c r="Z266" s="11">
        <v>41762</v>
      </c>
      <c r="AA266" s="9">
        <f t="shared" si="31"/>
        <v>19776</v>
      </c>
      <c r="AB266" s="12">
        <v>59.85</v>
      </c>
      <c r="AC266" s="9">
        <f t="shared" si="32"/>
        <v>1183593.6000000001</v>
      </c>
      <c r="AD266" s="9">
        <f t="shared" si="33"/>
        <v>1183593.6000000001</v>
      </c>
      <c r="AE266" s="1" t="s">
        <v>284</v>
      </c>
      <c r="AF266" s="1" t="s">
        <v>53</v>
      </c>
      <c r="AG266" s="4">
        <f t="shared" si="28"/>
        <v>19776</v>
      </c>
      <c r="AH266" s="10">
        <v>19762</v>
      </c>
      <c r="AI266" s="9">
        <v>0</v>
      </c>
      <c r="AJ266" s="9">
        <v>0</v>
      </c>
      <c r="AK266" s="9">
        <v>0</v>
      </c>
      <c r="AL266" s="9">
        <f t="shared" si="29"/>
        <v>19762</v>
      </c>
      <c r="AM266" s="1"/>
      <c r="AN266" s="1"/>
      <c r="AO266" s="12" t="e">
        <f>AB266/#REF!</f>
        <v>#REF!</v>
      </c>
      <c r="AP266" s="1" t="s">
        <v>1518</v>
      </c>
      <c r="AQ266" s="11">
        <v>41795</v>
      </c>
      <c r="AR266" s="1" t="s">
        <v>1519</v>
      </c>
      <c r="AS266" s="11">
        <v>41795</v>
      </c>
      <c r="AT266" s="1" t="s">
        <v>49</v>
      </c>
      <c r="AU266" s="1" t="s">
        <v>4171</v>
      </c>
    </row>
    <row r="267" spans="1:47" ht="15" customHeight="1" x14ac:dyDescent="0.25">
      <c r="A267" s="1">
        <v>266</v>
      </c>
      <c r="B267" s="1" t="s">
        <v>1258</v>
      </c>
      <c r="C267" s="1" t="s">
        <v>38</v>
      </c>
      <c r="D267" s="1">
        <v>9103550110</v>
      </c>
      <c r="E267" s="5">
        <v>41767</v>
      </c>
      <c r="F267" s="1" t="s">
        <v>242</v>
      </c>
      <c r="G267" s="1" t="s">
        <v>40</v>
      </c>
      <c r="H267" s="1" t="s">
        <v>41</v>
      </c>
      <c r="I267" s="1" t="s">
        <v>2809</v>
      </c>
      <c r="J267" s="1" t="s">
        <v>63</v>
      </c>
      <c r="K267" s="1">
        <v>29161990</v>
      </c>
      <c r="L267" s="6">
        <v>14.4</v>
      </c>
      <c r="M267" s="1" t="s">
        <v>70</v>
      </c>
      <c r="N267" s="7" t="s">
        <v>52</v>
      </c>
      <c r="O267" s="1" t="s">
        <v>53</v>
      </c>
      <c r="P267" s="8">
        <v>2998</v>
      </c>
      <c r="Q267" s="17">
        <f t="shared" si="30"/>
        <v>43171.200000000004</v>
      </c>
      <c r="R267" s="9">
        <v>200</v>
      </c>
      <c r="S267" s="9">
        <v>0</v>
      </c>
      <c r="T267" s="9">
        <v>0</v>
      </c>
      <c r="U267" s="10">
        <v>0</v>
      </c>
      <c r="V267" s="1" t="s">
        <v>46</v>
      </c>
      <c r="W267" s="1" t="s">
        <v>75</v>
      </c>
      <c r="X267" s="1">
        <v>2493275</v>
      </c>
      <c r="Y267" s="11">
        <v>41761</v>
      </c>
      <c r="Z267" s="11">
        <v>41762</v>
      </c>
      <c r="AA267" s="9">
        <f t="shared" si="31"/>
        <v>42971.200000000004</v>
      </c>
      <c r="AB267" s="12">
        <v>59.85</v>
      </c>
      <c r="AC267" s="9">
        <f t="shared" si="32"/>
        <v>2583796.3200000003</v>
      </c>
      <c r="AD267" s="9">
        <f t="shared" si="33"/>
        <v>2571826.3200000003</v>
      </c>
      <c r="AE267" s="1" t="s">
        <v>51</v>
      </c>
      <c r="AF267" s="1" t="s">
        <v>53</v>
      </c>
      <c r="AG267" s="4">
        <f t="shared" si="28"/>
        <v>43171.200000000004</v>
      </c>
      <c r="AH267" s="10">
        <v>43171</v>
      </c>
      <c r="AI267" s="10">
        <v>175</v>
      </c>
      <c r="AJ267" s="10">
        <v>0</v>
      </c>
      <c r="AK267" s="10">
        <v>0</v>
      </c>
      <c r="AL267" s="9">
        <f t="shared" si="29"/>
        <v>42996</v>
      </c>
      <c r="AM267" s="1"/>
      <c r="AN267" s="1"/>
      <c r="AO267" s="12" t="e">
        <f>AB267/#REF!</f>
        <v>#REF!</v>
      </c>
      <c r="AP267" s="1" t="s">
        <v>1520</v>
      </c>
      <c r="AQ267" s="11">
        <v>41779</v>
      </c>
      <c r="AR267" s="1" t="s">
        <v>1521</v>
      </c>
      <c r="AS267" s="11">
        <v>41844</v>
      </c>
      <c r="AT267" s="1" t="s">
        <v>49</v>
      </c>
      <c r="AU267" s="1" t="s">
        <v>4171</v>
      </c>
    </row>
    <row r="268" spans="1:47" ht="15" customHeight="1" x14ac:dyDescent="0.25">
      <c r="A268" s="1">
        <v>267</v>
      </c>
      <c r="B268" s="1" t="s">
        <v>1258</v>
      </c>
      <c r="C268" s="1" t="s">
        <v>38</v>
      </c>
      <c r="D268" s="1">
        <v>9103550111</v>
      </c>
      <c r="E268" s="5">
        <v>41784</v>
      </c>
      <c r="F268" s="1" t="s">
        <v>240</v>
      </c>
      <c r="G268" s="1" t="s">
        <v>40</v>
      </c>
      <c r="H268" s="1" t="s">
        <v>41</v>
      </c>
      <c r="I268" s="1" t="s">
        <v>2809</v>
      </c>
      <c r="J268" s="1" t="s">
        <v>55</v>
      </c>
      <c r="K268" s="1">
        <v>38237090</v>
      </c>
      <c r="L268" s="6">
        <v>36</v>
      </c>
      <c r="M268" s="1" t="s">
        <v>70</v>
      </c>
      <c r="N268" s="7" t="s">
        <v>44</v>
      </c>
      <c r="O268" s="1" t="s">
        <v>53</v>
      </c>
      <c r="P268" s="8">
        <v>1740</v>
      </c>
      <c r="Q268" s="17">
        <f t="shared" si="30"/>
        <v>62640</v>
      </c>
      <c r="R268" s="9">
        <v>4900</v>
      </c>
      <c r="S268" s="9">
        <v>8.9600000000000009</v>
      </c>
      <c r="T268" s="9">
        <v>0</v>
      </c>
      <c r="U268" s="10">
        <v>0</v>
      </c>
      <c r="V268" s="1" t="s">
        <v>46</v>
      </c>
      <c r="W268" s="1" t="s">
        <v>56</v>
      </c>
      <c r="X268" s="1">
        <v>2493279</v>
      </c>
      <c r="Y268" s="11">
        <v>41761</v>
      </c>
      <c r="Z268" s="11">
        <v>41762</v>
      </c>
      <c r="AA268" s="9">
        <f t="shared" si="31"/>
        <v>57731.040000000001</v>
      </c>
      <c r="AB268" s="12">
        <v>59.85</v>
      </c>
      <c r="AC268" s="9">
        <f t="shared" si="32"/>
        <v>3749004</v>
      </c>
      <c r="AD268" s="9">
        <f t="shared" si="33"/>
        <v>3455202.7439999999</v>
      </c>
      <c r="AE268" s="1" t="s">
        <v>48</v>
      </c>
      <c r="AF268" s="1" t="s">
        <v>53</v>
      </c>
      <c r="AG268" s="4">
        <f t="shared" si="28"/>
        <v>62640</v>
      </c>
      <c r="AH268" s="10">
        <v>62640</v>
      </c>
      <c r="AI268" s="10">
        <v>4800</v>
      </c>
      <c r="AJ268" s="10">
        <v>7.73</v>
      </c>
      <c r="AK268" s="10">
        <v>0</v>
      </c>
      <c r="AL268" s="9">
        <f t="shared" si="29"/>
        <v>57832.270000000004</v>
      </c>
      <c r="AM268" s="1"/>
      <c r="AN268" s="1"/>
      <c r="AO268" s="12" t="e">
        <f>AB268/#REF!</f>
        <v>#REF!</v>
      </c>
      <c r="AP268" s="1" t="s">
        <v>1522</v>
      </c>
      <c r="AQ268" s="11">
        <v>41822</v>
      </c>
      <c r="AR268" s="1" t="s">
        <v>1523</v>
      </c>
      <c r="AS268" s="11">
        <v>41823</v>
      </c>
      <c r="AT268" s="1" t="s">
        <v>49</v>
      </c>
      <c r="AU268" s="1" t="s">
        <v>4171</v>
      </c>
    </row>
    <row r="269" spans="1:47" ht="15" customHeight="1" x14ac:dyDescent="0.25">
      <c r="A269" s="1">
        <v>268</v>
      </c>
      <c r="B269" s="1" t="s">
        <v>1258</v>
      </c>
      <c r="C269" s="1" t="s">
        <v>38</v>
      </c>
      <c r="D269" s="1" t="s">
        <v>1524</v>
      </c>
      <c r="E269" s="5">
        <v>41770</v>
      </c>
      <c r="F269" s="1" t="s">
        <v>245</v>
      </c>
      <c r="G269" s="1" t="s">
        <v>40</v>
      </c>
      <c r="H269" s="1" t="s">
        <v>41</v>
      </c>
      <c r="I269" s="1" t="s">
        <v>2810</v>
      </c>
      <c r="J269" s="1" t="s">
        <v>1116</v>
      </c>
      <c r="K269" s="1">
        <v>38237090</v>
      </c>
      <c r="L269" s="6">
        <v>93.56</v>
      </c>
      <c r="M269" s="1" t="s">
        <v>70</v>
      </c>
      <c r="N269" s="7" t="s">
        <v>67</v>
      </c>
      <c r="O269" s="1" t="s">
        <v>1117</v>
      </c>
      <c r="P269" s="8">
        <v>113256</v>
      </c>
      <c r="Q269" s="17">
        <f t="shared" si="30"/>
        <v>10596231.359999999</v>
      </c>
      <c r="R269" s="9">
        <v>0</v>
      </c>
      <c r="S269" s="9">
        <v>0</v>
      </c>
      <c r="T269" s="9">
        <v>0</v>
      </c>
      <c r="U269" s="10">
        <v>0</v>
      </c>
      <c r="V269" s="1" t="s">
        <v>46</v>
      </c>
      <c r="W269" s="1" t="s">
        <v>361</v>
      </c>
      <c r="X269" s="1">
        <v>2508922</v>
      </c>
      <c r="Y269" s="11">
        <v>41762</v>
      </c>
      <c r="Z269" s="11">
        <v>41762</v>
      </c>
      <c r="AA269" s="9">
        <f t="shared" si="31"/>
        <v>10596231.359999999</v>
      </c>
      <c r="AB269" s="12">
        <v>1</v>
      </c>
      <c r="AC269" s="9">
        <f t="shared" si="32"/>
        <v>10596231.359999999</v>
      </c>
      <c r="AD269" s="9">
        <f t="shared" si="33"/>
        <v>10596231.359999999</v>
      </c>
      <c r="AE269" s="1" t="s">
        <v>4162</v>
      </c>
      <c r="AF269" s="1" t="s">
        <v>1117</v>
      </c>
      <c r="AG269" s="4">
        <f t="shared" si="28"/>
        <v>10596231.359999999</v>
      </c>
      <c r="AH269" s="10">
        <v>10596231.359999999</v>
      </c>
      <c r="AI269" s="10"/>
      <c r="AJ269" s="10"/>
      <c r="AK269" s="10"/>
      <c r="AL269" s="9">
        <f t="shared" si="29"/>
        <v>10596231.359999999</v>
      </c>
      <c r="AM269" s="1"/>
      <c r="AN269" s="1"/>
      <c r="AO269" s="1"/>
      <c r="AP269" s="1" t="s">
        <v>4130</v>
      </c>
      <c r="AQ269" s="11" t="s">
        <v>4126</v>
      </c>
      <c r="AR269" s="1" t="s">
        <v>4129</v>
      </c>
      <c r="AS269" s="1" t="s">
        <v>4124</v>
      </c>
      <c r="AT269" s="1" t="s">
        <v>49</v>
      </c>
      <c r="AU269" s="1" t="s">
        <v>4171</v>
      </c>
    </row>
    <row r="270" spans="1:47" ht="15" customHeight="1" x14ac:dyDescent="0.25">
      <c r="A270" s="1">
        <v>269</v>
      </c>
      <c r="B270" s="1" t="s">
        <v>1258</v>
      </c>
      <c r="C270" s="1" t="s">
        <v>38</v>
      </c>
      <c r="D270" s="1" t="s">
        <v>1524</v>
      </c>
      <c r="E270" s="5">
        <v>41770</v>
      </c>
      <c r="F270" s="1" t="s">
        <v>246</v>
      </c>
      <c r="G270" s="1" t="s">
        <v>40</v>
      </c>
      <c r="H270" s="1" t="s">
        <v>41</v>
      </c>
      <c r="I270" s="1" t="s">
        <v>2810</v>
      </c>
      <c r="J270" s="1" t="s">
        <v>1116</v>
      </c>
      <c r="K270" s="1">
        <v>38237090</v>
      </c>
      <c r="L270" s="6">
        <v>113.74</v>
      </c>
      <c r="M270" s="1" t="s">
        <v>70</v>
      </c>
      <c r="N270" s="7" t="s">
        <v>67</v>
      </c>
      <c r="O270" s="1" t="s">
        <v>1117</v>
      </c>
      <c r="P270" s="8">
        <v>113256</v>
      </c>
      <c r="Q270" s="17">
        <f t="shared" si="30"/>
        <v>12881737.439999999</v>
      </c>
      <c r="R270" s="9">
        <v>0</v>
      </c>
      <c r="S270" s="9">
        <v>0</v>
      </c>
      <c r="T270" s="9">
        <v>0</v>
      </c>
      <c r="U270" s="10">
        <v>0</v>
      </c>
      <c r="V270" s="1" t="s">
        <v>46</v>
      </c>
      <c r="W270" s="1" t="s">
        <v>361</v>
      </c>
      <c r="X270" s="1">
        <v>2517513</v>
      </c>
      <c r="Y270" s="11">
        <v>41762</v>
      </c>
      <c r="Z270" s="11">
        <v>41764</v>
      </c>
      <c r="AA270" s="9">
        <f t="shared" si="31"/>
        <v>12881737.439999999</v>
      </c>
      <c r="AB270" s="12">
        <v>1</v>
      </c>
      <c r="AC270" s="9">
        <f t="shared" si="32"/>
        <v>12881737.439999999</v>
      </c>
      <c r="AD270" s="9">
        <f t="shared" si="33"/>
        <v>12881737.439999999</v>
      </c>
      <c r="AE270" s="1" t="s">
        <v>4162</v>
      </c>
      <c r="AF270" s="1" t="s">
        <v>1117</v>
      </c>
      <c r="AG270" s="4">
        <f t="shared" si="28"/>
        <v>12881737.439999999</v>
      </c>
      <c r="AH270" s="10">
        <v>12811768.640000001</v>
      </c>
      <c r="AI270" s="10"/>
      <c r="AJ270" s="10"/>
      <c r="AK270" s="10"/>
      <c r="AL270" s="9">
        <f t="shared" si="29"/>
        <v>12811768.640000001</v>
      </c>
      <c r="AM270" s="1"/>
      <c r="AN270" s="1"/>
      <c r="AO270" s="1"/>
      <c r="AP270" s="1" t="s">
        <v>4130</v>
      </c>
      <c r="AQ270" s="11" t="s">
        <v>4126</v>
      </c>
      <c r="AR270" s="1" t="s">
        <v>4131</v>
      </c>
      <c r="AS270" s="1" t="s">
        <v>4124</v>
      </c>
      <c r="AT270" s="1" t="s">
        <v>49</v>
      </c>
      <c r="AU270" s="1" t="s">
        <v>4171</v>
      </c>
    </row>
    <row r="271" spans="1:47" ht="15" customHeight="1" x14ac:dyDescent="0.25">
      <c r="A271" s="1">
        <v>270</v>
      </c>
      <c r="B271" s="1" t="s">
        <v>1258</v>
      </c>
      <c r="C271" s="1" t="s">
        <v>38</v>
      </c>
      <c r="D271" s="1" t="s">
        <v>1525</v>
      </c>
      <c r="E271" s="5">
        <v>41770</v>
      </c>
      <c r="F271" s="1" t="s">
        <v>253</v>
      </c>
      <c r="G271" s="1" t="s">
        <v>40</v>
      </c>
      <c r="H271" s="1" t="s">
        <v>41</v>
      </c>
      <c r="I271" s="1" t="s">
        <v>2810</v>
      </c>
      <c r="J271" s="1" t="s">
        <v>1116</v>
      </c>
      <c r="K271" s="1">
        <v>38237090</v>
      </c>
      <c r="L271" s="6">
        <v>37.340000000000003</v>
      </c>
      <c r="M271" s="1" t="s">
        <v>70</v>
      </c>
      <c r="N271" s="7" t="s">
        <v>67</v>
      </c>
      <c r="O271" s="1" t="s">
        <v>1117</v>
      </c>
      <c r="P271" s="8">
        <v>113256</v>
      </c>
      <c r="Q271" s="17">
        <f t="shared" si="30"/>
        <v>4228979.04</v>
      </c>
      <c r="R271" s="9">
        <v>0</v>
      </c>
      <c r="S271" s="9">
        <v>0</v>
      </c>
      <c r="T271" s="9">
        <v>186700</v>
      </c>
      <c r="U271" s="10">
        <v>0</v>
      </c>
      <c r="V271" s="1" t="s">
        <v>46</v>
      </c>
      <c r="W271" s="1" t="s">
        <v>361</v>
      </c>
      <c r="X271" s="1">
        <v>2465219</v>
      </c>
      <c r="Y271" s="11">
        <v>41759</v>
      </c>
      <c r="Z271" s="11">
        <v>41762</v>
      </c>
      <c r="AA271" s="9">
        <f t="shared" si="31"/>
        <v>4228979.04</v>
      </c>
      <c r="AB271" s="12">
        <v>1</v>
      </c>
      <c r="AC271" s="9">
        <f t="shared" si="32"/>
        <v>4228979.04</v>
      </c>
      <c r="AD271" s="9">
        <f t="shared" si="33"/>
        <v>4228979.04</v>
      </c>
      <c r="AE271" s="1" t="s">
        <v>4162</v>
      </c>
      <c r="AF271" s="1" t="s">
        <v>1117</v>
      </c>
      <c r="AG271" s="4">
        <f t="shared" si="28"/>
        <v>4228979.04</v>
      </c>
      <c r="AH271" s="10">
        <v>4228979.04</v>
      </c>
      <c r="AI271" s="10"/>
      <c r="AJ271" s="10"/>
      <c r="AK271" s="10"/>
      <c r="AL271" s="9">
        <f t="shared" si="29"/>
        <v>4228979.04</v>
      </c>
      <c r="AM271" s="1"/>
      <c r="AN271" s="1"/>
      <c r="AO271" s="1"/>
      <c r="AP271" s="1" t="s">
        <v>4125</v>
      </c>
      <c r="AQ271" s="11" t="s">
        <v>4126</v>
      </c>
      <c r="AR271" s="1" t="s">
        <v>4123</v>
      </c>
      <c r="AS271" s="1" t="s">
        <v>4124</v>
      </c>
      <c r="AT271" s="1" t="s">
        <v>49</v>
      </c>
      <c r="AU271" s="1" t="s">
        <v>4171</v>
      </c>
    </row>
    <row r="272" spans="1:47" ht="15" customHeight="1" x14ac:dyDescent="0.25">
      <c r="A272" s="1">
        <v>271</v>
      </c>
      <c r="B272" s="1" t="s">
        <v>1258</v>
      </c>
      <c r="C272" s="1" t="s">
        <v>38</v>
      </c>
      <c r="D272" s="1" t="s">
        <v>1525</v>
      </c>
      <c r="E272" s="5">
        <v>41770</v>
      </c>
      <c r="F272" s="1" t="s">
        <v>239</v>
      </c>
      <c r="G272" s="1" t="s">
        <v>40</v>
      </c>
      <c r="H272" s="1" t="s">
        <v>41</v>
      </c>
      <c r="I272" s="1" t="s">
        <v>2810</v>
      </c>
      <c r="J272" s="1" t="s">
        <v>1116</v>
      </c>
      <c r="K272" s="1">
        <v>38237090</v>
      </c>
      <c r="L272" s="6">
        <v>94.04</v>
      </c>
      <c r="M272" s="1" t="s">
        <v>70</v>
      </c>
      <c r="N272" s="7" t="s">
        <v>67</v>
      </c>
      <c r="O272" s="1" t="s">
        <v>1117</v>
      </c>
      <c r="P272" s="8">
        <v>113256</v>
      </c>
      <c r="Q272" s="17">
        <f t="shared" si="30"/>
        <v>10650594.24</v>
      </c>
      <c r="R272" s="9">
        <v>0</v>
      </c>
      <c r="S272" s="9">
        <v>0</v>
      </c>
      <c r="T272" s="9">
        <v>470200</v>
      </c>
      <c r="U272" s="10">
        <v>0</v>
      </c>
      <c r="V272" s="1" t="s">
        <v>46</v>
      </c>
      <c r="W272" s="1" t="s">
        <v>361</v>
      </c>
      <c r="X272" s="1">
        <v>2492474</v>
      </c>
      <c r="Y272" s="11">
        <v>41761</v>
      </c>
      <c r="Z272" s="11">
        <v>41762</v>
      </c>
      <c r="AA272" s="9">
        <f t="shared" si="31"/>
        <v>10650594.24</v>
      </c>
      <c r="AB272" s="12">
        <v>1</v>
      </c>
      <c r="AC272" s="9">
        <f t="shared" si="32"/>
        <v>10650594.24</v>
      </c>
      <c r="AD272" s="9">
        <f t="shared" si="33"/>
        <v>10650594.24</v>
      </c>
      <c r="AE272" s="1" t="s">
        <v>4162</v>
      </c>
      <c r="AF272" s="1" t="s">
        <v>1117</v>
      </c>
      <c r="AG272" s="4">
        <f t="shared" si="28"/>
        <v>10650594.24</v>
      </c>
      <c r="AH272" s="10">
        <v>10650594.24</v>
      </c>
      <c r="AI272" s="10"/>
      <c r="AJ272" s="10"/>
      <c r="AK272" s="10"/>
      <c r="AL272" s="9">
        <f t="shared" si="29"/>
        <v>10650594.24</v>
      </c>
      <c r="AM272" s="1"/>
      <c r="AN272" s="1"/>
      <c r="AO272" s="1"/>
      <c r="AP272" s="1" t="s">
        <v>4125</v>
      </c>
      <c r="AQ272" s="11" t="s">
        <v>4126</v>
      </c>
      <c r="AR272" s="1" t="s">
        <v>4128</v>
      </c>
      <c r="AS272" s="1" t="s">
        <v>4124</v>
      </c>
      <c r="AT272" s="1" t="s">
        <v>49</v>
      </c>
      <c r="AU272" s="1" t="s">
        <v>4171</v>
      </c>
    </row>
    <row r="273" spans="1:47" ht="15" customHeight="1" x14ac:dyDescent="0.25">
      <c r="A273" s="1">
        <v>272</v>
      </c>
      <c r="B273" s="1" t="s">
        <v>1258</v>
      </c>
      <c r="C273" s="1" t="s">
        <v>38</v>
      </c>
      <c r="D273" s="1" t="s">
        <v>1525</v>
      </c>
      <c r="E273" s="5">
        <v>41770</v>
      </c>
      <c r="F273" s="1" t="s">
        <v>238</v>
      </c>
      <c r="G273" s="1" t="s">
        <v>40</v>
      </c>
      <c r="H273" s="1" t="s">
        <v>41</v>
      </c>
      <c r="I273" s="1" t="s">
        <v>2810</v>
      </c>
      <c r="J273" s="1" t="s">
        <v>1116</v>
      </c>
      <c r="K273" s="1">
        <v>38237090</v>
      </c>
      <c r="L273" s="6">
        <v>74.94</v>
      </c>
      <c r="M273" s="1" t="s">
        <v>70</v>
      </c>
      <c r="N273" s="7" t="s">
        <v>67</v>
      </c>
      <c r="O273" s="1" t="s">
        <v>1117</v>
      </c>
      <c r="P273" s="8">
        <v>113256</v>
      </c>
      <c r="Q273" s="17">
        <f t="shared" si="30"/>
        <v>8487404.6400000006</v>
      </c>
      <c r="R273" s="9">
        <v>0</v>
      </c>
      <c r="S273" s="9">
        <v>0</v>
      </c>
      <c r="T273" s="9">
        <v>0</v>
      </c>
      <c r="U273" s="10">
        <v>0</v>
      </c>
      <c r="V273" s="1" t="s">
        <v>46</v>
      </c>
      <c r="W273" s="1" t="s">
        <v>361</v>
      </c>
      <c r="X273" s="1">
        <v>2494087</v>
      </c>
      <c r="Y273" s="11">
        <v>41761</v>
      </c>
      <c r="Z273" s="11">
        <v>41762</v>
      </c>
      <c r="AA273" s="9">
        <f t="shared" si="31"/>
        <v>8487404.6400000006</v>
      </c>
      <c r="AB273" s="12">
        <v>1</v>
      </c>
      <c r="AC273" s="9">
        <f t="shared" si="32"/>
        <v>8487404.6400000006</v>
      </c>
      <c r="AD273" s="9">
        <f t="shared" si="33"/>
        <v>8487404.6400000006</v>
      </c>
      <c r="AE273" s="1" t="s">
        <v>4162</v>
      </c>
      <c r="AF273" s="1" t="s">
        <v>1117</v>
      </c>
      <c r="AG273" s="4">
        <f t="shared" si="28"/>
        <v>8487404.6400000006</v>
      </c>
      <c r="AH273" s="10">
        <v>8487404.6400000006</v>
      </c>
      <c r="AI273" s="10"/>
      <c r="AJ273" s="10"/>
      <c r="AK273" s="10"/>
      <c r="AL273" s="9">
        <f t="shared" si="29"/>
        <v>8487404.6400000006</v>
      </c>
      <c r="AM273" s="1"/>
      <c r="AN273" s="1"/>
      <c r="AO273" s="1"/>
      <c r="AP273" s="1" t="s">
        <v>4125</v>
      </c>
      <c r="AQ273" s="11" t="s">
        <v>4126</v>
      </c>
      <c r="AR273" s="1" t="s">
        <v>4127</v>
      </c>
      <c r="AS273" s="1" t="s">
        <v>4124</v>
      </c>
      <c r="AT273" s="1" t="s">
        <v>49</v>
      </c>
      <c r="AU273" s="1" t="s">
        <v>4171</v>
      </c>
    </row>
    <row r="274" spans="1:47" ht="15" customHeight="1" x14ac:dyDescent="0.25">
      <c r="A274" s="1">
        <v>273</v>
      </c>
      <c r="B274" s="1" t="s">
        <v>1258</v>
      </c>
      <c r="C274" s="1" t="s">
        <v>38</v>
      </c>
      <c r="D274" s="1" t="s">
        <v>1526</v>
      </c>
      <c r="E274" s="5">
        <v>41767</v>
      </c>
      <c r="F274" s="1" t="s">
        <v>244</v>
      </c>
      <c r="G274" s="1" t="s">
        <v>40</v>
      </c>
      <c r="H274" s="1" t="s">
        <v>41</v>
      </c>
      <c r="I274" s="1" t="s">
        <v>2809</v>
      </c>
      <c r="J274" s="1" t="s">
        <v>63</v>
      </c>
      <c r="K274" s="1">
        <v>29161990</v>
      </c>
      <c r="L274" s="6">
        <v>19.86</v>
      </c>
      <c r="M274" s="1" t="s">
        <v>70</v>
      </c>
      <c r="N274" s="7" t="s">
        <v>44</v>
      </c>
      <c r="O274" s="1" t="s">
        <v>53</v>
      </c>
      <c r="P274" s="8">
        <v>2765</v>
      </c>
      <c r="Q274" s="17">
        <f t="shared" si="30"/>
        <v>54912.9</v>
      </c>
      <c r="R274" s="9">
        <v>600</v>
      </c>
      <c r="S274" s="9">
        <v>7.85</v>
      </c>
      <c r="T274" s="9">
        <v>0</v>
      </c>
      <c r="U274" s="10">
        <v>0</v>
      </c>
      <c r="V274" s="1" t="s">
        <v>46</v>
      </c>
      <c r="W274" s="1" t="s">
        <v>64</v>
      </c>
      <c r="X274" s="1">
        <v>2517170</v>
      </c>
      <c r="Y274" s="11">
        <v>41762</v>
      </c>
      <c r="Z274" s="11">
        <v>41764</v>
      </c>
      <c r="AA274" s="9">
        <f t="shared" si="31"/>
        <v>54305.05</v>
      </c>
      <c r="AB274" s="12">
        <v>59.85</v>
      </c>
      <c r="AC274" s="9">
        <f t="shared" si="32"/>
        <v>3286537.0649999999</v>
      </c>
      <c r="AD274" s="9">
        <f t="shared" si="33"/>
        <v>3250157.2425000002</v>
      </c>
      <c r="AE274" s="1" t="s">
        <v>51</v>
      </c>
      <c r="AF274" s="1" t="s">
        <v>53</v>
      </c>
      <c r="AG274" s="4">
        <f t="shared" si="28"/>
        <v>54912.9</v>
      </c>
      <c r="AH274" s="10">
        <v>54913</v>
      </c>
      <c r="AI274" s="10">
        <v>580</v>
      </c>
      <c r="AJ274" s="10">
        <v>7.93</v>
      </c>
      <c r="AK274" s="10">
        <v>0</v>
      </c>
      <c r="AL274" s="9">
        <f t="shared" si="29"/>
        <v>54325.07</v>
      </c>
      <c r="AM274" s="1"/>
      <c r="AN274" s="1"/>
      <c r="AO274" s="12" t="e">
        <f>AB274/#REF!</f>
        <v>#REF!</v>
      </c>
      <c r="AP274" s="1" t="s">
        <v>1527</v>
      </c>
      <c r="AQ274" s="11">
        <v>41793</v>
      </c>
      <c r="AR274" s="1" t="s">
        <v>1528</v>
      </c>
      <c r="AS274" s="11">
        <v>41844</v>
      </c>
      <c r="AT274" s="1" t="s">
        <v>49</v>
      </c>
      <c r="AU274" s="1" t="s">
        <v>4171</v>
      </c>
    </row>
    <row r="275" spans="1:47" ht="15" customHeight="1" x14ac:dyDescent="0.25">
      <c r="A275" s="1">
        <v>274</v>
      </c>
      <c r="B275" s="1" t="s">
        <v>1258</v>
      </c>
      <c r="C275" s="1" t="s">
        <v>38</v>
      </c>
      <c r="D275" s="1" t="s">
        <v>1526</v>
      </c>
      <c r="E275" s="5">
        <v>41767</v>
      </c>
      <c r="F275" s="1" t="s">
        <v>247</v>
      </c>
      <c r="G275" s="1" t="s">
        <v>40</v>
      </c>
      <c r="H275" s="1" t="s">
        <v>41</v>
      </c>
      <c r="I275" s="1" t="s">
        <v>2809</v>
      </c>
      <c r="J275" s="1" t="s">
        <v>63</v>
      </c>
      <c r="K275" s="1">
        <v>29161990</v>
      </c>
      <c r="L275" s="6">
        <v>19.71</v>
      </c>
      <c r="M275" s="1" t="s">
        <v>70</v>
      </c>
      <c r="N275" s="7" t="s">
        <v>44</v>
      </c>
      <c r="O275" s="1" t="s">
        <v>53</v>
      </c>
      <c r="P275" s="8">
        <v>2765</v>
      </c>
      <c r="Q275" s="17">
        <f t="shared" si="30"/>
        <v>54498.15</v>
      </c>
      <c r="R275" s="9">
        <v>600</v>
      </c>
      <c r="S275" s="9">
        <v>7.79</v>
      </c>
      <c r="T275" s="9">
        <v>0</v>
      </c>
      <c r="U275" s="10">
        <v>0</v>
      </c>
      <c r="V275" s="1" t="s">
        <v>46</v>
      </c>
      <c r="W275" s="1" t="s">
        <v>64</v>
      </c>
      <c r="X275" s="1">
        <v>2517296</v>
      </c>
      <c r="Y275" s="11">
        <v>41762</v>
      </c>
      <c r="Z275" s="11">
        <v>41764</v>
      </c>
      <c r="AA275" s="9">
        <f t="shared" si="31"/>
        <v>53890.36</v>
      </c>
      <c r="AB275" s="12">
        <v>59.85</v>
      </c>
      <c r="AC275" s="9">
        <f t="shared" si="32"/>
        <v>3261714.2775000003</v>
      </c>
      <c r="AD275" s="9">
        <f t="shared" si="33"/>
        <v>3225338.0460000001</v>
      </c>
      <c r="AE275" s="1" t="s">
        <v>51</v>
      </c>
      <c r="AF275" s="1" t="s">
        <v>53</v>
      </c>
      <c r="AG275" s="4">
        <f t="shared" si="28"/>
        <v>54498.15</v>
      </c>
      <c r="AH275" s="10">
        <v>54498</v>
      </c>
      <c r="AI275" s="10">
        <f>1120-AI274</f>
        <v>540</v>
      </c>
      <c r="AJ275" s="10">
        <v>7.72</v>
      </c>
      <c r="AK275" s="10">
        <v>0</v>
      </c>
      <c r="AL275" s="9">
        <f t="shared" si="29"/>
        <v>53950.28</v>
      </c>
      <c r="AM275" s="1"/>
      <c r="AN275" s="1"/>
      <c r="AO275" s="12" t="e">
        <f>AB275/#REF!</f>
        <v>#REF!</v>
      </c>
      <c r="AP275" s="1" t="s">
        <v>1527</v>
      </c>
      <c r="AQ275" s="11">
        <v>41793</v>
      </c>
      <c r="AR275" s="1" t="s">
        <v>1529</v>
      </c>
      <c r="AS275" s="11">
        <v>41844</v>
      </c>
      <c r="AT275" s="1" t="s">
        <v>49</v>
      </c>
      <c r="AU275" s="1" t="s">
        <v>4171</v>
      </c>
    </row>
    <row r="276" spans="1:47" ht="15" customHeight="1" x14ac:dyDescent="0.25">
      <c r="A276" s="1">
        <v>275</v>
      </c>
      <c r="B276" s="1" t="s">
        <v>1258</v>
      </c>
      <c r="C276" s="1" t="s">
        <v>38</v>
      </c>
      <c r="D276" s="1">
        <v>9103550118</v>
      </c>
      <c r="E276" s="5">
        <v>41767</v>
      </c>
      <c r="F276" s="1" t="s">
        <v>248</v>
      </c>
      <c r="G276" s="1" t="s">
        <v>40</v>
      </c>
      <c r="H276" s="1" t="s">
        <v>41</v>
      </c>
      <c r="I276" s="1" t="s">
        <v>2809</v>
      </c>
      <c r="J276" s="1" t="s">
        <v>63</v>
      </c>
      <c r="K276" s="1">
        <v>29161990</v>
      </c>
      <c r="L276" s="6">
        <v>19.52</v>
      </c>
      <c r="M276" s="1" t="s">
        <v>70</v>
      </c>
      <c r="N276" s="7" t="s">
        <v>44</v>
      </c>
      <c r="O276" s="1" t="s">
        <v>53</v>
      </c>
      <c r="P276" s="8">
        <v>2765</v>
      </c>
      <c r="Q276" s="17">
        <f t="shared" si="30"/>
        <v>53972.799999999996</v>
      </c>
      <c r="R276" s="9">
        <v>600</v>
      </c>
      <c r="S276" s="9">
        <v>7.72</v>
      </c>
      <c r="T276" s="9">
        <v>0</v>
      </c>
      <c r="U276" s="10">
        <v>0</v>
      </c>
      <c r="V276" s="1" t="s">
        <v>46</v>
      </c>
      <c r="W276" s="1" t="s">
        <v>64</v>
      </c>
      <c r="X276" s="1">
        <v>2535760</v>
      </c>
      <c r="Y276" s="11">
        <v>41764</v>
      </c>
      <c r="Z276" s="11">
        <v>41765</v>
      </c>
      <c r="AA276" s="9">
        <f t="shared" si="31"/>
        <v>53365.079999999994</v>
      </c>
      <c r="AB276" s="12">
        <v>59.85</v>
      </c>
      <c r="AC276" s="9">
        <f t="shared" si="32"/>
        <v>3230272.0799999996</v>
      </c>
      <c r="AD276" s="9">
        <f t="shared" si="33"/>
        <v>3193900.0379999997</v>
      </c>
      <c r="AE276" s="1" t="s">
        <v>51</v>
      </c>
      <c r="AF276" s="1" t="s">
        <v>53</v>
      </c>
      <c r="AG276" s="4">
        <f t="shared" si="28"/>
        <v>53972.799999999996</v>
      </c>
      <c r="AH276" s="10">
        <v>53973</v>
      </c>
      <c r="AI276" s="10">
        <v>710</v>
      </c>
      <c r="AJ276" s="10">
        <v>7.72</v>
      </c>
      <c r="AK276" s="10">
        <v>0</v>
      </c>
      <c r="AL276" s="9">
        <f t="shared" si="29"/>
        <v>53255.28</v>
      </c>
      <c r="AM276" s="1"/>
      <c r="AN276" s="1"/>
      <c r="AO276" s="12" t="e">
        <f>AB276/#REF!</f>
        <v>#REF!</v>
      </c>
      <c r="AP276" s="1" t="s">
        <v>1530</v>
      </c>
      <c r="AQ276" s="11">
        <v>41786</v>
      </c>
      <c r="AR276" s="1" t="s">
        <v>1531</v>
      </c>
      <c r="AS276" s="11">
        <v>41975</v>
      </c>
      <c r="AT276" s="1" t="s">
        <v>49</v>
      </c>
      <c r="AU276" s="1" t="s">
        <v>4171</v>
      </c>
    </row>
    <row r="277" spans="1:47" ht="15" customHeight="1" x14ac:dyDescent="0.25">
      <c r="A277" s="1">
        <v>276</v>
      </c>
      <c r="B277" s="1" t="s">
        <v>1258</v>
      </c>
      <c r="C277" s="1" t="s">
        <v>38</v>
      </c>
      <c r="D277" s="1">
        <v>9103550118</v>
      </c>
      <c r="E277" s="5">
        <v>41767</v>
      </c>
      <c r="F277" s="1" t="s">
        <v>266</v>
      </c>
      <c r="G277" s="1" t="s">
        <v>40</v>
      </c>
      <c r="H277" s="1" t="s">
        <v>41</v>
      </c>
      <c r="I277" s="1" t="s">
        <v>2809</v>
      </c>
      <c r="J277" s="1" t="s">
        <v>63</v>
      </c>
      <c r="K277" s="1">
        <v>29161990</v>
      </c>
      <c r="L277" s="6">
        <v>19.72</v>
      </c>
      <c r="M277" s="1" t="s">
        <v>70</v>
      </c>
      <c r="N277" s="7" t="s">
        <v>44</v>
      </c>
      <c r="O277" s="1" t="s">
        <v>53</v>
      </c>
      <c r="P277" s="8">
        <v>2765</v>
      </c>
      <c r="Q277" s="17">
        <f t="shared" si="30"/>
        <v>54525.799999999996</v>
      </c>
      <c r="R277" s="9">
        <v>600</v>
      </c>
      <c r="S277" s="9">
        <v>7.8</v>
      </c>
      <c r="T277" s="9">
        <v>0</v>
      </c>
      <c r="U277" s="10">
        <v>0</v>
      </c>
      <c r="V277" s="1" t="s">
        <v>46</v>
      </c>
      <c r="W277" s="1" t="s">
        <v>64</v>
      </c>
      <c r="X277" s="1">
        <v>2535773</v>
      </c>
      <c r="Y277" s="11">
        <v>41764</v>
      </c>
      <c r="Z277" s="11">
        <v>41765</v>
      </c>
      <c r="AA277" s="9">
        <f t="shared" si="31"/>
        <v>53917.999999999993</v>
      </c>
      <c r="AB277" s="12">
        <v>59.85</v>
      </c>
      <c r="AC277" s="9">
        <f t="shared" si="32"/>
        <v>3263369.13</v>
      </c>
      <c r="AD277" s="9">
        <f t="shared" si="33"/>
        <v>3226992.3</v>
      </c>
      <c r="AE277" s="1" t="s">
        <v>51</v>
      </c>
      <c r="AF277" s="1" t="s">
        <v>53</v>
      </c>
      <c r="AG277" s="4">
        <f t="shared" si="28"/>
        <v>54525.799999999996</v>
      </c>
      <c r="AH277" s="10">
        <v>54526</v>
      </c>
      <c r="AI277" s="10">
        <v>710</v>
      </c>
      <c r="AJ277" s="10">
        <v>7.8</v>
      </c>
      <c r="AK277" s="10">
        <v>0</v>
      </c>
      <c r="AL277" s="9">
        <f t="shared" si="29"/>
        <v>53808.2</v>
      </c>
      <c r="AM277" s="1"/>
      <c r="AN277" s="1"/>
      <c r="AO277" s="12" t="e">
        <f>AB277/#REF!</f>
        <v>#REF!</v>
      </c>
      <c r="AP277" s="1" t="s">
        <v>1530</v>
      </c>
      <c r="AQ277" s="11">
        <v>41786</v>
      </c>
      <c r="AR277" s="1" t="s">
        <v>1532</v>
      </c>
      <c r="AS277" s="11">
        <v>41975</v>
      </c>
      <c r="AT277" s="1" t="s">
        <v>49</v>
      </c>
      <c r="AU277" s="1" t="s">
        <v>4171</v>
      </c>
    </row>
    <row r="278" spans="1:47" ht="15" customHeight="1" x14ac:dyDescent="0.25">
      <c r="A278" s="1">
        <v>277</v>
      </c>
      <c r="B278" s="1" t="s">
        <v>1258</v>
      </c>
      <c r="C278" s="1" t="s">
        <v>38</v>
      </c>
      <c r="D278" s="1">
        <v>9103550119</v>
      </c>
      <c r="E278" s="5">
        <v>41767</v>
      </c>
      <c r="F278" s="1" t="s">
        <v>252</v>
      </c>
      <c r="G278" s="1" t="s">
        <v>40</v>
      </c>
      <c r="H278" s="1" t="s">
        <v>41</v>
      </c>
      <c r="I278" s="1" t="s">
        <v>2809</v>
      </c>
      <c r="J278" s="1" t="s">
        <v>63</v>
      </c>
      <c r="K278" s="1">
        <v>38231200</v>
      </c>
      <c r="L278" s="6">
        <v>59.28</v>
      </c>
      <c r="M278" s="1" t="s">
        <v>70</v>
      </c>
      <c r="N278" s="7" t="s">
        <v>52</v>
      </c>
      <c r="O278" s="1" t="s">
        <v>53</v>
      </c>
      <c r="P278" s="8">
        <v>1328</v>
      </c>
      <c r="Q278" s="17">
        <f t="shared" si="30"/>
        <v>78723.839999999997</v>
      </c>
      <c r="R278" s="9">
        <v>1800</v>
      </c>
      <c r="S278" s="9">
        <v>0</v>
      </c>
      <c r="T278" s="9">
        <v>0</v>
      </c>
      <c r="U278" s="10">
        <v>0</v>
      </c>
      <c r="V278" s="1" t="s">
        <v>46</v>
      </c>
      <c r="W278" s="1" t="s">
        <v>64</v>
      </c>
      <c r="X278" s="1">
        <v>2537224</v>
      </c>
      <c r="Y278" s="11">
        <v>41764</v>
      </c>
      <c r="Z278" s="11">
        <v>41765</v>
      </c>
      <c r="AA278" s="9">
        <f t="shared" si="31"/>
        <v>76923.839999999997</v>
      </c>
      <c r="AB278" s="12">
        <v>59.85</v>
      </c>
      <c r="AC278" s="9">
        <f t="shared" si="32"/>
        <v>4711621.824</v>
      </c>
      <c r="AD278" s="9">
        <f t="shared" si="33"/>
        <v>4603891.824</v>
      </c>
      <c r="AE278" s="1" t="s">
        <v>51</v>
      </c>
      <c r="AF278" s="1" t="s">
        <v>53</v>
      </c>
      <c r="AG278" s="4">
        <f t="shared" si="28"/>
        <v>78723.839999999997</v>
      </c>
      <c r="AH278" s="10">
        <v>78724</v>
      </c>
      <c r="AI278" s="10">
        <v>2130</v>
      </c>
      <c r="AJ278" s="10">
        <v>0</v>
      </c>
      <c r="AK278" s="10">
        <v>0</v>
      </c>
      <c r="AL278" s="9">
        <f t="shared" si="29"/>
        <v>76594</v>
      </c>
      <c r="AM278" s="1"/>
      <c r="AN278" s="1"/>
      <c r="AO278" s="12" t="e">
        <f>AB278/#REF!</f>
        <v>#REF!</v>
      </c>
      <c r="AP278" s="1" t="s">
        <v>1533</v>
      </c>
      <c r="AQ278" s="11">
        <v>41799</v>
      </c>
      <c r="AR278" s="1" t="s">
        <v>1534</v>
      </c>
      <c r="AS278" s="11">
        <v>41859</v>
      </c>
      <c r="AT278" s="1" t="s">
        <v>49</v>
      </c>
      <c r="AU278" s="1" t="s">
        <v>4171</v>
      </c>
    </row>
    <row r="279" spans="1:47" ht="15" customHeight="1" x14ac:dyDescent="0.25">
      <c r="A279" s="1">
        <v>278</v>
      </c>
      <c r="B279" s="51" t="s">
        <v>1258</v>
      </c>
      <c r="C279" s="51" t="s">
        <v>38</v>
      </c>
      <c r="D279" s="51">
        <v>9103550120</v>
      </c>
      <c r="E279" s="52">
        <v>41768</v>
      </c>
      <c r="F279" s="51" t="s">
        <v>260</v>
      </c>
      <c r="G279" s="51" t="s">
        <v>40</v>
      </c>
      <c r="H279" s="51" t="s">
        <v>41</v>
      </c>
      <c r="I279" s="51" t="s">
        <v>2809</v>
      </c>
      <c r="J279" s="51" t="s">
        <v>919</v>
      </c>
      <c r="K279" s="51">
        <v>38237090</v>
      </c>
      <c r="L279" s="53">
        <v>22</v>
      </c>
      <c r="M279" s="51" t="s">
        <v>70</v>
      </c>
      <c r="N279" s="54" t="s">
        <v>52</v>
      </c>
      <c r="O279" s="1" t="s">
        <v>53</v>
      </c>
      <c r="P279" s="55">
        <v>1800</v>
      </c>
      <c r="Q279" s="56">
        <f t="shared" si="30"/>
        <v>39600</v>
      </c>
      <c r="R279" s="57">
        <v>2400</v>
      </c>
      <c r="S279" s="57">
        <v>0</v>
      </c>
      <c r="T279" s="57">
        <v>0</v>
      </c>
      <c r="U279" s="58">
        <v>0</v>
      </c>
      <c r="V279" s="51" t="s">
        <v>46</v>
      </c>
      <c r="W279" s="51" t="s">
        <v>243</v>
      </c>
      <c r="X279" s="51">
        <v>2542499</v>
      </c>
      <c r="Y279" s="59">
        <v>41764</v>
      </c>
      <c r="Z279" s="59">
        <v>41765</v>
      </c>
      <c r="AA279" s="57">
        <f t="shared" si="31"/>
        <v>37200</v>
      </c>
      <c r="AB279" s="60">
        <v>59.85</v>
      </c>
      <c r="AC279" s="57">
        <f t="shared" si="32"/>
        <v>2370060</v>
      </c>
      <c r="AD279" s="57">
        <f t="shared" si="33"/>
        <v>2226420</v>
      </c>
      <c r="AE279" s="51" t="s">
        <v>48</v>
      </c>
      <c r="AF279" s="51" t="s">
        <v>53</v>
      </c>
      <c r="AG279" s="4">
        <f t="shared" si="28"/>
        <v>39600</v>
      </c>
      <c r="AH279" s="58">
        <v>39464</v>
      </c>
      <c r="AI279" s="58">
        <f>1424.93+1425.07</f>
        <v>2850</v>
      </c>
      <c r="AJ279" s="58">
        <v>0</v>
      </c>
      <c r="AK279" s="58">
        <v>0</v>
      </c>
      <c r="AL279" s="9">
        <f t="shared" si="29"/>
        <v>36614</v>
      </c>
      <c r="AM279" s="51"/>
      <c r="AN279" s="51"/>
      <c r="AO279" s="12" t="e">
        <f>AB279/#REF!</f>
        <v>#REF!</v>
      </c>
      <c r="AP279" s="51" t="s">
        <v>1535</v>
      </c>
      <c r="AQ279" s="59" t="s">
        <v>1536</v>
      </c>
      <c r="AR279" s="51" t="s">
        <v>1537</v>
      </c>
      <c r="AS279" s="51" t="s">
        <v>1538</v>
      </c>
      <c r="AT279" s="51" t="s">
        <v>49</v>
      </c>
      <c r="AU279" s="1" t="s">
        <v>4171</v>
      </c>
    </row>
    <row r="280" spans="1:47" s="14" customFormat="1" ht="15" customHeight="1" x14ac:dyDescent="0.25">
      <c r="A280" s="1">
        <v>279</v>
      </c>
      <c r="B280" s="1" t="s">
        <v>1258</v>
      </c>
      <c r="C280" s="1" t="s">
        <v>38</v>
      </c>
      <c r="D280" s="1" t="s">
        <v>1539</v>
      </c>
      <c r="E280" s="5">
        <v>41770</v>
      </c>
      <c r="F280" s="1" t="s">
        <v>274</v>
      </c>
      <c r="G280" s="1" t="s">
        <v>40</v>
      </c>
      <c r="H280" s="1" t="s">
        <v>41</v>
      </c>
      <c r="I280" s="1" t="s">
        <v>2810</v>
      </c>
      <c r="J280" s="1" t="s">
        <v>1116</v>
      </c>
      <c r="K280" s="1">
        <v>38237090</v>
      </c>
      <c r="L280" s="6">
        <v>150.38999999999999</v>
      </c>
      <c r="M280" s="1" t="s">
        <v>70</v>
      </c>
      <c r="N280" s="7" t="s">
        <v>67</v>
      </c>
      <c r="O280" s="1" t="s">
        <v>1117</v>
      </c>
      <c r="P280" s="8">
        <v>113256</v>
      </c>
      <c r="Q280" s="17">
        <f t="shared" si="30"/>
        <v>17032569.84</v>
      </c>
      <c r="R280" s="9">
        <v>0</v>
      </c>
      <c r="S280" s="9">
        <v>0</v>
      </c>
      <c r="T280" s="9">
        <v>0</v>
      </c>
      <c r="U280" s="10">
        <v>0</v>
      </c>
      <c r="V280" s="1" t="s">
        <v>46</v>
      </c>
      <c r="W280" s="1" t="s">
        <v>361</v>
      </c>
      <c r="X280" s="1">
        <v>2542223</v>
      </c>
      <c r="Y280" s="11">
        <v>41764</v>
      </c>
      <c r="Z280" s="11">
        <v>41765</v>
      </c>
      <c r="AA280" s="9">
        <f>Q280-R280-S280</f>
        <v>17032569.84</v>
      </c>
      <c r="AB280" s="12">
        <v>1</v>
      </c>
      <c r="AC280" s="9">
        <f t="shared" si="32"/>
        <v>17032569.84</v>
      </c>
      <c r="AD280" s="9">
        <f t="shared" si="33"/>
        <v>17032569.84</v>
      </c>
      <c r="AE280" s="1" t="s">
        <v>4162</v>
      </c>
      <c r="AF280" s="1" t="s">
        <v>1117</v>
      </c>
      <c r="AG280" s="4">
        <f t="shared" si="28"/>
        <v>17032569.84</v>
      </c>
      <c r="AH280" s="10">
        <v>17032569.84</v>
      </c>
      <c r="AI280" s="10"/>
      <c r="AJ280" s="10"/>
      <c r="AK280" s="10"/>
      <c r="AL280" s="9">
        <f t="shared" si="29"/>
        <v>17032569.84</v>
      </c>
      <c r="AM280" s="1"/>
      <c r="AN280" s="1"/>
      <c r="AO280" s="1"/>
      <c r="AP280" s="1" t="s">
        <v>4139</v>
      </c>
      <c r="AQ280" s="11" t="s">
        <v>4126</v>
      </c>
      <c r="AR280" s="1" t="s">
        <v>4140</v>
      </c>
      <c r="AS280" s="1" t="s">
        <v>4124</v>
      </c>
      <c r="AT280" s="1" t="s">
        <v>49</v>
      </c>
      <c r="AU280" s="1" t="s">
        <v>4171</v>
      </c>
    </row>
    <row r="281" spans="1:47" s="14" customFormat="1" ht="15" customHeight="1" x14ac:dyDescent="0.25">
      <c r="A281" s="1">
        <v>280</v>
      </c>
      <c r="B281" s="1" t="s">
        <v>1258</v>
      </c>
      <c r="C281" s="1" t="s">
        <v>38</v>
      </c>
      <c r="D281" s="1" t="s">
        <v>1539</v>
      </c>
      <c r="E281" s="5">
        <v>41770</v>
      </c>
      <c r="F281" s="1" t="s">
        <v>250</v>
      </c>
      <c r="G281" s="1" t="s">
        <v>40</v>
      </c>
      <c r="H281" s="1" t="s">
        <v>41</v>
      </c>
      <c r="I281" s="1" t="s">
        <v>2810</v>
      </c>
      <c r="J281" s="1" t="s">
        <v>1116</v>
      </c>
      <c r="K281" s="1">
        <v>38237090</v>
      </c>
      <c r="L281" s="6">
        <v>55.46</v>
      </c>
      <c r="M281" s="1" t="s">
        <v>70</v>
      </c>
      <c r="N281" s="7" t="s">
        <v>67</v>
      </c>
      <c r="O281" s="1" t="s">
        <v>1117</v>
      </c>
      <c r="P281" s="8">
        <v>113256</v>
      </c>
      <c r="Q281" s="17">
        <f t="shared" si="30"/>
        <v>6281177.7599999998</v>
      </c>
      <c r="R281" s="9">
        <v>0</v>
      </c>
      <c r="S281" s="9">
        <v>0</v>
      </c>
      <c r="T281" s="9">
        <v>0</v>
      </c>
      <c r="U281" s="10">
        <v>0</v>
      </c>
      <c r="V281" s="1" t="s">
        <v>46</v>
      </c>
      <c r="W281" s="1" t="s">
        <v>361</v>
      </c>
      <c r="X281" s="1">
        <v>2555690</v>
      </c>
      <c r="Y281" s="11">
        <v>41765</v>
      </c>
      <c r="Z281" s="11">
        <v>41766</v>
      </c>
      <c r="AA281" s="9">
        <f>Q281-R281-S281</f>
        <v>6281177.7599999998</v>
      </c>
      <c r="AB281" s="12">
        <v>1</v>
      </c>
      <c r="AC281" s="9">
        <f t="shared" si="32"/>
        <v>6281177.7599999998</v>
      </c>
      <c r="AD281" s="9">
        <f t="shared" si="33"/>
        <v>6281177.7599999998</v>
      </c>
      <c r="AE281" s="1" t="s">
        <v>4162</v>
      </c>
      <c r="AF281" s="1" t="s">
        <v>1117</v>
      </c>
      <c r="AG281" s="4">
        <f t="shared" si="28"/>
        <v>6281177.7599999998</v>
      </c>
      <c r="AH281" s="10">
        <v>6281177.7599999998</v>
      </c>
      <c r="AI281" s="10"/>
      <c r="AJ281" s="10"/>
      <c r="AK281" s="10"/>
      <c r="AL281" s="9">
        <f t="shared" si="29"/>
        <v>6281177.7599999998</v>
      </c>
      <c r="AM281" s="1"/>
      <c r="AN281" s="1"/>
      <c r="AO281" s="1"/>
      <c r="AP281" s="1" t="s">
        <v>4139</v>
      </c>
      <c r="AQ281" s="11" t="s">
        <v>4126</v>
      </c>
      <c r="AR281" s="1" t="s">
        <v>4138</v>
      </c>
      <c r="AS281" s="1" t="s">
        <v>4124</v>
      </c>
      <c r="AT281" s="1" t="s">
        <v>49</v>
      </c>
      <c r="AU281" s="1" t="s">
        <v>4171</v>
      </c>
    </row>
    <row r="282" spans="1:47" ht="15" customHeight="1" x14ac:dyDescent="0.25">
      <c r="A282" s="1">
        <v>281</v>
      </c>
      <c r="B282" s="61" t="s">
        <v>1258</v>
      </c>
      <c r="C282" s="61" t="s">
        <v>38</v>
      </c>
      <c r="D282" s="61" t="s">
        <v>1540</v>
      </c>
      <c r="E282" s="62">
        <v>41771</v>
      </c>
      <c r="F282" s="61" t="s">
        <v>251</v>
      </c>
      <c r="G282" s="61" t="s">
        <v>40</v>
      </c>
      <c r="H282" s="61" t="s">
        <v>41</v>
      </c>
      <c r="I282" s="61" t="s">
        <v>2809</v>
      </c>
      <c r="J282" s="61" t="s">
        <v>837</v>
      </c>
      <c r="K282" s="61">
        <v>38231900</v>
      </c>
      <c r="L282" s="63">
        <v>19.96</v>
      </c>
      <c r="M282" s="61" t="s">
        <v>70</v>
      </c>
      <c r="N282" s="64" t="s">
        <v>44</v>
      </c>
      <c r="O282" s="1" t="s">
        <v>53</v>
      </c>
      <c r="P282" s="65">
        <v>3600</v>
      </c>
      <c r="Q282" s="66">
        <f t="shared" si="30"/>
        <v>71856</v>
      </c>
      <c r="R282" s="67">
        <v>6650</v>
      </c>
      <c r="S282" s="67">
        <v>14.23</v>
      </c>
      <c r="T282" s="67">
        <v>0</v>
      </c>
      <c r="U282" s="68">
        <v>0</v>
      </c>
      <c r="V282" s="61" t="s">
        <v>46</v>
      </c>
      <c r="W282" s="1" t="s">
        <v>56</v>
      </c>
      <c r="X282" s="61">
        <v>2542216</v>
      </c>
      <c r="Y282" s="69">
        <v>41764</v>
      </c>
      <c r="Z282" s="69">
        <v>41766</v>
      </c>
      <c r="AA282" s="67">
        <f t="shared" ref="AA282:AA333" si="34">Q282-R282-S282</f>
        <v>65191.77</v>
      </c>
      <c r="AB282" s="70">
        <v>59.85</v>
      </c>
      <c r="AC282" s="67">
        <f t="shared" si="32"/>
        <v>4300581.6000000006</v>
      </c>
      <c r="AD282" s="67">
        <f t="shared" si="33"/>
        <v>3901727.4345</v>
      </c>
      <c r="AE282" s="61" t="s">
        <v>57</v>
      </c>
      <c r="AF282" s="61" t="s">
        <v>53</v>
      </c>
      <c r="AG282" s="4">
        <f t="shared" si="28"/>
        <v>71856</v>
      </c>
      <c r="AH282" s="68">
        <v>71856</v>
      </c>
      <c r="AI282" s="68">
        <v>6275.15</v>
      </c>
      <c r="AJ282" s="68">
        <v>14.21</v>
      </c>
      <c r="AK282" s="68">
        <v>0</v>
      </c>
      <c r="AL282" s="9">
        <f t="shared" si="29"/>
        <v>65566.64</v>
      </c>
      <c r="AM282" s="61"/>
      <c r="AN282" s="61"/>
      <c r="AO282" s="12" t="e">
        <f>AB282/#REF!</f>
        <v>#REF!</v>
      </c>
      <c r="AP282" s="61" t="s">
        <v>1541</v>
      </c>
      <c r="AQ282" s="69">
        <v>41827</v>
      </c>
      <c r="AR282" s="61" t="s">
        <v>1542</v>
      </c>
      <c r="AS282" s="69">
        <v>41899</v>
      </c>
      <c r="AT282" s="61" t="s">
        <v>49</v>
      </c>
      <c r="AU282" s="1" t="s">
        <v>4171</v>
      </c>
    </row>
    <row r="283" spans="1:47" ht="15" customHeight="1" x14ac:dyDescent="0.25">
      <c r="A283" s="1">
        <v>282</v>
      </c>
      <c r="B283" s="1" t="s">
        <v>1258</v>
      </c>
      <c r="C283" s="1" t="s">
        <v>38</v>
      </c>
      <c r="D283" s="1" t="s">
        <v>1540</v>
      </c>
      <c r="E283" s="5">
        <v>41771</v>
      </c>
      <c r="F283" s="1" t="s">
        <v>249</v>
      </c>
      <c r="G283" s="1" t="s">
        <v>40</v>
      </c>
      <c r="H283" s="1" t="s">
        <v>41</v>
      </c>
      <c r="I283" s="1" t="s">
        <v>2809</v>
      </c>
      <c r="J283" s="1" t="s">
        <v>837</v>
      </c>
      <c r="K283" s="1">
        <v>38231900</v>
      </c>
      <c r="L283" s="6">
        <v>20.05</v>
      </c>
      <c r="M283" s="1" t="s">
        <v>70</v>
      </c>
      <c r="N283" s="7" t="s">
        <v>44</v>
      </c>
      <c r="O283" s="1" t="s">
        <v>53</v>
      </c>
      <c r="P283" s="8">
        <v>3600</v>
      </c>
      <c r="Q283" s="17">
        <f t="shared" si="30"/>
        <v>72180</v>
      </c>
      <c r="R283" s="9">
        <v>6650</v>
      </c>
      <c r="S283" s="9">
        <v>10.32</v>
      </c>
      <c r="T283" s="9">
        <v>0</v>
      </c>
      <c r="U283" s="10">
        <v>0</v>
      </c>
      <c r="V283" s="1" t="s">
        <v>46</v>
      </c>
      <c r="W283" s="1" t="s">
        <v>56</v>
      </c>
      <c r="X283" s="1">
        <v>2556576</v>
      </c>
      <c r="Y283" s="11">
        <v>41765</v>
      </c>
      <c r="Z283" s="11">
        <v>41767</v>
      </c>
      <c r="AA283" s="9">
        <f t="shared" si="34"/>
        <v>65519.68</v>
      </c>
      <c r="AB283" s="12">
        <v>59.85</v>
      </c>
      <c r="AC283" s="9">
        <f t="shared" si="32"/>
        <v>4319973</v>
      </c>
      <c r="AD283" s="9">
        <f t="shared" si="33"/>
        <v>3921352.8480000002</v>
      </c>
      <c r="AE283" s="1" t="s">
        <v>57</v>
      </c>
      <c r="AF283" s="1" t="s">
        <v>53</v>
      </c>
      <c r="AG283" s="4">
        <f t="shared" si="28"/>
        <v>72180</v>
      </c>
      <c r="AH283" s="10">
        <v>72180</v>
      </c>
      <c r="AI283" s="10">
        <v>6224.85</v>
      </c>
      <c r="AJ283" s="10">
        <v>10.31</v>
      </c>
      <c r="AK283" s="10">
        <v>0</v>
      </c>
      <c r="AL283" s="9">
        <f t="shared" si="29"/>
        <v>65944.84</v>
      </c>
      <c r="AM283" s="1"/>
      <c r="AN283" s="1"/>
      <c r="AO283" s="12" t="e">
        <f>AB283/#REF!</f>
        <v>#REF!</v>
      </c>
      <c r="AP283" s="1" t="s">
        <v>1541</v>
      </c>
      <c r="AQ283" s="11">
        <v>41827</v>
      </c>
      <c r="AR283" s="1" t="s">
        <v>1543</v>
      </c>
      <c r="AS283" s="11">
        <v>41899</v>
      </c>
      <c r="AT283" s="1" t="s">
        <v>49</v>
      </c>
      <c r="AU283" s="1" t="s">
        <v>4171</v>
      </c>
    </row>
    <row r="284" spans="1:47" ht="15" customHeight="1" x14ac:dyDescent="0.25">
      <c r="A284" s="1">
        <v>283</v>
      </c>
      <c r="B284" s="1" t="s">
        <v>1258</v>
      </c>
      <c r="C284" s="1" t="s">
        <v>38</v>
      </c>
      <c r="D284" s="1">
        <v>9103550125</v>
      </c>
      <c r="E284" s="5">
        <v>41770</v>
      </c>
      <c r="F284" s="1" t="s">
        <v>275</v>
      </c>
      <c r="G284" s="1" t="s">
        <v>40</v>
      </c>
      <c r="H284" s="1" t="s">
        <v>41</v>
      </c>
      <c r="I284" s="1" t="s">
        <v>2810</v>
      </c>
      <c r="J284" s="1" t="s">
        <v>1116</v>
      </c>
      <c r="K284" s="1">
        <v>38237090</v>
      </c>
      <c r="L284" s="6">
        <v>112.16</v>
      </c>
      <c r="M284" s="1" t="s">
        <v>70</v>
      </c>
      <c r="N284" s="7" t="s">
        <v>67</v>
      </c>
      <c r="O284" s="1" t="s">
        <v>1117</v>
      </c>
      <c r="P284" s="8">
        <v>113256</v>
      </c>
      <c r="Q284" s="17">
        <f t="shared" si="30"/>
        <v>12702792.959999999</v>
      </c>
      <c r="R284" s="9">
        <v>0</v>
      </c>
      <c r="S284" s="9">
        <v>0</v>
      </c>
      <c r="T284" s="9">
        <v>0</v>
      </c>
      <c r="U284" s="10">
        <v>0</v>
      </c>
      <c r="V284" s="1" t="s">
        <v>46</v>
      </c>
      <c r="W284" s="1" t="s">
        <v>361</v>
      </c>
      <c r="X284" s="1">
        <v>2557961</v>
      </c>
      <c r="Y284" s="11">
        <v>41765</v>
      </c>
      <c r="Z284" s="11">
        <v>41766</v>
      </c>
      <c r="AA284" s="9">
        <f t="shared" si="34"/>
        <v>12702792.959999999</v>
      </c>
      <c r="AB284" s="12">
        <v>1</v>
      </c>
      <c r="AC284" s="9">
        <f t="shared" si="32"/>
        <v>12702792.959999999</v>
      </c>
      <c r="AD284" s="9">
        <f t="shared" si="33"/>
        <v>12702792.959999999</v>
      </c>
      <c r="AE284" s="1" t="s">
        <v>4162</v>
      </c>
      <c r="AF284" s="1" t="s">
        <v>1117</v>
      </c>
      <c r="AG284" s="4">
        <f t="shared" si="28"/>
        <v>12702792.959999999</v>
      </c>
      <c r="AH284" s="10">
        <v>12702792.960000001</v>
      </c>
      <c r="AI284" s="10"/>
      <c r="AJ284" s="10"/>
      <c r="AK284" s="10"/>
      <c r="AL284" s="9">
        <f t="shared" si="29"/>
        <v>12702792.960000001</v>
      </c>
      <c r="AM284" s="1"/>
      <c r="AN284" s="1"/>
      <c r="AO284" s="1"/>
      <c r="AP284" s="1" t="s">
        <v>4133</v>
      </c>
      <c r="AQ284" s="11" t="s">
        <v>4126</v>
      </c>
      <c r="AR284" s="1" t="s">
        <v>4134</v>
      </c>
      <c r="AS284" s="1" t="s">
        <v>4124</v>
      </c>
      <c r="AT284" s="1" t="s">
        <v>49</v>
      </c>
      <c r="AU284" s="1" t="s">
        <v>4171</v>
      </c>
    </row>
    <row r="285" spans="1:47" ht="15" customHeight="1" x14ac:dyDescent="0.25">
      <c r="A285" s="1">
        <v>284</v>
      </c>
      <c r="B285" s="1" t="s">
        <v>1258</v>
      </c>
      <c r="C285" s="1" t="s">
        <v>38</v>
      </c>
      <c r="D285" s="1">
        <v>9103550125</v>
      </c>
      <c r="E285" s="5">
        <v>41770</v>
      </c>
      <c r="F285" s="1" t="s">
        <v>263</v>
      </c>
      <c r="G285" s="1" t="s">
        <v>40</v>
      </c>
      <c r="H285" s="1" t="s">
        <v>41</v>
      </c>
      <c r="I285" s="1" t="s">
        <v>2810</v>
      </c>
      <c r="J285" s="1" t="s">
        <v>1116</v>
      </c>
      <c r="K285" s="1">
        <v>38237090</v>
      </c>
      <c r="L285" s="6">
        <v>92.9</v>
      </c>
      <c r="M285" s="1" t="s">
        <v>70</v>
      </c>
      <c r="N285" s="7" t="s">
        <v>67</v>
      </c>
      <c r="O285" s="1" t="s">
        <v>1117</v>
      </c>
      <c r="P285" s="8">
        <v>113256</v>
      </c>
      <c r="Q285" s="17">
        <f t="shared" si="30"/>
        <v>10521482.4</v>
      </c>
      <c r="R285" s="9">
        <v>0</v>
      </c>
      <c r="S285" s="9">
        <v>0</v>
      </c>
      <c r="T285" s="9">
        <v>0</v>
      </c>
      <c r="U285" s="10">
        <v>0</v>
      </c>
      <c r="V285" s="1" t="s">
        <v>46</v>
      </c>
      <c r="W285" s="1" t="s">
        <v>361</v>
      </c>
      <c r="X285" s="1">
        <v>2564675</v>
      </c>
      <c r="Y285" s="11">
        <v>41765</v>
      </c>
      <c r="Z285" s="11">
        <v>41766</v>
      </c>
      <c r="AA285" s="9">
        <f t="shared" si="34"/>
        <v>10521482.4</v>
      </c>
      <c r="AB285" s="12">
        <v>1</v>
      </c>
      <c r="AC285" s="9">
        <f t="shared" si="32"/>
        <v>10521482.4</v>
      </c>
      <c r="AD285" s="9">
        <f t="shared" si="33"/>
        <v>10521482.4</v>
      </c>
      <c r="AE285" s="1" t="s">
        <v>4162</v>
      </c>
      <c r="AF285" s="1" t="s">
        <v>1117</v>
      </c>
      <c r="AG285" s="4">
        <f t="shared" si="28"/>
        <v>10521482.4</v>
      </c>
      <c r="AH285" s="10">
        <v>10521482.4</v>
      </c>
      <c r="AI285" s="10"/>
      <c r="AJ285" s="10"/>
      <c r="AK285" s="10"/>
      <c r="AL285" s="9">
        <f t="shared" si="29"/>
        <v>10521482.4</v>
      </c>
      <c r="AM285" s="1"/>
      <c r="AN285" s="1"/>
      <c r="AO285" s="1"/>
      <c r="AP285" s="1" t="s">
        <v>4133</v>
      </c>
      <c r="AQ285" s="11" t="s">
        <v>4126</v>
      </c>
      <c r="AR285" s="1" t="s">
        <v>4132</v>
      </c>
      <c r="AS285" s="1" t="s">
        <v>4124</v>
      </c>
      <c r="AT285" s="1" t="s">
        <v>49</v>
      </c>
      <c r="AU285" s="1" t="s">
        <v>4171</v>
      </c>
    </row>
    <row r="286" spans="1:47" ht="15" customHeight="1" x14ac:dyDescent="0.25">
      <c r="A286" s="1">
        <v>285</v>
      </c>
      <c r="B286" s="1" t="s">
        <v>1258</v>
      </c>
      <c r="C286" s="1" t="s">
        <v>38</v>
      </c>
      <c r="D286" s="1">
        <v>9103550126</v>
      </c>
      <c r="E286" s="5">
        <v>41771</v>
      </c>
      <c r="F286" s="1" t="s">
        <v>258</v>
      </c>
      <c r="G286" s="1" t="s">
        <v>40</v>
      </c>
      <c r="H286" s="1" t="s">
        <v>41</v>
      </c>
      <c r="I286" s="1" t="s">
        <v>2809</v>
      </c>
      <c r="J286" s="1" t="s">
        <v>837</v>
      </c>
      <c r="K286" s="1">
        <v>29159020</v>
      </c>
      <c r="L286" s="6">
        <v>39.340000000000003</v>
      </c>
      <c r="M286" s="1" t="s">
        <v>70</v>
      </c>
      <c r="N286" s="7" t="s">
        <v>44</v>
      </c>
      <c r="O286" s="1" t="s">
        <v>53</v>
      </c>
      <c r="P286" s="8">
        <v>4700.05</v>
      </c>
      <c r="Q286" s="17">
        <f t="shared" si="30"/>
        <v>184899.96700000003</v>
      </c>
      <c r="R286" s="9">
        <v>13300</v>
      </c>
      <c r="S286" s="9">
        <v>26.44</v>
      </c>
      <c r="T286" s="9">
        <v>0</v>
      </c>
      <c r="U286" s="10">
        <v>0</v>
      </c>
      <c r="V286" s="1" t="s">
        <v>46</v>
      </c>
      <c r="W286" s="1" t="s">
        <v>56</v>
      </c>
      <c r="X286" s="1">
        <v>2564101</v>
      </c>
      <c r="Y286" s="11">
        <v>41765</v>
      </c>
      <c r="Z286" s="11">
        <v>41766</v>
      </c>
      <c r="AA286" s="9">
        <f t="shared" si="34"/>
        <v>171573.52700000003</v>
      </c>
      <c r="AB286" s="12">
        <v>59.85</v>
      </c>
      <c r="AC286" s="9">
        <f t="shared" si="32"/>
        <v>11066263.024950001</v>
      </c>
      <c r="AD286" s="9">
        <f t="shared" si="33"/>
        <v>10268675.590950003</v>
      </c>
      <c r="AE286" s="1" t="s">
        <v>57</v>
      </c>
      <c r="AF286" s="1" t="s">
        <v>53</v>
      </c>
      <c r="AG286" s="4">
        <f t="shared" si="28"/>
        <v>184899.96700000003</v>
      </c>
      <c r="AH286" s="10">
        <v>184894.97</v>
      </c>
      <c r="AI286" s="10">
        <v>12500</v>
      </c>
      <c r="AJ286" s="10">
        <v>26.44</v>
      </c>
      <c r="AK286" s="10">
        <v>0</v>
      </c>
      <c r="AL286" s="9">
        <f t="shared" si="29"/>
        <v>172368.53</v>
      </c>
      <c r="AM286" s="1"/>
      <c r="AN286" s="1"/>
      <c r="AO286" s="12" t="e">
        <f>AB286/#REF!</f>
        <v>#REF!</v>
      </c>
      <c r="AP286" s="1" t="s">
        <v>1544</v>
      </c>
      <c r="AQ286" s="11">
        <v>41817</v>
      </c>
      <c r="AR286" s="1" t="s">
        <v>1545</v>
      </c>
      <c r="AS286" s="11">
        <v>41818</v>
      </c>
      <c r="AT286" s="1" t="s">
        <v>49</v>
      </c>
      <c r="AU286" s="1" t="s">
        <v>4171</v>
      </c>
    </row>
    <row r="287" spans="1:47" ht="15" customHeight="1" x14ac:dyDescent="0.25">
      <c r="A287" s="1">
        <v>286</v>
      </c>
      <c r="B287" s="1" t="s">
        <v>1258</v>
      </c>
      <c r="C287" s="1" t="s">
        <v>38</v>
      </c>
      <c r="D287" s="1">
        <v>9103550127</v>
      </c>
      <c r="E287" s="5">
        <v>41768</v>
      </c>
      <c r="F287" s="1" t="s">
        <v>273</v>
      </c>
      <c r="G287" s="1" t="s">
        <v>40</v>
      </c>
      <c r="H287" s="1" t="s">
        <v>41</v>
      </c>
      <c r="I287" s="1" t="s">
        <v>2809</v>
      </c>
      <c r="J287" s="1" t="s">
        <v>55</v>
      </c>
      <c r="K287" s="1">
        <v>38237090</v>
      </c>
      <c r="L287" s="6">
        <v>36.28</v>
      </c>
      <c r="M287" s="1" t="s">
        <v>70</v>
      </c>
      <c r="N287" s="7" t="s">
        <v>44</v>
      </c>
      <c r="O287" s="1" t="s">
        <v>53</v>
      </c>
      <c r="P287" s="8">
        <v>1675</v>
      </c>
      <c r="Q287" s="17">
        <f t="shared" si="30"/>
        <v>60769</v>
      </c>
      <c r="R287" s="9">
        <v>6600</v>
      </c>
      <c r="S287" s="9">
        <v>8.69</v>
      </c>
      <c r="T287" s="9">
        <v>0</v>
      </c>
      <c r="U287" s="10">
        <v>0</v>
      </c>
      <c r="V287" s="1" t="s">
        <v>46</v>
      </c>
      <c r="W287" s="1" t="s">
        <v>56</v>
      </c>
      <c r="X287" s="1">
        <v>2541297</v>
      </c>
      <c r="Y287" s="11">
        <v>41764</v>
      </c>
      <c r="Z287" s="11">
        <v>41765</v>
      </c>
      <c r="AA287" s="9">
        <f t="shared" si="34"/>
        <v>54160.31</v>
      </c>
      <c r="AB287" s="12">
        <v>59.85</v>
      </c>
      <c r="AC287" s="9">
        <f t="shared" si="32"/>
        <v>3637024.65</v>
      </c>
      <c r="AD287" s="9">
        <f t="shared" si="33"/>
        <v>3241494.5534999999</v>
      </c>
      <c r="AE287" s="1" t="s">
        <v>48</v>
      </c>
      <c r="AF287" s="1" t="s">
        <v>53</v>
      </c>
      <c r="AG287" s="4">
        <f t="shared" si="28"/>
        <v>60769</v>
      </c>
      <c r="AH287" s="10">
        <v>60769</v>
      </c>
      <c r="AI287" s="10">
        <v>6358</v>
      </c>
      <c r="AJ287" s="10">
        <v>8.69</v>
      </c>
      <c r="AK287" s="10">
        <v>0</v>
      </c>
      <c r="AL287" s="9">
        <f t="shared" si="29"/>
        <v>54402.31</v>
      </c>
      <c r="AM287" s="1"/>
      <c r="AN287" s="1"/>
      <c r="AO287" s="12" t="e">
        <f>AB287/#REF!</f>
        <v>#REF!</v>
      </c>
      <c r="AP287" s="1" t="s">
        <v>1546</v>
      </c>
      <c r="AQ287" s="11">
        <v>41822</v>
      </c>
      <c r="AR287" s="1" t="s">
        <v>1547</v>
      </c>
      <c r="AS287" s="11">
        <v>41823</v>
      </c>
      <c r="AT287" s="1" t="s">
        <v>49</v>
      </c>
      <c r="AU287" s="1" t="s">
        <v>4171</v>
      </c>
    </row>
    <row r="288" spans="1:47" ht="15" customHeight="1" x14ac:dyDescent="0.25">
      <c r="A288" s="1">
        <v>287</v>
      </c>
      <c r="B288" s="1" t="s">
        <v>1258</v>
      </c>
      <c r="C288" s="1" t="s">
        <v>38</v>
      </c>
      <c r="D288" s="1">
        <v>9103550128</v>
      </c>
      <c r="E288" s="5">
        <v>41776</v>
      </c>
      <c r="F288" s="1" t="s">
        <v>262</v>
      </c>
      <c r="G288" s="1" t="s">
        <v>40</v>
      </c>
      <c r="H288" s="1" t="s">
        <v>41</v>
      </c>
      <c r="I288" s="1" t="s">
        <v>2809</v>
      </c>
      <c r="J288" s="1" t="s">
        <v>55</v>
      </c>
      <c r="K288" s="1">
        <v>38237090</v>
      </c>
      <c r="L288" s="6">
        <v>18.14</v>
      </c>
      <c r="M288" s="1" t="s">
        <v>70</v>
      </c>
      <c r="N288" s="7" t="s">
        <v>44</v>
      </c>
      <c r="O288" s="1" t="s">
        <v>53</v>
      </c>
      <c r="P288" s="8">
        <v>1675</v>
      </c>
      <c r="Q288" s="17">
        <f t="shared" si="30"/>
        <v>30384.5</v>
      </c>
      <c r="R288" s="9">
        <v>3450</v>
      </c>
      <c r="S288" s="9">
        <v>4.34</v>
      </c>
      <c r="T288" s="9">
        <v>0</v>
      </c>
      <c r="U288" s="10">
        <v>0</v>
      </c>
      <c r="V288" s="1" t="s">
        <v>46</v>
      </c>
      <c r="W288" s="1" t="s">
        <v>56</v>
      </c>
      <c r="X288" s="1">
        <v>2564109</v>
      </c>
      <c r="Y288" s="11">
        <v>41765</v>
      </c>
      <c r="Z288" s="11">
        <v>41767</v>
      </c>
      <c r="AA288" s="9">
        <f t="shared" si="34"/>
        <v>26930.16</v>
      </c>
      <c r="AB288" s="12">
        <v>59.85</v>
      </c>
      <c r="AC288" s="9">
        <f t="shared" si="32"/>
        <v>1818512.325</v>
      </c>
      <c r="AD288" s="9">
        <f t="shared" si="33"/>
        <v>1611770.0760000001</v>
      </c>
      <c r="AE288" s="1" t="s">
        <v>48</v>
      </c>
      <c r="AF288" s="1" t="s">
        <v>53</v>
      </c>
      <c r="AG288" s="4">
        <f t="shared" si="28"/>
        <v>30384.5</v>
      </c>
      <c r="AH288" s="10">
        <v>30384.5</v>
      </c>
      <c r="AI288" s="10">
        <v>3179</v>
      </c>
      <c r="AJ288" s="10">
        <v>4.34</v>
      </c>
      <c r="AK288" s="10">
        <v>0</v>
      </c>
      <c r="AL288" s="9">
        <f t="shared" si="29"/>
        <v>27201.16</v>
      </c>
      <c r="AM288" s="1"/>
      <c r="AN288" s="1"/>
      <c r="AO288" s="12" t="e">
        <f>AB288/#REF!</f>
        <v>#REF!</v>
      </c>
      <c r="AP288" s="1" t="s">
        <v>1548</v>
      </c>
      <c r="AQ288" s="11">
        <v>41822</v>
      </c>
      <c r="AR288" s="1" t="s">
        <v>1549</v>
      </c>
      <c r="AS288" s="11">
        <v>41823</v>
      </c>
      <c r="AT288" s="1" t="s">
        <v>49</v>
      </c>
      <c r="AU288" s="1" t="s">
        <v>4171</v>
      </c>
    </row>
    <row r="289" spans="1:47" ht="15" customHeight="1" x14ac:dyDescent="0.25">
      <c r="A289" s="1">
        <v>288</v>
      </c>
      <c r="B289" s="1" t="s">
        <v>1258</v>
      </c>
      <c r="C289" s="1" t="s">
        <v>38</v>
      </c>
      <c r="D289" s="1">
        <v>9103550129</v>
      </c>
      <c r="E289" s="5">
        <v>41776</v>
      </c>
      <c r="F289" s="1" t="s">
        <v>261</v>
      </c>
      <c r="G289" s="1" t="s">
        <v>40</v>
      </c>
      <c r="H289" s="1" t="s">
        <v>41</v>
      </c>
      <c r="I289" s="1" t="s">
        <v>2809</v>
      </c>
      <c r="J289" s="1" t="s">
        <v>55</v>
      </c>
      <c r="K289" s="1">
        <v>38237090</v>
      </c>
      <c r="L289" s="6">
        <v>18.14</v>
      </c>
      <c r="M289" s="1" t="s">
        <v>70</v>
      </c>
      <c r="N289" s="7" t="s">
        <v>44</v>
      </c>
      <c r="O289" s="1" t="s">
        <v>53</v>
      </c>
      <c r="P289" s="8">
        <v>1675</v>
      </c>
      <c r="Q289" s="17">
        <f t="shared" si="30"/>
        <v>30384.5</v>
      </c>
      <c r="R289" s="9">
        <v>2450</v>
      </c>
      <c r="S289" s="9">
        <v>6.02</v>
      </c>
      <c r="T289" s="9">
        <v>0</v>
      </c>
      <c r="U289" s="10">
        <v>0</v>
      </c>
      <c r="V289" s="1" t="s">
        <v>46</v>
      </c>
      <c r="W289" s="1" t="s">
        <v>56</v>
      </c>
      <c r="X289" s="1">
        <v>2564106</v>
      </c>
      <c r="Y289" s="11">
        <v>41765</v>
      </c>
      <c r="Z289" s="11">
        <v>41767</v>
      </c>
      <c r="AA289" s="9">
        <f t="shared" si="34"/>
        <v>27928.48</v>
      </c>
      <c r="AB289" s="12">
        <v>59.85</v>
      </c>
      <c r="AC289" s="9">
        <f t="shared" si="32"/>
        <v>1818512.325</v>
      </c>
      <c r="AD289" s="9">
        <f t="shared" si="33"/>
        <v>1671519.5279999999</v>
      </c>
      <c r="AE289" s="1" t="s">
        <v>48</v>
      </c>
      <c r="AF289" s="1" t="s">
        <v>53</v>
      </c>
      <c r="AG289" s="4">
        <f t="shared" si="28"/>
        <v>30384.5</v>
      </c>
      <c r="AH289" s="10">
        <v>30384.5</v>
      </c>
      <c r="AI289" s="10">
        <v>2456</v>
      </c>
      <c r="AJ289" s="10">
        <v>4.34</v>
      </c>
      <c r="AK289" s="10">
        <v>0</v>
      </c>
      <c r="AL289" s="9">
        <f t="shared" si="29"/>
        <v>27924.16</v>
      </c>
      <c r="AM289" s="1"/>
      <c r="AN289" s="1"/>
      <c r="AO289" s="12" t="e">
        <f>AB289/#REF!</f>
        <v>#REF!</v>
      </c>
      <c r="AP289" s="1" t="s">
        <v>1550</v>
      </c>
      <c r="AQ289" s="11">
        <v>41822</v>
      </c>
      <c r="AR289" s="1" t="s">
        <v>1551</v>
      </c>
      <c r="AS289" s="11">
        <v>41823</v>
      </c>
      <c r="AT289" s="1" t="s">
        <v>49</v>
      </c>
      <c r="AU289" s="1" t="s">
        <v>4171</v>
      </c>
    </row>
    <row r="290" spans="1:47" ht="15" customHeight="1" x14ac:dyDescent="0.25">
      <c r="A290" s="1">
        <v>289</v>
      </c>
      <c r="B290" s="1" t="s">
        <v>1258</v>
      </c>
      <c r="C290" s="1" t="s">
        <v>38</v>
      </c>
      <c r="D290" s="1">
        <v>9103550130</v>
      </c>
      <c r="E290" s="5">
        <v>41772</v>
      </c>
      <c r="F290" s="1" t="s">
        <v>259</v>
      </c>
      <c r="G290" s="1" t="s">
        <v>40</v>
      </c>
      <c r="H290" s="1" t="s">
        <v>41</v>
      </c>
      <c r="I290" s="1" t="s">
        <v>2809</v>
      </c>
      <c r="J290" s="1" t="s">
        <v>43</v>
      </c>
      <c r="K290" s="1">
        <v>29159090</v>
      </c>
      <c r="L290" s="6">
        <v>99.77</v>
      </c>
      <c r="M290" s="1" t="s">
        <v>70</v>
      </c>
      <c r="N290" s="7" t="s">
        <v>44</v>
      </c>
      <c r="O290" s="1" t="s">
        <v>45</v>
      </c>
      <c r="P290" s="8">
        <v>1280</v>
      </c>
      <c r="Q290" s="17">
        <f t="shared" si="30"/>
        <v>127705.59999999999</v>
      </c>
      <c r="R290" s="9">
        <v>6951.22</v>
      </c>
      <c r="S290" s="9">
        <v>18.260000000000002</v>
      </c>
      <c r="T290" s="9">
        <v>0</v>
      </c>
      <c r="U290" s="10">
        <v>0</v>
      </c>
      <c r="V290" s="1" t="s">
        <v>46</v>
      </c>
      <c r="W290" s="1" t="s">
        <v>47</v>
      </c>
      <c r="X290" s="1">
        <v>2558031</v>
      </c>
      <c r="Y290" s="11">
        <v>41765</v>
      </c>
      <c r="Z290" s="11">
        <v>41766</v>
      </c>
      <c r="AA290" s="9">
        <f t="shared" si="34"/>
        <v>120736.12</v>
      </c>
      <c r="AB290" s="12">
        <v>82.3</v>
      </c>
      <c r="AC290" s="9">
        <f t="shared" si="32"/>
        <v>10510170.879999999</v>
      </c>
      <c r="AD290" s="9">
        <f t="shared" si="33"/>
        <v>9936582.675999999</v>
      </c>
      <c r="AE290" s="1" t="s">
        <v>48</v>
      </c>
      <c r="AF290" s="1" t="s">
        <v>45</v>
      </c>
      <c r="AG290" s="4">
        <f t="shared" si="28"/>
        <v>127705.59999999999</v>
      </c>
      <c r="AH290" s="10">
        <v>127705.60000000001</v>
      </c>
      <c r="AI290" s="10">
        <v>6325.94</v>
      </c>
      <c r="AJ290" s="10">
        <v>25.29</v>
      </c>
      <c r="AK290" s="10">
        <v>0</v>
      </c>
      <c r="AL290" s="9">
        <f t="shared" si="29"/>
        <v>121354.37000000001</v>
      </c>
      <c r="AM290" s="1"/>
      <c r="AN290" s="1"/>
      <c r="AO290" s="12" t="e">
        <f>AB290/#REF!</f>
        <v>#REF!</v>
      </c>
      <c r="AP290" s="1" t="s">
        <v>1552</v>
      </c>
      <c r="AQ290" s="11">
        <v>41815</v>
      </c>
      <c r="AR290" s="1" t="s">
        <v>1553</v>
      </c>
      <c r="AS290" s="11">
        <v>41816</v>
      </c>
      <c r="AT290" s="1" t="s">
        <v>49</v>
      </c>
      <c r="AU290" s="1" t="s">
        <v>4171</v>
      </c>
    </row>
    <row r="291" spans="1:47" ht="15" customHeight="1" x14ac:dyDescent="0.25">
      <c r="A291" s="1">
        <v>290</v>
      </c>
      <c r="B291" s="1" t="s">
        <v>1258</v>
      </c>
      <c r="C291" s="1" t="s">
        <v>38</v>
      </c>
      <c r="D291" s="1">
        <v>9103550131</v>
      </c>
      <c r="E291" s="5">
        <v>41769</v>
      </c>
      <c r="F291" s="1" t="s">
        <v>255</v>
      </c>
      <c r="G291" s="1" t="s">
        <v>40</v>
      </c>
      <c r="H291" s="1" t="s">
        <v>41</v>
      </c>
      <c r="I291" s="1" t="s">
        <v>2809</v>
      </c>
      <c r="J291" s="1" t="s">
        <v>63</v>
      </c>
      <c r="K291" s="1">
        <v>29159090</v>
      </c>
      <c r="L291" s="6">
        <v>20</v>
      </c>
      <c r="M291" s="1" t="s">
        <v>70</v>
      </c>
      <c r="N291" s="7" t="s">
        <v>44</v>
      </c>
      <c r="O291" s="1" t="s">
        <v>53</v>
      </c>
      <c r="P291" s="8">
        <v>3650</v>
      </c>
      <c r="Q291" s="17">
        <f t="shared" si="30"/>
        <v>73000</v>
      </c>
      <c r="R291" s="9">
        <v>400</v>
      </c>
      <c r="S291" s="9">
        <v>0</v>
      </c>
      <c r="T291" s="9">
        <v>0</v>
      </c>
      <c r="U291" s="10">
        <v>0</v>
      </c>
      <c r="V291" s="1" t="s">
        <v>46</v>
      </c>
      <c r="W291" s="1" t="s">
        <v>75</v>
      </c>
      <c r="X291" s="1">
        <v>2558563</v>
      </c>
      <c r="Y291" s="11">
        <v>41765</v>
      </c>
      <c r="Z291" s="11">
        <v>41766</v>
      </c>
      <c r="AA291" s="9">
        <f t="shared" si="34"/>
        <v>72600</v>
      </c>
      <c r="AB291" s="12">
        <v>59.85</v>
      </c>
      <c r="AC291" s="9">
        <f t="shared" si="32"/>
        <v>4369050</v>
      </c>
      <c r="AD291" s="9">
        <f t="shared" si="33"/>
        <v>4345110</v>
      </c>
      <c r="AE291" s="1"/>
      <c r="AF291" s="1"/>
      <c r="AG291" s="4">
        <f t="shared" si="28"/>
        <v>73000</v>
      </c>
      <c r="AH291" s="10"/>
      <c r="AI291" s="10"/>
      <c r="AJ291" s="10"/>
      <c r="AK291" s="10"/>
      <c r="AL291" s="9">
        <f t="shared" si="29"/>
        <v>0</v>
      </c>
      <c r="AM291" s="1"/>
      <c r="AN291" s="1"/>
      <c r="AO291" s="12" t="e">
        <f>AB291/#REF!</f>
        <v>#REF!</v>
      </c>
      <c r="AP291" s="1"/>
      <c r="AQ291" s="11"/>
      <c r="AR291" s="1"/>
      <c r="AS291" s="1"/>
      <c r="AT291" s="1" t="s">
        <v>4314</v>
      </c>
      <c r="AU291" s="1" t="s">
        <v>4314</v>
      </c>
    </row>
    <row r="292" spans="1:47" ht="15" customHeight="1" x14ac:dyDescent="0.25">
      <c r="A292" s="1">
        <v>291</v>
      </c>
      <c r="B292" s="1" t="s">
        <v>1258</v>
      </c>
      <c r="C292" s="1" t="s">
        <v>38</v>
      </c>
      <c r="D292" s="1">
        <v>9103550133</v>
      </c>
      <c r="E292" s="5">
        <v>41767</v>
      </c>
      <c r="F292" s="1" t="s">
        <v>210</v>
      </c>
      <c r="G292" s="1" t="s">
        <v>40</v>
      </c>
      <c r="H292" s="1" t="s">
        <v>41</v>
      </c>
      <c r="I292" s="1" t="s">
        <v>2809</v>
      </c>
      <c r="J292" s="1" t="s">
        <v>63</v>
      </c>
      <c r="K292" s="1">
        <v>38231200</v>
      </c>
      <c r="L292" s="6">
        <v>19.68</v>
      </c>
      <c r="M292" s="1" t="s">
        <v>70</v>
      </c>
      <c r="N292" s="7" t="s">
        <v>52</v>
      </c>
      <c r="O292" s="1" t="s">
        <v>53</v>
      </c>
      <c r="P292" s="8">
        <v>1328</v>
      </c>
      <c r="Q292" s="17">
        <f t="shared" si="30"/>
        <v>26135.040000000001</v>
      </c>
      <c r="R292" s="9">
        <v>1800</v>
      </c>
      <c r="S292" s="9">
        <v>0</v>
      </c>
      <c r="T292" s="9">
        <v>0</v>
      </c>
      <c r="U292" s="10">
        <v>0</v>
      </c>
      <c r="V292" s="1" t="s">
        <v>46</v>
      </c>
      <c r="W292" s="1" t="s">
        <v>64</v>
      </c>
      <c r="X292" s="1">
        <v>2363737</v>
      </c>
      <c r="Y292" s="11">
        <v>41754</v>
      </c>
      <c r="Z292" s="11">
        <v>41755</v>
      </c>
      <c r="AA292" s="9">
        <f t="shared" si="34"/>
        <v>24335.040000000001</v>
      </c>
      <c r="AB292" s="12">
        <v>59.8</v>
      </c>
      <c r="AC292" s="9">
        <f t="shared" si="32"/>
        <v>1562875.392</v>
      </c>
      <c r="AD292" s="9">
        <f t="shared" si="33"/>
        <v>1455235.392</v>
      </c>
      <c r="AE292" s="1" t="s">
        <v>51</v>
      </c>
      <c r="AF292" s="1" t="s">
        <v>53</v>
      </c>
      <c r="AG292" s="4">
        <f t="shared" si="28"/>
        <v>26135.040000000001</v>
      </c>
      <c r="AH292" s="10">
        <v>26135.040000000001</v>
      </c>
      <c r="AI292" s="10">
        <v>351.25</v>
      </c>
      <c r="AJ292" s="10">
        <v>0</v>
      </c>
      <c r="AK292" s="10">
        <v>0</v>
      </c>
      <c r="AL292" s="9">
        <f t="shared" si="29"/>
        <v>25783.79</v>
      </c>
      <c r="AM292" s="1"/>
      <c r="AN292" s="1"/>
      <c r="AO292" s="12" t="e">
        <f>AB292/#REF!</f>
        <v>#REF!</v>
      </c>
      <c r="AP292" s="1" t="s">
        <v>1554</v>
      </c>
      <c r="AQ292" s="11">
        <v>41800</v>
      </c>
      <c r="AR292" s="1" t="s">
        <v>1555</v>
      </c>
      <c r="AS292" s="11">
        <v>41844</v>
      </c>
      <c r="AT292" s="1" t="s">
        <v>49</v>
      </c>
      <c r="AU292" s="1" t="s">
        <v>4171</v>
      </c>
    </row>
    <row r="293" spans="1:47" ht="15" customHeight="1" x14ac:dyDescent="0.25">
      <c r="A293" s="1">
        <v>292</v>
      </c>
      <c r="B293" s="1" t="s">
        <v>1258</v>
      </c>
      <c r="C293" s="1" t="s">
        <v>38</v>
      </c>
      <c r="D293" s="1">
        <v>9103550134</v>
      </c>
      <c r="E293" s="5">
        <v>41762</v>
      </c>
      <c r="F293" s="1" t="s">
        <v>210</v>
      </c>
      <c r="G293" s="1" t="s">
        <v>40</v>
      </c>
      <c r="H293" s="1" t="s">
        <v>41</v>
      </c>
      <c r="I293" s="1" t="s">
        <v>2809</v>
      </c>
      <c r="J293" s="1" t="s">
        <v>63</v>
      </c>
      <c r="K293" s="1">
        <v>38231200</v>
      </c>
      <c r="L293" s="6">
        <v>39.18</v>
      </c>
      <c r="M293" s="1" t="s">
        <v>70</v>
      </c>
      <c r="N293" s="7" t="s">
        <v>52</v>
      </c>
      <c r="O293" s="1" t="s">
        <v>53</v>
      </c>
      <c r="P293" s="8">
        <v>1328</v>
      </c>
      <c r="Q293" s="17">
        <f t="shared" si="30"/>
        <v>52031.040000000001</v>
      </c>
      <c r="R293" s="9">
        <v>1800</v>
      </c>
      <c r="S293" s="9">
        <v>0</v>
      </c>
      <c r="T293" s="9">
        <v>0</v>
      </c>
      <c r="U293" s="10">
        <v>0</v>
      </c>
      <c r="V293" s="1" t="s">
        <v>46</v>
      </c>
      <c r="W293" s="1" t="s">
        <v>64</v>
      </c>
      <c r="X293" s="1">
        <v>2363737</v>
      </c>
      <c r="Y293" s="11">
        <v>41754</v>
      </c>
      <c r="Z293" s="11">
        <v>41755</v>
      </c>
      <c r="AA293" s="9">
        <f t="shared" si="34"/>
        <v>50231.040000000001</v>
      </c>
      <c r="AB293" s="12">
        <v>59.8</v>
      </c>
      <c r="AC293" s="9">
        <f t="shared" si="32"/>
        <v>3111456.1919999998</v>
      </c>
      <c r="AD293" s="9">
        <f t="shared" si="33"/>
        <v>3003816.1919999998</v>
      </c>
      <c r="AE293" s="1" t="s">
        <v>51</v>
      </c>
      <c r="AF293" s="1" t="s">
        <v>53</v>
      </c>
      <c r="AG293" s="4">
        <f t="shared" si="28"/>
        <v>52031.040000000001</v>
      </c>
      <c r="AH293" s="10">
        <v>51989.96</v>
      </c>
      <c r="AI293" s="10">
        <v>698.75</v>
      </c>
      <c r="AJ293" s="10">
        <v>0</v>
      </c>
      <c r="AK293" s="10">
        <v>0</v>
      </c>
      <c r="AL293" s="9">
        <f t="shared" si="29"/>
        <v>51291.21</v>
      </c>
      <c r="AM293" s="1"/>
      <c r="AN293" s="1"/>
      <c r="AO293" s="12" t="e">
        <f>AB293/#REF!</f>
        <v>#REF!</v>
      </c>
      <c r="AP293" s="1" t="s">
        <v>1554</v>
      </c>
      <c r="AQ293" s="11">
        <v>41800</v>
      </c>
      <c r="AR293" s="1" t="s">
        <v>1555</v>
      </c>
      <c r="AS293" s="11">
        <v>41844</v>
      </c>
      <c r="AT293" s="1" t="s">
        <v>49</v>
      </c>
      <c r="AU293" s="1" t="s">
        <v>4171</v>
      </c>
    </row>
    <row r="294" spans="1:47" ht="15" customHeight="1" x14ac:dyDescent="0.25">
      <c r="A294" s="1">
        <v>293</v>
      </c>
      <c r="B294" s="1" t="s">
        <v>1258</v>
      </c>
      <c r="C294" s="1" t="s">
        <v>38</v>
      </c>
      <c r="D294" s="1">
        <v>9103550135</v>
      </c>
      <c r="E294" s="5">
        <v>41776</v>
      </c>
      <c r="F294" s="1" t="s">
        <v>268</v>
      </c>
      <c r="G294" s="1" t="s">
        <v>40</v>
      </c>
      <c r="H294" s="1" t="s">
        <v>41</v>
      </c>
      <c r="I294" s="1" t="s">
        <v>2809</v>
      </c>
      <c r="J294" s="1" t="s">
        <v>55</v>
      </c>
      <c r="K294" s="1">
        <v>29051700</v>
      </c>
      <c r="L294" s="6">
        <v>18.14</v>
      </c>
      <c r="M294" s="1" t="s">
        <v>70</v>
      </c>
      <c r="N294" s="7" t="s">
        <v>44</v>
      </c>
      <c r="O294" s="1" t="s">
        <v>53</v>
      </c>
      <c r="P294" s="8">
        <v>1975</v>
      </c>
      <c r="Q294" s="17">
        <f t="shared" si="30"/>
        <v>35826.5</v>
      </c>
      <c r="R294" s="9">
        <v>3450</v>
      </c>
      <c r="S294" s="9">
        <v>5.12</v>
      </c>
      <c r="T294" s="9">
        <v>0</v>
      </c>
      <c r="U294" s="10">
        <v>0</v>
      </c>
      <c r="V294" s="1" t="s">
        <v>46</v>
      </c>
      <c r="W294" s="1" t="s">
        <v>56</v>
      </c>
      <c r="X294" s="1">
        <v>2584086</v>
      </c>
      <c r="Y294" s="11">
        <v>41766</v>
      </c>
      <c r="Z294" s="11">
        <v>41767</v>
      </c>
      <c r="AA294" s="9">
        <f t="shared" si="34"/>
        <v>32371.38</v>
      </c>
      <c r="AB294" s="12">
        <v>59.85</v>
      </c>
      <c r="AC294" s="9">
        <f t="shared" si="32"/>
        <v>2144216.0249999999</v>
      </c>
      <c r="AD294" s="9">
        <f t="shared" si="33"/>
        <v>1937427.0930000001</v>
      </c>
      <c r="AE294" s="1" t="s">
        <v>48</v>
      </c>
      <c r="AF294" s="1" t="s">
        <v>53</v>
      </c>
      <c r="AG294" s="4">
        <f t="shared" si="28"/>
        <v>35826.5</v>
      </c>
      <c r="AH294" s="10">
        <v>35826.5</v>
      </c>
      <c r="AI294" s="10">
        <v>3179</v>
      </c>
      <c r="AJ294" s="10">
        <v>5.12</v>
      </c>
      <c r="AK294" s="10">
        <v>0</v>
      </c>
      <c r="AL294" s="9">
        <f t="shared" si="29"/>
        <v>32642.38</v>
      </c>
      <c r="AM294" s="1"/>
      <c r="AN294" s="1"/>
      <c r="AO294" s="12" t="e">
        <f>AB294/#REF!</f>
        <v>#REF!</v>
      </c>
      <c r="AP294" s="1" t="s">
        <v>1556</v>
      </c>
      <c r="AQ294" s="11">
        <v>41822</v>
      </c>
      <c r="AR294" s="1" t="s">
        <v>1557</v>
      </c>
      <c r="AS294" s="11">
        <v>41823</v>
      </c>
      <c r="AT294" s="1" t="s">
        <v>49</v>
      </c>
      <c r="AU294" s="1" t="s">
        <v>4171</v>
      </c>
    </row>
    <row r="295" spans="1:47" ht="15" customHeight="1" x14ac:dyDescent="0.25">
      <c r="A295" s="1">
        <v>294</v>
      </c>
      <c r="B295" s="1" t="s">
        <v>1258</v>
      </c>
      <c r="C295" s="1" t="s">
        <v>38</v>
      </c>
      <c r="D295" s="1">
        <v>9103550136</v>
      </c>
      <c r="E295" s="5">
        <v>41777</v>
      </c>
      <c r="F295" s="1" t="s">
        <v>2923</v>
      </c>
      <c r="G295" s="1" t="s">
        <v>40</v>
      </c>
      <c r="H295" s="1" t="s">
        <v>41</v>
      </c>
      <c r="I295" s="1" t="s">
        <v>2809</v>
      </c>
      <c r="J295" s="1" t="s">
        <v>835</v>
      </c>
      <c r="K295" s="1">
        <v>38237090</v>
      </c>
      <c r="L295" s="6">
        <v>1.2</v>
      </c>
      <c r="M295" s="1" t="s">
        <v>70</v>
      </c>
      <c r="N295" s="7" t="s">
        <v>67</v>
      </c>
      <c r="O295" s="1" t="s">
        <v>53</v>
      </c>
      <c r="P295" s="8">
        <v>1900</v>
      </c>
      <c r="Q295" s="17">
        <f t="shared" si="30"/>
        <v>2280</v>
      </c>
      <c r="R295" s="9">
        <v>0</v>
      </c>
      <c r="S295" s="9">
        <v>0</v>
      </c>
      <c r="T295" s="9">
        <v>0</v>
      </c>
      <c r="U295" s="10">
        <v>0</v>
      </c>
      <c r="V295" s="1" t="s">
        <v>46</v>
      </c>
      <c r="W295" s="1" t="s">
        <v>146</v>
      </c>
      <c r="X295" s="1">
        <v>2465707</v>
      </c>
      <c r="Y295" s="11">
        <v>41759</v>
      </c>
      <c r="Z295" s="11">
        <v>41767</v>
      </c>
      <c r="AA295" s="9">
        <f t="shared" si="34"/>
        <v>2280</v>
      </c>
      <c r="AB295" s="12">
        <v>59.8</v>
      </c>
      <c r="AC295" s="9">
        <f t="shared" si="32"/>
        <v>136344</v>
      </c>
      <c r="AD295" s="9">
        <f t="shared" si="33"/>
        <v>136344</v>
      </c>
      <c r="AE295" s="1" t="s">
        <v>48</v>
      </c>
      <c r="AF295" s="1" t="s">
        <v>53</v>
      </c>
      <c r="AG295" s="4">
        <f t="shared" si="28"/>
        <v>2280</v>
      </c>
      <c r="AH295" s="10">
        <v>2275</v>
      </c>
      <c r="AI295" s="9">
        <v>0</v>
      </c>
      <c r="AJ295" s="9">
        <v>0</v>
      </c>
      <c r="AK295" s="9">
        <v>0</v>
      </c>
      <c r="AL295" s="9">
        <f t="shared" si="29"/>
        <v>2275</v>
      </c>
      <c r="AM295" s="1"/>
      <c r="AN295" s="1"/>
      <c r="AO295" s="12" t="e">
        <f>AB295/#REF!</f>
        <v>#REF!</v>
      </c>
      <c r="AP295" s="1"/>
      <c r="AQ295" s="11">
        <v>41900</v>
      </c>
      <c r="AR295" s="1" t="s">
        <v>3329</v>
      </c>
      <c r="AS295" s="11">
        <v>41901</v>
      </c>
      <c r="AT295" s="1" t="s">
        <v>49</v>
      </c>
      <c r="AU295" s="1" t="s">
        <v>4171</v>
      </c>
    </row>
    <row r="296" spans="1:47" ht="15" customHeight="1" x14ac:dyDescent="0.25">
      <c r="A296" s="1">
        <v>295</v>
      </c>
      <c r="B296" s="1" t="s">
        <v>1258</v>
      </c>
      <c r="C296" s="1" t="s">
        <v>38</v>
      </c>
      <c r="D296" s="1">
        <v>9103550136</v>
      </c>
      <c r="E296" s="5">
        <v>41777</v>
      </c>
      <c r="F296" s="1" t="s">
        <v>2923</v>
      </c>
      <c r="G296" s="1" t="s">
        <v>40</v>
      </c>
      <c r="H296" s="1" t="s">
        <v>41</v>
      </c>
      <c r="I296" s="1" t="s">
        <v>2809</v>
      </c>
      <c r="J296" s="1" t="s">
        <v>835</v>
      </c>
      <c r="K296" s="1">
        <v>38237090</v>
      </c>
      <c r="L296" s="6">
        <v>3.6</v>
      </c>
      <c r="M296" s="1" t="s">
        <v>70</v>
      </c>
      <c r="N296" s="7" t="s">
        <v>67</v>
      </c>
      <c r="O296" s="1" t="s">
        <v>53</v>
      </c>
      <c r="P296" s="8">
        <v>1800</v>
      </c>
      <c r="Q296" s="17">
        <f t="shared" si="30"/>
        <v>6480</v>
      </c>
      <c r="R296" s="9">
        <v>0</v>
      </c>
      <c r="S296" s="9">
        <v>0</v>
      </c>
      <c r="T296" s="9">
        <v>0</v>
      </c>
      <c r="U296" s="10">
        <v>0</v>
      </c>
      <c r="V296" s="1" t="s">
        <v>46</v>
      </c>
      <c r="W296" s="1" t="s">
        <v>146</v>
      </c>
      <c r="X296" s="1">
        <v>2465707</v>
      </c>
      <c r="Y296" s="11">
        <v>41759</v>
      </c>
      <c r="Z296" s="11">
        <v>41767</v>
      </c>
      <c r="AA296" s="9">
        <f t="shared" si="34"/>
        <v>6480</v>
      </c>
      <c r="AB296" s="12">
        <v>59.8</v>
      </c>
      <c r="AC296" s="9">
        <f t="shared" si="32"/>
        <v>387504</v>
      </c>
      <c r="AD296" s="9">
        <f t="shared" si="33"/>
        <v>387504</v>
      </c>
      <c r="AE296" s="1" t="s">
        <v>48</v>
      </c>
      <c r="AF296" s="1" t="s">
        <v>53</v>
      </c>
      <c r="AG296" s="4">
        <f t="shared" si="28"/>
        <v>6480</v>
      </c>
      <c r="AH296" s="10">
        <v>6470</v>
      </c>
      <c r="AI296" s="9">
        <v>0</v>
      </c>
      <c r="AJ296" s="9">
        <v>0</v>
      </c>
      <c r="AK296" s="9">
        <v>0</v>
      </c>
      <c r="AL296" s="9">
        <f t="shared" si="29"/>
        <v>6470</v>
      </c>
      <c r="AM296" s="1"/>
      <c r="AN296" s="1"/>
      <c r="AO296" s="12" t="e">
        <f>AB296/#REF!</f>
        <v>#REF!</v>
      </c>
      <c r="AP296" s="1"/>
      <c r="AQ296" s="11">
        <v>41900</v>
      </c>
      <c r="AR296" s="1" t="s">
        <v>3329</v>
      </c>
      <c r="AS296" s="11">
        <v>41901</v>
      </c>
      <c r="AT296" s="1" t="s">
        <v>49</v>
      </c>
      <c r="AU296" s="1" t="s">
        <v>4171</v>
      </c>
    </row>
    <row r="297" spans="1:47" ht="15" customHeight="1" x14ac:dyDescent="0.25">
      <c r="A297" s="1">
        <v>296</v>
      </c>
      <c r="B297" s="1" t="s">
        <v>1258</v>
      </c>
      <c r="C297" s="1" t="s">
        <v>38</v>
      </c>
      <c r="D297" s="1">
        <v>9103550137</v>
      </c>
      <c r="E297" s="5">
        <v>41772</v>
      </c>
      <c r="F297" s="1" t="s">
        <v>269</v>
      </c>
      <c r="G297" s="1" t="s">
        <v>40</v>
      </c>
      <c r="H297" s="1" t="s">
        <v>41</v>
      </c>
      <c r="I297" s="1" t="s">
        <v>2809</v>
      </c>
      <c r="J297" s="1" t="s">
        <v>50</v>
      </c>
      <c r="K297" s="1">
        <v>38237090</v>
      </c>
      <c r="L297" s="6">
        <v>12</v>
      </c>
      <c r="M297" s="1" t="s">
        <v>70</v>
      </c>
      <c r="N297" s="7" t="s">
        <v>52</v>
      </c>
      <c r="O297" s="1" t="s">
        <v>53</v>
      </c>
      <c r="P297" s="8">
        <v>1720</v>
      </c>
      <c r="Q297" s="17">
        <f t="shared" si="30"/>
        <v>20640</v>
      </c>
      <c r="R297" s="9">
        <v>1385</v>
      </c>
      <c r="S297" s="9">
        <v>0</v>
      </c>
      <c r="T297" s="9">
        <v>0</v>
      </c>
      <c r="U297" s="10">
        <v>0</v>
      </c>
      <c r="V297" s="1" t="s">
        <v>46</v>
      </c>
      <c r="W297" s="1" t="s">
        <v>62</v>
      </c>
      <c r="X297" s="1">
        <v>2586477</v>
      </c>
      <c r="Y297" s="11">
        <v>41766</v>
      </c>
      <c r="Z297" s="11">
        <v>41767</v>
      </c>
      <c r="AA297" s="9">
        <f t="shared" si="34"/>
        <v>19255</v>
      </c>
      <c r="AB297" s="12">
        <v>59.85</v>
      </c>
      <c r="AC297" s="9">
        <f t="shared" si="32"/>
        <v>1235304</v>
      </c>
      <c r="AD297" s="9">
        <f t="shared" si="33"/>
        <v>1152411.75</v>
      </c>
      <c r="AE297" s="1" t="s">
        <v>48</v>
      </c>
      <c r="AF297" s="1" t="s">
        <v>53</v>
      </c>
      <c r="AG297" s="4">
        <f t="shared" si="28"/>
        <v>20640</v>
      </c>
      <c r="AH297" s="10">
        <v>20462.68</v>
      </c>
      <c r="AI297" s="10">
        <v>1375</v>
      </c>
      <c r="AJ297" s="10">
        <v>0</v>
      </c>
      <c r="AK297" s="10">
        <v>0</v>
      </c>
      <c r="AL297" s="9">
        <f t="shared" si="29"/>
        <v>19087.68</v>
      </c>
      <c r="AM297" s="1"/>
      <c r="AN297" s="1"/>
      <c r="AO297" s="12" t="e">
        <f>AB297/#REF!</f>
        <v>#REF!</v>
      </c>
      <c r="AP297" s="1" t="s">
        <v>1558</v>
      </c>
      <c r="AQ297" s="11">
        <v>41850</v>
      </c>
      <c r="AR297" s="1" t="s">
        <v>1559</v>
      </c>
      <c r="AS297" s="11">
        <v>41851</v>
      </c>
      <c r="AT297" s="1" t="s">
        <v>49</v>
      </c>
      <c r="AU297" s="1" t="s">
        <v>4171</v>
      </c>
    </row>
    <row r="298" spans="1:47" ht="15" customHeight="1" x14ac:dyDescent="0.25">
      <c r="A298" s="1">
        <v>297</v>
      </c>
      <c r="B298" s="1" t="s">
        <v>1258</v>
      </c>
      <c r="C298" s="1" t="s">
        <v>38</v>
      </c>
      <c r="D298" s="1">
        <v>9103550139</v>
      </c>
      <c r="E298" s="5">
        <v>41770</v>
      </c>
      <c r="F298" s="1" t="s">
        <v>270</v>
      </c>
      <c r="G298" s="1" t="s">
        <v>40</v>
      </c>
      <c r="H298" s="1" t="s">
        <v>41</v>
      </c>
      <c r="I298" s="1" t="s">
        <v>2809</v>
      </c>
      <c r="J298" s="1" t="s">
        <v>187</v>
      </c>
      <c r="K298" s="1">
        <v>38237090</v>
      </c>
      <c r="L298" s="6">
        <v>18.14</v>
      </c>
      <c r="M298" s="1" t="s">
        <v>70</v>
      </c>
      <c r="N298" s="7" t="s">
        <v>44</v>
      </c>
      <c r="O298" s="1" t="s">
        <v>53</v>
      </c>
      <c r="P298" s="8">
        <v>1733</v>
      </c>
      <c r="Q298" s="17">
        <f t="shared" si="30"/>
        <v>31436.620000000003</v>
      </c>
      <c r="R298" s="9">
        <v>3200</v>
      </c>
      <c r="S298" s="9">
        <v>4.5</v>
      </c>
      <c r="T298" s="9">
        <v>0</v>
      </c>
      <c r="U298" s="10">
        <v>0</v>
      </c>
      <c r="V298" s="1" t="s">
        <v>46</v>
      </c>
      <c r="W298" s="1" t="s">
        <v>56</v>
      </c>
      <c r="X298" s="1">
        <v>2585780</v>
      </c>
      <c r="Y298" s="11">
        <v>41766</v>
      </c>
      <c r="Z298" s="11">
        <v>41767</v>
      </c>
      <c r="AA298" s="9">
        <f t="shared" si="34"/>
        <v>28232.120000000003</v>
      </c>
      <c r="AB298" s="12">
        <v>59.85</v>
      </c>
      <c r="AC298" s="9">
        <f t="shared" si="32"/>
        <v>1881481.7070000002</v>
      </c>
      <c r="AD298" s="9">
        <f t="shared" si="33"/>
        <v>1689692.3820000002</v>
      </c>
      <c r="AE298" s="1" t="s">
        <v>48</v>
      </c>
      <c r="AF298" s="1" t="s">
        <v>53</v>
      </c>
      <c r="AG298" s="4">
        <f t="shared" si="28"/>
        <v>31436.620000000003</v>
      </c>
      <c r="AH298" s="10">
        <v>31436.62</v>
      </c>
      <c r="AI298" s="10">
        <v>3280</v>
      </c>
      <c r="AJ298" s="10">
        <v>4.5</v>
      </c>
      <c r="AK298" s="10">
        <v>0</v>
      </c>
      <c r="AL298" s="9">
        <f t="shared" si="29"/>
        <v>28152.12</v>
      </c>
      <c r="AM298" s="1"/>
      <c r="AN298" s="1"/>
      <c r="AO298" s="12" t="e">
        <f>AB298/#REF!</f>
        <v>#REF!</v>
      </c>
      <c r="AP298" s="1" t="s">
        <v>1560</v>
      </c>
      <c r="AQ298" s="11">
        <v>41893</v>
      </c>
      <c r="AR298" s="1" t="s">
        <v>1561</v>
      </c>
      <c r="AS298" s="11">
        <v>41894</v>
      </c>
      <c r="AT298" s="1" t="s">
        <v>49</v>
      </c>
      <c r="AU298" s="1" t="s">
        <v>4171</v>
      </c>
    </row>
    <row r="299" spans="1:47" ht="15" customHeight="1" x14ac:dyDescent="0.25">
      <c r="A299" s="1">
        <v>298</v>
      </c>
      <c r="B299" s="1" t="s">
        <v>1258</v>
      </c>
      <c r="C299" s="1" t="s">
        <v>38</v>
      </c>
      <c r="D299" s="1">
        <v>9103550142</v>
      </c>
      <c r="E299" s="5">
        <v>41770</v>
      </c>
      <c r="F299" s="1" t="s">
        <v>250</v>
      </c>
      <c r="G299" s="1" t="s">
        <v>40</v>
      </c>
      <c r="H299" s="1" t="s">
        <v>41</v>
      </c>
      <c r="I299" s="1" t="s">
        <v>2810</v>
      </c>
      <c r="J299" s="1" t="s">
        <v>1116</v>
      </c>
      <c r="K299" s="1">
        <v>38237090</v>
      </c>
      <c r="L299" s="6">
        <v>55.46</v>
      </c>
      <c r="M299" s="1" t="s">
        <v>70</v>
      </c>
      <c r="N299" s="7" t="s">
        <v>67</v>
      </c>
      <c r="O299" s="1" t="s">
        <v>1117</v>
      </c>
      <c r="P299" s="8">
        <v>113256</v>
      </c>
      <c r="Q299" s="17">
        <f t="shared" si="30"/>
        <v>6281177.7599999998</v>
      </c>
      <c r="R299" s="9">
        <v>0</v>
      </c>
      <c r="S299" s="9">
        <v>0</v>
      </c>
      <c r="T299" s="9">
        <v>0</v>
      </c>
      <c r="U299" s="10">
        <v>0</v>
      </c>
      <c r="V299" s="1" t="s">
        <v>46</v>
      </c>
      <c r="W299" s="1" t="s">
        <v>361</v>
      </c>
      <c r="X299" s="1">
        <v>2555690</v>
      </c>
      <c r="Y299" s="11">
        <v>41765</v>
      </c>
      <c r="Z299" s="11">
        <v>41766</v>
      </c>
      <c r="AA299" s="9">
        <f t="shared" si="34"/>
        <v>6281177.7599999998</v>
      </c>
      <c r="AB299" s="12">
        <v>1</v>
      </c>
      <c r="AC299" s="9">
        <f t="shared" si="32"/>
        <v>6281177.7599999998</v>
      </c>
      <c r="AD299" s="9">
        <f t="shared" si="33"/>
        <v>6281177.7599999998</v>
      </c>
      <c r="AE299" s="1" t="s">
        <v>4162</v>
      </c>
      <c r="AF299" s="1" t="s">
        <v>1117</v>
      </c>
      <c r="AG299" s="4">
        <f t="shared" si="28"/>
        <v>6281177.7599999998</v>
      </c>
      <c r="AH299" s="10">
        <v>6281177.7599999998</v>
      </c>
      <c r="AI299" s="10"/>
      <c r="AJ299" s="10"/>
      <c r="AK299" s="10"/>
      <c r="AL299" s="9">
        <f t="shared" si="29"/>
        <v>6281177.7599999998</v>
      </c>
      <c r="AM299" s="1"/>
      <c r="AN299" s="1"/>
      <c r="AO299" s="1"/>
      <c r="AP299" s="1" t="s">
        <v>4139</v>
      </c>
      <c r="AQ299" s="11" t="s">
        <v>4126</v>
      </c>
      <c r="AR299" s="1" t="s">
        <v>4138</v>
      </c>
      <c r="AS299" s="1" t="s">
        <v>4124</v>
      </c>
      <c r="AT299" s="1" t="s">
        <v>49</v>
      </c>
      <c r="AU299" s="1" t="s">
        <v>4171</v>
      </c>
    </row>
    <row r="300" spans="1:47" ht="15" customHeight="1" x14ac:dyDescent="0.25">
      <c r="A300" s="1">
        <v>299</v>
      </c>
      <c r="B300" s="1" t="s">
        <v>1258</v>
      </c>
      <c r="C300" s="1" t="s">
        <v>38</v>
      </c>
      <c r="D300" s="1" t="s">
        <v>1562</v>
      </c>
      <c r="E300" s="5">
        <v>41774</v>
      </c>
      <c r="F300" s="1" t="s">
        <v>265</v>
      </c>
      <c r="G300" s="1" t="s">
        <v>40</v>
      </c>
      <c r="H300" s="1" t="s">
        <v>41</v>
      </c>
      <c r="I300" s="1" t="s">
        <v>2809</v>
      </c>
      <c r="J300" s="1" t="s">
        <v>50</v>
      </c>
      <c r="K300" s="1">
        <v>38237090</v>
      </c>
      <c r="L300" s="6">
        <v>131.31</v>
      </c>
      <c r="M300" s="1" t="s">
        <v>70</v>
      </c>
      <c r="N300" s="7" t="s">
        <v>52</v>
      </c>
      <c r="O300" s="1" t="s">
        <v>45</v>
      </c>
      <c r="P300" s="8">
        <v>970</v>
      </c>
      <c r="Q300" s="17">
        <f t="shared" si="30"/>
        <v>127370.7</v>
      </c>
      <c r="R300" s="9">
        <v>7170.73</v>
      </c>
      <c r="S300" s="9">
        <v>0</v>
      </c>
      <c r="T300" s="9">
        <v>0</v>
      </c>
      <c r="U300" s="10">
        <v>0</v>
      </c>
      <c r="V300" s="1" t="s">
        <v>46</v>
      </c>
      <c r="W300" s="1" t="s">
        <v>2657</v>
      </c>
      <c r="X300" s="1">
        <v>2585812</v>
      </c>
      <c r="Y300" s="11">
        <v>41766</v>
      </c>
      <c r="Z300" s="11">
        <v>41767</v>
      </c>
      <c r="AA300" s="9">
        <f t="shared" si="34"/>
        <v>120199.97</v>
      </c>
      <c r="AB300" s="12">
        <v>82.3</v>
      </c>
      <c r="AC300" s="9">
        <f t="shared" si="32"/>
        <v>10482608.609999999</v>
      </c>
      <c r="AD300" s="9">
        <f t="shared" si="33"/>
        <v>9892457.5309999995</v>
      </c>
      <c r="AE300" s="1" t="s">
        <v>48</v>
      </c>
      <c r="AF300" s="1" t="s">
        <v>45</v>
      </c>
      <c r="AG300" s="4">
        <f t="shared" si="28"/>
        <v>127370.7</v>
      </c>
      <c r="AH300" s="10">
        <v>127370.7</v>
      </c>
      <c r="AI300" s="10">
        <v>7448.5</v>
      </c>
      <c r="AJ300" s="10">
        <v>0</v>
      </c>
      <c r="AK300" s="10">
        <v>0</v>
      </c>
      <c r="AL300" s="9">
        <f t="shared" si="29"/>
        <v>119922.2</v>
      </c>
      <c r="AM300" s="1"/>
      <c r="AN300" s="1"/>
      <c r="AO300" s="12" t="e">
        <f>AB300/#REF!</f>
        <v>#REF!</v>
      </c>
      <c r="AP300" s="1" t="s">
        <v>1563</v>
      </c>
      <c r="AQ300" s="11">
        <v>41841</v>
      </c>
      <c r="AR300" s="1" t="s">
        <v>1564</v>
      </c>
      <c r="AS300" s="11">
        <v>41842</v>
      </c>
      <c r="AT300" s="1" t="s">
        <v>49</v>
      </c>
      <c r="AU300" s="1" t="s">
        <v>4171</v>
      </c>
    </row>
    <row r="301" spans="1:47" ht="15" customHeight="1" x14ac:dyDescent="0.25">
      <c r="A301" s="1">
        <v>300</v>
      </c>
      <c r="B301" s="1" t="s">
        <v>1258</v>
      </c>
      <c r="C301" s="1" t="s">
        <v>38</v>
      </c>
      <c r="D301" s="1" t="s">
        <v>1562</v>
      </c>
      <c r="E301" s="5">
        <v>41774</v>
      </c>
      <c r="F301" s="1" t="s">
        <v>278</v>
      </c>
      <c r="G301" s="1" t="s">
        <v>40</v>
      </c>
      <c r="H301" s="1" t="s">
        <v>41</v>
      </c>
      <c r="I301" s="1" t="s">
        <v>2809</v>
      </c>
      <c r="J301" s="1" t="s">
        <v>50</v>
      </c>
      <c r="K301" s="1">
        <v>38237090</v>
      </c>
      <c r="L301" s="6">
        <v>19.170000000000002</v>
      </c>
      <c r="M301" s="1" t="s">
        <v>70</v>
      </c>
      <c r="N301" s="7" t="s">
        <v>52</v>
      </c>
      <c r="O301" s="1" t="s">
        <v>45</v>
      </c>
      <c r="P301" s="8">
        <v>970</v>
      </c>
      <c r="Q301" s="17">
        <f t="shared" si="30"/>
        <v>18594.900000000001</v>
      </c>
      <c r="R301" s="9">
        <v>1024.3900000000001</v>
      </c>
      <c r="S301" s="9">
        <v>0</v>
      </c>
      <c r="T301" s="9">
        <v>0</v>
      </c>
      <c r="U301" s="10">
        <v>0</v>
      </c>
      <c r="V301" s="1" t="s">
        <v>46</v>
      </c>
      <c r="W301" s="1" t="s">
        <v>2657</v>
      </c>
      <c r="X301" s="1">
        <v>2606919</v>
      </c>
      <c r="Y301" s="11">
        <v>41767</v>
      </c>
      <c r="Z301" s="11">
        <v>41768</v>
      </c>
      <c r="AA301" s="9">
        <f t="shared" si="34"/>
        <v>17570.510000000002</v>
      </c>
      <c r="AB301" s="12">
        <v>82.3</v>
      </c>
      <c r="AC301" s="9">
        <f t="shared" si="32"/>
        <v>1530360.27</v>
      </c>
      <c r="AD301" s="9">
        <f t="shared" si="33"/>
        <v>1446052.9730000002</v>
      </c>
      <c r="AE301" s="1" t="s">
        <v>48</v>
      </c>
      <c r="AF301" s="1" t="s">
        <v>45</v>
      </c>
      <c r="AG301" s="4">
        <f t="shared" si="28"/>
        <v>18594.900000000001</v>
      </c>
      <c r="AH301" s="10">
        <v>18594.900000000001</v>
      </c>
      <c r="AI301" s="10">
        <v>1087.24</v>
      </c>
      <c r="AJ301" s="10">
        <v>0</v>
      </c>
      <c r="AK301" s="10">
        <v>0</v>
      </c>
      <c r="AL301" s="9">
        <f t="shared" si="29"/>
        <v>17507.66</v>
      </c>
      <c r="AM301" s="1"/>
      <c r="AN301" s="1"/>
      <c r="AO301" s="12" t="e">
        <f>AB301/#REF!</f>
        <v>#REF!</v>
      </c>
      <c r="AP301" s="1" t="s">
        <v>1563</v>
      </c>
      <c r="AQ301" s="11">
        <v>41841</v>
      </c>
      <c r="AR301" s="1" t="s">
        <v>1565</v>
      </c>
      <c r="AS301" s="11">
        <v>41842</v>
      </c>
      <c r="AT301" s="1" t="s">
        <v>49</v>
      </c>
      <c r="AU301" s="1" t="s">
        <v>4171</v>
      </c>
    </row>
    <row r="302" spans="1:47" ht="15" customHeight="1" x14ac:dyDescent="0.25">
      <c r="A302" s="1">
        <v>301</v>
      </c>
      <c r="B302" s="1" t="s">
        <v>1258</v>
      </c>
      <c r="C302" s="1" t="s">
        <v>38</v>
      </c>
      <c r="D302" s="1" t="s">
        <v>1562</v>
      </c>
      <c r="E302" s="5">
        <v>41774</v>
      </c>
      <c r="F302" s="1" t="s">
        <v>282</v>
      </c>
      <c r="G302" s="1" t="s">
        <v>40</v>
      </c>
      <c r="H302" s="1" t="s">
        <v>41</v>
      </c>
      <c r="I302" s="1" t="s">
        <v>2809</v>
      </c>
      <c r="J302" s="1" t="s">
        <v>50</v>
      </c>
      <c r="K302" s="1">
        <v>38237090</v>
      </c>
      <c r="L302" s="6">
        <v>56.41</v>
      </c>
      <c r="M302" s="1" t="s">
        <v>70</v>
      </c>
      <c r="N302" s="7" t="s">
        <v>52</v>
      </c>
      <c r="O302" s="1" t="s">
        <v>45</v>
      </c>
      <c r="P302" s="8">
        <v>970</v>
      </c>
      <c r="Q302" s="17">
        <f t="shared" si="30"/>
        <v>54717.7</v>
      </c>
      <c r="R302" s="9">
        <v>3073.17</v>
      </c>
      <c r="S302" s="9">
        <v>0</v>
      </c>
      <c r="T302" s="9">
        <v>0</v>
      </c>
      <c r="U302" s="10">
        <v>0</v>
      </c>
      <c r="V302" s="1" t="s">
        <v>46</v>
      </c>
      <c r="W302" s="1" t="s">
        <v>2657</v>
      </c>
      <c r="X302" s="1">
        <v>2620723</v>
      </c>
      <c r="Y302" s="11">
        <v>41769</v>
      </c>
      <c r="Z302" s="11">
        <v>41769</v>
      </c>
      <c r="AA302" s="9">
        <f t="shared" si="34"/>
        <v>51644.53</v>
      </c>
      <c r="AB302" s="12">
        <v>82.3</v>
      </c>
      <c r="AC302" s="9">
        <f t="shared" si="32"/>
        <v>4503266.71</v>
      </c>
      <c r="AD302" s="9">
        <f t="shared" si="33"/>
        <v>4250344.8190000001</v>
      </c>
      <c r="AE302" s="1" t="s">
        <v>48</v>
      </c>
      <c r="AF302" s="1" t="s">
        <v>45</v>
      </c>
      <c r="AG302" s="4">
        <f t="shared" si="28"/>
        <v>54717.7</v>
      </c>
      <c r="AH302" s="10">
        <v>54717.7</v>
      </c>
      <c r="AI302" s="10">
        <v>3200</v>
      </c>
      <c r="AJ302" s="10">
        <v>0</v>
      </c>
      <c r="AK302" s="10">
        <v>0</v>
      </c>
      <c r="AL302" s="9">
        <f t="shared" si="29"/>
        <v>51517.7</v>
      </c>
      <c r="AM302" s="1"/>
      <c r="AN302" s="1"/>
      <c r="AO302" s="12" t="e">
        <f>AB302/#REF!</f>
        <v>#REF!</v>
      </c>
      <c r="AP302" s="1" t="s">
        <v>1563</v>
      </c>
      <c r="AQ302" s="11">
        <v>41841</v>
      </c>
      <c r="AR302" s="1" t="s">
        <v>1566</v>
      </c>
      <c r="AS302" s="11">
        <v>41842</v>
      </c>
      <c r="AT302" s="1" t="s">
        <v>49</v>
      </c>
      <c r="AU302" s="1" t="s">
        <v>4171</v>
      </c>
    </row>
    <row r="303" spans="1:47" ht="15" customHeight="1" x14ac:dyDescent="0.25">
      <c r="A303" s="1">
        <v>302</v>
      </c>
      <c r="B303" s="1" t="s">
        <v>1258</v>
      </c>
      <c r="C303" s="1" t="s">
        <v>38</v>
      </c>
      <c r="D303" s="1">
        <v>9103550144</v>
      </c>
      <c r="E303" s="5">
        <v>41773</v>
      </c>
      <c r="F303" s="1" t="s">
        <v>271</v>
      </c>
      <c r="G303" s="1" t="s">
        <v>40</v>
      </c>
      <c r="H303" s="1" t="s">
        <v>41</v>
      </c>
      <c r="I303" s="1" t="s">
        <v>2809</v>
      </c>
      <c r="J303" s="1" t="s">
        <v>1567</v>
      </c>
      <c r="K303" s="1">
        <v>29161990</v>
      </c>
      <c r="L303" s="6">
        <v>14.4</v>
      </c>
      <c r="M303" s="1" t="s">
        <v>70</v>
      </c>
      <c r="N303" s="7" t="s">
        <v>67</v>
      </c>
      <c r="O303" s="1" t="s">
        <v>53</v>
      </c>
      <c r="P303" s="8">
        <v>3350</v>
      </c>
      <c r="Q303" s="17">
        <f t="shared" si="30"/>
        <v>48240</v>
      </c>
      <c r="R303" s="9">
        <v>0</v>
      </c>
      <c r="S303" s="9">
        <v>0</v>
      </c>
      <c r="T303" s="9">
        <v>0</v>
      </c>
      <c r="U303" s="10">
        <v>0</v>
      </c>
      <c r="V303" s="1" t="s">
        <v>46</v>
      </c>
      <c r="W303" s="1" t="s">
        <v>143</v>
      </c>
      <c r="X303" s="1">
        <v>2603815</v>
      </c>
      <c r="Y303" s="11">
        <v>41767</v>
      </c>
      <c r="Z303" s="11">
        <v>41768</v>
      </c>
      <c r="AA303" s="9">
        <f t="shared" si="34"/>
        <v>48240</v>
      </c>
      <c r="AB303" s="12">
        <v>59.85</v>
      </c>
      <c r="AC303" s="9">
        <f t="shared" si="32"/>
        <v>2887164</v>
      </c>
      <c r="AD303" s="9">
        <f t="shared" si="33"/>
        <v>2887164</v>
      </c>
      <c r="AE303" s="1" t="s">
        <v>48</v>
      </c>
      <c r="AF303" s="1" t="s">
        <v>53</v>
      </c>
      <c r="AG303" s="4">
        <f t="shared" si="28"/>
        <v>48240</v>
      </c>
      <c r="AH303" s="10">
        <v>48225</v>
      </c>
      <c r="AI303" s="10"/>
      <c r="AJ303" s="10"/>
      <c r="AK303" s="10"/>
      <c r="AL303" s="9">
        <f t="shared" si="29"/>
        <v>48225</v>
      </c>
      <c r="AM303" s="1"/>
      <c r="AN303" s="1"/>
      <c r="AO303" s="12" t="e">
        <f>AB303/#REF!</f>
        <v>#REF!</v>
      </c>
      <c r="AP303" s="1" t="s">
        <v>1568</v>
      </c>
      <c r="AQ303" s="11">
        <v>41970</v>
      </c>
      <c r="AR303" s="1" t="s">
        <v>1569</v>
      </c>
      <c r="AS303" s="11">
        <v>41971</v>
      </c>
      <c r="AT303" s="1" t="s">
        <v>49</v>
      </c>
      <c r="AU303" s="1" t="s">
        <v>4171</v>
      </c>
    </row>
    <row r="304" spans="1:47" ht="15" customHeight="1" x14ac:dyDescent="0.25">
      <c r="A304" s="1">
        <v>303</v>
      </c>
      <c r="B304" s="1" t="s">
        <v>1258</v>
      </c>
      <c r="C304" s="1" t="s">
        <v>38</v>
      </c>
      <c r="D304" s="1">
        <v>9103550145</v>
      </c>
      <c r="E304" s="5">
        <v>41774</v>
      </c>
      <c r="F304" s="1" t="s">
        <v>272</v>
      </c>
      <c r="G304" s="1" t="s">
        <v>40</v>
      </c>
      <c r="H304" s="1" t="s">
        <v>41</v>
      </c>
      <c r="I304" s="1" t="s">
        <v>2809</v>
      </c>
      <c r="J304" s="1" t="s">
        <v>63</v>
      </c>
      <c r="K304" s="1">
        <v>29161990</v>
      </c>
      <c r="L304" s="6">
        <v>39.5</v>
      </c>
      <c r="M304" s="1" t="s">
        <v>70</v>
      </c>
      <c r="N304" s="7" t="s">
        <v>44</v>
      </c>
      <c r="O304" s="1" t="s">
        <v>53</v>
      </c>
      <c r="P304" s="8">
        <v>2765</v>
      </c>
      <c r="Q304" s="17">
        <f t="shared" si="30"/>
        <v>109217.5</v>
      </c>
      <c r="R304" s="9">
        <v>1120</v>
      </c>
      <c r="S304" s="9">
        <v>15.62</v>
      </c>
      <c r="T304" s="9">
        <v>0</v>
      </c>
      <c r="U304" s="10">
        <v>0</v>
      </c>
      <c r="V304" s="1" t="s">
        <v>46</v>
      </c>
      <c r="W304" s="1" t="s">
        <v>64</v>
      </c>
      <c r="X304" s="1">
        <v>2603996</v>
      </c>
      <c r="Y304" s="11">
        <v>41767</v>
      </c>
      <c r="Z304" s="11">
        <v>41768</v>
      </c>
      <c r="AA304" s="9">
        <f t="shared" si="34"/>
        <v>108081.88</v>
      </c>
      <c r="AB304" s="12">
        <v>59.85</v>
      </c>
      <c r="AC304" s="9">
        <f t="shared" si="32"/>
        <v>6536667.375</v>
      </c>
      <c r="AD304" s="9">
        <f t="shared" si="33"/>
        <v>6468700.5180000002</v>
      </c>
      <c r="AE304" s="1" t="s">
        <v>51</v>
      </c>
      <c r="AF304" s="1" t="s">
        <v>53</v>
      </c>
      <c r="AG304" s="4">
        <f t="shared" si="28"/>
        <v>109217.5</v>
      </c>
      <c r="AH304" s="10">
        <v>109217</v>
      </c>
      <c r="AI304" s="10">
        <v>1120</v>
      </c>
      <c r="AJ304" s="10">
        <v>15.62</v>
      </c>
      <c r="AK304" s="10">
        <v>0</v>
      </c>
      <c r="AL304" s="9">
        <f t="shared" si="29"/>
        <v>108081.38</v>
      </c>
      <c r="AM304" s="1"/>
      <c r="AN304" s="1"/>
      <c r="AO304" s="12" t="e">
        <f>AB304/#REF!</f>
        <v>#REF!</v>
      </c>
      <c r="AP304" s="1" t="s">
        <v>1570</v>
      </c>
      <c r="AQ304" s="11">
        <v>41793</v>
      </c>
      <c r="AR304" s="1" t="s">
        <v>1571</v>
      </c>
      <c r="AS304" s="11">
        <v>41844</v>
      </c>
      <c r="AT304" s="1" t="s">
        <v>49</v>
      </c>
      <c r="AU304" s="1" t="s">
        <v>4171</v>
      </c>
    </row>
    <row r="305" spans="1:47" ht="15" customHeight="1" x14ac:dyDescent="0.25">
      <c r="A305" s="1">
        <v>304</v>
      </c>
      <c r="B305" s="1" t="s">
        <v>1258</v>
      </c>
      <c r="C305" s="1" t="s">
        <v>38</v>
      </c>
      <c r="D305" s="1">
        <v>9103550146</v>
      </c>
      <c r="E305" s="5">
        <v>41774</v>
      </c>
      <c r="F305" s="1" t="s">
        <v>279</v>
      </c>
      <c r="G305" s="1" t="s">
        <v>40</v>
      </c>
      <c r="H305" s="1" t="s">
        <v>41</v>
      </c>
      <c r="I305" s="1" t="s">
        <v>2809</v>
      </c>
      <c r="J305" s="1" t="s">
        <v>1000</v>
      </c>
      <c r="K305" s="1">
        <v>38237090</v>
      </c>
      <c r="L305" s="6">
        <v>30</v>
      </c>
      <c r="M305" s="1" t="s">
        <v>70</v>
      </c>
      <c r="N305" s="7" t="s">
        <v>67</v>
      </c>
      <c r="O305" s="1" t="s">
        <v>53</v>
      </c>
      <c r="P305" s="8">
        <v>1740</v>
      </c>
      <c r="Q305" s="17">
        <f t="shared" si="30"/>
        <v>52200</v>
      </c>
      <c r="R305" s="9">
        <v>0</v>
      </c>
      <c r="S305" s="9">
        <v>0</v>
      </c>
      <c r="T305" s="9">
        <v>0</v>
      </c>
      <c r="U305" s="10">
        <v>0</v>
      </c>
      <c r="V305" s="1" t="s">
        <v>46</v>
      </c>
      <c r="W305" s="1" t="s">
        <v>1001</v>
      </c>
      <c r="X305" s="1">
        <v>2606343</v>
      </c>
      <c r="Y305" s="11">
        <v>41767</v>
      </c>
      <c r="Z305" s="11">
        <v>41768</v>
      </c>
      <c r="AA305" s="9">
        <f t="shared" si="34"/>
        <v>52200</v>
      </c>
      <c r="AB305" s="12">
        <v>59.85</v>
      </c>
      <c r="AC305" s="9">
        <f t="shared" si="32"/>
        <v>3124170</v>
      </c>
      <c r="AD305" s="9">
        <f t="shared" si="33"/>
        <v>3124170</v>
      </c>
      <c r="AE305" s="1" t="s">
        <v>48</v>
      </c>
      <c r="AF305" s="1" t="s">
        <v>53</v>
      </c>
      <c r="AG305" s="4">
        <f t="shared" si="28"/>
        <v>52200</v>
      </c>
      <c r="AH305" s="10">
        <v>52155</v>
      </c>
      <c r="AI305" s="10"/>
      <c r="AJ305" s="10"/>
      <c r="AK305" s="10"/>
      <c r="AL305" s="9">
        <f t="shared" si="29"/>
        <v>52155</v>
      </c>
      <c r="AM305" s="1"/>
      <c r="AN305" s="1"/>
      <c r="AO305" s="12" t="e">
        <f>AB305/#REF!</f>
        <v>#REF!</v>
      </c>
      <c r="AP305" s="1" t="s">
        <v>1572</v>
      </c>
      <c r="AQ305" s="11">
        <v>41793</v>
      </c>
      <c r="AR305" s="1" t="s">
        <v>1573</v>
      </c>
      <c r="AS305" s="11">
        <v>41794</v>
      </c>
      <c r="AT305" s="1" t="s">
        <v>49</v>
      </c>
      <c r="AU305" s="1" t="s">
        <v>4171</v>
      </c>
    </row>
    <row r="306" spans="1:47" ht="15" customHeight="1" x14ac:dyDescent="0.25">
      <c r="A306" s="1">
        <v>305</v>
      </c>
      <c r="B306" s="1" t="s">
        <v>1258</v>
      </c>
      <c r="C306" s="1" t="s">
        <v>38</v>
      </c>
      <c r="D306" s="1">
        <v>9103550147</v>
      </c>
      <c r="E306" s="5">
        <v>41773</v>
      </c>
      <c r="F306" s="1" t="s">
        <v>276</v>
      </c>
      <c r="G306" s="1" t="s">
        <v>40</v>
      </c>
      <c r="H306" s="1" t="s">
        <v>41</v>
      </c>
      <c r="I306" s="1" t="s">
        <v>2809</v>
      </c>
      <c r="J306" s="1" t="s">
        <v>2731</v>
      </c>
      <c r="K306" s="1">
        <v>38231900</v>
      </c>
      <c r="L306" s="6">
        <v>14.4</v>
      </c>
      <c r="M306" s="1" t="s">
        <v>70</v>
      </c>
      <c r="N306" s="7" t="s">
        <v>44</v>
      </c>
      <c r="O306" s="1" t="s">
        <v>53</v>
      </c>
      <c r="P306" s="8">
        <v>1305</v>
      </c>
      <c r="Q306" s="17">
        <f t="shared" si="30"/>
        <v>18792</v>
      </c>
      <c r="R306" s="9">
        <v>500</v>
      </c>
      <c r="S306" s="9">
        <v>2.69</v>
      </c>
      <c r="T306" s="9">
        <v>0</v>
      </c>
      <c r="U306" s="10">
        <v>0</v>
      </c>
      <c r="V306" s="1" t="s">
        <v>46</v>
      </c>
      <c r="W306" s="1" t="s">
        <v>54</v>
      </c>
      <c r="X306" s="1">
        <v>2583872</v>
      </c>
      <c r="Y306" s="11">
        <v>41766</v>
      </c>
      <c r="Z306" s="11">
        <v>41767</v>
      </c>
      <c r="AA306" s="9">
        <f t="shared" si="34"/>
        <v>18289.310000000001</v>
      </c>
      <c r="AB306" s="12">
        <v>59.85</v>
      </c>
      <c r="AC306" s="9">
        <f t="shared" si="32"/>
        <v>1124701.2</v>
      </c>
      <c r="AD306" s="9">
        <f t="shared" si="33"/>
        <v>1094615.2035000001</v>
      </c>
      <c r="AE306" s="1" t="s">
        <v>48</v>
      </c>
      <c r="AF306" s="1" t="s">
        <v>53</v>
      </c>
      <c r="AG306" s="4">
        <f t="shared" si="28"/>
        <v>18792</v>
      </c>
      <c r="AH306" s="10">
        <v>18631</v>
      </c>
      <c r="AI306" s="10">
        <v>425</v>
      </c>
      <c r="AJ306" s="10">
        <v>2.69</v>
      </c>
      <c r="AK306" s="10">
        <v>0</v>
      </c>
      <c r="AL306" s="9">
        <f t="shared" si="29"/>
        <v>18203.310000000001</v>
      </c>
      <c r="AM306" s="1"/>
      <c r="AN306" s="1"/>
      <c r="AO306" s="12" t="e">
        <f>AB306/#REF!</f>
        <v>#REF!</v>
      </c>
      <c r="AP306" s="1" t="s">
        <v>1574</v>
      </c>
      <c r="AQ306" s="11">
        <v>41795</v>
      </c>
      <c r="AR306" s="1" t="s">
        <v>1575</v>
      </c>
      <c r="AS306" s="11">
        <v>41797</v>
      </c>
      <c r="AT306" s="1" t="s">
        <v>49</v>
      </c>
      <c r="AU306" s="1" t="s">
        <v>4171</v>
      </c>
    </row>
    <row r="307" spans="1:47" ht="15" customHeight="1" x14ac:dyDescent="0.25">
      <c r="A307" s="1">
        <v>306</v>
      </c>
      <c r="B307" s="1" t="s">
        <v>1258</v>
      </c>
      <c r="C307" s="1" t="s">
        <v>38</v>
      </c>
      <c r="D307" s="1" t="s">
        <v>1576</v>
      </c>
      <c r="E307" s="5">
        <v>41770</v>
      </c>
      <c r="F307" s="1" t="s">
        <v>301</v>
      </c>
      <c r="G307" s="1" t="s">
        <v>40</v>
      </c>
      <c r="H307" s="1" t="s">
        <v>41</v>
      </c>
      <c r="I307" s="1" t="s">
        <v>2810</v>
      </c>
      <c r="J307" s="1" t="s">
        <v>1116</v>
      </c>
      <c r="K307" s="1">
        <v>38237090</v>
      </c>
      <c r="L307" s="6">
        <v>187.83</v>
      </c>
      <c r="M307" s="1" t="s">
        <v>70</v>
      </c>
      <c r="N307" s="7" t="s">
        <v>67</v>
      </c>
      <c r="O307" s="1" t="s">
        <v>1117</v>
      </c>
      <c r="P307" s="8">
        <v>113256</v>
      </c>
      <c r="Q307" s="17">
        <f t="shared" si="30"/>
        <v>21272874.48</v>
      </c>
      <c r="R307" s="9">
        <v>0</v>
      </c>
      <c r="S307" s="9">
        <v>0</v>
      </c>
      <c r="T307" s="9">
        <v>939150</v>
      </c>
      <c r="U307" s="10">
        <v>0</v>
      </c>
      <c r="V307" s="1" t="s">
        <v>46</v>
      </c>
      <c r="W307" s="1" t="s">
        <v>361</v>
      </c>
      <c r="X307" s="1">
        <v>2607237</v>
      </c>
      <c r="Y307" s="11">
        <v>41767</v>
      </c>
      <c r="Z307" s="11">
        <v>41768</v>
      </c>
      <c r="AA307" s="9">
        <f t="shared" si="34"/>
        <v>21272874.48</v>
      </c>
      <c r="AB307" s="12">
        <v>1</v>
      </c>
      <c r="AC307" s="9">
        <f t="shared" si="32"/>
        <v>21272874.48</v>
      </c>
      <c r="AD307" s="9">
        <f t="shared" si="33"/>
        <v>21272874.48</v>
      </c>
      <c r="AE307" s="1" t="s">
        <v>4162</v>
      </c>
      <c r="AF307" s="1" t="s">
        <v>1117</v>
      </c>
      <c r="AG307" s="4">
        <f t="shared" si="28"/>
        <v>21272874.48</v>
      </c>
      <c r="AH307" s="10">
        <v>21272874.48</v>
      </c>
      <c r="AI307" s="10"/>
      <c r="AJ307" s="10"/>
      <c r="AK307" s="10"/>
      <c r="AL307" s="9">
        <f t="shared" si="29"/>
        <v>21272874.48</v>
      </c>
      <c r="AM307" s="1"/>
      <c r="AN307" s="1"/>
      <c r="AO307" s="1"/>
      <c r="AP307" s="1" t="s">
        <v>4136</v>
      </c>
      <c r="AQ307" s="11" t="s">
        <v>4126</v>
      </c>
      <c r="AR307" s="1" t="s">
        <v>4137</v>
      </c>
      <c r="AS307" s="1" t="s">
        <v>4124</v>
      </c>
      <c r="AT307" s="1" t="s">
        <v>49</v>
      </c>
      <c r="AU307" s="1" t="s">
        <v>4171</v>
      </c>
    </row>
    <row r="308" spans="1:47" ht="15" customHeight="1" x14ac:dyDescent="0.25">
      <c r="A308" s="1">
        <v>307</v>
      </c>
      <c r="B308" s="1" t="s">
        <v>1258</v>
      </c>
      <c r="C308" s="1" t="s">
        <v>38</v>
      </c>
      <c r="D308" s="1" t="s">
        <v>1576</v>
      </c>
      <c r="E308" s="5">
        <v>41770</v>
      </c>
      <c r="F308" s="1" t="s">
        <v>292</v>
      </c>
      <c r="G308" s="1" t="s">
        <v>40</v>
      </c>
      <c r="H308" s="1" t="s">
        <v>41</v>
      </c>
      <c r="I308" s="1" t="s">
        <v>2810</v>
      </c>
      <c r="J308" s="1" t="s">
        <v>1116</v>
      </c>
      <c r="K308" s="1">
        <v>38237090</v>
      </c>
      <c r="L308" s="6">
        <v>18.690000000000001</v>
      </c>
      <c r="M308" s="1" t="s">
        <v>70</v>
      </c>
      <c r="N308" s="7" t="s">
        <v>67</v>
      </c>
      <c r="O308" s="1" t="s">
        <v>1117</v>
      </c>
      <c r="P308" s="8">
        <v>113256</v>
      </c>
      <c r="Q308" s="17">
        <f t="shared" si="30"/>
        <v>2116754.64</v>
      </c>
      <c r="R308" s="9">
        <v>0</v>
      </c>
      <c r="S308" s="9">
        <v>0</v>
      </c>
      <c r="T308" s="9">
        <v>93450</v>
      </c>
      <c r="U308" s="10">
        <v>0</v>
      </c>
      <c r="V308" s="1" t="s">
        <v>46</v>
      </c>
      <c r="W308" s="1" t="s">
        <v>361</v>
      </c>
      <c r="X308" s="1">
        <v>2621562</v>
      </c>
      <c r="Y308" s="11">
        <v>41769</v>
      </c>
      <c r="Z308" s="11">
        <v>41769</v>
      </c>
      <c r="AA308" s="9">
        <f t="shared" si="34"/>
        <v>2116754.64</v>
      </c>
      <c r="AB308" s="12">
        <v>1</v>
      </c>
      <c r="AC308" s="9">
        <f t="shared" si="32"/>
        <v>2116754.64</v>
      </c>
      <c r="AD308" s="9">
        <f t="shared" si="33"/>
        <v>2116754.64</v>
      </c>
      <c r="AE308" s="1" t="s">
        <v>4162</v>
      </c>
      <c r="AF308" s="1" t="s">
        <v>1117</v>
      </c>
      <c r="AG308" s="4">
        <f t="shared" si="28"/>
        <v>2116754.64</v>
      </c>
      <c r="AH308" s="10">
        <v>2116754.64</v>
      </c>
      <c r="AI308" s="10"/>
      <c r="AJ308" s="10"/>
      <c r="AK308" s="10"/>
      <c r="AL308" s="9">
        <f t="shared" si="29"/>
        <v>2116754.64</v>
      </c>
      <c r="AM308" s="1"/>
      <c r="AN308" s="1"/>
      <c r="AO308" s="1"/>
      <c r="AP308" s="1" t="s">
        <v>4136</v>
      </c>
      <c r="AQ308" s="11" t="s">
        <v>4126</v>
      </c>
      <c r="AR308" s="1" t="s">
        <v>4135</v>
      </c>
      <c r="AS308" s="1" t="s">
        <v>4124</v>
      </c>
      <c r="AT308" s="1" t="s">
        <v>49</v>
      </c>
      <c r="AU308" s="1" t="s">
        <v>4171</v>
      </c>
    </row>
    <row r="309" spans="1:47" ht="15" customHeight="1" x14ac:dyDescent="0.25">
      <c r="A309" s="1">
        <v>308</v>
      </c>
      <c r="B309" s="1" t="s">
        <v>1258</v>
      </c>
      <c r="C309" s="1" t="s">
        <v>38</v>
      </c>
      <c r="D309" s="1" t="s">
        <v>1577</v>
      </c>
      <c r="E309" s="5">
        <v>41774</v>
      </c>
      <c r="F309" s="1" t="s">
        <v>277</v>
      </c>
      <c r="G309" s="1" t="s">
        <v>40</v>
      </c>
      <c r="H309" s="1" t="s">
        <v>41</v>
      </c>
      <c r="I309" s="1" t="s">
        <v>2809</v>
      </c>
      <c r="J309" s="1" t="s">
        <v>50</v>
      </c>
      <c r="K309" s="1">
        <v>38237090</v>
      </c>
      <c r="L309" s="6">
        <v>56.4</v>
      </c>
      <c r="M309" s="1" t="s">
        <v>70</v>
      </c>
      <c r="N309" s="7" t="s">
        <v>52</v>
      </c>
      <c r="O309" s="1" t="s">
        <v>45</v>
      </c>
      <c r="P309" s="8">
        <v>1320</v>
      </c>
      <c r="Q309" s="17">
        <f t="shared" si="30"/>
        <v>74448</v>
      </c>
      <c r="R309" s="9">
        <v>3073.17</v>
      </c>
      <c r="S309" s="9">
        <v>0</v>
      </c>
      <c r="T309" s="9">
        <v>0</v>
      </c>
      <c r="U309" s="10">
        <v>0</v>
      </c>
      <c r="V309" s="1" t="s">
        <v>46</v>
      </c>
      <c r="W309" s="1" t="s">
        <v>2657</v>
      </c>
      <c r="X309" s="1">
        <v>2606641</v>
      </c>
      <c r="Y309" s="11">
        <v>41767</v>
      </c>
      <c r="Z309" s="11">
        <v>41768</v>
      </c>
      <c r="AA309" s="9">
        <f t="shared" si="34"/>
        <v>71374.83</v>
      </c>
      <c r="AB309" s="12">
        <v>82.3</v>
      </c>
      <c r="AC309" s="9">
        <f t="shared" si="32"/>
        <v>6127070.3999999994</v>
      </c>
      <c r="AD309" s="9">
        <f t="shared" si="33"/>
        <v>5874148.5089999996</v>
      </c>
      <c r="AE309" s="1" t="s">
        <v>48</v>
      </c>
      <c r="AF309" s="1" t="s">
        <v>45</v>
      </c>
      <c r="AG309" s="4">
        <f t="shared" si="28"/>
        <v>74448</v>
      </c>
      <c r="AH309" s="10">
        <v>74448</v>
      </c>
      <c r="AI309" s="10">
        <v>3012.56</v>
      </c>
      <c r="AJ309" s="10">
        <v>0</v>
      </c>
      <c r="AK309" s="10">
        <v>0</v>
      </c>
      <c r="AL309" s="9">
        <f t="shared" si="29"/>
        <v>71435.44</v>
      </c>
      <c r="AM309" s="1"/>
      <c r="AN309" s="1"/>
      <c r="AO309" s="12" t="e">
        <f>AB309/#REF!</f>
        <v>#REF!</v>
      </c>
      <c r="AP309" s="1" t="s">
        <v>1578</v>
      </c>
      <c r="AQ309" s="11">
        <v>41841</v>
      </c>
      <c r="AR309" s="1" t="s">
        <v>1579</v>
      </c>
      <c r="AS309" s="11">
        <v>41842</v>
      </c>
      <c r="AT309" s="1" t="s">
        <v>49</v>
      </c>
      <c r="AU309" s="1" t="s">
        <v>4171</v>
      </c>
    </row>
    <row r="310" spans="1:47" ht="15" customHeight="1" x14ac:dyDescent="0.25">
      <c r="A310" s="1">
        <v>309</v>
      </c>
      <c r="B310" s="1" t="s">
        <v>1258</v>
      </c>
      <c r="C310" s="1" t="s">
        <v>38</v>
      </c>
      <c r="D310" s="1" t="s">
        <v>1577</v>
      </c>
      <c r="E310" s="5">
        <v>41774</v>
      </c>
      <c r="F310" s="1" t="s">
        <v>280</v>
      </c>
      <c r="G310" s="1" t="s">
        <v>40</v>
      </c>
      <c r="H310" s="1" t="s">
        <v>41</v>
      </c>
      <c r="I310" s="1" t="s">
        <v>2809</v>
      </c>
      <c r="J310" s="1" t="s">
        <v>50</v>
      </c>
      <c r="K310" s="1">
        <v>38237090</v>
      </c>
      <c r="L310" s="6">
        <v>18.71</v>
      </c>
      <c r="M310" s="1" t="s">
        <v>70</v>
      </c>
      <c r="N310" s="7" t="s">
        <v>52</v>
      </c>
      <c r="O310" s="1" t="s">
        <v>45</v>
      </c>
      <c r="P310" s="8">
        <v>1320</v>
      </c>
      <c r="Q310" s="17">
        <f t="shared" si="30"/>
        <v>24697.200000000001</v>
      </c>
      <c r="R310" s="9">
        <v>1024.3900000000001</v>
      </c>
      <c r="S310" s="9">
        <v>0</v>
      </c>
      <c r="T310" s="9">
        <v>0</v>
      </c>
      <c r="U310" s="10">
        <v>0</v>
      </c>
      <c r="V310" s="1" t="s">
        <v>46</v>
      </c>
      <c r="W310" s="1" t="s">
        <v>2657</v>
      </c>
      <c r="X310" s="1">
        <v>2623708</v>
      </c>
      <c r="Y310" s="11">
        <v>41769</v>
      </c>
      <c r="Z310" s="11">
        <v>41769</v>
      </c>
      <c r="AA310" s="9">
        <f t="shared" si="34"/>
        <v>23672.81</v>
      </c>
      <c r="AB310" s="12">
        <v>82.3</v>
      </c>
      <c r="AC310" s="9">
        <f t="shared" si="32"/>
        <v>2032579.56</v>
      </c>
      <c r="AD310" s="9">
        <f t="shared" si="33"/>
        <v>1948272.263</v>
      </c>
      <c r="AE310" s="1" t="s">
        <v>48</v>
      </c>
      <c r="AF310" s="1" t="s">
        <v>45</v>
      </c>
      <c r="AG310" s="4">
        <f t="shared" si="28"/>
        <v>24697.200000000001</v>
      </c>
      <c r="AH310" s="10">
        <v>24697.200000000001</v>
      </c>
      <c r="AI310" s="10">
        <v>989.87</v>
      </c>
      <c r="AJ310" s="10">
        <v>0</v>
      </c>
      <c r="AK310" s="10">
        <v>0</v>
      </c>
      <c r="AL310" s="9">
        <f t="shared" si="29"/>
        <v>23707.33</v>
      </c>
      <c r="AM310" s="1"/>
      <c r="AN310" s="1"/>
      <c r="AO310" s="12" t="e">
        <f>AB310/#REF!</f>
        <v>#REF!</v>
      </c>
      <c r="AP310" s="1" t="s">
        <v>1578</v>
      </c>
      <c r="AQ310" s="11">
        <v>41841</v>
      </c>
      <c r="AR310" s="1" t="s">
        <v>1580</v>
      </c>
      <c r="AS310" s="11">
        <v>41842</v>
      </c>
      <c r="AT310" s="1" t="s">
        <v>49</v>
      </c>
      <c r="AU310" s="1" t="s">
        <v>4171</v>
      </c>
    </row>
    <row r="311" spans="1:47" ht="15" customHeight="1" x14ac:dyDescent="0.25">
      <c r="A311" s="1">
        <v>310</v>
      </c>
      <c r="B311" s="1" t="s">
        <v>1258</v>
      </c>
      <c r="C311" s="1" t="s">
        <v>38</v>
      </c>
      <c r="D311" s="1">
        <v>9103550152</v>
      </c>
      <c r="E311" s="5">
        <v>41776</v>
      </c>
      <c r="F311" s="1" t="s">
        <v>285</v>
      </c>
      <c r="G311" s="1" t="s">
        <v>40</v>
      </c>
      <c r="H311" s="1" t="s">
        <v>41</v>
      </c>
      <c r="I311" s="1" t="s">
        <v>2809</v>
      </c>
      <c r="J311" s="1" t="s">
        <v>55</v>
      </c>
      <c r="K311" s="1">
        <v>38237090</v>
      </c>
      <c r="L311" s="6">
        <v>18.14</v>
      </c>
      <c r="M311" s="1" t="s">
        <v>70</v>
      </c>
      <c r="N311" s="7" t="s">
        <v>44</v>
      </c>
      <c r="O311" s="1" t="s">
        <v>53</v>
      </c>
      <c r="P311" s="8">
        <v>1755</v>
      </c>
      <c r="Q311" s="17">
        <f t="shared" si="30"/>
        <v>31835.7</v>
      </c>
      <c r="R311" s="9">
        <v>2450</v>
      </c>
      <c r="S311" s="9">
        <v>4.55</v>
      </c>
      <c r="T311" s="9">
        <v>0</v>
      </c>
      <c r="U311" s="10">
        <v>0</v>
      </c>
      <c r="V311" s="1" t="s">
        <v>46</v>
      </c>
      <c r="W311" s="1" t="s">
        <v>56</v>
      </c>
      <c r="X311" s="1">
        <v>2626307</v>
      </c>
      <c r="Y311" s="11">
        <v>41769</v>
      </c>
      <c r="Z311" s="11">
        <v>41769</v>
      </c>
      <c r="AA311" s="9">
        <f t="shared" si="34"/>
        <v>29381.15</v>
      </c>
      <c r="AB311" s="12">
        <v>59.85</v>
      </c>
      <c r="AC311" s="9">
        <f t="shared" si="32"/>
        <v>1905366.645</v>
      </c>
      <c r="AD311" s="9">
        <f t="shared" si="33"/>
        <v>1758461.8275000001</v>
      </c>
      <c r="AE311" s="1" t="s">
        <v>48</v>
      </c>
      <c r="AF311" s="1" t="s">
        <v>53</v>
      </c>
      <c r="AG311" s="4">
        <f t="shared" si="28"/>
        <v>31835.7</v>
      </c>
      <c r="AH311" s="10">
        <v>31835.7</v>
      </c>
      <c r="AI311" s="10">
        <v>2456</v>
      </c>
      <c r="AJ311" s="10">
        <v>4.55</v>
      </c>
      <c r="AK311" s="10">
        <v>0</v>
      </c>
      <c r="AL311" s="9">
        <f t="shared" si="29"/>
        <v>29375.15</v>
      </c>
      <c r="AM311" s="1"/>
      <c r="AN311" s="1"/>
      <c r="AO311" s="12" t="e">
        <f>AB311/#REF!</f>
        <v>#REF!</v>
      </c>
      <c r="AP311" s="1" t="s">
        <v>1581</v>
      </c>
      <c r="AQ311" s="11">
        <v>41822</v>
      </c>
      <c r="AR311" s="1" t="s">
        <v>1582</v>
      </c>
      <c r="AS311" s="11">
        <v>41823</v>
      </c>
      <c r="AT311" s="1" t="s">
        <v>49</v>
      </c>
      <c r="AU311" s="1" t="s">
        <v>4171</v>
      </c>
    </row>
    <row r="312" spans="1:47" ht="15" customHeight="1" x14ac:dyDescent="0.25">
      <c r="A312" s="1">
        <v>311</v>
      </c>
      <c r="B312" s="1" t="s">
        <v>1258</v>
      </c>
      <c r="C312" s="1" t="s">
        <v>38</v>
      </c>
      <c r="D312" s="1">
        <v>9103550153</v>
      </c>
      <c r="E312" s="5">
        <v>41771</v>
      </c>
      <c r="F312" s="1" t="s">
        <v>283</v>
      </c>
      <c r="G312" s="1" t="s">
        <v>40</v>
      </c>
      <c r="H312" s="1" t="s">
        <v>41</v>
      </c>
      <c r="I312" s="1" t="s">
        <v>2809</v>
      </c>
      <c r="J312" s="1" t="s">
        <v>2641</v>
      </c>
      <c r="K312" s="1">
        <v>38237090</v>
      </c>
      <c r="L312" s="6">
        <v>60</v>
      </c>
      <c r="M312" s="1" t="s">
        <v>70</v>
      </c>
      <c r="N312" s="7" t="s">
        <v>44</v>
      </c>
      <c r="O312" s="1" t="s">
        <v>53</v>
      </c>
      <c r="P312" s="8">
        <v>4150</v>
      </c>
      <c r="Q312" s="17">
        <f t="shared" si="30"/>
        <v>249000</v>
      </c>
      <c r="R312" s="9">
        <v>750</v>
      </c>
      <c r="S312" s="9">
        <v>35.61</v>
      </c>
      <c r="T312" s="9">
        <v>0</v>
      </c>
      <c r="U312" s="10">
        <v>0</v>
      </c>
      <c r="V312" s="1" t="s">
        <v>46</v>
      </c>
      <c r="W312" s="1" t="s">
        <v>54</v>
      </c>
      <c r="X312" s="1">
        <v>2625592</v>
      </c>
      <c r="Y312" s="11">
        <v>41769</v>
      </c>
      <c r="Z312" s="11">
        <v>41769</v>
      </c>
      <c r="AA312" s="9">
        <f t="shared" si="34"/>
        <v>248214.39</v>
      </c>
      <c r="AB312" s="12">
        <v>59.85</v>
      </c>
      <c r="AC312" s="9">
        <f t="shared" si="32"/>
        <v>14902650</v>
      </c>
      <c r="AD312" s="9">
        <f t="shared" si="33"/>
        <v>14855631.241500001</v>
      </c>
      <c r="AE312" s="1" t="s">
        <v>48</v>
      </c>
      <c r="AF312" s="1" t="s">
        <v>53</v>
      </c>
      <c r="AG312" s="4">
        <f t="shared" si="28"/>
        <v>249000</v>
      </c>
      <c r="AH312" s="10">
        <v>248894.1</v>
      </c>
      <c r="AI312" s="10">
        <v>645</v>
      </c>
      <c r="AJ312" s="10">
        <v>35.6</v>
      </c>
      <c r="AK312" s="10">
        <v>0</v>
      </c>
      <c r="AL312" s="9">
        <f t="shared" si="29"/>
        <v>248213.5</v>
      </c>
      <c r="AM312" s="1"/>
      <c r="AN312" s="1"/>
      <c r="AO312" s="12" t="e">
        <f>AB312/#REF!</f>
        <v>#REF!</v>
      </c>
      <c r="AP312" s="1" t="s">
        <v>1583</v>
      </c>
      <c r="AQ312" s="11">
        <v>41863</v>
      </c>
      <c r="AR312" s="1" t="s">
        <v>1584</v>
      </c>
      <c r="AS312" s="11">
        <v>41864</v>
      </c>
      <c r="AT312" s="1" t="s">
        <v>49</v>
      </c>
      <c r="AU312" s="1" t="s">
        <v>4171</v>
      </c>
    </row>
    <row r="313" spans="1:47" ht="15" customHeight="1" x14ac:dyDescent="0.25">
      <c r="A313" s="1">
        <v>312</v>
      </c>
      <c r="B313" s="1" t="s">
        <v>1258</v>
      </c>
      <c r="C313" s="1" t="s">
        <v>38</v>
      </c>
      <c r="D313" s="1" t="s">
        <v>2807</v>
      </c>
      <c r="E313" s="5">
        <v>41776</v>
      </c>
      <c r="F313" s="1" t="s">
        <v>281</v>
      </c>
      <c r="G313" s="1" t="s">
        <v>40</v>
      </c>
      <c r="H313" s="1" t="s">
        <v>41</v>
      </c>
      <c r="I313" s="1" t="s">
        <v>2809</v>
      </c>
      <c r="J313" s="1" t="s">
        <v>55</v>
      </c>
      <c r="K313" s="1">
        <v>38237090</v>
      </c>
      <c r="L313" s="6">
        <v>18.14</v>
      </c>
      <c r="M313" s="1" t="s">
        <v>70</v>
      </c>
      <c r="N313" s="7" t="s">
        <v>44</v>
      </c>
      <c r="O313" s="1" t="s">
        <v>53</v>
      </c>
      <c r="P313" s="8">
        <v>1782</v>
      </c>
      <c r="Q313" s="17">
        <f t="shared" si="30"/>
        <v>32325.48</v>
      </c>
      <c r="R313" s="9">
        <v>3356</v>
      </c>
      <c r="S313" s="9">
        <v>4.62</v>
      </c>
      <c r="T313" s="9">
        <v>0</v>
      </c>
      <c r="U313" s="10">
        <v>0</v>
      </c>
      <c r="V313" s="1" t="s">
        <v>46</v>
      </c>
      <c r="W313" s="1" t="s">
        <v>56</v>
      </c>
      <c r="X313" s="1">
        <v>2619951</v>
      </c>
      <c r="Y313" s="11">
        <v>41769</v>
      </c>
      <c r="Z313" s="11">
        <v>41769</v>
      </c>
      <c r="AA313" s="9">
        <f t="shared" si="34"/>
        <v>28964.86</v>
      </c>
      <c r="AB313" s="12">
        <v>59.85</v>
      </c>
      <c r="AC313" s="9">
        <f t="shared" si="32"/>
        <v>1934679.9780000001</v>
      </c>
      <c r="AD313" s="9">
        <f t="shared" si="33"/>
        <v>1733546.871</v>
      </c>
      <c r="AE313" s="1" t="s">
        <v>48</v>
      </c>
      <c r="AF313" s="1" t="s">
        <v>53</v>
      </c>
      <c r="AG313" s="4">
        <f t="shared" si="28"/>
        <v>32325.48</v>
      </c>
      <c r="AH313" s="10">
        <v>32325.48</v>
      </c>
      <c r="AI313" s="10">
        <v>3179</v>
      </c>
      <c r="AJ313" s="10">
        <v>4.6260000000000003</v>
      </c>
      <c r="AK313" s="10">
        <v>0</v>
      </c>
      <c r="AL313" s="9">
        <f t="shared" si="29"/>
        <v>29141.853999999999</v>
      </c>
      <c r="AM313" s="1"/>
      <c r="AN313" s="1"/>
      <c r="AO313" s="12" t="e">
        <f>AB313/#REF!</f>
        <v>#REF!</v>
      </c>
      <c r="AP313" s="1" t="s">
        <v>1585</v>
      </c>
      <c r="AQ313" s="11">
        <v>41822</v>
      </c>
      <c r="AR313" s="1" t="s">
        <v>1586</v>
      </c>
      <c r="AS313" s="11">
        <v>41823</v>
      </c>
      <c r="AT313" s="1" t="s">
        <v>49</v>
      </c>
      <c r="AU313" s="1" t="s">
        <v>4171</v>
      </c>
    </row>
    <row r="314" spans="1:47" ht="15" customHeight="1" x14ac:dyDescent="0.25">
      <c r="A314" s="1">
        <v>313</v>
      </c>
      <c r="B314" s="1" t="s">
        <v>1258</v>
      </c>
      <c r="C314" s="1" t="s">
        <v>38</v>
      </c>
      <c r="D314" s="1" t="s">
        <v>1587</v>
      </c>
      <c r="E314" s="5">
        <v>41774</v>
      </c>
      <c r="F314" s="1" t="s">
        <v>290</v>
      </c>
      <c r="G314" s="1" t="s">
        <v>40</v>
      </c>
      <c r="H314" s="1" t="s">
        <v>41</v>
      </c>
      <c r="I314" s="1" t="s">
        <v>2809</v>
      </c>
      <c r="J314" s="1" t="s">
        <v>63</v>
      </c>
      <c r="K314" s="1">
        <v>29161990</v>
      </c>
      <c r="L314" s="6">
        <v>20</v>
      </c>
      <c r="M314" s="1" t="s">
        <v>70</v>
      </c>
      <c r="N314" s="7" t="s">
        <v>44</v>
      </c>
      <c r="O314" s="1" t="s">
        <v>53</v>
      </c>
      <c r="P314" s="8">
        <v>2765</v>
      </c>
      <c r="Q314" s="17">
        <f t="shared" si="30"/>
        <v>55300</v>
      </c>
      <c r="R314" s="9">
        <v>560</v>
      </c>
      <c r="S314" s="9">
        <v>7.91</v>
      </c>
      <c r="T314" s="9">
        <v>0</v>
      </c>
      <c r="U314" s="10">
        <v>0</v>
      </c>
      <c r="V314" s="1" t="s">
        <v>46</v>
      </c>
      <c r="W314" s="1" t="s">
        <v>64</v>
      </c>
      <c r="X314" s="1">
        <v>2625350</v>
      </c>
      <c r="Y314" s="11">
        <v>41769</v>
      </c>
      <c r="Z314" s="11">
        <v>41769</v>
      </c>
      <c r="AA314" s="9">
        <f t="shared" si="34"/>
        <v>54732.09</v>
      </c>
      <c r="AB314" s="12">
        <v>59.85</v>
      </c>
      <c r="AC314" s="9">
        <f t="shared" si="32"/>
        <v>3309705</v>
      </c>
      <c r="AD314" s="9">
        <f t="shared" si="33"/>
        <v>3275715.5864999997</v>
      </c>
      <c r="AE314" s="1" t="s">
        <v>51</v>
      </c>
      <c r="AF314" s="1" t="s">
        <v>53</v>
      </c>
      <c r="AG314" s="4">
        <f t="shared" si="28"/>
        <v>55300</v>
      </c>
      <c r="AH314" s="10">
        <v>55300</v>
      </c>
      <c r="AI314" s="9">
        <v>560</v>
      </c>
      <c r="AJ314" s="9">
        <v>7.91</v>
      </c>
      <c r="AK314" s="10">
        <v>0</v>
      </c>
      <c r="AL314" s="9">
        <f t="shared" si="29"/>
        <v>54732.09</v>
      </c>
      <c r="AM314" s="1"/>
      <c r="AN314" s="1"/>
      <c r="AO314" s="12" t="e">
        <f>AB314/#REF!</f>
        <v>#REF!</v>
      </c>
      <c r="AP314" s="1" t="s">
        <v>1588</v>
      </c>
      <c r="AQ314" s="11">
        <v>41793</v>
      </c>
      <c r="AR314" s="1" t="s">
        <v>1589</v>
      </c>
      <c r="AS314" s="11">
        <v>41844</v>
      </c>
      <c r="AT314" s="1" t="s">
        <v>49</v>
      </c>
      <c r="AU314" s="1" t="s">
        <v>4171</v>
      </c>
    </row>
    <row r="315" spans="1:47" ht="15" customHeight="1" x14ac:dyDescent="0.25">
      <c r="A315" s="1">
        <v>314</v>
      </c>
      <c r="B315" s="1" t="s">
        <v>1258</v>
      </c>
      <c r="C315" s="1" t="s">
        <v>38</v>
      </c>
      <c r="D315" s="1" t="s">
        <v>1587</v>
      </c>
      <c r="E315" s="5">
        <v>41774</v>
      </c>
      <c r="F315" s="1" t="s">
        <v>289</v>
      </c>
      <c r="G315" s="1" t="s">
        <v>40</v>
      </c>
      <c r="H315" s="1" t="s">
        <v>41</v>
      </c>
      <c r="I315" s="1" t="s">
        <v>2809</v>
      </c>
      <c r="J315" s="1" t="s">
        <v>63</v>
      </c>
      <c r="K315" s="1">
        <v>29161990</v>
      </c>
      <c r="L315" s="6">
        <v>20</v>
      </c>
      <c r="M315" s="1" t="s">
        <v>70</v>
      </c>
      <c r="N315" s="7" t="s">
        <v>44</v>
      </c>
      <c r="O315" s="1" t="s">
        <v>53</v>
      </c>
      <c r="P315" s="8">
        <v>2765</v>
      </c>
      <c r="Q315" s="17">
        <f t="shared" si="30"/>
        <v>55300</v>
      </c>
      <c r="R315" s="9">
        <v>560</v>
      </c>
      <c r="S315" s="9">
        <v>7.91</v>
      </c>
      <c r="T315" s="9">
        <v>0</v>
      </c>
      <c r="U315" s="10">
        <v>0</v>
      </c>
      <c r="V315" s="1" t="s">
        <v>46</v>
      </c>
      <c r="W315" s="1" t="s">
        <v>64</v>
      </c>
      <c r="X315" s="1">
        <v>2657383</v>
      </c>
      <c r="Y315" s="11">
        <v>41771</v>
      </c>
      <c r="Z315" s="11">
        <v>41771</v>
      </c>
      <c r="AA315" s="9">
        <f t="shared" si="34"/>
        <v>54732.09</v>
      </c>
      <c r="AB315" s="12">
        <v>59.85</v>
      </c>
      <c r="AC315" s="9">
        <f t="shared" si="32"/>
        <v>3309705</v>
      </c>
      <c r="AD315" s="9">
        <f t="shared" si="33"/>
        <v>3275715.5864999997</v>
      </c>
      <c r="AE315" s="1" t="s">
        <v>51</v>
      </c>
      <c r="AF315" s="1" t="s">
        <v>53</v>
      </c>
      <c r="AG315" s="4">
        <f t="shared" si="28"/>
        <v>55300</v>
      </c>
      <c r="AH315" s="10">
        <v>55300</v>
      </c>
      <c r="AI315" s="9">
        <v>560</v>
      </c>
      <c r="AJ315" s="9">
        <v>7.91</v>
      </c>
      <c r="AK315" s="10">
        <v>0</v>
      </c>
      <c r="AL315" s="9">
        <f t="shared" si="29"/>
        <v>54732.09</v>
      </c>
      <c r="AM315" s="1"/>
      <c r="AN315" s="1"/>
      <c r="AO315" s="12" t="e">
        <f>AB315/#REF!</f>
        <v>#REF!</v>
      </c>
      <c r="AP315" s="1" t="s">
        <v>1588</v>
      </c>
      <c r="AQ315" s="11">
        <v>41793</v>
      </c>
      <c r="AR315" s="1" t="s">
        <v>1590</v>
      </c>
      <c r="AS315" s="11">
        <v>41844</v>
      </c>
      <c r="AT315" s="1" t="s">
        <v>49</v>
      </c>
      <c r="AU315" s="1" t="s">
        <v>4171</v>
      </c>
    </row>
    <row r="316" spans="1:47" ht="15" customHeight="1" x14ac:dyDescent="0.25">
      <c r="A316" s="1">
        <v>315</v>
      </c>
      <c r="B316" s="1" t="s">
        <v>1258</v>
      </c>
      <c r="C316" s="1" t="s">
        <v>38</v>
      </c>
      <c r="D316" s="1">
        <v>9103550159</v>
      </c>
      <c r="E316" s="5">
        <v>41774</v>
      </c>
      <c r="F316" s="1" t="s">
        <v>288</v>
      </c>
      <c r="G316" s="1" t="s">
        <v>40</v>
      </c>
      <c r="H316" s="1" t="s">
        <v>41</v>
      </c>
      <c r="I316" s="1" t="s">
        <v>2809</v>
      </c>
      <c r="J316" s="1" t="s">
        <v>1118</v>
      </c>
      <c r="K316" s="1">
        <v>38237090</v>
      </c>
      <c r="L316" s="6">
        <v>10</v>
      </c>
      <c r="M316" s="1" t="s">
        <v>70</v>
      </c>
      <c r="N316" s="7" t="s">
        <v>52</v>
      </c>
      <c r="O316" s="1" t="s">
        <v>53</v>
      </c>
      <c r="P316" s="8">
        <v>1875</v>
      </c>
      <c r="Q316" s="17">
        <f t="shared" si="30"/>
        <v>18750</v>
      </c>
      <c r="R316" s="9">
        <v>1416.67</v>
      </c>
      <c r="S316" s="9">
        <v>0</v>
      </c>
      <c r="T316" s="9">
        <v>0</v>
      </c>
      <c r="U316" s="10">
        <v>0</v>
      </c>
      <c r="V316" s="1" t="s">
        <v>46</v>
      </c>
      <c r="W316" s="1" t="s">
        <v>190</v>
      </c>
      <c r="X316" s="1">
        <v>2657439</v>
      </c>
      <c r="Y316" s="11">
        <v>41771</v>
      </c>
      <c r="Z316" s="11">
        <v>41771</v>
      </c>
      <c r="AA316" s="9">
        <f t="shared" si="34"/>
        <v>17333.330000000002</v>
      </c>
      <c r="AB316" s="12">
        <v>59.85</v>
      </c>
      <c r="AC316" s="9">
        <f t="shared" si="32"/>
        <v>1122187.5</v>
      </c>
      <c r="AD316" s="9">
        <f t="shared" si="33"/>
        <v>1037399.8005000001</v>
      </c>
      <c r="AE316" s="1" t="s">
        <v>48</v>
      </c>
      <c r="AF316" s="1" t="s">
        <v>53</v>
      </c>
      <c r="AG316" s="4">
        <f t="shared" si="28"/>
        <v>18750</v>
      </c>
      <c r="AH316" s="10">
        <v>18750</v>
      </c>
      <c r="AI316" s="10">
        <v>1362.88</v>
      </c>
      <c r="AJ316" s="10">
        <v>0</v>
      </c>
      <c r="AK316" s="10">
        <v>0</v>
      </c>
      <c r="AL316" s="9">
        <f t="shared" si="29"/>
        <v>17387.12</v>
      </c>
      <c r="AM316" s="1"/>
      <c r="AN316" s="1"/>
      <c r="AO316" s="12" t="e">
        <f>AB316/#REF!</f>
        <v>#REF!</v>
      </c>
      <c r="AP316" s="1" t="s">
        <v>1591</v>
      </c>
      <c r="AQ316" s="11">
        <v>41792</v>
      </c>
      <c r="AR316" s="1" t="s">
        <v>1592</v>
      </c>
      <c r="AS316" s="11">
        <v>41793</v>
      </c>
      <c r="AT316" s="1" t="s">
        <v>49</v>
      </c>
      <c r="AU316" s="1" t="s">
        <v>4171</v>
      </c>
    </row>
    <row r="317" spans="1:47" ht="15" customHeight="1" x14ac:dyDescent="0.25">
      <c r="A317" s="1">
        <v>316</v>
      </c>
      <c r="B317" s="1" t="s">
        <v>1258</v>
      </c>
      <c r="C317" s="1" t="s">
        <v>38</v>
      </c>
      <c r="D317" s="1">
        <v>9103550159</v>
      </c>
      <c r="E317" s="5">
        <v>41774</v>
      </c>
      <c r="F317" s="1" t="s">
        <v>288</v>
      </c>
      <c r="G317" s="1" t="s">
        <v>40</v>
      </c>
      <c r="H317" s="1" t="s">
        <v>41</v>
      </c>
      <c r="I317" s="1" t="s">
        <v>2809</v>
      </c>
      <c r="J317" s="1" t="s">
        <v>1118</v>
      </c>
      <c r="K317" s="1">
        <v>38237090</v>
      </c>
      <c r="L317" s="6">
        <v>2</v>
      </c>
      <c r="M317" s="1" t="s">
        <v>70</v>
      </c>
      <c r="N317" s="7" t="s">
        <v>52</v>
      </c>
      <c r="O317" s="1" t="s">
        <v>53</v>
      </c>
      <c r="P317" s="8">
        <v>1975</v>
      </c>
      <c r="Q317" s="17">
        <f t="shared" si="30"/>
        <v>3950</v>
      </c>
      <c r="R317" s="9">
        <v>283.33</v>
      </c>
      <c r="S317" s="9">
        <v>0</v>
      </c>
      <c r="T317" s="9">
        <v>0</v>
      </c>
      <c r="U317" s="10">
        <v>0</v>
      </c>
      <c r="V317" s="1" t="s">
        <v>46</v>
      </c>
      <c r="W317" s="1" t="s">
        <v>190</v>
      </c>
      <c r="X317" s="1">
        <v>2657439</v>
      </c>
      <c r="Y317" s="11">
        <v>41771</v>
      </c>
      <c r="Z317" s="11">
        <v>41771</v>
      </c>
      <c r="AA317" s="9">
        <f t="shared" si="34"/>
        <v>3666.67</v>
      </c>
      <c r="AB317" s="12">
        <v>59.85</v>
      </c>
      <c r="AC317" s="9">
        <f t="shared" si="32"/>
        <v>236407.5</v>
      </c>
      <c r="AD317" s="9">
        <f t="shared" si="33"/>
        <v>219450.19950000002</v>
      </c>
      <c r="AE317" s="1" t="s">
        <v>48</v>
      </c>
      <c r="AF317" s="1" t="s">
        <v>53</v>
      </c>
      <c r="AG317" s="4">
        <f t="shared" si="28"/>
        <v>3950</v>
      </c>
      <c r="AH317" s="10">
        <v>3950</v>
      </c>
      <c r="AI317" s="10">
        <v>287.12</v>
      </c>
      <c r="AJ317" s="10">
        <v>0</v>
      </c>
      <c r="AK317" s="10">
        <v>0</v>
      </c>
      <c r="AL317" s="9">
        <f t="shared" si="29"/>
        <v>3662.88</v>
      </c>
      <c r="AM317" s="1"/>
      <c r="AN317" s="1"/>
      <c r="AO317" s="12" t="e">
        <f>AB317/#REF!</f>
        <v>#REF!</v>
      </c>
      <c r="AP317" s="1" t="s">
        <v>1591</v>
      </c>
      <c r="AQ317" s="11">
        <v>41792</v>
      </c>
      <c r="AR317" s="1" t="s">
        <v>1592</v>
      </c>
      <c r="AS317" s="11">
        <v>41793</v>
      </c>
      <c r="AT317" s="1" t="s">
        <v>49</v>
      </c>
      <c r="AU317" s="1" t="s">
        <v>4171</v>
      </c>
    </row>
    <row r="318" spans="1:47" ht="15" customHeight="1" x14ac:dyDescent="0.25">
      <c r="A318" s="1">
        <v>317</v>
      </c>
      <c r="B318" s="1" t="s">
        <v>1258</v>
      </c>
      <c r="C318" s="1" t="s">
        <v>38</v>
      </c>
      <c r="D318" s="1" t="s">
        <v>1593</v>
      </c>
      <c r="E318" s="5">
        <v>41774</v>
      </c>
      <c r="F318" s="1" t="s">
        <v>291</v>
      </c>
      <c r="G318" s="1" t="s">
        <v>40</v>
      </c>
      <c r="H318" s="1" t="s">
        <v>41</v>
      </c>
      <c r="I318" s="1" t="s">
        <v>2809</v>
      </c>
      <c r="J318" s="1" t="s">
        <v>63</v>
      </c>
      <c r="K318" s="1">
        <v>38231200</v>
      </c>
      <c r="L318" s="6">
        <v>39.74</v>
      </c>
      <c r="M318" s="1" t="s">
        <v>70</v>
      </c>
      <c r="N318" s="7" t="s">
        <v>52</v>
      </c>
      <c r="O318" s="1" t="s">
        <v>53</v>
      </c>
      <c r="P318" s="8">
        <v>1328</v>
      </c>
      <c r="Q318" s="17">
        <f t="shared" si="30"/>
        <v>52774.720000000001</v>
      </c>
      <c r="R318" s="9">
        <v>1120</v>
      </c>
      <c r="S318" s="9">
        <v>0</v>
      </c>
      <c r="T318" s="9">
        <v>0</v>
      </c>
      <c r="U318" s="10">
        <v>0</v>
      </c>
      <c r="V318" s="1" t="s">
        <v>46</v>
      </c>
      <c r="W318" s="1" t="s">
        <v>64</v>
      </c>
      <c r="X318" s="1">
        <v>2626783</v>
      </c>
      <c r="Y318" s="11">
        <v>41769</v>
      </c>
      <c r="Z318" s="11">
        <v>41769</v>
      </c>
      <c r="AA318" s="9">
        <f t="shared" si="34"/>
        <v>51654.720000000001</v>
      </c>
      <c r="AB318" s="12">
        <v>59.85</v>
      </c>
      <c r="AC318" s="9">
        <f t="shared" si="32"/>
        <v>3158566.9920000001</v>
      </c>
      <c r="AD318" s="9">
        <f t="shared" si="33"/>
        <v>3091534.9920000001</v>
      </c>
      <c r="AE318" s="1" t="s">
        <v>51</v>
      </c>
      <c r="AF318" s="1" t="s">
        <v>53</v>
      </c>
      <c r="AG318" s="4">
        <f t="shared" si="28"/>
        <v>52774.720000000001</v>
      </c>
      <c r="AH318" s="10">
        <v>52774</v>
      </c>
      <c r="AI318" s="9">
        <v>1120</v>
      </c>
      <c r="AJ318" s="10">
        <v>0</v>
      </c>
      <c r="AK318" s="10">
        <v>0</v>
      </c>
      <c r="AL318" s="9">
        <f t="shared" si="29"/>
        <v>51654</v>
      </c>
      <c r="AM318" s="1"/>
      <c r="AN318" s="1"/>
      <c r="AO318" s="12" t="e">
        <f>AB318/#REF!</f>
        <v>#REF!</v>
      </c>
      <c r="AP318" s="1" t="s">
        <v>1594</v>
      </c>
      <c r="AQ318" s="11">
        <v>41793</v>
      </c>
      <c r="AR318" s="1" t="s">
        <v>1595</v>
      </c>
      <c r="AS318" s="11">
        <v>41844</v>
      </c>
      <c r="AT318" s="1" t="s">
        <v>49</v>
      </c>
      <c r="AU318" s="1" t="s">
        <v>4171</v>
      </c>
    </row>
    <row r="319" spans="1:47" ht="15" customHeight="1" x14ac:dyDescent="0.25">
      <c r="A319" s="1">
        <v>318</v>
      </c>
      <c r="B319" s="1" t="s">
        <v>1258</v>
      </c>
      <c r="C319" s="1" t="s">
        <v>38</v>
      </c>
      <c r="D319" s="1" t="s">
        <v>1593</v>
      </c>
      <c r="E319" s="5">
        <v>41774</v>
      </c>
      <c r="F319" s="1" t="s">
        <v>299</v>
      </c>
      <c r="G319" s="1" t="s">
        <v>40</v>
      </c>
      <c r="H319" s="1" t="s">
        <v>41</v>
      </c>
      <c r="I319" s="1" t="s">
        <v>2809</v>
      </c>
      <c r="J319" s="1" t="s">
        <v>63</v>
      </c>
      <c r="K319" s="1">
        <v>38231200</v>
      </c>
      <c r="L319" s="6">
        <v>19.920000000000002</v>
      </c>
      <c r="M319" s="1" t="s">
        <v>70</v>
      </c>
      <c r="N319" s="7" t="s">
        <v>52</v>
      </c>
      <c r="O319" s="1" t="s">
        <v>53</v>
      </c>
      <c r="P319" s="8">
        <v>1328</v>
      </c>
      <c r="Q319" s="17">
        <f t="shared" si="30"/>
        <v>26453.760000000002</v>
      </c>
      <c r="R319" s="9">
        <v>560</v>
      </c>
      <c r="S319" s="9">
        <v>0</v>
      </c>
      <c r="T319" s="9">
        <v>0</v>
      </c>
      <c r="U319" s="10">
        <v>0</v>
      </c>
      <c r="V319" s="1" t="s">
        <v>46</v>
      </c>
      <c r="W319" s="1" t="s">
        <v>64</v>
      </c>
      <c r="X319" s="1">
        <v>2657449</v>
      </c>
      <c r="Y319" s="11">
        <v>41771</v>
      </c>
      <c r="Z319" s="11">
        <v>41771</v>
      </c>
      <c r="AA319" s="9">
        <f t="shared" si="34"/>
        <v>25893.760000000002</v>
      </c>
      <c r="AB319" s="12">
        <v>59.85</v>
      </c>
      <c r="AC319" s="9">
        <f t="shared" si="32"/>
        <v>1583257.5360000001</v>
      </c>
      <c r="AD319" s="9">
        <f t="shared" si="33"/>
        <v>1549741.5360000001</v>
      </c>
      <c r="AE319" s="1" t="s">
        <v>51</v>
      </c>
      <c r="AF319" s="1" t="s">
        <v>53</v>
      </c>
      <c r="AG319" s="4">
        <f t="shared" si="28"/>
        <v>26453.760000000002</v>
      </c>
      <c r="AH319" s="10">
        <v>26453</v>
      </c>
      <c r="AI319" s="9">
        <v>560</v>
      </c>
      <c r="AJ319" s="10">
        <v>0</v>
      </c>
      <c r="AK319" s="10">
        <v>0</v>
      </c>
      <c r="AL319" s="9">
        <f t="shared" si="29"/>
        <v>25893</v>
      </c>
      <c r="AM319" s="1"/>
      <c r="AN319" s="1"/>
      <c r="AO319" s="12" t="e">
        <f>AB319/#REF!</f>
        <v>#REF!</v>
      </c>
      <c r="AP319" s="1" t="s">
        <v>1594</v>
      </c>
      <c r="AQ319" s="11">
        <v>41793</v>
      </c>
      <c r="AR319" s="1" t="s">
        <v>1596</v>
      </c>
      <c r="AS319" s="11">
        <v>41844</v>
      </c>
      <c r="AT319" s="1" t="s">
        <v>49</v>
      </c>
      <c r="AU319" s="1" t="s">
        <v>4171</v>
      </c>
    </row>
    <row r="320" spans="1:47" ht="15" customHeight="1" x14ac:dyDescent="0.25">
      <c r="A320" s="1">
        <v>319</v>
      </c>
      <c r="B320" s="1" t="s">
        <v>1258</v>
      </c>
      <c r="C320" s="1" t="s">
        <v>38</v>
      </c>
      <c r="D320" s="1">
        <v>9103550162</v>
      </c>
      <c r="E320" s="5">
        <v>41776</v>
      </c>
      <c r="F320" s="1" t="s">
        <v>293</v>
      </c>
      <c r="G320" s="1" t="s">
        <v>40</v>
      </c>
      <c r="H320" s="1" t="s">
        <v>41</v>
      </c>
      <c r="I320" s="1" t="s">
        <v>2809</v>
      </c>
      <c r="J320" s="1" t="s">
        <v>55</v>
      </c>
      <c r="K320" s="1">
        <v>38237090</v>
      </c>
      <c r="L320" s="6">
        <v>18.14</v>
      </c>
      <c r="M320" s="1" t="s">
        <v>70</v>
      </c>
      <c r="N320" s="7" t="s">
        <v>44</v>
      </c>
      <c r="O320" s="1" t="s">
        <v>53</v>
      </c>
      <c r="P320" s="8">
        <v>1675</v>
      </c>
      <c r="Q320" s="17">
        <f t="shared" si="30"/>
        <v>30384.5</v>
      </c>
      <c r="R320" s="9">
        <v>2450</v>
      </c>
      <c r="S320" s="9">
        <v>4.34</v>
      </c>
      <c r="T320" s="9">
        <v>0</v>
      </c>
      <c r="U320" s="10">
        <v>0</v>
      </c>
      <c r="V320" s="1" t="s">
        <v>46</v>
      </c>
      <c r="W320" s="1" t="s">
        <v>56</v>
      </c>
      <c r="X320" s="1">
        <v>2657424</v>
      </c>
      <c r="Y320" s="11">
        <v>41771</v>
      </c>
      <c r="Z320" s="11">
        <v>41771</v>
      </c>
      <c r="AA320" s="9">
        <f t="shared" si="34"/>
        <v>27930.16</v>
      </c>
      <c r="AB320" s="12">
        <v>59.85</v>
      </c>
      <c r="AC320" s="9">
        <f t="shared" si="32"/>
        <v>1818512.325</v>
      </c>
      <c r="AD320" s="9">
        <f t="shared" si="33"/>
        <v>1671620.0760000001</v>
      </c>
      <c r="AE320" s="1" t="s">
        <v>48</v>
      </c>
      <c r="AF320" s="1" t="s">
        <v>53</v>
      </c>
      <c r="AG320" s="4">
        <f t="shared" si="28"/>
        <v>30384.5</v>
      </c>
      <c r="AH320" s="10">
        <v>30384.5</v>
      </c>
      <c r="AI320" s="10">
        <v>2456</v>
      </c>
      <c r="AJ320" s="10">
        <v>4.34</v>
      </c>
      <c r="AK320" s="10">
        <v>0</v>
      </c>
      <c r="AL320" s="9">
        <f t="shared" si="29"/>
        <v>27924.16</v>
      </c>
      <c r="AM320" s="1"/>
      <c r="AN320" s="1"/>
      <c r="AO320" s="12" t="e">
        <f>AB320/#REF!</f>
        <v>#REF!</v>
      </c>
      <c r="AP320" s="1" t="s">
        <v>1597</v>
      </c>
      <c r="AQ320" s="11">
        <v>41822</v>
      </c>
      <c r="AR320" s="1" t="s">
        <v>1598</v>
      </c>
      <c r="AS320" s="11">
        <v>41823</v>
      </c>
      <c r="AT320" s="1" t="s">
        <v>49</v>
      </c>
      <c r="AU320" s="1" t="s">
        <v>4171</v>
      </c>
    </row>
    <row r="321" spans="1:47" ht="15" customHeight="1" x14ac:dyDescent="0.25">
      <c r="A321" s="1">
        <v>320</v>
      </c>
      <c r="B321" s="1" t="s">
        <v>1258</v>
      </c>
      <c r="C321" s="1" t="s">
        <v>38</v>
      </c>
      <c r="D321" s="1">
        <v>9103550163</v>
      </c>
      <c r="E321" s="5">
        <v>41776</v>
      </c>
      <c r="F321" s="1" t="s">
        <v>300</v>
      </c>
      <c r="G321" s="1" t="s">
        <v>40</v>
      </c>
      <c r="H321" s="1" t="s">
        <v>41</v>
      </c>
      <c r="I321" s="1" t="s">
        <v>2809</v>
      </c>
      <c r="J321" s="1" t="s">
        <v>55</v>
      </c>
      <c r="K321" s="1">
        <v>38237090</v>
      </c>
      <c r="L321" s="6">
        <v>18.14</v>
      </c>
      <c r="M321" s="1" t="s">
        <v>70</v>
      </c>
      <c r="N321" s="7" t="s">
        <v>44</v>
      </c>
      <c r="O321" s="1" t="s">
        <v>53</v>
      </c>
      <c r="P321" s="8">
        <v>1675</v>
      </c>
      <c r="Q321" s="17">
        <f t="shared" si="30"/>
        <v>30384.5</v>
      </c>
      <c r="R321" s="9">
        <v>3356</v>
      </c>
      <c r="S321" s="9">
        <v>4.34</v>
      </c>
      <c r="T321" s="9">
        <v>0</v>
      </c>
      <c r="U321" s="10">
        <v>0</v>
      </c>
      <c r="V321" s="1" t="s">
        <v>46</v>
      </c>
      <c r="W321" s="1" t="s">
        <v>56</v>
      </c>
      <c r="X321" s="1">
        <v>2657437</v>
      </c>
      <c r="Y321" s="11">
        <v>41771</v>
      </c>
      <c r="Z321" s="11">
        <v>41771</v>
      </c>
      <c r="AA321" s="9">
        <f t="shared" si="34"/>
        <v>27024.16</v>
      </c>
      <c r="AB321" s="12">
        <v>59.85</v>
      </c>
      <c r="AC321" s="9">
        <f t="shared" si="32"/>
        <v>1818512.325</v>
      </c>
      <c r="AD321" s="9">
        <f t="shared" si="33"/>
        <v>1617395.976</v>
      </c>
      <c r="AE321" s="1" t="s">
        <v>48</v>
      </c>
      <c r="AF321" s="1" t="s">
        <v>53</v>
      </c>
      <c r="AG321" s="4">
        <f t="shared" si="28"/>
        <v>30384.5</v>
      </c>
      <c r="AH321" s="10">
        <v>30384.5</v>
      </c>
      <c r="AI321" s="10">
        <v>3179</v>
      </c>
      <c r="AJ321" s="10">
        <v>4.34</v>
      </c>
      <c r="AK321" s="10">
        <v>0</v>
      </c>
      <c r="AL321" s="9">
        <f t="shared" si="29"/>
        <v>27201.16</v>
      </c>
      <c r="AM321" s="1"/>
      <c r="AN321" s="1"/>
      <c r="AO321" s="12" t="e">
        <f>AB321/#REF!</f>
        <v>#REF!</v>
      </c>
      <c r="AP321" s="1" t="s">
        <v>1599</v>
      </c>
      <c r="AQ321" s="11">
        <v>41822</v>
      </c>
      <c r="AR321" s="1" t="s">
        <v>1600</v>
      </c>
      <c r="AS321" s="11">
        <v>41823</v>
      </c>
      <c r="AT321" s="1" t="s">
        <v>49</v>
      </c>
      <c r="AU321" s="1" t="s">
        <v>4171</v>
      </c>
    </row>
    <row r="322" spans="1:47" ht="15" customHeight="1" x14ac:dyDescent="0.25">
      <c r="A322" s="1">
        <v>321</v>
      </c>
      <c r="B322" s="1" t="s">
        <v>1258</v>
      </c>
      <c r="C322" s="1" t="s">
        <v>38</v>
      </c>
      <c r="D322" s="1">
        <v>9103550164</v>
      </c>
      <c r="E322" s="5">
        <v>41775</v>
      </c>
      <c r="F322" s="1" t="s">
        <v>295</v>
      </c>
      <c r="G322" s="1" t="s">
        <v>40</v>
      </c>
      <c r="H322" s="1" t="s">
        <v>41</v>
      </c>
      <c r="I322" s="1" t="s">
        <v>2809</v>
      </c>
      <c r="J322" s="1" t="s">
        <v>169</v>
      </c>
      <c r="K322" s="1">
        <v>38231200</v>
      </c>
      <c r="L322" s="6">
        <v>98.97</v>
      </c>
      <c r="M322" s="1" t="s">
        <v>70</v>
      </c>
      <c r="N322" s="7" t="s">
        <v>67</v>
      </c>
      <c r="O322" s="1" t="s">
        <v>53</v>
      </c>
      <c r="P322" s="8">
        <v>1085</v>
      </c>
      <c r="Q322" s="17">
        <f t="shared" si="30"/>
        <v>107382.45</v>
      </c>
      <c r="R322" s="9">
        <v>0</v>
      </c>
      <c r="S322" s="9">
        <v>0</v>
      </c>
      <c r="T322" s="9">
        <v>0</v>
      </c>
      <c r="U322" s="10">
        <v>0</v>
      </c>
      <c r="V322" s="1" t="s">
        <v>46</v>
      </c>
      <c r="W322" s="1" t="s">
        <v>1323</v>
      </c>
      <c r="X322" s="1">
        <v>2672663</v>
      </c>
      <c r="Y322" s="11">
        <v>41771</v>
      </c>
      <c r="Z322" s="11">
        <v>41772</v>
      </c>
      <c r="AA322" s="9">
        <f t="shared" si="34"/>
        <v>107382.45</v>
      </c>
      <c r="AB322" s="12">
        <v>59.85</v>
      </c>
      <c r="AC322" s="9">
        <f t="shared" si="32"/>
        <v>6426839.6325000003</v>
      </c>
      <c r="AD322" s="9">
        <f t="shared" si="33"/>
        <v>6426839.6325000003</v>
      </c>
      <c r="AE322" s="1" t="s">
        <v>48</v>
      </c>
      <c r="AF322" s="1" t="s">
        <v>53</v>
      </c>
      <c r="AG322" s="4">
        <f t="shared" ref="AG322:AG385" si="35">Q322</f>
        <v>107382.45</v>
      </c>
      <c r="AH322" s="10">
        <v>107345.45</v>
      </c>
      <c r="AI322" s="9">
        <v>0</v>
      </c>
      <c r="AJ322" s="9">
        <v>0</v>
      </c>
      <c r="AK322" s="9">
        <v>0</v>
      </c>
      <c r="AL322" s="9">
        <f t="shared" ref="AL322:AL385" si="36">AH322-(AI322+AJ322+AK322)</f>
        <v>107345.45</v>
      </c>
      <c r="AM322" s="1"/>
      <c r="AN322" s="1"/>
      <c r="AO322" s="12" t="e">
        <f>AB322/#REF!</f>
        <v>#REF!</v>
      </c>
      <c r="AP322" s="1" t="s">
        <v>1601</v>
      </c>
      <c r="AQ322" s="11">
        <v>41845</v>
      </c>
      <c r="AR322" s="1" t="s">
        <v>1602</v>
      </c>
      <c r="AS322" s="11">
        <v>41846</v>
      </c>
      <c r="AT322" s="1" t="s">
        <v>49</v>
      </c>
      <c r="AU322" s="1" t="s">
        <v>4171</v>
      </c>
    </row>
    <row r="323" spans="1:47" ht="15" customHeight="1" x14ac:dyDescent="0.25">
      <c r="A323" s="1">
        <v>322</v>
      </c>
      <c r="B323" s="1" t="s">
        <v>1258</v>
      </c>
      <c r="C323" s="1" t="s">
        <v>38</v>
      </c>
      <c r="D323" s="1">
        <v>9103550165</v>
      </c>
      <c r="E323" s="5">
        <v>41778</v>
      </c>
      <c r="F323" s="1" t="s">
        <v>296</v>
      </c>
      <c r="G323" s="1" t="s">
        <v>40</v>
      </c>
      <c r="H323" s="1" t="s">
        <v>41</v>
      </c>
      <c r="I323" s="1" t="s">
        <v>2809</v>
      </c>
      <c r="J323" s="1" t="s">
        <v>55</v>
      </c>
      <c r="K323" s="1">
        <v>38237090</v>
      </c>
      <c r="L323" s="6">
        <v>54.42</v>
      </c>
      <c r="M323" s="1" t="s">
        <v>70</v>
      </c>
      <c r="N323" s="7" t="s">
        <v>44</v>
      </c>
      <c r="O323" s="1" t="s">
        <v>53</v>
      </c>
      <c r="P323" s="8">
        <v>1733</v>
      </c>
      <c r="Q323" s="17">
        <f t="shared" si="30"/>
        <v>94309.86</v>
      </c>
      <c r="R323" s="9">
        <v>6750</v>
      </c>
      <c r="S323" s="9">
        <v>13.49</v>
      </c>
      <c r="T323" s="9">
        <v>0</v>
      </c>
      <c r="U323" s="10">
        <v>0</v>
      </c>
      <c r="V323" s="1" t="s">
        <v>46</v>
      </c>
      <c r="W323" s="1" t="s">
        <v>56</v>
      </c>
      <c r="X323" s="1">
        <v>2671364</v>
      </c>
      <c r="Y323" s="11">
        <v>41771</v>
      </c>
      <c r="Z323" s="11">
        <v>41772</v>
      </c>
      <c r="AA323" s="9">
        <f t="shared" si="34"/>
        <v>87546.37</v>
      </c>
      <c r="AB323" s="12">
        <v>59.85</v>
      </c>
      <c r="AC323" s="9">
        <f t="shared" si="32"/>
        <v>5644445.1210000003</v>
      </c>
      <c r="AD323" s="9">
        <f t="shared" si="33"/>
        <v>5239650.2445</v>
      </c>
      <c r="AE323" s="1" t="s">
        <v>48</v>
      </c>
      <c r="AF323" s="1" t="s">
        <v>53</v>
      </c>
      <c r="AG323" s="4">
        <f t="shared" si="35"/>
        <v>94309.86</v>
      </c>
      <c r="AH323" s="10">
        <v>94309.86</v>
      </c>
      <c r="AI323" s="10">
        <v>6729</v>
      </c>
      <c r="AJ323" s="10">
        <v>13.49</v>
      </c>
      <c r="AK323" s="10">
        <v>0</v>
      </c>
      <c r="AL323" s="9">
        <f t="shared" si="36"/>
        <v>87567.37</v>
      </c>
      <c r="AM323" s="1"/>
      <c r="AN323" s="1"/>
      <c r="AO323" s="12" t="e">
        <f>AB323/#REF!</f>
        <v>#REF!</v>
      </c>
      <c r="AP323" s="1"/>
      <c r="AQ323" s="11">
        <v>41822</v>
      </c>
      <c r="AR323" s="1" t="s">
        <v>3330</v>
      </c>
      <c r="AS323" s="11">
        <v>42107</v>
      </c>
      <c r="AT323" s="1" t="s">
        <v>49</v>
      </c>
      <c r="AU323" s="1" t="s">
        <v>4171</v>
      </c>
    </row>
    <row r="324" spans="1:47" ht="15" customHeight="1" x14ac:dyDescent="0.25">
      <c r="A324" s="1">
        <v>323</v>
      </c>
      <c r="B324" s="1" t="s">
        <v>1258</v>
      </c>
      <c r="C324" s="1" t="s">
        <v>38</v>
      </c>
      <c r="D324" s="1">
        <v>9103550166</v>
      </c>
      <c r="E324" s="5">
        <v>41777</v>
      </c>
      <c r="F324" s="1" t="s">
        <v>297</v>
      </c>
      <c r="G324" s="1" t="s">
        <v>40</v>
      </c>
      <c r="H324" s="1" t="s">
        <v>41</v>
      </c>
      <c r="I324" s="1" t="s">
        <v>2809</v>
      </c>
      <c r="J324" s="1" t="s">
        <v>50</v>
      </c>
      <c r="K324" s="1">
        <v>38237090</v>
      </c>
      <c r="L324" s="6">
        <v>15</v>
      </c>
      <c r="M324" s="1" t="s">
        <v>70</v>
      </c>
      <c r="N324" s="7" t="s">
        <v>52</v>
      </c>
      <c r="O324" s="1" t="s">
        <v>53</v>
      </c>
      <c r="P324" s="8">
        <v>4150</v>
      </c>
      <c r="Q324" s="17">
        <f t="shared" si="30"/>
        <v>62250</v>
      </c>
      <c r="R324" s="9">
        <v>1100</v>
      </c>
      <c r="S324" s="9">
        <v>0</v>
      </c>
      <c r="T324" s="9">
        <v>0</v>
      </c>
      <c r="U324" s="10">
        <v>0</v>
      </c>
      <c r="V324" s="1" t="s">
        <v>46</v>
      </c>
      <c r="W324" s="1" t="s">
        <v>2657</v>
      </c>
      <c r="X324" s="1">
        <v>2673234</v>
      </c>
      <c r="Y324" s="11">
        <v>41771</v>
      </c>
      <c r="Z324" s="11">
        <v>41774</v>
      </c>
      <c r="AA324" s="9">
        <f t="shared" si="34"/>
        <v>61150</v>
      </c>
      <c r="AB324" s="12">
        <v>59.85</v>
      </c>
      <c r="AC324" s="9">
        <f t="shared" si="32"/>
        <v>3725662.5</v>
      </c>
      <c r="AD324" s="9">
        <f t="shared" si="33"/>
        <v>3659827.5</v>
      </c>
      <c r="AE324" s="1" t="s">
        <v>51</v>
      </c>
      <c r="AF324" s="1" t="s">
        <v>53</v>
      </c>
      <c r="AG324" s="4">
        <f t="shared" si="35"/>
        <v>62250</v>
      </c>
      <c r="AH324" s="10">
        <v>62073</v>
      </c>
      <c r="AI324" s="10">
        <v>1105</v>
      </c>
      <c r="AJ324" s="10">
        <v>0</v>
      </c>
      <c r="AK324" s="10">
        <v>0</v>
      </c>
      <c r="AL324" s="9">
        <f t="shared" si="36"/>
        <v>60968</v>
      </c>
      <c r="AM324" s="1"/>
      <c r="AN324" s="1"/>
      <c r="AO324" s="12" t="e">
        <f>AB324/#REF!</f>
        <v>#REF!</v>
      </c>
      <c r="AP324" s="1" t="s">
        <v>1603</v>
      </c>
      <c r="AQ324" s="11">
        <v>41843</v>
      </c>
      <c r="AR324" s="1" t="s">
        <v>1604</v>
      </c>
      <c r="AS324" s="11">
        <v>42032</v>
      </c>
      <c r="AT324" s="1" t="s">
        <v>49</v>
      </c>
      <c r="AU324" s="1" t="s">
        <v>4171</v>
      </c>
    </row>
    <row r="325" spans="1:47" ht="15" customHeight="1" x14ac:dyDescent="0.25">
      <c r="A325" s="1">
        <v>324</v>
      </c>
      <c r="B325" s="1" t="s">
        <v>1258</v>
      </c>
      <c r="C325" s="1" t="s">
        <v>38</v>
      </c>
      <c r="D325" s="1" t="s">
        <v>1605</v>
      </c>
      <c r="E325" s="5">
        <v>41777</v>
      </c>
      <c r="F325" s="1" t="s">
        <v>318</v>
      </c>
      <c r="G325" s="1" t="s">
        <v>40</v>
      </c>
      <c r="H325" s="1" t="s">
        <v>41</v>
      </c>
      <c r="I325" s="1" t="s">
        <v>2809</v>
      </c>
      <c r="J325" s="1" t="s">
        <v>63</v>
      </c>
      <c r="K325" s="1">
        <v>38231200</v>
      </c>
      <c r="L325" s="6">
        <v>58.05</v>
      </c>
      <c r="M325" s="1" t="s">
        <v>70</v>
      </c>
      <c r="N325" s="7" t="s">
        <v>44</v>
      </c>
      <c r="O325" s="1" t="s">
        <v>53</v>
      </c>
      <c r="P325" s="8">
        <v>1254</v>
      </c>
      <c r="Q325" s="17">
        <f t="shared" si="30"/>
        <v>72794.7</v>
      </c>
      <c r="R325" s="9">
        <v>2700</v>
      </c>
      <c r="S325" s="9">
        <v>10.41</v>
      </c>
      <c r="T325" s="9">
        <v>0</v>
      </c>
      <c r="U325" s="10">
        <v>0</v>
      </c>
      <c r="V325" s="1" t="s">
        <v>46</v>
      </c>
      <c r="W325" s="1" t="s">
        <v>64</v>
      </c>
      <c r="X325" s="1">
        <v>2677315</v>
      </c>
      <c r="Y325" s="11">
        <v>41771</v>
      </c>
      <c r="Z325" s="11">
        <v>41772</v>
      </c>
      <c r="AA325" s="9">
        <f t="shared" si="34"/>
        <v>70084.289999999994</v>
      </c>
      <c r="AB325" s="12">
        <v>59.85</v>
      </c>
      <c r="AC325" s="9">
        <f t="shared" si="32"/>
        <v>4356762.7949999999</v>
      </c>
      <c r="AD325" s="9">
        <f t="shared" si="33"/>
        <v>4194544.7565000001</v>
      </c>
      <c r="AE325" s="1" t="s">
        <v>51</v>
      </c>
      <c r="AF325" s="1" t="s">
        <v>53</v>
      </c>
      <c r="AG325" s="4">
        <f t="shared" si="35"/>
        <v>72794.7</v>
      </c>
      <c r="AH325" s="10">
        <v>72794</v>
      </c>
      <c r="AI325" s="10">
        <v>2481</v>
      </c>
      <c r="AJ325" s="10">
        <v>3.78</v>
      </c>
      <c r="AK325" s="10">
        <v>0</v>
      </c>
      <c r="AL325" s="9">
        <f t="shared" si="36"/>
        <v>70309.22</v>
      </c>
      <c r="AM325" s="1"/>
      <c r="AN325" s="1"/>
      <c r="AO325" s="12" t="e">
        <f>AB325/#REF!</f>
        <v>#REF!</v>
      </c>
      <c r="AP325" s="1" t="s">
        <v>1606</v>
      </c>
      <c r="AQ325" s="11">
        <v>41807</v>
      </c>
      <c r="AR325" s="1" t="s">
        <v>1607</v>
      </c>
      <c r="AS325" s="11">
        <v>41844</v>
      </c>
      <c r="AT325" s="1" t="s">
        <v>49</v>
      </c>
      <c r="AU325" s="1" t="s">
        <v>4171</v>
      </c>
    </row>
    <row r="326" spans="1:47" ht="15" customHeight="1" x14ac:dyDescent="0.25">
      <c r="A326" s="1">
        <v>325</v>
      </c>
      <c r="B326" s="1" t="s">
        <v>1258</v>
      </c>
      <c r="C326" s="1" t="s">
        <v>38</v>
      </c>
      <c r="D326" s="1" t="s">
        <v>1605</v>
      </c>
      <c r="E326" s="5">
        <v>41777</v>
      </c>
      <c r="F326" s="1" t="s">
        <v>303</v>
      </c>
      <c r="G326" s="1" t="s">
        <v>40</v>
      </c>
      <c r="H326" s="1" t="s">
        <v>41</v>
      </c>
      <c r="I326" s="1" t="s">
        <v>2809</v>
      </c>
      <c r="J326" s="1" t="s">
        <v>63</v>
      </c>
      <c r="K326" s="1">
        <v>38231900</v>
      </c>
      <c r="L326" s="6">
        <v>19.899999999999999</v>
      </c>
      <c r="M326" s="1" t="s">
        <v>70</v>
      </c>
      <c r="N326" s="7" t="s">
        <v>44</v>
      </c>
      <c r="O326" s="1" t="s">
        <v>53</v>
      </c>
      <c r="P326" s="8">
        <v>1254</v>
      </c>
      <c r="Q326" s="17">
        <f t="shared" si="30"/>
        <v>24954.6</v>
      </c>
      <c r="R326" s="9">
        <v>900</v>
      </c>
      <c r="S326" s="9">
        <v>3.57</v>
      </c>
      <c r="T326" s="9">
        <v>0</v>
      </c>
      <c r="U326" s="10">
        <v>0</v>
      </c>
      <c r="V326" s="1" t="s">
        <v>46</v>
      </c>
      <c r="W326" s="1" t="s">
        <v>64</v>
      </c>
      <c r="X326" s="1">
        <v>2694865</v>
      </c>
      <c r="Y326" s="11">
        <v>41772</v>
      </c>
      <c r="Z326" s="11">
        <v>41774</v>
      </c>
      <c r="AA326" s="9">
        <f t="shared" si="34"/>
        <v>24051.03</v>
      </c>
      <c r="AB326" s="12">
        <v>59.85</v>
      </c>
      <c r="AC326" s="9">
        <f t="shared" si="32"/>
        <v>1493532.81</v>
      </c>
      <c r="AD326" s="9">
        <f t="shared" si="33"/>
        <v>1439454.1454999999</v>
      </c>
      <c r="AE326" s="1" t="s">
        <v>51</v>
      </c>
      <c r="AF326" s="1" t="s">
        <v>53</v>
      </c>
      <c r="AG326" s="4">
        <f t="shared" si="35"/>
        <v>24954.6</v>
      </c>
      <c r="AH326" s="71">
        <v>24954</v>
      </c>
      <c r="AI326" s="10">
        <v>919</v>
      </c>
      <c r="AJ326" s="10">
        <v>10.199999999999999</v>
      </c>
      <c r="AK326" s="10">
        <v>0</v>
      </c>
      <c r="AL326" s="9">
        <f t="shared" si="36"/>
        <v>24024.799999999999</v>
      </c>
      <c r="AM326" s="1"/>
      <c r="AN326" s="1"/>
      <c r="AO326" s="12" t="e">
        <f>AB326/#REF!</f>
        <v>#REF!</v>
      </c>
      <c r="AP326" s="1" t="s">
        <v>1606</v>
      </c>
      <c r="AQ326" s="11">
        <v>41807</v>
      </c>
      <c r="AR326" s="1" t="s">
        <v>1608</v>
      </c>
      <c r="AS326" s="11">
        <v>41844</v>
      </c>
      <c r="AT326" s="1" t="s">
        <v>49</v>
      </c>
      <c r="AU326" s="1" t="s">
        <v>4311</v>
      </c>
    </row>
    <row r="327" spans="1:47" ht="15" customHeight="1" x14ac:dyDescent="0.25">
      <c r="A327" s="1">
        <v>326</v>
      </c>
      <c r="B327" s="1" t="s">
        <v>1258</v>
      </c>
      <c r="C327" s="1" t="s">
        <v>38</v>
      </c>
      <c r="D327" s="1">
        <v>9103550169</v>
      </c>
      <c r="E327" s="5">
        <v>41778</v>
      </c>
      <c r="F327" s="1" t="s">
        <v>305</v>
      </c>
      <c r="G327" s="1" t="s">
        <v>40</v>
      </c>
      <c r="H327" s="1" t="s">
        <v>41</v>
      </c>
      <c r="I327" s="1" t="s">
        <v>2809</v>
      </c>
      <c r="J327" s="1" t="s">
        <v>1092</v>
      </c>
      <c r="K327" s="1">
        <v>38237090</v>
      </c>
      <c r="L327" s="6">
        <v>15</v>
      </c>
      <c r="M327" s="1" t="s">
        <v>70</v>
      </c>
      <c r="N327" s="7" t="s">
        <v>44</v>
      </c>
      <c r="O327" s="1" t="s">
        <v>53</v>
      </c>
      <c r="P327" s="8">
        <v>1850</v>
      </c>
      <c r="Q327" s="17">
        <f t="shared" si="30"/>
        <v>27750</v>
      </c>
      <c r="R327" s="9">
        <v>706</v>
      </c>
      <c r="S327" s="9">
        <v>3.97</v>
      </c>
      <c r="T327" s="9">
        <v>0</v>
      </c>
      <c r="U327" s="10">
        <v>0</v>
      </c>
      <c r="V327" s="1" t="s">
        <v>46</v>
      </c>
      <c r="W327" s="1" t="s">
        <v>143</v>
      </c>
      <c r="X327" s="1">
        <v>2698410</v>
      </c>
      <c r="Y327" s="11">
        <v>41772</v>
      </c>
      <c r="Z327" s="11">
        <v>41774</v>
      </c>
      <c r="AA327" s="9">
        <f t="shared" si="34"/>
        <v>27040.03</v>
      </c>
      <c r="AB327" s="12">
        <v>59.85</v>
      </c>
      <c r="AC327" s="9">
        <f t="shared" si="32"/>
        <v>1660837.5</v>
      </c>
      <c r="AD327" s="9">
        <f t="shared" si="33"/>
        <v>1618345.7955</v>
      </c>
      <c r="AE327" s="1" t="s">
        <v>48</v>
      </c>
      <c r="AF327" s="1" t="s">
        <v>53</v>
      </c>
      <c r="AG327" s="4">
        <f t="shared" si="35"/>
        <v>27750</v>
      </c>
      <c r="AH327" s="10">
        <v>27750</v>
      </c>
      <c r="AI327" s="10">
        <v>706</v>
      </c>
      <c r="AJ327" s="10">
        <v>3.97</v>
      </c>
      <c r="AK327" s="10">
        <v>0</v>
      </c>
      <c r="AL327" s="9">
        <f t="shared" si="36"/>
        <v>27040.03</v>
      </c>
      <c r="AM327" s="1"/>
      <c r="AN327" s="1"/>
      <c r="AO327" s="12" t="e">
        <f>AB327/#REF!</f>
        <v>#REF!</v>
      </c>
      <c r="AP327" s="1" t="s">
        <v>1609</v>
      </c>
      <c r="AQ327" s="11">
        <v>41792</v>
      </c>
      <c r="AR327" s="1" t="s">
        <v>1610</v>
      </c>
      <c r="AS327" s="11">
        <v>41793</v>
      </c>
      <c r="AT327" s="1" t="s">
        <v>49</v>
      </c>
      <c r="AU327" s="1" t="s">
        <v>4171</v>
      </c>
    </row>
    <row r="328" spans="1:47" ht="15" customHeight="1" x14ac:dyDescent="0.25">
      <c r="A328" s="1">
        <v>327</v>
      </c>
      <c r="B328" s="1" t="s">
        <v>1258</v>
      </c>
      <c r="C328" s="1" t="s">
        <v>38</v>
      </c>
      <c r="D328" s="1">
        <v>9103550170</v>
      </c>
      <c r="E328" s="5">
        <v>41779</v>
      </c>
      <c r="F328" s="1" t="s">
        <v>298</v>
      </c>
      <c r="G328" s="1" t="s">
        <v>40</v>
      </c>
      <c r="H328" s="1" t="s">
        <v>41</v>
      </c>
      <c r="I328" s="1" t="s">
        <v>2809</v>
      </c>
      <c r="J328" s="1" t="s">
        <v>1611</v>
      </c>
      <c r="K328" s="1">
        <v>38237090</v>
      </c>
      <c r="L328" s="6">
        <v>0.1</v>
      </c>
      <c r="M328" s="1" t="s">
        <v>70</v>
      </c>
      <c r="N328" s="7" t="s">
        <v>52</v>
      </c>
      <c r="O328" s="1" t="s">
        <v>53</v>
      </c>
      <c r="P328" s="8">
        <v>2650</v>
      </c>
      <c r="Q328" s="17">
        <f t="shared" ref="Q328:Q341" si="37">+L328*P328</f>
        <v>265</v>
      </c>
      <c r="R328" s="9">
        <v>50</v>
      </c>
      <c r="S328" s="9">
        <v>0</v>
      </c>
      <c r="T328" s="9">
        <v>0</v>
      </c>
      <c r="U328" s="10">
        <v>0</v>
      </c>
      <c r="V328" s="1" t="s">
        <v>46</v>
      </c>
      <c r="W328" s="1" t="s">
        <v>143</v>
      </c>
      <c r="X328" s="1">
        <v>2649651</v>
      </c>
      <c r="Y328" s="11">
        <v>41770</v>
      </c>
      <c r="Z328" s="11">
        <v>41775</v>
      </c>
      <c r="AA328" s="9">
        <f t="shared" si="34"/>
        <v>215</v>
      </c>
      <c r="AB328" s="12">
        <v>59.85</v>
      </c>
      <c r="AC328" s="9">
        <f t="shared" ref="AC328:AC341" si="38">+Q328*AB328</f>
        <v>15860.25</v>
      </c>
      <c r="AD328" s="9">
        <f t="shared" ref="AD328:AD341" si="39">+AA328*AB328</f>
        <v>12867.75</v>
      </c>
      <c r="AE328" s="1" t="s">
        <v>48</v>
      </c>
      <c r="AF328" s="1" t="s">
        <v>53</v>
      </c>
      <c r="AG328" s="4">
        <f t="shared" si="35"/>
        <v>265</v>
      </c>
      <c r="AH328" s="10">
        <v>223</v>
      </c>
      <c r="AI328" s="10">
        <v>50</v>
      </c>
      <c r="AJ328" s="10">
        <v>0</v>
      </c>
      <c r="AK328" s="10">
        <v>0</v>
      </c>
      <c r="AL328" s="9">
        <f t="shared" si="36"/>
        <v>173</v>
      </c>
      <c r="AM328" s="1"/>
      <c r="AN328" s="1"/>
      <c r="AO328" s="12" t="e">
        <f>AB328/#REF!</f>
        <v>#REF!</v>
      </c>
      <c r="AP328" s="1" t="s">
        <v>1612</v>
      </c>
      <c r="AQ328" s="11">
        <v>41858</v>
      </c>
      <c r="AR328" s="1" t="s">
        <v>1613</v>
      </c>
      <c r="AS328" s="11">
        <v>41859</v>
      </c>
      <c r="AT328" s="1" t="s">
        <v>49</v>
      </c>
      <c r="AU328" s="1" t="s">
        <v>4171</v>
      </c>
    </row>
    <row r="329" spans="1:47" ht="15" customHeight="1" x14ac:dyDescent="0.25">
      <c r="A329" s="1">
        <v>328</v>
      </c>
      <c r="B329" s="1" t="s">
        <v>1258</v>
      </c>
      <c r="C329" s="1" t="s">
        <v>38</v>
      </c>
      <c r="D329" s="1">
        <v>9103550171</v>
      </c>
      <c r="E329" s="5">
        <v>41782</v>
      </c>
      <c r="F329" s="1" t="s">
        <v>287</v>
      </c>
      <c r="G329" s="1" t="s">
        <v>40</v>
      </c>
      <c r="H329" s="1" t="s">
        <v>41</v>
      </c>
      <c r="I329" s="1" t="s">
        <v>2809</v>
      </c>
      <c r="J329" s="1" t="s">
        <v>2628</v>
      </c>
      <c r="K329" s="1">
        <v>38237090</v>
      </c>
      <c r="L329" s="6">
        <v>4</v>
      </c>
      <c r="M329" s="1" t="s">
        <v>70</v>
      </c>
      <c r="N329" s="7" t="s">
        <v>44</v>
      </c>
      <c r="O329" s="1" t="s">
        <v>53</v>
      </c>
      <c r="P329" s="8">
        <v>4855</v>
      </c>
      <c r="Q329" s="17">
        <f t="shared" si="37"/>
        <v>19420</v>
      </c>
      <c r="R329" s="9">
        <v>100</v>
      </c>
      <c r="S329" s="9">
        <v>2.78</v>
      </c>
      <c r="T329" s="9">
        <v>0</v>
      </c>
      <c r="U329" s="10">
        <v>0</v>
      </c>
      <c r="V329" s="1" t="s">
        <v>46</v>
      </c>
      <c r="W329" s="1" t="s">
        <v>64</v>
      </c>
      <c r="X329" s="1">
        <v>2650867</v>
      </c>
      <c r="Y329" s="11">
        <v>41770</v>
      </c>
      <c r="Z329" s="11">
        <v>41775</v>
      </c>
      <c r="AA329" s="9">
        <f t="shared" si="34"/>
        <v>19317.22</v>
      </c>
      <c r="AB329" s="12">
        <v>59.85</v>
      </c>
      <c r="AC329" s="9">
        <f t="shared" si="38"/>
        <v>1162287</v>
      </c>
      <c r="AD329" s="9">
        <f t="shared" si="39"/>
        <v>1156135.6170000001</v>
      </c>
      <c r="AE329" s="1" t="s">
        <v>48</v>
      </c>
      <c r="AF329" s="1" t="s">
        <v>53</v>
      </c>
      <c r="AG329" s="4">
        <f t="shared" si="35"/>
        <v>19420</v>
      </c>
      <c r="AH329" s="10">
        <v>19269</v>
      </c>
      <c r="AI329" s="10">
        <v>15</v>
      </c>
      <c r="AJ329" s="10">
        <v>2.78</v>
      </c>
      <c r="AK329" s="10">
        <v>0</v>
      </c>
      <c r="AL329" s="9">
        <f t="shared" si="36"/>
        <v>19251.22</v>
      </c>
      <c r="AM329" s="1"/>
      <c r="AN329" s="1"/>
      <c r="AO329" s="12" t="e">
        <f>AB329/#REF!</f>
        <v>#REF!</v>
      </c>
      <c r="AP329" s="1" t="s">
        <v>1614</v>
      </c>
      <c r="AQ329" s="11">
        <v>41802</v>
      </c>
      <c r="AR329" s="1" t="s">
        <v>1615</v>
      </c>
      <c r="AS329" s="11">
        <v>41803</v>
      </c>
      <c r="AT329" s="1" t="s">
        <v>49</v>
      </c>
      <c r="AU329" s="1" t="s">
        <v>4171</v>
      </c>
    </row>
    <row r="330" spans="1:47" ht="15" customHeight="1" x14ac:dyDescent="0.25">
      <c r="A330" s="1">
        <v>329</v>
      </c>
      <c r="B330" s="1" t="s">
        <v>1258</v>
      </c>
      <c r="C330" s="1" t="s">
        <v>38</v>
      </c>
      <c r="D330" s="1">
        <v>9103550172</v>
      </c>
      <c r="E330" s="5">
        <v>41778</v>
      </c>
      <c r="F330" s="1" t="s">
        <v>306</v>
      </c>
      <c r="G330" s="1" t="s">
        <v>40</v>
      </c>
      <c r="H330" s="1" t="s">
        <v>41</v>
      </c>
      <c r="I330" s="1" t="s">
        <v>2809</v>
      </c>
      <c r="J330" s="1" t="s">
        <v>264</v>
      </c>
      <c r="K330" s="1">
        <v>38237090</v>
      </c>
      <c r="L330" s="6">
        <v>45</v>
      </c>
      <c r="M330" s="1" t="s">
        <v>70</v>
      </c>
      <c r="N330" s="7" t="s">
        <v>44</v>
      </c>
      <c r="O330" s="1" t="s">
        <v>53</v>
      </c>
      <c r="P330" s="8">
        <v>1508</v>
      </c>
      <c r="Q330" s="17">
        <f t="shared" si="37"/>
        <v>67860</v>
      </c>
      <c r="R330" s="9">
        <v>693</v>
      </c>
      <c r="S330" s="9">
        <v>9.6999999999999993</v>
      </c>
      <c r="T330" s="9">
        <v>0</v>
      </c>
      <c r="U330" s="10">
        <v>0</v>
      </c>
      <c r="V330" s="1" t="s">
        <v>46</v>
      </c>
      <c r="W330" s="1" t="s">
        <v>54</v>
      </c>
      <c r="X330" s="1">
        <v>2696364</v>
      </c>
      <c r="Y330" s="11">
        <v>41772</v>
      </c>
      <c r="Z330" s="11">
        <v>41774</v>
      </c>
      <c r="AA330" s="9">
        <f t="shared" si="34"/>
        <v>67157.3</v>
      </c>
      <c r="AB330" s="12">
        <v>59.85</v>
      </c>
      <c r="AC330" s="9">
        <f t="shared" si="38"/>
        <v>4061421</v>
      </c>
      <c r="AD330" s="9">
        <f t="shared" si="39"/>
        <v>4019364.4050000003</v>
      </c>
      <c r="AE330" s="1" t="s">
        <v>48</v>
      </c>
      <c r="AF330" s="1" t="s">
        <v>53</v>
      </c>
      <c r="AG330" s="4">
        <f t="shared" si="35"/>
        <v>67860</v>
      </c>
      <c r="AH330" s="10">
        <v>67670</v>
      </c>
      <c r="AI330" s="10">
        <v>682</v>
      </c>
      <c r="AJ330" s="10">
        <v>9.6999999999999993</v>
      </c>
      <c r="AK330" s="10">
        <v>0</v>
      </c>
      <c r="AL330" s="9">
        <f t="shared" si="36"/>
        <v>66978.3</v>
      </c>
      <c r="AM330" s="1"/>
      <c r="AN330" s="1"/>
      <c r="AO330" s="12" t="e">
        <f>AB330/#REF!</f>
        <v>#REF!</v>
      </c>
      <c r="AP330" s="1" t="s">
        <v>1616</v>
      </c>
      <c r="AQ330" s="11">
        <v>41802</v>
      </c>
      <c r="AR330" s="1" t="s">
        <v>1617</v>
      </c>
      <c r="AS330" s="11">
        <v>41803</v>
      </c>
      <c r="AT330" s="1" t="s">
        <v>49</v>
      </c>
      <c r="AU330" s="1" t="s">
        <v>4171</v>
      </c>
    </row>
    <row r="331" spans="1:47" ht="15" customHeight="1" x14ac:dyDescent="0.25">
      <c r="A331" s="1">
        <v>330</v>
      </c>
      <c r="B331" s="1" t="s">
        <v>1258</v>
      </c>
      <c r="C331" s="1" t="s">
        <v>38</v>
      </c>
      <c r="D331" s="1">
        <v>9103550173</v>
      </c>
      <c r="E331" s="5">
        <v>41778</v>
      </c>
      <c r="F331" s="1" t="s">
        <v>310</v>
      </c>
      <c r="G331" s="1" t="s">
        <v>40</v>
      </c>
      <c r="H331" s="1" t="s">
        <v>41</v>
      </c>
      <c r="I331" s="1" t="s">
        <v>2809</v>
      </c>
      <c r="J331" s="1" t="s">
        <v>60</v>
      </c>
      <c r="K331" s="1">
        <v>38237090</v>
      </c>
      <c r="L331" s="6">
        <v>56.93</v>
      </c>
      <c r="M331" s="1" t="s">
        <v>70</v>
      </c>
      <c r="N331" s="7" t="s">
        <v>44</v>
      </c>
      <c r="O331" s="1" t="s">
        <v>53</v>
      </c>
      <c r="P331" s="8">
        <v>4080</v>
      </c>
      <c r="Q331" s="17">
        <f t="shared" si="37"/>
        <v>232274.4</v>
      </c>
      <c r="R331" s="9">
        <v>4500</v>
      </c>
      <c r="S331" s="9">
        <v>33.22</v>
      </c>
      <c r="T331" s="9">
        <v>0</v>
      </c>
      <c r="U331" s="10">
        <v>0</v>
      </c>
      <c r="V331" s="1" t="s">
        <v>46</v>
      </c>
      <c r="W331" s="1" t="s">
        <v>61</v>
      </c>
      <c r="X331" s="1">
        <v>2717687</v>
      </c>
      <c r="Y331" s="11">
        <v>41773</v>
      </c>
      <c r="Z331" s="11">
        <v>41776</v>
      </c>
      <c r="AA331" s="9">
        <f t="shared" si="34"/>
        <v>227741.18</v>
      </c>
      <c r="AB331" s="12">
        <v>59.85</v>
      </c>
      <c r="AC331" s="9">
        <f t="shared" si="38"/>
        <v>13901622.84</v>
      </c>
      <c r="AD331" s="9">
        <f t="shared" si="39"/>
        <v>13630309.623</v>
      </c>
      <c r="AE331" s="1" t="s">
        <v>51</v>
      </c>
      <c r="AF331" s="1" t="s">
        <v>53</v>
      </c>
      <c r="AG331" s="4">
        <f t="shared" si="35"/>
        <v>232274.4</v>
      </c>
      <c r="AH331" s="10">
        <v>232238</v>
      </c>
      <c r="AI331" s="10">
        <v>4730</v>
      </c>
      <c r="AJ331" s="10">
        <v>33.22</v>
      </c>
      <c r="AK331" s="10">
        <v>0</v>
      </c>
      <c r="AL331" s="9">
        <f t="shared" si="36"/>
        <v>227474.78</v>
      </c>
      <c r="AM331" s="1"/>
      <c r="AN331" s="1"/>
      <c r="AO331" s="12" t="e">
        <f>AB331/#REF!</f>
        <v>#REF!</v>
      </c>
      <c r="AP331" s="1" t="s">
        <v>1618</v>
      </c>
      <c r="AQ331" s="11">
        <v>41807</v>
      </c>
      <c r="AR331" s="1" t="s">
        <v>1619</v>
      </c>
      <c r="AS331" s="11">
        <v>41844</v>
      </c>
      <c r="AT331" s="1" t="s">
        <v>49</v>
      </c>
      <c r="AU331" s="1" t="s">
        <v>4171</v>
      </c>
    </row>
    <row r="332" spans="1:47" ht="15" customHeight="1" x14ac:dyDescent="0.25">
      <c r="A332" s="1">
        <v>331</v>
      </c>
      <c r="B332" s="1" t="s">
        <v>1258</v>
      </c>
      <c r="C332" s="1" t="s">
        <v>38</v>
      </c>
      <c r="D332" s="1">
        <v>9103550174</v>
      </c>
      <c r="E332" s="5">
        <v>41778</v>
      </c>
      <c r="F332" s="1" t="s">
        <v>311</v>
      </c>
      <c r="G332" s="1" t="s">
        <v>40</v>
      </c>
      <c r="H332" s="1" t="s">
        <v>41</v>
      </c>
      <c r="I332" s="1" t="s">
        <v>2809</v>
      </c>
      <c r="J332" s="1" t="s">
        <v>129</v>
      </c>
      <c r="K332" s="1">
        <v>29159090</v>
      </c>
      <c r="L332" s="6">
        <v>39.85</v>
      </c>
      <c r="M332" s="1" t="s">
        <v>70</v>
      </c>
      <c r="N332" s="7" t="s">
        <v>44</v>
      </c>
      <c r="O332" s="1" t="s">
        <v>45</v>
      </c>
      <c r="P332" s="8">
        <v>1420</v>
      </c>
      <c r="Q332" s="17">
        <f t="shared" si="37"/>
        <v>56587</v>
      </c>
      <c r="R332" s="9">
        <v>6544.96</v>
      </c>
      <c r="S332" s="9">
        <v>8.09</v>
      </c>
      <c r="T332" s="9">
        <v>1131.74</v>
      </c>
      <c r="U332" s="10">
        <v>0</v>
      </c>
      <c r="V332" s="1" t="s">
        <v>46</v>
      </c>
      <c r="W332" s="1" t="s">
        <v>130</v>
      </c>
      <c r="X332" s="1">
        <v>2735972</v>
      </c>
      <c r="Y332" s="11">
        <v>41774</v>
      </c>
      <c r="Z332" s="11">
        <v>41776</v>
      </c>
      <c r="AA332" s="9">
        <f t="shared" si="34"/>
        <v>50033.950000000004</v>
      </c>
      <c r="AB332" s="12">
        <v>82.3</v>
      </c>
      <c r="AC332" s="9">
        <f t="shared" si="38"/>
        <v>4657110.0999999996</v>
      </c>
      <c r="AD332" s="9">
        <f t="shared" si="39"/>
        <v>4117794.0850000004</v>
      </c>
      <c r="AE332" s="1" t="s">
        <v>48</v>
      </c>
      <c r="AF332" s="1" t="s">
        <v>45</v>
      </c>
      <c r="AG332" s="4">
        <f t="shared" si="35"/>
        <v>56587</v>
      </c>
      <c r="AH332" s="10">
        <v>56512</v>
      </c>
      <c r="AI332" s="10">
        <v>7444.03</v>
      </c>
      <c r="AJ332" s="10">
        <v>8.09</v>
      </c>
      <c r="AK332" s="10">
        <v>0</v>
      </c>
      <c r="AL332" s="9">
        <f t="shared" si="36"/>
        <v>49059.88</v>
      </c>
      <c r="AM332" s="1"/>
      <c r="AN332" s="1"/>
      <c r="AO332" s="12" t="e">
        <f>AB332/#REF!</f>
        <v>#REF!</v>
      </c>
      <c r="AP332" s="1" t="s">
        <v>1620</v>
      </c>
      <c r="AQ332" s="11">
        <v>41892</v>
      </c>
      <c r="AR332" s="1" t="s">
        <v>1621</v>
      </c>
      <c r="AS332" s="11">
        <v>41894</v>
      </c>
      <c r="AT332" s="1" t="s">
        <v>49</v>
      </c>
      <c r="AU332" s="1" t="s">
        <v>4171</v>
      </c>
    </row>
    <row r="333" spans="1:47" ht="15" customHeight="1" x14ac:dyDescent="0.25">
      <c r="A333" s="1">
        <v>332</v>
      </c>
      <c r="B333" s="1" t="s">
        <v>1258</v>
      </c>
      <c r="C333" s="1" t="s">
        <v>38</v>
      </c>
      <c r="D333" s="1">
        <v>9103550175</v>
      </c>
      <c r="E333" s="5">
        <v>41781</v>
      </c>
      <c r="F333" s="1" t="s">
        <v>312</v>
      </c>
      <c r="G333" s="1" t="s">
        <v>40</v>
      </c>
      <c r="H333" s="1" t="s">
        <v>41</v>
      </c>
      <c r="I333" s="1" t="s">
        <v>2809</v>
      </c>
      <c r="J333" s="1" t="s">
        <v>1122</v>
      </c>
      <c r="K333" s="1">
        <v>38231200</v>
      </c>
      <c r="L333" s="6">
        <v>19.12</v>
      </c>
      <c r="M333" s="1" t="s">
        <v>70</v>
      </c>
      <c r="N333" s="7" t="s">
        <v>44</v>
      </c>
      <c r="O333" s="1" t="s">
        <v>1622</v>
      </c>
      <c r="P333" s="8">
        <v>774</v>
      </c>
      <c r="Q333" s="17">
        <f t="shared" si="37"/>
        <v>14798.880000000001</v>
      </c>
      <c r="R333" s="9">
        <v>853.49</v>
      </c>
      <c r="S333" s="9">
        <v>2.12</v>
      </c>
      <c r="T333" s="9">
        <v>0</v>
      </c>
      <c r="U333" s="10">
        <v>0</v>
      </c>
      <c r="V333" s="1" t="s">
        <v>46</v>
      </c>
      <c r="W333" s="1" t="s">
        <v>146</v>
      </c>
      <c r="X333" s="1">
        <v>2746216</v>
      </c>
      <c r="Y333" s="11">
        <v>41775</v>
      </c>
      <c r="Z333" s="11">
        <v>41776</v>
      </c>
      <c r="AA333" s="9">
        <f t="shared" si="34"/>
        <v>13943.27</v>
      </c>
      <c r="AB333" s="12">
        <v>98.85</v>
      </c>
      <c r="AC333" s="9">
        <f t="shared" si="38"/>
        <v>1462869.2879999999</v>
      </c>
      <c r="AD333" s="9">
        <f t="shared" si="39"/>
        <v>1378292.2394999999</v>
      </c>
      <c r="AE333" s="1" t="s">
        <v>48</v>
      </c>
      <c r="AF333" s="1" t="s">
        <v>1622</v>
      </c>
      <c r="AG333" s="4">
        <f t="shared" si="35"/>
        <v>14798.880000000001</v>
      </c>
      <c r="AH333" s="10">
        <v>14798.88</v>
      </c>
      <c r="AI333" s="10">
        <v>873.79</v>
      </c>
      <c r="AJ333" s="10">
        <v>2.12</v>
      </c>
      <c r="AK333" s="10">
        <v>0</v>
      </c>
      <c r="AL333" s="9">
        <f t="shared" si="36"/>
        <v>13922.97</v>
      </c>
      <c r="AM333" s="1"/>
      <c r="AN333" s="1"/>
      <c r="AO333" s="12" t="e">
        <f>AB333/#REF!</f>
        <v>#REF!</v>
      </c>
      <c r="AP333" s="1" t="s">
        <v>1623</v>
      </c>
      <c r="AQ333" s="11">
        <v>41795</v>
      </c>
      <c r="AR333" s="1" t="s">
        <v>1624</v>
      </c>
      <c r="AS333" s="11">
        <v>41797</v>
      </c>
      <c r="AT333" s="1" t="s">
        <v>49</v>
      </c>
      <c r="AU333" s="1" t="s">
        <v>4171</v>
      </c>
    </row>
    <row r="334" spans="1:47" ht="15" customHeight="1" x14ac:dyDescent="0.25">
      <c r="A334" s="1">
        <v>333</v>
      </c>
      <c r="B334" s="1" t="s">
        <v>1258</v>
      </c>
      <c r="C334" s="1" t="s">
        <v>38</v>
      </c>
      <c r="D334" s="1">
        <v>9103550176</v>
      </c>
      <c r="E334" s="5">
        <v>41782</v>
      </c>
      <c r="F334" s="1" t="s">
        <v>314</v>
      </c>
      <c r="G334" s="1" t="s">
        <v>40</v>
      </c>
      <c r="H334" s="1" t="s">
        <v>41</v>
      </c>
      <c r="I334" s="1" t="s">
        <v>2809</v>
      </c>
      <c r="J334" s="1" t="s">
        <v>63</v>
      </c>
      <c r="K334" s="1">
        <v>29161990</v>
      </c>
      <c r="L334" s="6">
        <v>39.14</v>
      </c>
      <c r="M334" s="1" t="s">
        <v>70</v>
      </c>
      <c r="N334" s="7" t="s">
        <v>44</v>
      </c>
      <c r="O334" s="1" t="s">
        <v>53</v>
      </c>
      <c r="P334" s="8">
        <v>2765</v>
      </c>
      <c r="Q334" s="17">
        <f t="shared" si="37"/>
        <v>108222.1</v>
      </c>
      <c r="R334" s="9">
        <v>1120</v>
      </c>
      <c r="S334" s="9">
        <v>15.48</v>
      </c>
      <c r="T334" s="9">
        <v>0</v>
      </c>
      <c r="U334" s="10">
        <v>0</v>
      </c>
      <c r="V334" s="1" t="s">
        <v>46</v>
      </c>
      <c r="W334" s="1" t="s">
        <v>64</v>
      </c>
      <c r="X334" s="1">
        <v>2741691</v>
      </c>
      <c r="Y334" s="11">
        <v>41774</v>
      </c>
      <c r="Z334" s="11">
        <v>41776</v>
      </c>
      <c r="AA334" s="9">
        <f>Q334-R334-S334</f>
        <v>107086.62000000001</v>
      </c>
      <c r="AB334" s="12">
        <v>59.85</v>
      </c>
      <c r="AC334" s="9">
        <f t="shared" si="38"/>
        <v>6477092.6850000005</v>
      </c>
      <c r="AD334" s="9">
        <f t="shared" si="39"/>
        <v>6409134.2070000004</v>
      </c>
      <c r="AE334" s="1" t="s">
        <v>51</v>
      </c>
      <c r="AF334" s="1" t="s">
        <v>53</v>
      </c>
      <c r="AG334" s="4">
        <f t="shared" si="35"/>
        <v>108222.1</v>
      </c>
      <c r="AH334" s="10">
        <v>108222</v>
      </c>
      <c r="AI334" s="10">
        <v>1120</v>
      </c>
      <c r="AJ334" s="10">
        <v>15.48</v>
      </c>
      <c r="AK334" s="10">
        <v>0</v>
      </c>
      <c r="AL334" s="9">
        <f t="shared" si="36"/>
        <v>107086.52</v>
      </c>
      <c r="AM334" s="1"/>
      <c r="AN334" s="1"/>
      <c r="AO334" s="12" t="e">
        <f>AB334/#REF!</f>
        <v>#REF!</v>
      </c>
      <c r="AP334" s="1" t="s">
        <v>1625</v>
      </c>
      <c r="AQ334" s="11">
        <v>41800</v>
      </c>
      <c r="AR334" s="1" t="s">
        <v>1626</v>
      </c>
      <c r="AS334" s="11">
        <v>41844</v>
      </c>
      <c r="AT334" s="1" t="s">
        <v>49</v>
      </c>
      <c r="AU334" s="1" t="s">
        <v>4171</v>
      </c>
    </row>
    <row r="335" spans="1:47" ht="15" customHeight="1" x14ac:dyDescent="0.25">
      <c r="A335" s="1">
        <v>334</v>
      </c>
      <c r="B335" s="1" t="s">
        <v>1258</v>
      </c>
      <c r="C335" s="1" t="s">
        <v>38</v>
      </c>
      <c r="D335" s="1" t="s">
        <v>1627</v>
      </c>
      <c r="E335" s="5">
        <v>41782</v>
      </c>
      <c r="F335" s="1" t="s">
        <v>313</v>
      </c>
      <c r="G335" s="1" t="s">
        <v>40</v>
      </c>
      <c r="H335" s="1" t="s">
        <v>41</v>
      </c>
      <c r="I335" s="1" t="s">
        <v>2809</v>
      </c>
      <c r="J335" s="1" t="s">
        <v>63</v>
      </c>
      <c r="K335" s="1">
        <v>29161990</v>
      </c>
      <c r="L335" s="6">
        <v>19.57</v>
      </c>
      <c r="M335" s="1" t="s">
        <v>70</v>
      </c>
      <c r="N335" s="7" t="s">
        <v>44</v>
      </c>
      <c r="O335" s="1" t="s">
        <v>53</v>
      </c>
      <c r="P335" s="8">
        <v>2765</v>
      </c>
      <c r="Q335" s="17">
        <f t="shared" si="37"/>
        <v>54111.05</v>
      </c>
      <c r="R335" s="9">
        <v>560</v>
      </c>
      <c r="S335" s="9">
        <v>7.74</v>
      </c>
      <c r="T335" s="9">
        <v>0</v>
      </c>
      <c r="U335" s="10">
        <v>0</v>
      </c>
      <c r="V335" s="1" t="s">
        <v>46</v>
      </c>
      <c r="W335" s="1" t="s">
        <v>64</v>
      </c>
      <c r="X335" s="1">
        <v>2746230</v>
      </c>
      <c r="Y335" s="11">
        <v>41775</v>
      </c>
      <c r="Z335" s="11">
        <v>41776</v>
      </c>
      <c r="AA335" s="9">
        <f t="shared" ref="AA335:AA341" si="40">Q335-R335-S335</f>
        <v>53543.310000000005</v>
      </c>
      <c r="AB335" s="12">
        <v>59.1</v>
      </c>
      <c r="AC335" s="9">
        <f t="shared" si="38"/>
        <v>3197963.0550000002</v>
      </c>
      <c r="AD335" s="9">
        <f t="shared" si="39"/>
        <v>3164409.6210000003</v>
      </c>
      <c r="AE335" s="1" t="s">
        <v>51</v>
      </c>
      <c r="AF335" s="1" t="s">
        <v>53</v>
      </c>
      <c r="AG335" s="4">
        <f t="shared" si="35"/>
        <v>54111.05</v>
      </c>
      <c r="AH335" s="10">
        <v>54111</v>
      </c>
      <c r="AI335" s="9">
        <v>560</v>
      </c>
      <c r="AJ335" s="9">
        <v>7.74</v>
      </c>
      <c r="AK335" s="10">
        <v>0</v>
      </c>
      <c r="AL335" s="9">
        <f t="shared" si="36"/>
        <v>53543.26</v>
      </c>
      <c r="AM335" s="1"/>
      <c r="AN335" s="1"/>
      <c r="AO335" s="12" t="e">
        <f>AB335/#REF!</f>
        <v>#REF!</v>
      </c>
      <c r="AP335" s="1" t="s">
        <v>1628</v>
      </c>
      <c r="AQ335" s="11">
        <v>41800</v>
      </c>
      <c r="AR335" s="1" t="s">
        <v>1629</v>
      </c>
      <c r="AS335" s="11">
        <v>41844</v>
      </c>
      <c r="AT335" s="1" t="s">
        <v>49</v>
      </c>
      <c r="AU335" s="1" t="s">
        <v>4171</v>
      </c>
    </row>
    <row r="336" spans="1:47" ht="15" customHeight="1" x14ac:dyDescent="0.25">
      <c r="A336" s="1">
        <v>335</v>
      </c>
      <c r="B336" s="1" t="s">
        <v>1258</v>
      </c>
      <c r="C336" s="1" t="s">
        <v>38</v>
      </c>
      <c r="D336" s="1" t="s">
        <v>1627</v>
      </c>
      <c r="E336" s="5">
        <v>41782</v>
      </c>
      <c r="F336" s="1" t="s">
        <v>316</v>
      </c>
      <c r="G336" s="1" t="s">
        <v>40</v>
      </c>
      <c r="H336" s="1" t="s">
        <v>41</v>
      </c>
      <c r="I336" s="1" t="s">
        <v>2809</v>
      </c>
      <c r="J336" s="1" t="s">
        <v>63</v>
      </c>
      <c r="K336" s="1">
        <v>29161990</v>
      </c>
      <c r="L336" s="6">
        <v>19.399999999999999</v>
      </c>
      <c r="M336" s="1" t="s">
        <v>70</v>
      </c>
      <c r="N336" s="7" t="s">
        <v>44</v>
      </c>
      <c r="O336" s="1" t="s">
        <v>53</v>
      </c>
      <c r="P336" s="8">
        <v>2765</v>
      </c>
      <c r="Q336" s="17">
        <f t="shared" si="37"/>
        <v>53640.999999999993</v>
      </c>
      <c r="R336" s="9">
        <v>560</v>
      </c>
      <c r="S336" s="9">
        <v>7.67</v>
      </c>
      <c r="T336" s="9">
        <v>0</v>
      </c>
      <c r="U336" s="10">
        <v>0</v>
      </c>
      <c r="V336" s="1" t="s">
        <v>46</v>
      </c>
      <c r="W336" s="1" t="s">
        <v>64</v>
      </c>
      <c r="X336" s="1">
        <v>2760847</v>
      </c>
      <c r="Y336" s="11">
        <v>41775</v>
      </c>
      <c r="Z336" s="11">
        <v>41776</v>
      </c>
      <c r="AA336" s="9">
        <f t="shared" si="40"/>
        <v>53073.329999999994</v>
      </c>
      <c r="AB336" s="12">
        <v>59.1</v>
      </c>
      <c r="AC336" s="9">
        <f t="shared" si="38"/>
        <v>3170183.0999999996</v>
      </c>
      <c r="AD336" s="9">
        <f t="shared" si="39"/>
        <v>3136633.8029999998</v>
      </c>
      <c r="AE336" s="1" t="s">
        <v>51</v>
      </c>
      <c r="AF336" s="1" t="s">
        <v>53</v>
      </c>
      <c r="AG336" s="4">
        <f t="shared" si="35"/>
        <v>53640.999999999993</v>
      </c>
      <c r="AH336" s="10">
        <v>53641</v>
      </c>
      <c r="AI336" s="9">
        <v>560</v>
      </c>
      <c r="AJ336" s="9">
        <v>7.67</v>
      </c>
      <c r="AK336" s="10">
        <v>0</v>
      </c>
      <c r="AL336" s="9">
        <f t="shared" si="36"/>
        <v>53073.33</v>
      </c>
      <c r="AM336" s="1"/>
      <c r="AN336" s="1"/>
      <c r="AO336" s="12" t="e">
        <f>AB336/#REF!</f>
        <v>#REF!</v>
      </c>
      <c r="AP336" s="1" t="s">
        <v>1628</v>
      </c>
      <c r="AQ336" s="11">
        <v>41800</v>
      </c>
      <c r="AR336" s="1" t="s">
        <v>1630</v>
      </c>
      <c r="AS336" s="11">
        <v>41844</v>
      </c>
      <c r="AT336" s="1" t="s">
        <v>49</v>
      </c>
      <c r="AU336" s="1" t="s">
        <v>4171</v>
      </c>
    </row>
    <row r="337" spans="1:47" ht="15" customHeight="1" x14ac:dyDescent="0.25">
      <c r="A337" s="1">
        <v>336</v>
      </c>
      <c r="B337" s="1" t="s">
        <v>1258</v>
      </c>
      <c r="C337" s="1" t="s">
        <v>38</v>
      </c>
      <c r="D337" s="1" t="s">
        <v>1631</v>
      </c>
      <c r="E337" s="5">
        <v>41778</v>
      </c>
      <c r="F337" s="1" t="s">
        <v>426</v>
      </c>
      <c r="G337" s="1" t="s">
        <v>40</v>
      </c>
      <c r="H337" s="1" t="s">
        <v>41</v>
      </c>
      <c r="I337" s="1" t="s">
        <v>2809</v>
      </c>
      <c r="J337" s="1" t="s">
        <v>2716</v>
      </c>
      <c r="K337" s="1">
        <v>38231900</v>
      </c>
      <c r="L337" s="6">
        <v>19.96</v>
      </c>
      <c r="M337" s="1" t="s">
        <v>70</v>
      </c>
      <c r="N337" s="7" t="s">
        <v>67</v>
      </c>
      <c r="O337" s="1" t="s">
        <v>45</v>
      </c>
      <c r="P337" s="8">
        <v>2650.64</v>
      </c>
      <c r="Q337" s="17">
        <f t="shared" si="37"/>
        <v>52906.774400000002</v>
      </c>
      <c r="R337" s="9">
        <v>0</v>
      </c>
      <c r="S337" s="9">
        <v>0</v>
      </c>
      <c r="T337" s="9">
        <v>0</v>
      </c>
      <c r="U337" s="10">
        <v>0</v>
      </c>
      <c r="V337" s="1" t="s">
        <v>46</v>
      </c>
      <c r="W337" s="1" t="s">
        <v>47</v>
      </c>
      <c r="X337" s="1">
        <v>2746309</v>
      </c>
      <c r="Y337" s="11">
        <v>41775</v>
      </c>
      <c r="Z337" s="11">
        <v>41776</v>
      </c>
      <c r="AA337" s="9">
        <f t="shared" si="40"/>
        <v>52906.774400000002</v>
      </c>
      <c r="AB337" s="12">
        <v>80.849999999999994</v>
      </c>
      <c r="AC337" s="9">
        <f t="shared" si="38"/>
        <v>4277512.7102399999</v>
      </c>
      <c r="AD337" s="9">
        <f t="shared" si="39"/>
        <v>4277512.7102399999</v>
      </c>
      <c r="AE337" s="1" t="s">
        <v>48</v>
      </c>
      <c r="AF337" s="1" t="s">
        <v>45</v>
      </c>
      <c r="AG337" s="4">
        <f t="shared" si="35"/>
        <v>52906.774400000002</v>
      </c>
      <c r="AH337" s="10">
        <v>52906.77</v>
      </c>
      <c r="AI337" s="9">
        <v>0</v>
      </c>
      <c r="AJ337" s="9">
        <v>0</v>
      </c>
      <c r="AK337" s="9">
        <v>0</v>
      </c>
      <c r="AL337" s="9">
        <f t="shared" si="36"/>
        <v>52906.77</v>
      </c>
      <c r="AM337" s="1"/>
      <c r="AN337" s="1"/>
      <c r="AO337" s="12" t="e">
        <f>AB337/#REF!</f>
        <v>#REF!</v>
      </c>
      <c r="AP337" s="1" t="s">
        <v>1632</v>
      </c>
      <c r="AQ337" s="11">
        <v>41822</v>
      </c>
      <c r="AR337" s="1" t="s">
        <v>1633</v>
      </c>
      <c r="AS337" s="11">
        <v>41823</v>
      </c>
      <c r="AT337" s="1" t="s">
        <v>49</v>
      </c>
      <c r="AU337" s="1" t="s">
        <v>4171</v>
      </c>
    </row>
    <row r="338" spans="1:47" ht="15" customHeight="1" x14ac:dyDescent="0.25">
      <c r="A338" s="1">
        <v>337</v>
      </c>
      <c r="B338" s="1" t="s">
        <v>1258</v>
      </c>
      <c r="C338" s="1" t="s">
        <v>38</v>
      </c>
      <c r="D338" s="1" t="s">
        <v>1631</v>
      </c>
      <c r="E338" s="5">
        <v>41778</v>
      </c>
      <c r="F338" s="1" t="s">
        <v>315</v>
      </c>
      <c r="G338" s="1" t="s">
        <v>40</v>
      </c>
      <c r="H338" s="1" t="s">
        <v>41</v>
      </c>
      <c r="I338" s="1" t="s">
        <v>2809</v>
      </c>
      <c r="J338" s="1" t="s">
        <v>2716</v>
      </c>
      <c r="K338" s="1">
        <v>38231900</v>
      </c>
      <c r="L338" s="6">
        <v>19.899999999999999</v>
      </c>
      <c r="M338" s="1" t="s">
        <v>70</v>
      </c>
      <c r="N338" s="7" t="s">
        <v>67</v>
      </c>
      <c r="O338" s="1" t="s">
        <v>45</v>
      </c>
      <c r="P338" s="8">
        <v>2650.64</v>
      </c>
      <c r="Q338" s="17">
        <f t="shared" si="37"/>
        <v>52747.735999999997</v>
      </c>
      <c r="R338" s="9">
        <v>0</v>
      </c>
      <c r="S338" s="9">
        <v>0</v>
      </c>
      <c r="T338" s="9">
        <v>0</v>
      </c>
      <c r="U338" s="10">
        <v>0</v>
      </c>
      <c r="V338" s="1" t="s">
        <v>46</v>
      </c>
      <c r="W338" s="1" t="s">
        <v>47</v>
      </c>
      <c r="X338" s="1">
        <v>2757584</v>
      </c>
      <c r="Y338" s="11">
        <v>41775</v>
      </c>
      <c r="Z338" s="11">
        <v>41776</v>
      </c>
      <c r="AA338" s="9">
        <f t="shared" si="40"/>
        <v>52747.735999999997</v>
      </c>
      <c r="AB338" s="12">
        <v>80.849999999999994</v>
      </c>
      <c r="AC338" s="9">
        <f t="shared" si="38"/>
        <v>4264654.4555999991</v>
      </c>
      <c r="AD338" s="9">
        <f t="shared" si="39"/>
        <v>4264654.4555999991</v>
      </c>
      <c r="AE338" s="1" t="s">
        <v>48</v>
      </c>
      <c r="AF338" s="1" t="s">
        <v>45</v>
      </c>
      <c r="AG338" s="4">
        <f t="shared" si="35"/>
        <v>52747.735999999997</v>
      </c>
      <c r="AH338" s="10">
        <v>52747.740000000005</v>
      </c>
      <c r="AI338" s="9">
        <v>0</v>
      </c>
      <c r="AJ338" s="9">
        <v>0</v>
      </c>
      <c r="AK338" s="9">
        <v>0</v>
      </c>
      <c r="AL338" s="9">
        <f t="shared" si="36"/>
        <v>52747.740000000005</v>
      </c>
      <c r="AM338" s="1"/>
      <c r="AN338" s="1"/>
      <c r="AO338" s="12" t="e">
        <f>AB338/#REF!</f>
        <v>#REF!</v>
      </c>
      <c r="AP338" s="1" t="s">
        <v>1632</v>
      </c>
      <c r="AQ338" s="11" t="s">
        <v>1634</v>
      </c>
      <c r="AR338" s="1" t="s">
        <v>1635</v>
      </c>
      <c r="AS338" s="1" t="s">
        <v>1636</v>
      </c>
      <c r="AT338" s="1" t="s">
        <v>49</v>
      </c>
      <c r="AU338" s="1" t="s">
        <v>4171</v>
      </c>
    </row>
    <row r="339" spans="1:47" ht="15" customHeight="1" x14ac:dyDescent="0.25">
      <c r="A339" s="1">
        <v>338</v>
      </c>
      <c r="B339" s="1" t="s">
        <v>1258</v>
      </c>
      <c r="C339" s="1" t="s">
        <v>38</v>
      </c>
      <c r="D339" s="1" t="s">
        <v>1637</v>
      </c>
      <c r="E339" s="5">
        <v>41778</v>
      </c>
      <c r="F339" s="1" t="s">
        <v>319</v>
      </c>
      <c r="G339" s="1" t="s">
        <v>40</v>
      </c>
      <c r="H339" s="1" t="s">
        <v>41</v>
      </c>
      <c r="I339" s="1" t="s">
        <v>2809</v>
      </c>
      <c r="J339" s="1" t="s">
        <v>200</v>
      </c>
      <c r="K339" s="1">
        <v>38231900</v>
      </c>
      <c r="L339" s="6">
        <v>19.68</v>
      </c>
      <c r="M339" s="1" t="s">
        <v>70</v>
      </c>
      <c r="N339" s="7" t="s">
        <v>44</v>
      </c>
      <c r="O339" s="1" t="s">
        <v>53</v>
      </c>
      <c r="P339" s="8">
        <v>1730</v>
      </c>
      <c r="Q339" s="17">
        <f t="shared" si="37"/>
        <v>34046.400000000001</v>
      </c>
      <c r="R339" s="9">
        <v>1500</v>
      </c>
      <c r="S339" s="9">
        <v>4.87</v>
      </c>
      <c r="T339" s="9">
        <v>0</v>
      </c>
      <c r="U339" s="10">
        <v>0</v>
      </c>
      <c r="V339" s="1" t="s">
        <v>46</v>
      </c>
      <c r="W339" s="1" t="s">
        <v>59</v>
      </c>
      <c r="X339" s="1">
        <v>2746220</v>
      </c>
      <c r="Y339" s="11">
        <v>41775</v>
      </c>
      <c r="Z339" s="11">
        <v>41776</v>
      </c>
      <c r="AA339" s="9">
        <f t="shared" si="40"/>
        <v>32541.530000000002</v>
      </c>
      <c r="AB339" s="12">
        <v>59.1</v>
      </c>
      <c r="AC339" s="9">
        <f t="shared" si="38"/>
        <v>2012142.2400000002</v>
      </c>
      <c r="AD339" s="9">
        <f t="shared" si="39"/>
        <v>1923204.4230000002</v>
      </c>
      <c r="AE339" s="1" t="s">
        <v>51</v>
      </c>
      <c r="AF339" s="1" t="s">
        <v>53</v>
      </c>
      <c r="AG339" s="4">
        <f t="shared" si="35"/>
        <v>34046.400000000001</v>
      </c>
      <c r="AH339" s="10">
        <v>34046</v>
      </c>
      <c r="AI339" s="10">
        <v>1485</v>
      </c>
      <c r="AJ339" s="10">
        <v>4.87</v>
      </c>
      <c r="AK339" s="10">
        <v>0</v>
      </c>
      <c r="AL339" s="9">
        <f t="shared" si="36"/>
        <v>32556.13</v>
      </c>
      <c r="AM339" s="1"/>
      <c r="AN339" s="1"/>
      <c r="AO339" s="12" t="e">
        <f>AB339/#REF!</f>
        <v>#REF!</v>
      </c>
      <c r="AP339" s="1" t="s">
        <v>1638</v>
      </c>
      <c r="AQ339" s="11">
        <v>41800</v>
      </c>
      <c r="AR339" s="1" t="s">
        <v>1639</v>
      </c>
      <c r="AS339" s="11">
        <v>41844</v>
      </c>
      <c r="AT339" s="1" t="s">
        <v>49</v>
      </c>
      <c r="AU339" s="1" t="s">
        <v>4171</v>
      </c>
    </row>
    <row r="340" spans="1:47" ht="15" customHeight="1" x14ac:dyDescent="0.25">
      <c r="A340" s="1">
        <v>339</v>
      </c>
      <c r="B340" s="1" t="s">
        <v>1258</v>
      </c>
      <c r="C340" s="1" t="s">
        <v>38</v>
      </c>
      <c r="D340" s="1" t="s">
        <v>1637</v>
      </c>
      <c r="E340" s="5">
        <v>41778</v>
      </c>
      <c r="F340" s="1" t="s">
        <v>317</v>
      </c>
      <c r="G340" s="1" t="s">
        <v>40</v>
      </c>
      <c r="H340" s="1" t="s">
        <v>41</v>
      </c>
      <c r="I340" s="1" t="s">
        <v>2809</v>
      </c>
      <c r="J340" s="1" t="s">
        <v>200</v>
      </c>
      <c r="K340" s="1">
        <v>38231900</v>
      </c>
      <c r="L340" s="6">
        <v>58.45</v>
      </c>
      <c r="M340" s="1" t="s">
        <v>70</v>
      </c>
      <c r="N340" s="7" t="s">
        <v>44</v>
      </c>
      <c r="O340" s="1" t="s">
        <v>53</v>
      </c>
      <c r="P340" s="8">
        <v>1730</v>
      </c>
      <c r="Q340" s="17">
        <f t="shared" si="37"/>
        <v>101118.5</v>
      </c>
      <c r="R340" s="9">
        <v>4500</v>
      </c>
      <c r="S340" s="9">
        <v>14.46</v>
      </c>
      <c r="T340" s="9">
        <v>0</v>
      </c>
      <c r="U340" s="10">
        <v>0</v>
      </c>
      <c r="V340" s="1" t="s">
        <v>46</v>
      </c>
      <c r="W340" s="1" t="s">
        <v>59</v>
      </c>
      <c r="X340" s="1">
        <v>2759041</v>
      </c>
      <c r="Y340" s="11">
        <v>41775</v>
      </c>
      <c r="Z340" s="11">
        <v>41776</v>
      </c>
      <c r="AA340" s="9">
        <f t="shared" si="40"/>
        <v>96604.04</v>
      </c>
      <c r="AB340" s="12">
        <v>59.1</v>
      </c>
      <c r="AC340" s="9">
        <f t="shared" si="38"/>
        <v>5976103.3500000006</v>
      </c>
      <c r="AD340" s="9">
        <f t="shared" si="39"/>
        <v>5709298.7639999995</v>
      </c>
      <c r="AE340" s="1" t="s">
        <v>51</v>
      </c>
      <c r="AF340" s="1" t="s">
        <v>53</v>
      </c>
      <c r="AG340" s="4">
        <f t="shared" si="35"/>
        <v>101118.5</v>
      </c>
      <c r="AH340" s="10">
        <v>101118.5</v>
      </c>
      <c r="AI340" s="10">
        <v>4410</v>
      </c>
      <c r="AJ340" s="10">
        <v>14.46</v>
      </c>
      <c r="AK340" s="10">
        <v>0</v>
      </c>
      <c r="AL340" s="9">
        <f t="shared" si="36"/>
        <v>96694.04</v>
      </c>
      <c r="AM340" s="1"/>
      <c r="AN340" s="1"/>
      <c r="AO340" s="12" t="e">
        <f>AB340/#REF!</f>
        <v>#REF!</v>
      </c>
      <c r="AP340" s="1" t="s">
        <v>1638</v>
      </c>
      <c r="AQ340" s="11">
        <v>41800</v>
      </c>
      <c r="AR340" s="1" t="s">
        <v>1640</v>
      </c>
      <c r="AS340" s="11">
        <v>41844</v>
      </c>
      <c r="AT340" s="1" t="s">
        <v>49</v>
      </c>
      <c r="AU340" s="1" t="s">
        <v>4171</v>
      </c>
    </row>
    <row r="341" spans="1:47" ht="15" customHeight="1" x14ac:dyDescent="0.25">
      <c r="A341" s="1">
        <v>340</v>
      </c>
      <c r="B341" s="1" t="s">
        <v>1258</v>
      </c>
      <c r="C341" s="1" t="s">
        <v>38</v>
      </c>
      <c r="D341" s="1">
        <v>9103550183</v>
      </c>
      <c r="E341" s="5">
        <v>41780</v>
      </c>
      <c r="F341" s="1" t="s">
        <v>304</v>
      </c>
      <c r="G341" s="1" t="s">
        <v>40</v>
      </c>
      <c r="H341" s="1" t="s">
        <v>41</v>
      </c>
      <c r="I341" s="1" t="s">
        <v>2809</v>
      </c>
      <c r="J341" s="1" t="s">
        <v>2764</v>
      </c>
      <c r="K341" s="1">
        <v>38237090</v>
      </c>
      <c r="L341" s="6">
        <v>12</v>
      </c>
      <c r="M341" s="1" t="s">
        <v>70</v>
      </c>
      <c r="N341" s="7" t="s">
        <v>67</v>
      </c>
      <c r="O341" s="1" t="s">
        <v>53</v>
      </c>
      <c r="P341" s="8">
        <v>1465</v>
      </c>
      <c r="Q341" s="17">
        <f t="shared" si="37"/>
        <v>17580</v>
      </c>
      <c r="R341" s="9">
        <v>0</v>
      </c>
      <c r="S341" s="9">
        <v>0</v>
      </c>
      <c r="T341" s="9">
        <v>0</v>
      </c>
      <c r="U341" s="10">
        <v>0</v>
      </c>
      <c r="V341" s="1" t="s">
        <v>46</v>
      </c>
      <c r="W341" s="1" t="s">
        <v>143</v>
      </c>
      <c r="X341" s="1">
        <v>2773277</v>
      </c>
      <c r="Y341" s="11">
        <v>41776</v>
      </c>
      <c r="Z341" s="11">
        <v>41777</v>
      </c>
      <c r="AA341" s="9">
        <f t="shared" si="40"/>
        <v>17580</v>
      </c>
      <c r="AB341" s="12">
        <v>59.1</v>
      </c>
      <c r="AC341" s="9">
        <f t="shared" si="38"/>
        <v>1038978</v>
      </c>
      <c r="AD341" s="9">
        <f t="shared" si="39"/>
        <v>1038978</v>
      </c>
      <c r="AE341" s="1" t="s">
        <v>48</v>
      </c>
      <c r="AF341" s="1" t="s">
        <v>53</v>
      </c>
      <c r="AG341" s="4">
        <f t="shared" si="35"/>
        <v>17580</v>
      </c>
      <c r="AH341" s="10">
        <v>17560</v>
      </c>
      <c r="AI341" s="9">
        <v>0</v>
      </c>
      <c r="AJ341" s="9">
        <v>0</v>
      </c>
      <c r="AK341" s="9">
        <v>0</v>
      </c>
      <c r="AL341" s="9">
        <f t="shared" si="36"/>
        <v>17560</v>
      </c>
      <c r="AM341" s="1"/>
      <c r="AN341" s="1"/>
      <c r="AO341" s="12" t="e">
        <f>AB341/#REF!</f>
        <v>#REF!</v>
      </c>
      <c r="AP341" s="1" t="s">
        <v>1641</v>
      </c>
      <c r="AQ341" s="11">
        <v>41848</v>
      </c>
      <c r="AR341" s="1" t="s">
        <v>1642</v>
      </c>
      <c r="AS341" s="11">
        <v>41850</v>
      </c>
      <c r="AT341" s="1" t="s">
        <v>49</v>
      </c>
      <c r="AU341" s="1" t="s">
        <v>4171</v>
      </c>
    </row>
    <row r="342" spans="1:47" ht="15" customHeight="1" x14ac:dyDescent="0.25">
      <c r="A342" s="1">
        <v>341</v>
      </c>
      <c r="B342" s="1" t="s">
        <v>1258</v>
      </c>
      <c r="C342" s="1" t="s">
        <v>38</v>
      </c>
      <c r="D342" s="1">
        <v>9103550184</v>
      </c>
      <c r="E342" s="5">
        <v>41782</v>
      </c>
      <c r="F342" s="1" t="s">
        <v>320</v>
      </c>
      <c r="G342" s="1" t="s">
        <v>40</v>
      </c>
      <c r="H342" s="1" t="s">
        <v>41</v>
      </c>
      <c r="I342" s="1" t="s">
        <v>2809</v>
      </c>
      <c r="J342" s="1" t="s">
        <v>63</v>
      </c>
      <c r="K342" s="1">
        <v>29161990</v>
      </c>
      <c r="L342" s="6">
        <v>14.4</v>
      </c>
      <c r="M342" s="1" t="s">
        <v>70</v>
      </c>
      <c r="N342" s="7" t="s">
        <v>52</v>
      </c>
      <c r="O342" s="1" t="s">
        <v>53</v>
      </c>
      <c r="P342" s="8">
        <v>2998</v>
      </c>
      <c r="Q342" s="17">
        <f>+L342*P342</f>
        <v>43171.200000000004</v>
      </c>
      <c r="R342" s="9">
        <v>180</v>
      </c>
      <c r="S342" s="9">
        <v>0</v>
      </c>
      <c r="T342" s="9">
        <v>0</v>
      </c>
      <c r="U342" s="10">
        <v>0</v>
      </c>
      <c r="V342" s="1" t="s">
        <v>46</v>
      </c>
      <c r="W342" s="1" t="s">
        <v>75</v>
      </c>
      <c r="X342" s="1">
        <v>2763590</v>
      </c>
      <c r="Y342" s="11">
        <v>41775</v>
      </c>
      <c r="Z342" s="11">
        <v>41776</v>
      </c>
      <c r="AA342" s="9">
        <f>Q342-R342-S342</f>
        <v>42991.200000000004</v>
      </c>
      <c r="AB342" s="12">
        <v>59.1</v>
      </c>
      <c r="AC342" s="9">
        <f>+Q342*AB342</f>
        <v>2551417.9200000004</v>
      </c>
      <c r="AD342" s="9">
        <f>+AA342*AB342</f>
        <v>2540779.9200000004</v>
      </c>
      <c r="AE342" s="1" t="s">
        <v>51</v>
      </c>
      <c r="AF342" s="1" t="s">
        <v>53</v>
      </c>
      <c r="AG342" s="4">
        <f t="shared" si="35"/>
        <v>43171.200000000004</v>
      </c>
      <c r="AH342" s="10">
        <v>43171</v>
      </c>
      <c r="AI342" s="10">
        <v>180</v>
      </c>
      <c r="AJ342" s="10">
        <v>0</v>
      </c>
      <c r="AK342" s="10">
        <v>0</v>
      </c>
      <c r="AL342" s="9">
        <f t="shared" si="36"/>
        <v>42991</v>
      </c>
      <c r="AM342" s="1"/>
      <c r="AN342" s="1"/>
      <c r="AO342" s="12" t="e">
        <f>AB342/#REF!</f>
        <v>#REF!</v>
      </c>
      <c r="AP342" s="1" t="s">
        <v>1643</v>
      </c>
      <c r="AQ342" s="11">
        <v>41808</v>
      </c>
      <c r="AR342" s="1" t="s">
        <v>1644</v>
      </c>
      <c r="AS342" s="11">
        <v>41844</v>
      </c>
      <c r="AT342" s="1" t="s">
        <v>49</v>
      </c>
      <c r="AU342" s="1" t="s">
        <v>4171</v>
      </c>
    </row>
    <row r="343" spans="1:47" ht="15" customHeight="1" x14ac:dyDescent="0.25">
      <c r="A343" s="1">
        <v>342</v>
      </c>
      <c r="B343" s="1" t="s">
        <v>1258</v>
      </c>
      <c r="C343" s="1" t="s">
        <v>38</v>
      </c>
      <c r="D343" s="1">
        <v>9103550185</v>
      </c>
      <c r="E343" s="5">
        <v>41782</v>
      </c>
      <c r="F343" s="1" t="s">
        <v>321</v>
      </c>
      <c r="G343" s="1" t="s">
        <v>40</v>
      </c>
      <c r="H343" s="1" t="s">
        <v>41</v>
      </c>
      <c r="I343" s="1" t="s">
        <v>2809</v>
      </c>
      <c r="J343" s="1" t="s">
        <v>63</v>
      </c>
      <c r="K343" s="1">
        <v>29054500</v>
      </c>
      <c r="L343" s="6">
        <v>20</v>
      </c>
      <c r="M343" s="1" t="s">
        <v>70</v>
      </c>
      <c r="N343" s="7" t="s">
        <v>52</v>
      </c>
      <c r="O343" s="1" t="s">
        <v>53</v>
      </c>
      <c r="P343" s="8">
        <v>1275</v>
      </c>
      <c r="Q343" s="17">
        <f>+L343*P343</f>
        <v>25500</v>
      </c>
      <c r="R343" s="9">
        <v>180</v>
      </c>
      <c r="S343" s="9">
        <v>0</v>
      </c>
      <c r="T343" s="9">
        <v>0</v>
      </c>
      <c r="U343" s="10">
        <v>0</v>
      </c>
      <c r="V343" s="1" t="s">
        <v>46</v>
      </c>
      <c r="W343" s="1" t="s">
        <v>75</v>
      </c>
      <c r="X343" s="1">
        <v>2764971</v>
      </c>
      <c r="Y343" s="11">
        <v>41775</v>
      </c>
      <c r="Z343" s="11">
        <v>41778</v>
      </c>
      <c r="AA343" s="9">
        <f>Q343-R343-S343</f>
        <v>25320</v>
      </c>
      <c r="AB343" s="12">
        <v>59.1</v>
      </c>
      <c r="AC343" s="9">
        <f>+Q343*AB343</f>
        <v>1507050</v>
      </c>
      <c r="AD343" s="9">
        <f>+AA343*AB343</f>
        <v>1496412</v>
      </c>
      <c r="AE343" s="1" t="s">
        <v>51</v>
      </c>
      <c r="AF343" s="1" t="s">
        <v>53</v>
      </c>
      <c r="AG343" s="4">
        <f t="shared" si="35"/>
        <v>25500</v>
      </c>
      <c r="AH343" s="10">
        <v>25500</v>
      </c>
      <c r="AI343" s="10">
        <v>180</v>
      </c>
      <c r="AJ343" s="10">
        <v>0</v>
      </c>
      <c r="AK343" s="10">
        <v>0</v>
      </c>
      <c r="AL343" s="9">
        <f t="shared" si="36"/>
        <v>25320</v>
      </c>
      <c r="AM343" s="1"/>
      <c r="AN343" s="1"/>
      <c r="AO343" s="12" t="e">
        <f>AB343/#REF!</f>
        <v>#REF!</v>
      </c>
      <c r="AP343" s="1" t="s">
        <v>1645</v>
      </c>
      <c r="AQ343" s="11">
        <v>41814</v>
      </c>
      <c r="AR343" s="1" t="s">
        <v>1646</v>
      </c>
      <c r="AS343" s="11">
        <v>41844</v>
      </c>
      <c r="AT343" s="1" t="s">
        <v>49</v>
      </c>
      <c r="AU343" s="1" t="s">
        <v>4171</v>
      </c>
    </row>
    <row r="344" spans="1:47" ht="15" customHeight="1" x14ac:dyDescent="0.25">
      <c r="A344" s="1">
        <v>343</v>
      </c>
      <c r="B344" s="1" t="s">
        <v>1258</v>
      </c>
      <c r="C344" s="1" t="s">
        <v>38</v>
      </c>
      <c r="D344" s="1">
        <v>9103550186</v>
      </c>
      <c r="E344" s="5">
        <v>41782</v>
      </c>
      <c r="F344" s="1" t="s">
        <v>324</v>
      </c>
      <c r="G344" s="1" t="s">
        <v>40</v>
      </c>
      <c r="H344" s="1" t="s">
        <v>41</v>
      </c>
      <c r="I344" s="1" t="s">
        <v>2809</v>
      </c>
      <c r="J344" s="1" t="s">
        <v>830</v>
      </c>
      <c r="K344" s="1">
        <v>29051700</v>
      </c>
      <c r="L344" s="6">
        <v>16.8</v>
      </c>
      <c r="M344" s="1" t="s">
        <v>70</v>
      </c>
      <c r="N344" s="7" t="s">
        <v>44</v>
      </c>
      <c r="O344" s="1" t="s">
        <v>53</v>
      </c>
      <c r="P344" s="8">
        <v>1660</v>
      </c>
      <c r="Q344" s="17">
        <f>+L344*P344</f>
        <v>27888</v>
      </c>
      <c r="R344" s="9">
        <v>165.85</v>
      </c>
      <c r="S344" s="9">
        <v>3.99</v>
      </c>
      <c r="T344" s="9">
        <v>0</v>
      </c>
      <c r="U344" s="10">
        <v>0</v>
      </c>
      <c r="V344" s="1" t="s">
        <v>46</v>
      </c>
      <c r="W344" s="1" t="s">
        <v>64</v>
      </c>
      <c r="X344" s="1">
        <v>2765351</v>
      </c>
      <c r="Y344" s="11">
        <v>41775</v>
      </c>
      <c r="Z344" s="11">
        <v>41776</v>
      </c>
      <c r="AA344" s="9">
        <f>Q344-R344-S344</f>
        <v>27718.16</v>
      </c>
      <c r="AB344" s="12">
        <v>59.1</v>
      </c>
      <c r="AC344" s="9">
        <f>+Q344*AB344</f>
        <v>1648180.8</v>
      </c>
      <c r="AD344" s="9">
        <f>+AA344*AB344</f>
        <v>1638143.2560000001</v>
      </c>
      <c r="AE344" s="1" t="s">
        <v>48</v>
      </c>
      <c r="AF344" s="1" t="s">
        <v>53</v>
      </c>
      <c r="AG344" s="4">
        <f t="shared" si="35"/>
        <v>27888</v>
      </c>
      <c r="AH344" s="10">
        <v>27888</v>
      </c>
      <c r="AI344" s="10">
        <v>109.89</v>
      </c>
      <c r="AJ344" s="10">
        <v>5.56</v>
      </c>
      <c r="AK344" s="10">
        <v>0</v>
      </c>
      <c r="AL344" s="9">
        <f t="shared" si="36"/>
        <v>27772.55</v>
      </c>
      <c r="AM344" s="1"/>
      <c r="AN344" s="1"/>
      <c r="AO344" s="12" t="e">
        <f>AB344/#REF!</f>
        <v>#REF!</v>
      </c>
      <c r="AP344" s="1" t="s">
        <v>1647</v>
      </c>
      <c r="AQ344" s="11">
        <v>41807</v>
      </c>
      <c r="AR344" s="1" t="s">
        <v>1648</v>
      </c>
      <c r="AS344" s="11">
        <v>41808</v>
      </c>
      <c r="AT344" s="1" t="s">
        <v>49</v>
      </c>
      <c r="AU344" s="1" t="s">
        <v>4171</v>
      </c>
    </row>
    <row r="345" spans="1:47" ht="15" customHeight="1" x14ac:dyDescent="0.25">
      <c r="A345" s="1">
        <v>344</v>
      </c>
      <c r="B345" s="1" t="s">
        <v>1258</v>
      </c>
      <c r="C345" s="1" t="s">
        <v>38</v>
      </c>
      <c r="D345" s="1">
        <v>9103550186</v>
      </c>
      <c r="E345" s="5">
        <v>41782</v>
      </c>
      <c r="F345" s="1" t="s">
        <v>324</v>
      </c>
      <c r="G345" s="1" t="s">
        <v>40</v>
      </c>
      <c r="H345" s="1" t="s">
        <v>41</v>
      </c>
      <c r="I345" s="1" t="s">
        <v>2809</v>
      </c>
      <c r="J345" s="1" t="s">
        <v>830</v>
      </c>
      <c r="K345" s="1">
        <v>29051700</v>
      </c>
      <c r="L345" s="6">
        <v>6.6</v>
      </c>
      <c r="M345" s="1" t="s">
        <v>70</v>
      </c>
      <c r="N345" s="7" t="s">
        <v>44</v>
      </c>
      <c r="O345" s="1" t="s">
        <v>53</v>
      </c>
      <c r="P345" s="8">
        <v>1850</v>
      </c>
      <c r="Q345" s="17">
        <f>+L345*P345</f>
        <v>12210</v>
      </c>
      <c r="R345" s="9">
        <v>65.150000000000006</v>
      </c>
      <c r="S345" s="9">
        <v>1.74</v>
      </c>
      <c r="T345" s="9">
        <v>0</v>
      </c>
      <c r="U345" s="10">
        <v>0</v>
      </c>
      <c r="V345" s="1" t="s">
        <v>46</v>
      </c>
      <c r="W345" s="1" t="s">
        <v>64</v>
      </c>
      <c r="X345" s="1">
        <v>2765351</v>
      </c>
      <c r="Y345" s="11">
        <v>41775</v>
      </c>
      <c r="Z345" s="11">
        <v>41776</v>
      </c>
      <c r="AA345" s="9">
        <f>Q345-R345-S345</f>
        <v>12143.11</v>
      </c>
      <c r="AB345" s="12">
        <v>59.1</v>
      </c>
      <c r="AC345" s="9">
        <f>+Q345*AB345</f>
        <v>721611</v>
      </c>
      <c r="AD345" s="9">
        <f>+AA345*AB345</f>
        <v>717657.80100000009</v>
      </c>
      <c r="AE345" s="1" t="s">
        <v>48</v>
      </c>
      <c r="AF345" s="1" t="s">
        <v>53</v>
      </c>
      <c r="AG345" s="4">
        <f t="shared" si="35"/>
        <v>12210</v>
      </c>
      <c r="AH345" s="10">
        <v>11954</v>
      </c>
      <c r="AI345" s="10">
        <v>47.11</v>
      </c>
      <c r="AJ345" s="10">
        <v>2.38</v>
      </c>
      <c r="AK345" s="10">
        <v>0</v>
      </c>
      <c r="AL345" s="9">
        <f t="shared" si="36"/>
        <v>11904.51</v>
      </c>
      <c r="AM345" s="1"/>
      <c r="AN345" s="1"/>
      <c r="AO345" s="12" t="e">
        <f>AB345/#REF!</f>
        <v>#REF!</v>
      </c>
      <c r="AP345" s="1" t="s">
        <v>1647</v>
      </c>
      <c r="AQ345" s="11">
        <v>41807</v>
      </c>
      <c r="AR345" s="1" t="s">
        <v>1648</v>
      </c>
      <c r="AS345" s="11">
        <v>41808</v>
      </c>
      <c r="AT345" s="1" t="s">
        <v>49</v>
      </c>
      <c r="AU345" s="1" t="s">
        <v>4171</v>
      </c>
    </row>
    <row r="346" spans="1:47" ht="15" customHeight="1" x14ac:dyDescent="0.25">
      <c r="A346" s="1">
        <v>345</v>
      </c>
      <c r="B346" s="1" t="s">
        <v>1258</v>
      </c>
      <c r="C346" s="1" t="s">
        <v>38</v>
      </c>
      <c r="D346" s="1">
        <v>9103550187</v>
      </c>
      <c r="E346" s="5">
        <v>41778</v>
      </c>
      <c r="F346" s="1" t="s">
        <v>323</v>
      </c>
      <c r="G346" s="1" t="s">
        <v>40</v>
      </c>
      <c r="H346" s="1" t="s">
        <v>41</v>
      </c>
      <c r="I346" s="1" t="s">
        <v>2809</v>
      </c>
      <c r="J346" s="1" t="s">
        <v>267</v>
      </c>
      <c r="K346" s="1">
        <v>29051700</v>
      </c>
      <c r="L346" s="6">
        <v>6</v>
      </c>
      <c r="M346" s="1" t="s">
        <v>70</v>
      </c>
      <c r="N346" s="7" t="s">
        <v>52</v>
      </c>
      <c r="O346" s="1" t="s">
        <v>53</v>
      </c>
      <c r="P346" s="8">
        <v>2150</v>
      </c>
      <c r="Q346" s="17">
        <f>+L346*P346</f>
        <v>12900</v>
      </c>
      <c r="R346" s="9">
        <v>600</v>
      </c>
      <c r="S346" s="9">
        <v>0</v>
      </c>
      <c r="T346" s="9">
        <v>0</v>
      </c>
      <c r="U346" s="10">
        <v>0</v>
      </c>
      <c r="V346" s="1" t="s">
        <v>46</v>
      </c>
      <c r="W346" s="1" t="s">
        <v>329</v>
      </c>
      <c r="X346" s="1">
        <v>2764970</v>
      </c>
      <c r="Y346" s="11">
        <v>41775</v>
      </c>
      <c r="Z346" s="11">
        <v>41776</v>
      </c>
      <c r="AA346" s="9">
        <f>Q346-R346-S346</f>
        <v>12300</v>
      </c>
      <c r="AB346" s="12">
        <v>59.1</v>
      </c>
      <c r="AC346" s="9">
        <f>+Q346*AB346</f>
        <v>762390</v>
      </c>
      <c r="AD346" s="9">
        <f>+AA346*AB346</f>
        <v>726930</v>
      </c>
      <c r="AE346" s="1" t="s">
        <v>48</v>
      </c>
      <c r="AF346" s="1" t="s">
        <v>53</v>
      </c>
      <c r="AG346" s="4">
        <f t="shared" si="35"/>
        <v>12900</v>
      </c>
      <c r="AH346" s="10">
        <v>12900</v>
      </c>
      <c r="AI346" s="10">
        <v>630.72</v>
      </c>
      <c r="AJ346" s="10">
        <v>0</v>
      </c>
      <c r="AK346" s="10">
        <v>0</v>
      </c>
      <c r="AL346" s="9">
        <f t="shared" si="36"/>
        <v>12269.28</v>
      </c>
      <c r="AM346" s="1"/>
      <c r="AN346" s="1"/>
      <c r="AO346" s="12" t="e">
        <f>AB346/#REF!</f>
        <v>#REF!</v>
      </c>
      <c r="AP346" s="1" t="s">
        <v>1649</v>
      </c>
      <c r="AQ346" s="11">
        <v>41848</v>
      </c>
      <c r="AR346" s="1" t="s">
        <v>1650</v>
      </c>
      <c r="AS346" s="11">
        <v>41850</v>
      </c>
      <c r="AT346" s="1" t="s">
        <v>49</v>
      </c>
      <c r="AU346" s="1" t="s">
        <v>4171</v>
      </c>
    </row>
    <row r="347" spans="1:47" ht="15" customHeight="1" x14ac:dyDescent="0.25">
      <c r="A347" s="1">
        <v>346</v>
      </c>
      <c r="B347" s="1" t="s">
        <v>1258</v>
      </c>
      <c r="C347" s="1" t="s">
        <v>38</v>
      </c>
      <c r="D347" s="1">
        <v>9103550187</v>
      </c>
      <c r="E347" s="5">
        <v>41778</v>
      </c>
      <c r="F347" s="1" t="s">
        <v>323</v>
      </c>
      <c r="G347" s="1" t="s">
        <v>40</v>
      </c>
      <c r="H347" s="1" t="s">
        <v>41</v>
      </c>
      <c r="I347" s="1" t="s">
        <v>2809</v>
      </c>
      <c r="J347" s="1" t="s">
        <v>267</v>
      </c>
      <c r="K347" s="1">
        <v>38237090</v>
      </c>
      <c r="L347" s="6">
        <v>6</v>
      </c>
      <c r="M347" s="1" t="s">
        <v>70</v>
      </c>
      <c r="N347" s="7" t="s">
        <v>52</v>
      </c>
      <c r="O347" s="1" t="s">
        <v>53</v>
      </c>
      <c r="P347" s="8">
        <v>1850</v>
      </c>
      <c r="Q347" s="17">
        <f t="shared" ref="Q347:Q372" si="41">+L347*P347</f>
        <v>11100</v>
      </c>
      <c r="R347" s="9">
        <v>600</v>
      </c>
      <c r="S347" s="9">
        <v>0</v>
      </c>
      <c r="T347" s="9">
        <v>0</v>
      </c>
      <c r="U347" s="10">
        <v>0</v>
      </c>
      <c r="V347" s="1" t="s">
        <v>46</v>
      </c>
      <c r="W347" s="1" t="s">
        <v>329</v>
      </c>
      <c r="X347" s="1">
        <v>2764970</v>
      </c>
      <c r="Y347" s="11">
        <v>41775</v>
      </c>
      <c r="Z347" s="11">
        <v>41776</v>
      </c>
      <c r="AA347" s="9">
        <f t="shared" ref="AA347:AA372" si="42">Q347-R347-S347</f>
        <v>10500</v>
      </c>
      <c r="AB347" s="12">
        <v>59.1</v>
      </c>
      <c r="AC347" s="9">
        <f t="shared" ref="AC347:AC372" si="43">+Q347*AB347</f>
        <v>656010</v>
      </c>
      <c r="AD347" s="9">
        <f t="shared" ref="AD347:AD372" si="44">+AA347*AB347</f>
        <v>620550</v>
      </c>
      <c r="AE347" s="1" t="s">
        <v>48</v>
      </c>
      <c r="AF347" s="1" t="s">
        <v>53</v>
      </c>
      <c r="AG347" s="4">
        <f t="shared" si="35"/>
        <v>11100</v>
      </c>
      <c r="AH347" s="10">
        <v>10825</v>
      </c>
      <c r="AI347" s="10">
        <v>529.28</v>
      </c>
      <c r="AJ347" s="10">
        <v>0</v>
      </c>
      <c r="AK347" s="10">
        <v>0</v>
      </c>
      <c r="AL347" s="9">
        <f t="shared" si="36"/>
        <v>10295.719999999999</v>
      </c>
      <c r="AM347" s="1"/>
      <c r="AN347" s="1"/>
      <c r="AO347" s="12" t="e">
        <f>AB347/#REF!</f>
        <v>#REF!</v>
      </c>
      <c r="AP347" s="1" t="s">
        <v>1649</v>
      </c>
      <c r="AQ347" s="11">
        <v>41848</v>
      </c>
      <c r="AR347" s="1" t="s">
        <v>1650</v>
      </c>
      <c r="AS347" s="11">
        <v>41850</v>
      </c>
      <c r="AT347" s="1" t="s">
        <v>49</v>
      </c>
      <c r="AU347" s="1" t="s">
        <v>4171</v>
      </c>
    </row>
    <row r="348" spans="1:47" ht="15" customHeight="1" x14ac:dyDescent="0.25">
      <c r="A348" s="1">
        <v>347</v>
      </c>
      <c r="B348" s="1" t="s">
        <v>1258</v>
      </c>
      <c r="C348" s="1" t="s">
        <v>38</v>
      </c>
      <c r="D348" s="1">
        <v>9103550188</v>
      </c>
      <c r="E348" s="5">
        <v>41786</v>
      </c>
      <c r="F348" s="1" t="s">
        <v>328</v>
      </c>
      <c r="G348" s="1" t="s">
        <v>40</v>
      </c>
      <c r="H348" s="1" t="s">
        <v>41</v>
      </c>
      <c r="I348" s="1" t="s">
        <v>2809</v>
      </c>
      <c r="J348" s="1" t="s">
        <v>200</v>
      </c>
      <c r="K348" s="1">
        <v>38231900</v>
      </c>
      <c r="L348" s="6">
        <v>38.72</v>
      </c>
      <c r="M348" s="1" t="s">
        <v>70</v>
      </c>
      <c r="N348" s="7" t="s">
        <v>44</v>
      </c>
      <c r="O348" s="1" t="s">
        <v>53</v>
      </c>
      <c r="P348" s="8">
        <v>1730</v>
      </c>
      <c r="Q348" s="17">
        <f t="shared" si="41"/>
        <v>66985.599999999991</v>
      </c>
      <c r="R348" s="9">
        <v>3000</v>
      </c>
      <c r="S348" s="9">
        <v>9.58</v>
      </c>
      <c r="T348" s="9">
        <v>0</v>
      </c>
      <c r="U348" s="10">
        <v>0</v>
      </c>
      <c r="V348" s="1" t="s">
        <v>46</v>
      </c>
      <c r="W348" s="1" t="s">
        <v>59</v>
      </c>
      <c r="X348" s="1">
        <v>2777404</v>
      </c>
      <c r="Y348" s="11">
        <v>41776</v>
      </c>
      <c r="Z348" s="11">
        <v>41779</v>
      </c>
      <c r="AA348" s="9">
        <f t="shared" si="42"/>
        <v>63976.01999999999</v>
      </c>
      <c r="AB348" s="12">
        <v>59.1</v>
      </c>
      <c r="AC348" s="9">
        <f t="shared" si="43"/>
        <v>3958848.9599999995</v>
      </c>
      <c r="AD348" s="9">
        <f t="shared" si="44"/>
        <v>3780982.7819999997</v>
      </c>
      <c r="AE348" s="1" t="s">
        <v>51</v>
      </c>
      <c r="AF348" s="1" t="s">
        <v>53</v>
      </c>
      <c r="AG348" s="4">
        <f t="shared" si="35"/>
        <v>66985.599999999991</v>
      </c>
      <c r="AH348" s="10">
        <v>66985</v>
      </c>
      <c r="AI348" s="10">
        <v>2600</v>
      </c>
      <c r="AJ348" s="10">
        <v>9.58</v>
      </c>
      <c r="AK348" s="10">
        <v>0</v>
      </c>
      <c r="AL348" s="9">
        <f t="shared" si="36"/>
        <v>64375.42</v>
      </c>
      <c r="AM348" s="1"/>
      <c r="AN348" s="1"/>
      <c r="AO348" s="12" t="e">
        <f>AB348/#REF!</f>
        <v>#REF!</v>
      </c>
      <c r="AP348" s="1" t="s">
        <v>1651</v>
      </c>
      <c r="AQ348" s="11">
        <v>41820</v>
      </c>
      <c r="AR348" s="1" t="s">
        <v>1652</v>
      </c>
      <c r="AS348" s="11">
        <v>41832</v>
      </c>
      <c r="AT348" s="1" t="s">
        <v>49</v>
      </c>
      <c r="AU348" s="1" t="s">
        <v>4171</v>
      </c>
    </row>
    <row r="349" spans="1:47" ht="15" customHeight="1" x14ac:dyDescent="0.25">
      <c r="A349" s="1">
        <v>348</v>
      </c>
      <c r="B349" s="1" t="s">
        <v>1258</v>
      </c>
      <c r="C349" s="1" t="s">
        <v>38</v>
      </c>
      <c r="D349" s="1" t="s">
        <v>1653</v>
      </c>
      <c r="E349" s="5">
        <v>41782</v>
      </c>
      <c r="F349" s="1" t="s">
        <v>322</v>
      </c>
      <c r="G349" s="1" t="s">
        <v>40</v>
      </c>
      <c r="H349" s="1" t="s">
        <v>41</v>
      </c>
      <c r="I349" s="1" t="s">
        <v>2809</v>
      </c>
      <c r="J349" s="1" t="s">
        <v>63</v>
      </c>
      <c r="K349" s="1">
        <v>29161990</v>
      </c>
      <c r="L349" s="6">
        <v>19.690000000000001</v>
      </c>
      <c r="M349" s="1" t="s">
        <v>70</v>
      </c>
      <c r="N349" s="7" t="s">
        <v>44</v>
      </c>
      <c r="O349" s="1" t="s">
        <v>53</v>
      </c>
      <c r="P349" s="8">
        <v>2765</v>
      </c>
      <c r="Q349" s="17">
        <f t="shared" si="41"/>
        <v>54442.850000000006</v>
      </c>
      <c r="R349" s="9">
        <v>560</v>
      </c>
      <c r="S349" s="9">
        <v>7.79</v>
      </c>
      <c r="T349" s="9">
        <v>0</v>
      </c>
      <c r="U349" s="10">
        <v>0</v>
      </c>
      <c r="V349" s="1" t="s">
        <v>46</v>
      </c>
      <c r="W349" s="1" t="s">
        <v>64</v>
      </c>
      <c r="X349" s="1">
        <v>2759031</v>
      </c>
      <c r="Y349" s="11">
        <v>41775</v>
      </c>
      <c r="Z349" s="11">
        <v>41776</v>
      </c>
      <c r="AA349" s="9">
        <f t="shared" si="42"/>
        <v>53875.060000000005</v>
      </c>
      <c r="AB349" s="12">
        <v>59.1</v>
      </c>
      <c r="AC349" s="9">
        <f t="shared" si="43"/>
        <v>3217572.4350000005</v>
      </c>
      <c r="AD349" s="9">
        <f t="shared" si="44"/>
        <v>3184016.0460000006</v>
      </c>
      <c r="AE349" s="1" t="s">
        <v>51</v>
      </c>
      <c r="AF349" s="1" t="s">
        <v>53</v>
      </c>
      <c r="AG349" s="4">
        <f t="shared" si="35"/>
        <v>54442.850000000006</v>
      </c>
      <c r="AH349" s="10">
        <v>54442</v>
      </c>
      <c r="AI349" s="9">
        <v>560</v>
      </c>
      <c r="AJ349" s="9">
        <v>7.79</v>
      </c>
      <c r="AK349" s="10">
        <v>0</v>
      </c>
      <c r="AL349" s="9">
        <f t="shared" si="36"/>
        <v>53874.21</v>
      </c>
      <c r="AM349" s="1"/>
      <c r="AN349" s="1"/>
      <c r="AO349" s="12" t="e">
        <f>AB349/#REF!</f>
        <v>#REF!</v>
      </c>
      <c r="AP349" s="1" t="s">
        <v>1654</v>
      </c>
      <c r="AQ349" s="11">
        <v>41814</v>
      </c>
      <c r="AR349" s="1" t="s">
        <v>1655</v>
      </c>
      <c r="AS349" s="11">
        <v>41844</v>
      </c>
      <c r="AT349" s="1" t="s">
        <v>49</v>
      </c>
      <c r="AU349" s="1" t="s">
        <v>4171</v>
      </c>
    </row>
    <row r="350" spans="1:47" ht="15" customHeight="1" x14ac:dyDescent="0.25">
      <c r="A350" s="1">
        <v>349</v>
      </c>
      <c r="B350" s="1" t="s">
        <v>1258</v>
      </c>
      <c r="C350" s="1" t="s">
        <v>38</v>
      </c>
      <c r="D350" s="1" t="s">
        <v>1653</v>
      </c>
      <c r="E350" s="5">
        <v>41782</v>
      </c>
      <c r="F350" s="1" t="s">
        <v>326</v>
      </c>
      <c r="G350" s="1" t="s">
        <v>40</v>
      </c>
      <c r="H350" s="1" t="s">
        <v>41</v>
      </c>
      <c r="I350" s="1" t="s">
        <v>2809</v>
      </c>
      <c r="J350" s="1" t="s">
        <v>63</v>
      </c>
      <c r="K350" s="1">
        <v>29161990</v>
      </c>
      <c r="L350" s="6">
        <v>19.75</v>
      </c>
      <c r="M350" s="1" t="s">
        <v>70</v>
      </c>
      <c r="N350" s="7" t="s">
        <v>44</v>
      </c>
      <c r="O350" s="1" t="s">
        <v>53</v>
      </c>
      <c r="P350" s="8">
        <v>2765</v>
      </c>
      <c r="Q350" s="17">
        <f t="shared" si="41"/>
        <v>54608.75</v>
      </c>
      <c r="R350" s="9">
        <v>560</v>
      </c>
      <c r="S350" s="9">
        <v>7.81</v>
      </c>
      <c r="T350" s="9">
        <v>0</v>
      </c>
      <c r="U350" s="10">
        <v>0</v>
      </c>
      <c r="V350" s="1" t="s">
        <v>46</v>
      </c>
      <c r="W350" s="1" t="s">
        <v>64</v>
      </c>
      <c r="X350" s="1">
        <v>2777343</v>
      </c>
      <c r="Y350" s="11">
        <v>41776</v>
      </c>
      <c r="Z350" s="11">
        <v>41778</v>
      </c>
      <c r="AA350" s="9">
        <f t="shared" si="42"/>
        <v>54040.94</v>
      </c>
      <c r="AB350" s="12">
        <v>59.1</v>
      </c>
      <c r="AC350" s="9">
        <f t="shared" si="43"/>
        <v>3227377.125</v>
      </c>
      <c r="AD350" s="9">
        <f t="shared" si="44"/>
        <v>3193819.554</v>
      </c>
      <c r="AE350" s="1" t="s">
        <v>51</v>
      </c>
      <c r="AF350" s="1" t="s">
        <v>53</v>
      </c>
      <c r="AG350" s="4">
        <f t="shared" si="35"/>
        <v>54608.75</v>
      </c>
      <c r="AH350" s="10">
        <v>54608</v>
      </c>
      <c r="AI350" s="9">
        <v>560</v>
      </c>
      <c r="AJ350" s="9">
        <v>7.81</v>
      </c>
      <c r="AK350" s="10">
        <v>0</v>
      </c>
      <c r="AL350" s="9">
        <f t="shared" si="36"/>
        <v>54040.19</v>
      </c>
      <c r="AM350" s="1"/>
      <c r="AN350" s="1"/>
      <c r="AO350" s="12" t="e">
        <f>AB350/#REF!</f>
        <v>#REF!</v>
      </c>
      <c r="AP350" s="1" t="s">
        <v>1654</v>
      </c>
      <c r="AQ350" s="11">
        <v>41800</v>
      </c>
      <c r="AR350" s="1" t="s">
        <v>1656</v>
      </c>
      <c r="AS350" s="11">
        <v>41844</v>
      </c>
      <c r="AT350" s="1" t="s">
        <v>49</v>
      </c>
      <c r="AU350" s="1" t="s">
        <v>4171</v>
      </c>
    </row>
    <row r="351" spans="1:47" ht="15" customHeight="1" x14ac:dyDescent="0.25">
      <c r="A351" s="1">
        <v>350</v>
      </c>
      <c r="B351" s="1" t="s">
        <v>1258</v>
      </c>
      <c r="C351" s="1" t="s">
        <v>38</v>
      </c>
      <c r="D351" s="1">
        <v>9103550191</v>
      </c>
      <c r="E351" s="5">
        <v>41774</v>
      </c>
      <c r="F351" s="1" t="s">
        <v>286</v>
      </c>
      <c r="G351" s="1" t="s">
        <v>40</v>
      </c>
      <c r="H351" s="1" t="s">
        <v>41</v>
      </c>
      <c r="I351" s="1" t="s">
        <v>2809</v>
      </c>
      <c r="J351" s="1" t="s">
        <v>55</v>
      </c>
      <c r="K351" s="1">
        <v>29051700</v>
      </c>
      <c r="L351" s="6">
        <v>0.1</v>
      </c>
      <c r="M351" s="1" t="s">
        <v>70</v>
      </c>
      <c r="N351" s="7" t="s">
        <v>44</v>
      </c>
      <c r="O351" s="1" t="s">
        <v>53</v>
      </c>
      <c r="P351" s="8">
        <v>5370</v>
      </c>
      <c r="Q351" s="17">
        <f t="shared" si="41"/>
        <v>537</v>
      </c>
      <c r="R351" s="9">
        <v>0</v>
      </c>
      <c r="S351" s="9">
        <v>9.16</v>
      </c>
      <c r="T351" s="9">
        <v>0</v>
      </c>
      <c r="U351" s="10">
        <v>0</v>
      </c>
      <c r="V351" s="1" t="s">
        <v>46</v>
      </c>
      <c r="W351" s="1" t="s">
        <v>56</v>
      </c>
      <c r="X351" s="1">
        <v>2699105</v>
      </c>
      <c r="Y351" s="11">
        <v>41772</v>
      </c>
      <c r="Z351" s="11">
        <v>41774</v>
      </c>
      <c r="AA351" s="9">
        <f t="shared" si="42"/>
        <v>527.84</v>
      </c>
      <c r="AB351" s="12">
        <v>59.85</v>
      </c>
      <c r="AC351" s="9">
        <f t="shared" si="43"/>
        <v>32139.45</v>
      </c>
      <c r="AD351" s="9">
        <f t="shared" si="44"/>
        <v>31591.224000000002</v>
      </c>
      <c r="AE351" s="1" t="s">
        <v>48</v>
      </c>
      <c r="AF351" s="1" t="s">
        <v>53</v>
      </c>
      <c r="AG351" s="4">
        <f t="shared" si="35"/>
        <v>537</v>
      </c>
      <c r="AH351" s="10">
        <v>537</v>
      </c>
      <c r="AI351" s="10">
        <v>387.39</v>
      </c>
      <c r="AJ351" s="10">
        <v>7.0000000000000007E-2</v>
      </c>
      <c r="AK351" s="10">
        <v>0</v>
      </c>
      <c r="AL351" s="9">
        <f t="shared" si="36"/>
        <v>149.54000000000002</v>
      </c>
      <c r="AM351" s="1"/>
      <c r="AN351" s="1"/>
      <c r="AO351" s="12" t="e">
        <f>AB351/#REF!</f>
        <v>#REF!</v>
      </c>
      <c r="AP351" s="1" t="s">
        <v>1657</v>
      </c>
      <c r="AQ351" s="11">
        <v>41810</v>
      </c>
      <c r="AR351" s="1" t="s">
        <v>1658</v>
      </c>
      <c r="AS351" s="11">
        <v>41811</v>
      </c>
      <c r="AT351" s="1" t="s">
        <v>49</v>
      </c>
      <c r="AU351" s="1" t="s">
        <v>4171</v>
      </c>
    </row>
    <row r="352" spans="1:47" ht="15" customHeight="1" x14ac:dyDescent="0.25">
      <c r="A352" s="1">
        <v>351</v>
      </c>
      <c r="B352" s="1" t="s">
        <v>1258</v>
      </c>
      <c r="C352" s="1" t="s">
        <v>38</v>
      </c>
      <c r="D352" s="1">
        <v>9103550191</v>
      </c>
      <c r="E352" s="5">
        <v>41774</v>
      </c>
      <c r="F352" s="1" t="s">
        <v>286</v>
      </c>
      <c r="G352" s="1" t="s">
        <v>40</v>
      </c>
      <c r="H352" s="1" t="s">
        <v>41</v>
      </c>
      <c r="I352" s="1" t="s">
        <v>2809</v>
      </c>
      <c r="J352" s="1" t="s">
        <v>55</v>
      </c>
      <c r="K352" s="1">
        <v>29051700</v>
      </c>
      <c r="L352" s="6">
        <v>0.11</v>
      </c>
      <c r="M352" s="1" t="s">
        <v>70</v>
      </c>
      <c r="N352" s="7" t="s">
        <v>44</v>
      </c>
      <c r="O352" s="1" t="s">
        <v>53</v>
      </c>
      <c r="P352" s="8">
        <v>5370</v>
      </c>
      <c r="Q352" s="17">
        <f t="shared" si="41"/>
        <v>590.70000000000005</v>
      </c>
      <c r="R352" s="9">
        <v>0</v>
      </c>
      <c r="S352" s="9">
        <v>10.06</v>
      </c>
      <c r="T352" s="9">
        <v>0</v>
      </c>
      <c r="U352" s="10">
        <v>0</v>
      </c>
      <c r="V352" s="1" t="s">
        <v>46</v>
      </c>
      <c r="W352" s="1" t="s">
        <v>56</v>
      </c>
      <c r="X352" s="1">
        <v>2699105</v>
      </c>
      <c r="Y352" s="11">
        <v>41772</v>
      </c>
      <c r="Z352" s="11">
        <v>41774</v>
      </c>
      <c r="AA352" s="9">
        <f t="shared" si="42"/>
        <v>580.6400000000001</v>
      </c>
      <c r="AB352" s="12">
        <v>59.85</v>
      </c>
      <c r="AC352" s="9">
        <f t="shared" si="43"/>
        <v>35353.395000000004</v>
      </c>
      <c r="AD352" s="9">
        <f t="shared" si="44"/>
        <v>34751.304000000004</v>
      </c>
      <c r="AE352" s="1" t="s">
        <v>48</v>
      </c>
      <c r="AF352" s="1" t="s">
        <v>53</v>
      </c>
      <c r="AG352" s="4">
        <f t="shared" si="35"/>
        <v>590.70000000000005</v>
      </c>
      <c r="AH352" s="10">
        <v>590.70000000000005</v>
      </c>
      <c r="AI352" s="10">
        <v>426.13</v>
      </c>
      <c r="AJ352" s="10">
        <v>0.1</v>
      </c>
      <c r="AK352" s="10">
        <v>0</v>
      </c>
      <c r="AL352" s="9">
        <f t="shared" si="36"/>
        <v>164.47000000000003</v>
      </c>
      <c r="AM352" s="1"/>
      <c r="AN352" s="1"/>
      <c r="AO352" s="12" t="e">
        <f>AB352/#REF!</f>
        <v>#REF!</v>
      </c>
      <c r="AP352" s="1" t="s">
        <v>1657</v>
      </c>
      <c r="AQ352" s="11">
        <v>41810</v>
      </c>
      <c r="AR352" s="1" t="s">
        <v>1658</v>
      </c>
      <c r="AS352" s="11">
        <v>41811</v>
      </c>
      <c r="AT352" s="1" t="s">
        <v>49</v>
      </c>
      <c r="AU352" s="1" t="s">
        <v>4171</v>
      </c>
    </row>
    <row r="353" spans="1:47" ht="15" customHeight="1" x14ac:dyDescent="0.25">
      <c r="A353" s="1">
        <v>352</v>
      </c>
      <c r="B353" s="1" t="s">
        <v>1258</v>
      </c>
      <c r="C353" s="1" t="s">
        <v>38</v>
      </c>
      <c r="D353" s="1">
        <v>9103550191</v>
      </c>
      <c r="E353" s="5">
        <v>41774</v>
      </c>
      <c r="F353" s="1" t="s">
        <v>286</v>
      </c>
      <c r="G353" s="1" t="s">
        <v>40</v>
      </c>
      <c r="H353" s="1" t="s">
        <v>41</v>
      </c>
      <c r="I353" s="1" t="s">
        <v>2809</v>
      </c>
      <c r="J353" s="1" t="s">
        <v>55</v>
      </c>
      <c r="K353" s="1">
        <v>29051700</v>
      </c>
      <c r="L353" s="6">
        <v>0.22700000000000001</v>
      </c>
      <c r="M353" s="1" t="s">
        <v>70</v>
      </c>
      <c r="N353" s="7" t="s">
        <v>44</v>
      </c>
      <c r="O353" s="1" t="s">
        <v>53</v>
      </c>
      <c r="P353" s="8">
        <v>5370</v>
      </c>
      <c r="Q353" s="17">
        <v>1217.92</v>
      </c>
      <c r="R353" s="9">
        <v>0</v>
      </c>
      <c r="S353" s="9">
        <v>20.78</v>
      </c>
      <c r="T353" s="9">
        <v>0</v>
      </c>
      <c r="U353" s="10">
        <v>0</v>
      </c>
      <c r="V353" s="1" t="s">
        <v>46</v>
      </c>
      <c r="W353" s="1" t="s">
        <v>56</v>
      </c>
      <c r="X353" s="1">
        <v>2699105</v>
      </c>
      <c r="Y353" s="11">
        <v>41772</v>
      </c>
      <c r="Z353" s="11">
        <v>41774</v>
      </c>
      <c r="AA353" s="9">
        <f t="shared" si="42"/>
        <v>1197.1400000000001</v>
      </c>
      <c r="AB353" s="12">
        <v>59.85</v>
      </c>
      <c r="AC353" s="9">
        <f t="shared" si="43"/>
        <v>72892.512000000002</v>
      </c>
      <c r="AD353" s="9">
        <f t="shared" si="44"/>
        <v>71648.829000000012</v>
      </c>
      <c r="AE353" s="1" t="s">
        <v>48</v>
      </c>
      <c r="AF353" s="1" t="s">
        <v>53</v>
      </c>
      <c r="AG353" s="4">
        <f t="shared" si="35"/>
        <v>1217.92</v>
      </c>
      <c r="AH353" s="10">
        <v>1182.92</v>
      </c>
      <c r="AI353" s="10">
        <v>853.35</v>
      </c>
      <c r="AJ353" s="10">
        <v>0.17</v>
      </c>
      <c r="AK353" s="10">
        <v>0</v>
      </c>
      <c r="AL353" s="9">
        <f t="shared" si="36"/>
        <v>329.40000000000009</v>
      </c>
      <c r="AM353" s="1"/>
      <c r="AN353" s="1"/>
      <c r="AO353" s="12" t="e">
        <f>AB353/#REF!</f>
        <v>#REF!</v>
      </c>
      <c r="AP353" s="1" t="s">
        <v>1657</v>
      </c>
      <c r="AQ353" s="11">
        <v>41810</v>
      </c>
      <c r="AR353" s="1" t="s">
        <v>1658</v>
      </c>
      <c r="AS353" s="11">
        <v>41811</v>
      </c>
      <c r="AT353" s="1" t="s">
        <v>49</v>
      </c>
      <c r="AU353" s="1" t="s">
        <v>4171</v>
      </c>
    </row>
    <row r="354" spans="1:47" ht="15" customHeight="1" x14ac:dyDescent="0.25">
      <c r="A354" s="1">
        <v>353</v>
      </c>
      <c r="B354" s="1" t="s">
        <v>1258</v>
      </c>
      <c r="C354" s="1" t="s">
        <v>38</v>
      </c>
      <c r="D354" s="1">
        <v>9103550192</v>
      </c>
      <c r="E354" s="5">
        <v>41781</v>
      </c>
      <c r="F354" s="1" t="s">
        <v>425</v>
      </c>
      <c r="G354" s="1" t="s">
        <v>40</v>
      </c>
      <c r="H354" s="1" t="s">
        <v>41</v>
      </c>
      <c r="I354" s="1" t="s">
        <v>2809</v>
      </c>
      <c r="J354" s="1" t="s">
        <v>919</v>
      </c>
      <c r="K354" s="1">
        <v>38237090</v>
      </c>
      <c r="L354" s="6">
        <v>88</v>
      </c>
      <c r="M354" s="1" t="s">
        <v>70</v>
      </c>
      <c r="N354" s="7" t="s">
        <v>52</v>
      </c>
      <c r="O354" s="1" t="s">
        <v>53</v>
      </c>
      <c r="P354" s="8">
        <v>1775</v>
      </c>
      <c r="Q354" s="17">
        <f t="shared" si="41"/>
        <v>156200</v>
      </c>
      <c r="R354" s="9">
        <v>7652</v>
      </c>
      <c r="S354" s="9">
        <v>0</v>
      </c>
      <c r="T354" s="9">
        <v>0</v>
      </c>
      <c r="U354" s="10">
        <v>0</v>
      </c>
      <c r="V354" s="1" t="s">
        <v>46</v>
      </c>
      <c r="W354" s="1" t="s">
        <v>243</v>
      </c>
      <c r="X354" s="1">
        <v>2746225</v>
      </c>
      <c r="Y354" s="11">
        <v>41775</v>
      </c>
      <c r="Z354" s="11">
        <v>41776</v>
      </c>
      <c r="AA354" s="9">
        <f t="shared" si="42"/>
        <v>148548</v>
      </c>
      <c r="AB354" s="12">
        <v>59.1</v>
      </c>
      <c r="AC354" s="9">
        <f t="shared" si="43"/>
        <v>9231420</v>
      </c>
      <c r="AD354" s="9">
        <f t="shared" si="44"/>
        <v>8779186.8000000007</v>
      </c>
      <c r="AE354" s="1" t="s">
        <v>48</v>
      </c>
      <c r="AF354" s="1" t="s">
        <v>53</v>
      </c>
      <c r="AG354" s="4">
        <f t="shared" si="35"/>
        <v>156200</v>
      </c>
      <c r="AH354" s="10">
        <v>156048</v>
      </c>
      <c r="AI354" s="10"/>
      <c r="AJ354" s="10"/>
      <c r="AK354" s="10">
        <v>0</v>
      </c>
      <c r="AL354" s="9">
        <f t="shared" si="36"/>
        <v>156048</v>
      </c>
      <c r="AM354" s="1"/>
      <c r="AN354" s="1"/>
      <c r="AO354" s="12" t="e">
        <f>AB354/#REF!</f>
        <v>#REF!</v>
      </c>
      <c r="AP354" s="1" t="s">
        <v>1659</v>
      </c>
      <c r="AQ354" s="11">
        <v>41802</v>
      </c>
      <c r="AR354" s="1" t="s">
        <v>4177</v>
      </c>
      <c r="AS354" s="11" t="s">
        <v>4178</v>
      </c>
      <c r="AT354" s="1" t="s">
        <v>49</v>
      </c>
      <c r="AU354" s="1" t="s">
        <v>4171</v>
      </c>
    </row>
    <row r="355" spans="1:47" ht="15" customHeight="1" x14ac:dyDescent="0.25">
      <c r="A355" s="1">
        <v>354</v>
      </c>
      <c r="B355" s="1" t="s">
        <v>1258</v>
      </c>
      <c r="C355" s="1" t="s">
        <v>38</v>
      </c>
      <c r="D355" s="1">
        <v>9103550193</v>
      </c>
      <c r="E355" s="5">
        <v>41786</v>
      </c>
      <c r="F355" s="1" t="s">
        <v>309</v>
      </c>
      <c r="G355" s="1" t="s">
        <v>40</v>
      </c>
      <c r="H355" s="1" t="s">
        <v>41</v>
      </c>
      <c r="I355" s="1" t="s">
        <v>2809</v>
      </c>
      <c r="J355" s="1" t="s">
        <v>837</v>
      </c>
      <c r="K355" s="1">
        <v>29159020</v>
      </c>
      <c r="L355" s="6">
        <v>19.88</v>
      </c>
      <c r="M355" s="1" t="s">
        <v>70</v>
      </c>
      <c r="N355" s="7" t="s">
        <v>44</v>
      </c>
      <c r="O355" s="1" t="s">
        <v>53</v>
      </c>
      <c r="P355" s="8">
        <v>4650</v>
      </c>
      <c r="Q355" s="17">
        <f t="shared" si="41"/>
        <v>92442</v>
      </c>
      <c r="R355" s="9">
        <v>6650</v>
      </c>
      <c r="S355" s="9">
        <v>13.22</v>
      </c>
      <c r="T355" s="9">
        <v>0</v>
      </c>
      <c r="U355" s="10">
        <v>0</v>
      </c>
      <c r="V355" s="1" t="s">
        <v>46</v>
      </c>
      <c r="W355" s="1" t="s">
        <v>56</v>
      </c>
      <c r="X355" s="1">
        <v>2717444</v>
      </c>
      <c r="Y355" s="11">
        <v>41773</v>
      </c>
      <c r="Z355" s="11">
        <v>41774</v>
      </c>
      <c r="AA355" s="9">
        <f t="shared" si="42"/>
        <v>85778.78</v>
      </c>
      <c r="AB355" s="12">
        <v>59.85</v>
      </c>
      <c r="AC355" s="9">
        <f t="shared" si="43"/>
        <v>5532653.7000000002</v>
      </c>
      <c r="AD355" s="9">
        <f t="shared" si="44"/>
        <v>5133859.983</v>
      </c>
      <c r="AE355" s="1"/>
      <c r="AF355" s="1" t="s">
        <v>53</v>
      </c>
      <c r="AG355" s="4">
        <f t="shared" si="35"/>
        <v>92442</v>
      </c>
      <c r="AH355" s="10">
        <v>92185</v>
      </c>
      <c r="AI355" s="10">
        <v>6250</v>
      </c>
      <c r="AJ355" s="10">
        <v>13.22</v>
      </c>
      <c r="AK355" s="10">
        <v>0</v>
      </c>
      <c r="AL355" s="9">
        <f t="shared" si="36"/>
        <v>85921.78</v>
      </c>
      <c r="AM355" s="1"/>
      <c r="AN355" s="1"/>
      <c r="AO355" s="12" t="e">
        <f>AB355/#REF!</f>
        <v>#REF!</v>
      </c>
      <c r="AP355" s="1" t="s">
        <v>4323</v>
      </c>
      <c r="AQ355" s="11">
        <v>41827</v>
      </c>
      <c r="AR355" s="1"/>
      <c r="AS355" s="1"/>
      <c r="AT355" s="1" t="s">
        <v>49</v>
      </c>
      <c r="AU355" s="1" t="s">
        <v>4321</v>
      </c>
    </row>
    <row r="356" spans="1:47" ht="15" customHeight="1" x14ac:dyDescent="0.25">
      <c r="A356" s="1">
        <v>355</v>
      </c>
      <c r="B356" s="1" t="s">
        <v>1258</v>
      </c>
      <c r="C356" s="1" t="s">
        <v>38</v>
      </c>
      <c r="D356" s="1">
        <v>9103550194</v>
      </c>
      <c r="E356" s="5">
        <v>41783</v>
      </c>
      <c r="F356" s="1" t="s">
        <v>325</v>
      </c>
      <c r="G356" s="1" t="s">
        <v>40</v>
      </c>
      <c r="H356" s="1" t="s">
        <v>41</v>
      </c>
      <c r="I356" s="1" t="s">
        <v>2809</v>
      </c>
      <c r="J356" s="1" t="s">
        <v>961</v>
      </c>
      <c r="K356" s="1">
        <v>38237090</v>
      </c>
      <c r="L356" s="6">
        <v>12</v>
      </c>
      <c r="M356" s="1" t="s">
        <v>70</v>
      </c>
      <c r="N356" s="7" t="s">
        <v>44</v>
      </c>
      <c r="O356" s="1" t="s">
        <v>53</v>
      </c>
      <c r="P356" s="8">
        <v>1680</v>
      </c>
      <c r="Q356" s="17">
        <f t="shared" si="41"/>
        <v>20160</v>
      </c>
      <c r="R356" s="9">
        <v>152</v>
      </c>
      <c r="S356" s="9">
        <v>2.88</v>
      </c>
      <c r="T356" s="9">
        <v>0</v>
      </c>
      <c r="U356" s="10">
        <v>0</v>
      </c>
      <c r="V356" s="1" t="s">
        <v>46</v>
      </c>
      <c r="W356" s="1" t="s">
        <v>72</v>
      </c>
      <c r="X356" s="1">
        <v>2782330</v>
      </c>
      <c r="Y356" s="11">
        <v>41776</v>
      </c>
      <c r="Z356" s="11">
        <v>41778</v>
      </c>
      <c r="AA356" s="9">
        <f t="shared" si="42"/>
        <v>20005.12</v>
      </c>
      <c r="AB356" s="12">
        <v>59.1</v>
      </c>
      <c r="AC356" s="9">
        <f t="shared" si="43"/>
        <v>1191456</v>
      </c>
      <c r="AD356" s="9">
        <f t="shared" si="44"/>
        <v>1182302.5919999999</v>
      </c>
      <c r="AE356" s="1" t="s">
        <v>48</v>
      </c>
      <c r="AF356" s="1" t="s">
        <v>53</v>
      </c>
      <c r="AG356" s="4">
        <f t="shared" si="35"/>
        <v>20160</v>
      </c>
      <c r="AH356" s="10">
        <v>20140</v>
      </c>
      <c r="AI356" s="10">
        <v>142.09</v>
      </c>
      <c r="AJ356" s="10">
        <v>2.83</v>
      </c>
      <c r="AK356" s="10">
        <v>0</v>
      </c>
      <c r="AL356" s="9">
        <f t="shared" si="36"/>
        <v>19995.080000000002</v>
      </c>
      <c r="AM356" s="1"/>
      <c r="AN356" s="1"/>
      <c r="AO356" s="12" t="e">
        <f>AB356/#REF!</f>
        <v>#REF!</v>
      </c>
      <c r="AP356" s="1" t="s">
        <v>1660</v>
      </c>
      <c r="AQ356" s="11">
        <v>41857</v>
      </c>
      <c r="AR356" s="1" t="s">
        <v>1661</v>
      </c>
      <c r="AS356" s="11">
        <v>41858</v>
      </c>
      <c r="AT356" s="1" t="s">
        <v>49</v>
      </c>
      <c r="AU356" s="1" t="s">
        <v>4171</v>
      </c>
    </row>
    <row r="357" spans="1:47" ht="15" customHeight="1" x14ac:dyDescent="0.25">
      <c r="A357" s="1">
        <v>356</v>
      </c>
      <c r="B357" s="1" t="s">
        <v>1258</v>
      </c>
      <c r="C357" s="1" t="s">
        <v>38</v>
      </c>
      <c r="D357" s="1">
        <v>9103550194</v>
      </c>
      <c r="E357" s="5">
        <v>41783</v>
      </c>
      <c r="F357" s="1" t="s">
        <v>325</v>
      </c>
      <c r="G357" s="1" t="s">
        <v>40</v>
      </c>
      <c r="H357" s="1" t="s">
        <v>41</v>
      </c>
      <c r="I357" s="1" t="s">
        <v>2809</v>
      </c>
      <c r="J357" s="1" t="s">
        <v>961</v>
      </c>
      <c r="K357" s="1">
        <v>29051700</v>
      </c>
      <c r="L357" s="6">
        <v>3</v>
      </c>
      <c r="M357" s="1" t="s">
        <v>70</v>
      </c>
      <c r="N357" s="7" t="s">
        <v>44</v>
      </c>
      <c r="O357" s="1" t="s">
        <v>53</v>
      </c>
      <c r="P357" s="8">
        <v>1840</v>
      </c>
      <c r="Q357" s="17">
        <f t="shared" si="41"/>
        <v>5520</v>
      </c>
      <c r="R357" s="9">
        <v>38</v>
      </c>
      <c r="S357" s="9">
        <v>0.79</v>
      </c>
      <c r="T357" s="9">
        <v>0</v>
      </c>
      <c r="U357" s="10">
        <v>0</v>
      </c>
      <c r="V357" s="1" t="s">
        <v>46</v>
      </c>
      <c r="W357" s="1" t="s">
        <v>72</v>
      </c>
      <c r="X357" s="1">
        <v>2782330</v>
      </c>
      <c r="Y357" s="11">
        <v>41776</v>
      </c>
      <c r="Z357" s="11">
        <v>41778</v>
      </c>
      <c r="AA357" s="9">
        <f t="shared" si="42"/>
        <v>5481.21</v>
      </c>
      <c r="AB357" s="12">
        <v>59.1</v>
      </c>
      <c r="AC357" s="9">
        <f t="shared" si="43"/>
        <v>326232</v>
      </c>
      <c r="AD357" s="9">
        <f t="shared" si="44"/>
        <v>323939.511</v>
      </c>
      <c r="AE357" s="1" t="s">
        <v>48</v>
      </c>
      <c r="AF357" s="1" t="s">
        <v>53</v>
      </c>
      <c r="AG357" s="4">
        <f t="shared" si="35"/>
        <v>5520</v>
      </c>
      <c r="AH357" s="10">
        <v>5500</v>
      </c>
      <c r="AI357" s="10">
        <v>38.909999999999997</v>
      </c>
      <c r="AJ357" s="10">
        <v>0.77500000000000002</v>
      </c>
      <c r="AK357" s="10">
        <v>0</v>
      </c>
      <c r="AL357" s="9">
        <f t="shared" si="36"/>
        <v>5460.3149999999996</v>
      </c>
      <c r="AM357" s="1"/>
      <c r="AN357" s="1"/>
      <c r="AO357" s="12" t="e">
        <f>AB357/#REF!</f>
        <v>#REF!</v>
      </c>
      <c r="AP357" s="1" t="s">
        <v>1660</v>
      </c>
      <c r="AQ357" s="11">
        <v>41857</v>
      </c>
      <c r="AR357" s="1" t="s">
        <v>1661</v>
      </c>
      <c r="AS357" s="11">
        <v>41858</v>
      </c>
      <c r="AT357" s="1" t="s">
        <v>49</v>
      </c>
      <c r="AU357" s="1" t="s">
        <v>4171</v>
      </c>
    </row>
    <row r="358" spans="1:47" ht="15" customHeight="1" x14ac:dyDescent="0.25">
      <c r="A358" s="1">
        <v>357</v>
      </c>
      <c r="B358" s="1" t="s">
        <v>1258</v>
      </c>
      <c r="C358" s="1" t="s">
        <v>38</v>
      </c>
      <c r="D358" s="1">
        <v>9103550195</v>
      </c>
      <c r="E358" s="5">
        <v>41783</v>
      </c>
      <c r="F358" s="1" t="s">
        <v>327</v>
      </c>
      <c r="G358" s="1" t="s">
        <v>40</v>
      </c>
      <c r="H358" s="1" t="s">
        <v>41</v>
      </c>
      <c r="I358" s="1" t="s">
        <v>2809</v>
      </c>
      <c r="J358" s="1" t="s">
        <v>55</v>
      </c>
      <c r="K358" s="1">
        <v>29051700</v>
      </c>
      <c r="L358" s="6">
        <v>54.42</v>
      </c>
      <c r="M358" s="1" t="s">
        <v>70</v>
      </c>
      <c r="N358" s="7" t="s">
        <v>44</v>
      </c>
      <c r="O358" s="1" t="s">
        <v>53</v>
      </c>
      <c r="P358" s="8">
        <v>2019</v>
      </c>
      <c r="Q358" s="17">
        <f t="shared" si="41"/>
        <v>109873.98000000001</v>
      </c>
      <c r="R358" s="9">
        <v>10200</v>
      </c>
      <c r="S358" s="9">
        <v>15.71</v>
      </c>
      <c r="T358" s="9">
        <v>0</v>
      </c>
      <c r="U358" s="10">
        <v>0</v>
      </c>
      <c r="V358" s="1" t="s">
        <v>46</v>
      </c>
      <c r="W358" s="1" t="s">
        <v>56</v>
      </c>
      <c r="X358" s="1">
        <v>2781614</v>
      </c>
      <c r="Y358" s="11">
        <v>41776</v>
      </c>
      <c r="Z358" s="11">
        <v>41778</v>
      </c>
      <c r="AA358" s="9">
        <f t="shared" si="42"/>
        <v>99658.27</v>
      </c>
      <c r="AB358" s="12">
        <v>59.1</v>
      </c>
      <c r="AC358" s="9">
        <f t="shared" si="43"/>
        <v>6493552.2180000003</v>
      </c>
      <c r="AD358" s="9">
        <f t="shared" si="44"/>
        <v>5889803.7570000002</v>
      </c>
      <c r="AE358" s="1" t="s">
        <v>51</v>
      </c>
      <c r="AF358" s="1" t="s">
        <v>53</v>
      </c>
      <c r="AG358" s="4">
        <f t="shared" si="35"/>
        <v>109873.98000000001</v>
      </c>
      <c r="AH358" s="10">
        <v>109873</v>
      </c>
      <c r="AI358" s="10">
        <v>9837</v>
      </c>
      <c r="AJ358" s="10">
        <v>15.71</v>
      </c>
      <c r="AK358" s="10">
        <v>0</v>
      </c>
      <c r="AL358" s="9">
        <f t="shared" si="36"/>
        <v>100020.29000000001</v>
      </c>
      <c r="AM358" s="1"/>
      <c r="AN358" s="1"/>
      <c r="AO358" s="12" t="e">
        <f>AB358/#REF!</f>
        <v>#REF!</v>
      </c>
      <c r="AP358" s="1" t="s">
        <v>1662</v>
      </c>
      <c r="AQ358" s="11">
        <v>41822</v>
      </c>
      <c r="AR358" s="1" t="s">
        <v>1663</v>
      </c>
      <c r="AS358" s="11">
        <v>41832</v>
      </c>
      <c r="AT358" s="1" t="s">
        <v>49</v>
      </c>
      <c r="AU358" s="1" t="s">
        <v>4171</v>
      </c>
    </row>
    <row r="359" spans="1:47" ht="15" customHeight="1" x14ac:dyDescent="0.25">
      <c r="A359" s="1">
        <v>358</v>
      </c>
      <c r="B359" s="1" t="s">
        <v>1258</v>
      </c>
      <c r="C359" s="1" t="s">
        <v>38</v>
      </c>
      <c r="D359" s="1">
        <v>9103550196</v>
      </c>
      <c r="E359" s="5">
        <v>41783</v>
      </c>
      <c r="F359" s="1" t="s">
        <v>358</v>
      </c>
      <c r="G359" s="1" t="s">
        <v>40</v>
      </c>
      <c r="H359" s="1" t="s">
        <v>41</v>
      </c>
      <c r="I359" s="1" t="s">
        <v>2809</v>
      </c>
      <c r="J359" s="1" t="s">
        <v>187</v>
      </c>
      <c r="K359" s="1">
        <v>29051700</v>
      </c>
      <c r="L359" s="6">
        <v>18.14</v>
      </c>
      <c r="M359" s="1" t="s">
        <v>70</v>
      </c>
      <c r="N359" s="7" t="s">
        <v>44</v>
      </c>
      <c r="O359" s="1" t="s">
        <v>53</v>
      </c>
      <c r="P359" s="8">
        <v>1976</v>
      </c>
      <c r="Q359" s="17">
        <f t="shared" si="41"/>
        <v>35844.639999999999</v>
      </c>
      <c r="R359" s="9">
        <v>3200</v>
      </c>
      <c r="S359" s="9">
        <v>5.13</v>
      </c>
      <c r="T359" s="9">
        <v>0</v>
      </c>
      <c r="U359" s="10">
        <v>0</v>
      </c>
      <c r="V359" s="1" t="s">
        <v>46</v>
      </c>
      <c r="W359" s="1" t="s">
        <v>56</v>
      </c>
      <c r="X359" s="1">
        <v>2806535</v>
      </c>
      <c r="Y359" s="11">
        <v>41778</v>
      </c>
      <c r="Z359" s="11">
        <v>41779</v>
      </c>
      <c r="AA359" s="9">
        <f t="shared" si="42"/>
        <v>32639.51</v>
      </c>
      <c r="AB359" s="12">
        <v>59.1</v>
      </c>
      <c r="AC359" s="9">
        <f t="shared" si="43"/>
        <v>2118418.2239999999</v>
      </c>
      <c r="AD359" s="9">
        <f t="shared" si="44"/>
        <v>1928995.041</v>
      </c>
      <c r="AE359" s="1" t="s">
        <v>48</v>
      </c>
      <c r="AF359" s="1" t="s">
        <v>53</v>
      </c>
      <c r="AG359" s="4">
        <f t="shared" si="35"/>
        <v>35844.639999999999</v>
      </c>
      <c r="AH359" s="10">
        <v>35844.639999999999</v>
      </c>
      <c r="AI359" s="10">
        <v>3205</v>
      </c>
      <c r="AJ359" s="10">
        <v>5.13</v>
      </c>
      <c r="AK359" s="10">
        <v>0</v>
      </c>
      <c r="AL359" s="9">
        <f t="shared" si="36"/>
        <v>32634.51</v>
      </c>
      <c r="AM359" s="1"/>
      <c r="AN359" s="1"/>
      <c r="AO359" s="12" t="e">
        <f>AB359/#REF!</f>
        <v>#REF!</v>
      </c>
      <c r="AP359" s="1" t="s">
        <v>1664</v>
      </c>
      <c r="AQ359" s="11">
        <v>41893</v>
      </c>
      <c r="AR359" s="1" t="s">
        <v>1665</v>
      </c>
      <c r="AS359" s="11">
        <v>41894</v>
      </c>
      <c r="AT359" s="1" t="s">
        <v>49</v>
      </c>
      <c r="AU359" s="1" t="s">
        <v>4171</v>
      </c>
    </row>
    <row r="360" spans="1:47" ht="15" customHeight="1" x14ac:dyDescent="0.25">
      <c r="A360" s="1">
        <v>359</v>
      </c>
      <c r="B360" s="1" t="s">
        <v>1258</v>
      </c>
      <c r="C360" s="1" t="s">
        <v>38</v>
      </c>
      <c r="D360" s="1" t="s">
        <v>1666</v>
      </c>
      <c r="E360" s="5">
        <v>41783</v>
      </c>
      <c r="F360" s="1" t="s">
        <v>330</v>
      </c>
      <c r="G360" s="1" t="s">
        <v>40</v>
      </c>
      <c r="H360" s="1" t="s">
        <v>41</v>
      </c>
      <c r="I360" s="1" t="s">
        <v>2809</v>
      </c>
      <c r="J360" s="1" t="s">
        <v>2740</v>
      </c>
      <c r="K360" s="1">
        <v>38237090</v>
      </c>
      <c r="L360" s="6">
        <v>12</v>
      </c>
      <c r="M360" s="1" t="s">
        <v>70</v>
      </c>
      <c r="N360" s="7" t="s">
        <v>67</v>
      </c>
      <c r="O360" s="1" t="s">
        <v>53</v>
      </c>
      <c r="P360" s="8">
        <v>1648</v>
      </c>
      <c r="Q360" s="17">
        <f t="shared" si="41"/>
        <v>19776</v>
      </c>
      <c r="R360" s="9">
        <v>0</v>
      </c>
      <c r="S360" s="9">
        <v>0</v>
      </c>
      <c r="T360" s="9">
        <v>0</v>
      </c>
      <c r="U360" s="10">
        <v>0</v>
      </c>
      <c r="V360" s="1" t="s">
        <v>46</v>
      </c>
      <c r="W360" s="1" t="s">
        <v>205</v>
      </c>
      <c r="X360" s="1">
        <v>2782172</v>
      </c>
      <c r="Y360" s="11">
        <v>41776</v>
      </c>
      <c r="Z360" s="11">
        <v>41778</v>
      </c>
      <c r="AA360" s="9">
        <f t="shared" si="42"/>
        <v>19776</v>
      </c>
      <c r="AB360" s="12">
        <v>59.1</v>
      </c>
      <c r="AC360" s="9">
        <f t="shared" si="43"/>
        <v>1168761.6000000001</v>
      </c>
      <c r="AD360" s="9">
        <f t="shared" si="44"/>
        <v>1168761.6000000001</v>
      </c>
      <c r="AE360" s="1" t="s">
        <v>284</v>
      </c>
      <c r="AF360" s="1" t="s">
        <v>53</v>
      </c>
      <c r="AG360" s="4">
        <f t="shared" si="35"/>
        <v>19776</v>
      </c>
      <c r="AH360" s="10">
        <v>19776</v>
      </c>
      <c r="AI360" s="9">
        <v>0</v>
      </c>
      <c r="AJ360" s="9">
        <v>0</v>
      </c>
      <c r="AK360" s="9">
        <v>0</v>
      </c>
      <c r="AL360" s="9">
        <f t="shared" si="36"/>
        <v>19776</v>
      </c>
      <c r="AM360" s="1"/>
      <c r="AN360" s="1"/>
      <c r="AO360" s="12" t="e">
        <f>AB360/#REF!</f>
        <v>#REF!</v>
      </c>
      <c r="AP360" s="1" t="s">
        <v>1667</v>
      </c>
      <c r="AQ360" s="11">
        <v>41809</v>
      </c>
      <c r="AR360" s="1" t="s">
        <v>1668</v>
      </c>
      <c r="AS360" s="11">
        <v>41809</v>
      </c>
      <c r="AT360" s="1" t="s">
        <v>49</v>
      </c>
      <c r="AU360" s="1" t="s">
        <v>4171</v>
      </c>
    </row>
    <row r="361" spans="1:47" ht="15" customHeight="1" x14ac:dyDescent="0.25">
      <c r="A361" s="1">
        <v>360</v>
      </c>
      <c r="B361" s="1" t="s">
        <v>1258</v>
      </c>
      <c r="C361" s="1" t="s">
        <v>38</v>
      </c>
      <c r="D361" s="1" t="s">
        <v>1666</v>
      </c>
      <c r="E361" s="5">
        <v>41783</v>
      </c>
      <c r="F361" s="1" t="s">
        <v>357</v>
      </c>
      <c r="G361" s="1" t="s">
        <v>40</v>
      </c>
      <c r="H361" s="1" t="s">
        <v>41</v>
      </c>
      <c r="I361" s="1" t="s">
        <v>2809</v>
      </c>
      <c r="J361" s="1" t="s">
        <v>2740</v>
      </c>
      <c r="K361" s="1">
        <v>38237090</v>
      </c>
      <c r="L361" s="6">
        <v>12</v>
      </c>
      <c r="M361" s="1" t="s">
        <v>70</v>
      </c>
      <c r="N361" s="7" t="s">
        <v>67</v>
      </c>
      <c r="O361" s="1" t="s">
        <v>53</v>
      </c>
      <c r="P361" s="8">
        <v>1648</v>
      </c>
      <c r="Q361" s="17">
        <f t="shared" si="41"/>
        <v>19776</v>
      </c>
      <c r="R361" s="9">
        <v>0</v>
      </c>
      <c r="S361" s="9">
        <v>0</v>
      </c>
      <c r="T361" s="9">
        <v>0</v>
      </c>
      <c r="U361" s="10">
        <v>0</v>
      </c>
      <c r="V361" s="1" t="s">
        <v>46</v>
      </c>
      <c r="W361" s="1" t="s">
        <v>205</v>
      </c>
      <c r="X361" s="1">
        <v>2806127</v>
      </c>
      <c r="Y361" s="11">
        <v>41778</v>
      </c>
      <c r="Z361" s="11">
        <v>41779</v>
      </c>
      <c r="AA361" s="9">
        <f t="shared" si="42"/>
        <v>19776</v>
      </c>
      <c r="AB361" s="12">
        <v>59.1</v>
      </c>
      <c r="AC361" s="9">
        <f t="shared" si="43"/>
        <v>1168761.6000000001</v>
      </c>
      <c r="AD361" s="9">
        <f t="shared" si="44"/>
        <v>1168761.6000000001</v>
      </c>
      <c r="AE361" s="1" t="s">
        <v>284</v>
      </c>
      <c r="AF361" s="1" t="s">
        <v>53</v>
      </c>
      <c r="AG361" s="4">
        <f t="shared" si="35"/>
        <v>19776</v>
      </c>
      <c r="AH361" s="10">
        <v>19763</v>
      </c>
      <c r="AI361" s="9">
        <v>0</v>
      </c>
      <c r="AJ361" s="9">
        <v>0</v>
      </c>
      <c r="AK361" s="9">
        <v>0</v>
      </c>
      <c r="AL361" s="9">
        <f t="shared" si="36"/>
        <v>19763</v>
      </c>
      <c r="AM361" s="1"/>
      <c r="AN361" s="1"/>
      <c r="AO361" s="12" t="e">
        <f>AB361/#REF!</f>
        <v>#REF!</v>
      </c>
      <c r="AP361" s="1" t="s">
        <v>1667</v>
      </c>
      <c r="AQ361" s="11">
        <v>41809</v>
      </c>
      <c r="AR361" s="1" t="s">
        <v>1669</v>
      </c>
      <c r="AS361" s="11">
        <v>41809</v>
      </c>
      <c r="AT361" s="1" t="s">
        <v>49</v>
      </c>
      <c r="AU361" s="1" t="s">
        <v>4171</v>
      </c>
    </row>
    <row r="362" spans="1:47" ht="15" customHeight="1" x14ac:dyDescent="0.25">
      <c r="A362" s="1">
        <v>361</v>
      </c>
      <c r="B362" s="1" t="s">
        <v>1258</v>
      </c>
      <c r="C362" s="1" t="s">
        <v>38</v>
      </c>
      <c r="D362" s="1">
        <v>9103550199</v>
      </c>
      <c r="E362" s="5">
        <v>41783</v>
      </c>
      <c r="F362" s="1" t="s">
        <v>332</v>
      </c>
      <c r="G362" s="1" t="s">
        <v>40</v>
      </c>
      <c r="H362" s="1" t="s">
        <v>41</v>
      </c>
      <c r="I362" s="1" t="s">
        <v>2809</v>
      </c>
      <c r="J362" s="1" t="s">
        <v>1670</v>
      </c>
      <c r="K362" s="1">
        <v>38237090</v>
      </c>
      <c r="L362" s="6">
        <v>6</v>
      </c>
      <c r="M362" s="1" t="s">
        <v>70</v>
      </c>
      <c r="N362" s="7" t="s">
        <v>44</v>
      </c>
      <c r="O362" s="1" t="s">
        <v>53</v>
      </c>
      <c r="P362" s="8">
        <v>1695</v>
      </c>
      <c r="Q362" s="17">
        <f t="shared" si="41"/>
        <v>10170</v>
      </c>
      <c r="R362" s="9">
        <v>76</v>
      </c>
      <c r="S362" s="9">
        <v>1.46</v>
      </c>
      <c r="T362" s="9">
        <v>0</v>
      </c>
      <c r="U362" s="10">
        <v>0</v>
      </c>
      <c r="V362" s="1" t="s">
        <v>46</v>
      </c>
      <c r="W362" s="1" t="s">
        <v>72</v>
      </c>
      <c r="X362" s="1">
        <v>2806625</v>
      </c>
      <c r="Y362" s="11">
        <v>41778</v>
      </c>
      <c r="Z362" s="11">
        <v>41779</v>
      </c>
      <c r="AA362" s="9">
        <f t="shared" si="42"/>
        <v>10092.540000000001</v>
      </c>
      <c r="AB362" s="12">
        <v>59.1</v>
      </c>
      <c r="AC362" s="9">
        <f t="shared" si="43"/>
        <v>601047</v>
      </c>
      <c r="AD362" s="9">
        <f t="shared" si="44"/>
        <v>596469.11400000006</v>
      </c>
      <c r="AE362" s="1" t="s">
        <v>48</v>
      </c>
      <c r="AF362" s="1" t="s">
        <v>53</v>
      </c>
      <c r="AG362" s="4">
        <f t="shared" si="35"/>
        <v>10170</v>
      </c>
      <c r="AH362" s="10">
        <v>10170</v>
      </c>
      <c r="AI362" s="10">
        <v>76.41</v>
      </c>
      <c r="AJ362" s="10">
        <v>1.45</v>
      </c>
      <c r="AK362" s="10">
        <v>0</v>
      </c>
      <c r="AL362" s="9">
        <f t="shared" si="36"/>
        <v>10092.14</v>
      </c>
      <c r="AM362" s="1"/>
      <c r="AN362" s="1"/>
      <c r="AO362" s="12" t="e">
        <f>AB362/#REF!</f>
        <v>#REF!</v>
      </c>
      <c r="AP362" s="1" t="s">
        <v>1671</v>
      </c>
      <c r="AQ362" s="11">
        <v>41797</v>
      </c>
      <c r="AR362" s="1" t="s">
        <v>1672</v>
      </c>
      <c r="AS362" s="11">
        <v>41799</v>
      </c>
      <c r="AT362" s="1" t="s">
        <v>49</v>
      </c>
      <c r="AU362" s="1" t="s">
        <v>4171</v>
      </c>
    </row>
    <row r="363" spans="1:47" ht="15" customHeight="1" x14ac:dyDescent="0.25">
      <c r="A363" s="1">
        <v>362</v>
      </c>
      <c r="B363" s="1" t="s">
        <v>1258</v>
      </c>
      <c r="C363" s="1" t="s">
        <v>38</v>
      </c>
      <c r="D363" s="1">
        <v>9103550199</v>
      </c>
      <c r="E363" s="5">
        <v>41783</v>
      </c>
      <c r="F363" s="1" t="s">
        <v>332</v>
      </c>
      <c r="G363" s="1" t="s">
        <v>40</v>
      </c>
      <c r="H363" s="1" t="s">
        <v>41</v>
      </c>
      <c r="I363" s="1" t="s">
        <v>2809</v>
      </c>
      <c r="J363" s="1" t="s">
        <v>1670</v>
      </c>
      <c r="K363" s="1">
        <v>29051700</v>
      </c>
      <c r="L363" s="6">
        <v>6</v>
      </c>
      <c r="M363" s="1" t="s">
        <v>70</v>
      </c>
      <c r="N363" s="7" t="s">
        <v>44</v>
      </c>
      <c r="O363" s="1" t="s">
        <v>53</v>
      </c>
      <c r="P363" s="8">
        <v>1835</v>
      </c>
      <c r="Q363" s="17">
        <f t="shared" si="41"/>
        <v>11010</v>
      </c>
      <c r="R363" s="9">
        <v>76</v>
      </c>
      <c r="S363" s="9">
        <v>1.58</v>
      </c>
      <c r="T363" s="9">
        <v>0</v>
      </c>
      <c r="U363" s="10">
        <v>0</v>
      </c>
      <c r="V363" s="1" t="s">
        <v>46</v>
      </c>
      <c r="W363" s="1" t="s">
        <v>72</v>
      </c>
      <c r="X363" s="1">
        <v>2806625</v>
      </c>
      <c r="Y363" s="11">
        <v>41778</v>
      </c>
      <c r="Z363" s="11">
        <v>41779</v>
      </c>
      <c r="AA363" s="9">
        <f t="shared" si="42"/>
        <v>10932.42</v>
      </c>
      <c r="AB363" s="12">
        <v>59.1</v>
      </c>
      <c r="AC363" s="9">
        <f t="shared" si="43"/>
        <v>650691</v>
      </c>
      <c r="AD363" s="9">
        <f t="shared" si="44"/>
        <v>646106.022</v>
      </c>
      <c r="AE363" s="1" t="s">
        <v>48</v>
      </c>
      <c r="AF363" s="1" t="s">
        <v>53</v>
      </c>
      <c r="AG363" s="4">
        <f t="shared" si="35"/>
        <v>11010</v>
      </c>
      <c r="AH363" s="10">
        <v>11010</v>
      </c>
      <c r="AI363" s="10">
        <v>82.72</v>
      </c>
      <c r="AJ363" s="10">
        <v>1.58</v>
      </c>
      <c r="AK363" s="10">
        <v>0</v>
      </c>
      <c r="AL363" s="9">
        <f t="shared" si="36"/>
        <v>10925.7</v>
      </c>
      <c r="AM363" s="1"/>
      <c r="AN363" s="1"/>
      <c r="AO363" s="12" t="e">
        <f>AB363/#REF!</f>
        <v>#REF!</v>
      </c>
      <c r="AP363" s="1" t="s">
        <v>1671</v>
      </c>
      <c r="AQ363" s="11">
        <v>41797</v>
      </c>
      <c r="AR363" s="1" t="s">
        <v>1672</v>
      </c>
      <c r="AS363" s="11">
        <v>41799</v>
      </c>
      <c r="AT363" s="1" t="s">
        <v>49</v>
      </c>
      <c r="AU363" s="1" t="s">
        <v>4171</v>
      </c>
    </row>
    <row r="364" spans="1:47" ht="15" customHeight="1" x14ac:dyDescent="0.25">
      <c r="A364" s="1">
        <v>363</v>
      </c>
      <c r="B364" s="1" t="s">
        <v>1258</v>
      </c>
      <c r="C364" s="1" t="s">
        <v>38</v>
      </c>
      <c r="D364" s="1">
        <v>9103550199</v>
      </c>
      <c r="E364" s="5">
        <v>41783</v>
      </c>
      <c r="F364" s="1" t="s">
        <v>332</v>
      </c>
      <c r="G364" s="1" t="s">
        <v>40</v>
      </c>
      <c r="H364" s="1" t="s">
        <v>41</v>
      </c>
      <c r="I364" s="1" t="s">
        <v>2809</v>
      </c>
      <c r="J364" s="1" t="s">
        <v>1670</v>
      </c>
      <c r="K364" s="1">
        <v>38231190</v>
      </c>
      <c r="L364" s="6">
        <v>3</v>
      </c>
      <c r="M364" s="1" t="s">
        <v>70</v>
      </c>
      <c r="N364" s="7" t="s">
        <v>44</v>
      </c>
      <c r="O364" s="1" t="s">
        <v>53</v>
      </c>
      <c r="P364" s="8">
        <v>1370</v>
      </c>
      <c r="Q364" s="17">
        <f t="shared" si="41"/>
        <v>4110</v>
      </c>
      <c r="R364" s="9">
        <v>38</v>
      </c>
      <c r="S364" s="9">
        <v>0.59</v>
      </c>
      <c r="T364" s="9">
        <v>0</v>
      </c>
      <c r="U364" s="10">
        <v>0</v>
      </c>
      <c r="V364" s="1" t="s">
        <v>46</v>
      </c>
      <c r="W364" s="1" t="s">
        <v>72</v>
      </c>
      <c r="X364" s="1">
        <v>2806625</v>
      </c>
      <c r="Y364" s="11">
        <v>41778</v>
      </c>
      <c r="Z364" s="11">
        <v>41779</v>
      </c>
      <c r="AA364" s="9">
        <f t="shared" si="42"/>
        <v>4071.41</v>
      </c>
      <c r="AB364" s="12">
        <v>59.1</v>
      </c>
      <c r="AC364" s="9">
        <f t="shared" si="43"/>
        <v>242901</v>
      </c>
      <c r="AD364" s="9">
        <f t="shared" si="44"/>
        <v>240620.33100000001</v>
      </c>
      <c r="AE364" s="1" t="s">
        <v>48</v>
      </c>
      <c r="AF364" s="1" t="s">
        <v>53</v>
      </c>
      <c r="AG364" s="4">
        <f t="shared" si="35"/>
        <v>4110</v>
      </c>
      <c r="AH364" s="10">
        <v>4110</v>
      </c>
      <c r="AI364" s="10">
        <v>30.87</v>
      </c>
      <c r="AJ364" s="10">
        <v>0.59</v>
      </c>
      <c r="AK364" s="10">
        <v>0</v>
      </c>
      <c r="AL364" s="9">
        <f t="shared" si="36"/>
        <v>4078.54</v>
      </c>
      <c r="AM364" s="1"/>
      <c r="AN364" s="1"/>
      <c r="AO364" s="12" t="e">
        <f>AB364/#REF!</f>
        <v>#REF!</v>
      </c>
      <c r="AP364" s="1" t="s">
        <v>1671</v>
      </c>
      <c r="AQ364" s="11">
        <v>41797</v>
      </c>
      <c r="AR364" s="1" t="s">
        <v>1672</v>
      </c>
      <c r="AS364" s="11">
        <v>41799</v>
      </c>
      <c r="AT364" s="1" t="s">
        <v>49</v>
      </c>
      <c r="AU364" s="1" t="s">
        <v>4171</v>
      </c>
    </row>
    <row r="365" spans="1:47" ht="15" customHeight="1" x14ac:dyDescent="0.25">
      <c r="A365" s="1">
        <v>364</v>
      </c>
      <c r="B365" s="1" t="s">
        <v>1258</v>
      </c>
      <c r="C365" s="1" t="s">
        <v>38</v>
      </c>
      <c r="D365" s="1">
        <v>9103550200</v>
      </c>
      <c r="E365" s="5">
        <v>41783</v>
      </c>
      <c r="F365" s="1" t="s">
        <v>331</v>
      </c>
      <c r="G365" s="1" t="s">
        <v>40</v>
      </c>
      <c r="H365" s="1" t="s">
        <v>41</v>
      </c>
      <c r="I365" s="1" t="s">
        <v>2809</v>
      </c>
      <c r="J365" s="1" t="s">
        <v>55</v>
      </c>
      <c r="K365" s="1">
        <v>29051700</v>
      </c>
      <c r="L365" s="6">
        <v>36.28</v>
      </c>
      <c r="M365" s="1" t="s">
        <v>70</v>
      </c>
      <c r="N365" s="7" t="s">
        <v>44</v>
      </c>
      <c r="O365" s="1" t="s">
        <v>53</v>
      </c>
      <c r="P365" s="8">
        <v>1971</v>
      </c>
      <c r="Q365" s="17">
        <f t="shared" si="41"/>
        <v>71507.88</v>
      </c>
      <c r="R365" s="9">
        <v>4500</v>
      </c>
      <c r="S365" s="9">
        <v>10.23</v>
      </c>
      <c r="T365" s="9">
        <v>0</v>
      </c>
      <c r="U365" s="10">
        <v>0</v>
      </c>
      <c r="V365" s="1" t="s">
        <v>46</v>
      </c>
      <c r="W365" s="1" t="s">
        <v>56</v>
      </c>
      <c r="X365" s="1">
        <v>2805552</v>
      </c>
      <c r="Y365" s="11">
        <v>41778</v>
      </c>
      <c r="Z365" s="11">
        <v>41780</v>
      </c>
      <c r="AA365" s="9">
        <f t="shared" si="42"/>
        <v>66997.650000000009</v>
      </c>
      <c r="AB365" s="12">
        <v>59.1</v>
      </c>
      <c r="AC365" s="9">
        <f t="shared" si="43"/>
        <v>4226115.7080000006</v>
      </c>
      <c r="AD365" s="9">
        <f t="shared" si="44"/>
        <v>3959561.1150000007</v>
      </c>
      <c r="AE365" s="1" t="s">
        <v>51</v>
      </c>
      <c r="AF365" s="1" t="s">
        <v>53</v>
      </c>
      <c r="AG365" s="4">
        <f t="shared" si="35"/>
        <v>71507.88</v>
      </c>
      <c r="AH365" s="10">
        <v>71507</v>
      </c>
      <c r="AI365" s="10">
        <v>4414</v>
      </c>
      <c r="AJ365" s="10">
        <v>10.23</v>
      </c>
      <c r="AK365" s="10">
        <v>0</v>
      </c>
      <c r="AL365" s="9">
        <f t="shared" si="36"/>
        <v>67082.77</v>
      </c>
      <c r="AM365" s="1"/>
      <c r="AN365" s="1"/>
      <c r="AO365" s="12" t="e">
        <f>AB365/#REF!</f>
        <v>#REF!</v>
      </c>
      <c r="AP365" s="1" t="s">
        <v>1673</v>
      </c>
      <c r="AQ365" s="11">
        <v>41822</v>
      </c>
      <c r="AR365" s="1" t="s">
        <v>1674</v>
      </c>
      <c r="AS365" s="11">
        <v>41832</v>
      </c>
      <c r="AT365" s="1" t="s">
        <v>49</v>
      </c>
      <c r="AU365" s="1" t="s">
        <v>4171</v>
      </c>
    </row>
    <row r="366" spans="1:47" ht="15" customHeight="1" x14ac:dyDescent="0.25">
      <c r="A366" s="1">
        <v>365</v>
      </c>
      <c r="B366" s="1" t="s">
        <v>1258</v>
      </c>
      <c r="C366" s="1" t="s">
        <v>38</v>
      </c>
      <c r="D366" s="1">
        <v>9103550201</v>
      </c>
      <c r="E366" s="5">
        <v>41786</v>
      </c>
      <c r="F366" s="1" t="s">
        <v>335</v>
      </c>
      <c r="G366" s="1" t="s">
        <v>40</v>
      </c>
      <c r="H366" s="1" t="s">
        <v>41</v>
      </c>
      <c r="I366" s="1" t="s">
        <v>2809</v>
      </c>
      <c r="J366" s="1" t="s">
        <v>264</v>
      </c>
      <c r="K366" s="1">
        <v>29051700</v>
      </c>
      <c r="L366" s="6">
        <v>15</v>
      </c>
      <c r="M366" s="1" t="s">
        <v>70</v>
      </c>
      <c r="N366" s="7" t="s">
        <v>44</v>
      </c>
      <c r="O366" s="1" t="s">
        <v>53</v>
      </c>
      <c r="P366" s="8">
        <v>1760</v>
      </c>
      <c r="Q366" s="17">
        <f t="shared" si="41"/>
        <v>26400</v>
      </c>
      <c r="R366" s="9">
        <v>231</v>
      </c>
      <c r="S366" s="9">
        <v>3.78</v>
      </c>
      <c r="T366" s="9">
        <v>0</v>
      </c>
      <c r="U366" s="10">
        <v>0</v>
      </c>
      <c r="V366" s="1" t="s">
        <v>46</v>
      </c>
      <c r="W366" s="1" t="s">
        <v>54</v>
      </c>
      <c r="X366" s="1">
        <v>2819926</v>
      </c>
      <c r="Y366" s="11">
        <v>41779</v>
      </c>
      <c r="Z366" s="11">
        <v>41780</v>
      </c>
      <c r="AA366" s="9">
        <f t="shared" si="42"/>
        <v>26165.22</v>
      </c>
      <c r="AB366" s="12">
        <v>59.1</v>
      </c>
      <c r="AC366" s="9">
        <f t="shared" si="43"/>
        <v>1560240</v>
      </c>
      <c r="AD366" s="9">
        <f t="shared" si="44"/>
        <v>1546364.5020000001</v>
      </c>
      <c r="AE366" s="1" t="s">
        <v>48</v>
      </c>
      <c r="AF366" s="1" t="s">
        <v>53</v>
      </c>
      <c r="AG366" s="4">
        <f t="shared" si="35"/>
        <v>26400</v>
      </c>
      <c r="AH366" s="10">
        <v>26204</v>
      </c>
      <c r="AI366" s="10">
        <v>200</v>
      </c>
      <c r="AJ366" s="10">
        <v>3.78</v>
      </c>
      <c r="AK366" s="10">
        <v>0</v>
      </c>
      <c r="AL366" s="9">
        <f t="shared" si="36"/>
        <v>26000.22</v>
      </c>
      <c r="AM366" s="1"/>
      <c r="AN366" s="1"/>
      <c r="AO366" s="12" t="e">
        <f>AB366/#REF!</f>
        <v>#REF!</v>
      </c>
      <c r="AP366" s="1" t="s">
        <v>1675</v>
      </c>
      <c r="AQ366" s="11">
        <v>41806</v>
      </c>
      <c r="AR366" s="1" t="s">
        <v>1676</v>
      </c>
      <c r="AS366" s="11">
        <v>41808</v>
      </c>
      <c r="AT366" s="1" t="s">
        <v>49</v>
      </c>
      <c r="AU366" s="1" t="s">
        <v>4171</v>
      </c>
    </row>
    <row r="367" spans="1:47" ht="15" customHeight="1" x14ac:dyDescent="0.25">
      <c r="A367" s="1">
        <v>366</v>
      </c>
      <c r="B367" s="1" t="s">
        <v>1258</v>
      </c>
      <c r="C367" s="1" t="s">
        <v>38</v>
      </c>
      <c r="D367" s="1" t="s">
        <v>1677</v>
      </c>
      <c r="E367" s="5">
        <v>41786</v>
      </c>
      <c r="F367" s="1" t="s">
        <v>337</v>
      </c>
      <c r="G367" s="1" t="s">
        <v>40</v>
      </c>
      <c r="H367" s="1" t="s">
        <v>41</v>
      </c>
      <c r="I367" s="1" t="s">
        <v>2809</v>
      </c>
      <c r="J367" s="1" t="s">
        <v>837</v>
      </c>
      <c r="K367" s="1">
        <v>38231900</v>
      </c>
      <c r="L367" s="6">
        <v>19.96</v>
      </c>
      <c r="M367" s="1" t="s">
        <v>70</v>
      </c>
      <c r="N367" s="7" t="s">
        <v>44</v>
      </c>
      <c r="O367" s="1" t="s">
        <v>53</v>
      </c>
      <c r="P367" s="8">
        <v>3600</v>
      </c>
      <c r="Q367" s="17">
        <f t="shared" si="41"/>
        <v>71856</v>
      </c>
      <c r="R367" s="9">
        <v>6650</v>
      </c>
      <c r="S367" s="9">
        <v>14.23</v>
      </c>
      <c r="T367" s="9">
        <v>0</v>
      </c>
      <c r="U367" s="10">
        <v>0</v>
      </c>
      <c r="V367" s="1" t="s">
        <v>46</v>
      </c>
      <c r="W367" s="1" t="s">
        <v>56</v>
      </c>
      <c r="X367" s="1">
        <v>2827210</v>
      </c>
      <c r="Y367" s="11">
        <v>41779</v>
      </c>
      <c r="Z367" s="11">
        <v>41781</v>
      </c>
      <c r="AA367" s="9">
        <f t="shared" si="42"/>
        <v>65191.77</v>
      </c>
      <c r="AB367" s="12">
        <v>59.1</v>
      </c>
      <c r="AC367" s="9">
        <f t="shared" si="43"/>
        <v>4246689.6000000006</v>
      </c>
      <c r="AD367" s="9">
        <f t="shared" si="44"/>
        <v>3852833.6069999998</v>
      </c>
      <c r="AE367" s="1" t="s">
        <v>57</v>
      </c>
      <c r="AF367" s="1" t="s">
        <v>53</v>
      </c>
      <c r="AG367" s="4">
        <f t="shared" si="35"/>
        <v>71856</v>
      </c>
      <c r="AH367" s="10">
        <v>71856</v>
      </c>
      <c r="AI367" s="10">
        <v>6246.87</v>
      </c>
      <c r="AJ367" s="10">
        <v>14.21</v>
      </c>
      <c r="AK367" s="10">
        <v>0</v>
      </c>
      <c r="AL367" s="9">
        <f t="shared" si="36"/>
        <v>65594.92</v>
      </c>
      <c r="AM367" s="1"/>
      <c r="AN367" s="1"/>
      <c r="AO367" s="12" t="e">
        <f>AB367/#REF!</f>
        <v>#REF!</v>
      </c>
      <c r="AP367" s="1" t="s">
        <v>1678</v>
      </c>
      <c r="AQ367" s="11">
        <v>41856</v>
      </c>
      <c r="AR367" s="1" t="s">
        <v>1679</v>
      </c>
      <c r="AS367" s="11">
        <v>41899</v>
      </c>
      <c r="AT367" s="1" t="s">
        <v>49</v>
      </c>
      <c r="AU367" s="1" t="s">
        <v>4171</v>
      </c>
    </row>
    <row r="368" spans="1:47" ht="15" customHeight="1" x14ac:dyDescent="0.25">
      <c r="A368" s="1">
        <v>367</v>
      </c>
      <c r="B368" s="1" t="s">
        <v>1258</v>
      </c>
      <c r="C368" s="1" t="s">
        <v>38</v>
      </c>
      <c r="D368" s="1" t="s">
        <v>1677</v>
      </c>
      <c r="E368" s="5">
        <v>41786</v>
      </c>
      <c r="F368" s="1" t="s">
        <v>344</v>
      </c>
      <c r="G368" s="1" t="s">
        <v>40</v>
      </c>
      <c r="H368" s="1" t="s">
        <v>41</v>
      </c>
      <c r="I368" s="1" t="s">
        <v>2809</v>
      </c>
      <c r="J368" s="1" t="s">
        <v>837</v>
      </c>
      <c r="K368" s="1">
        <v>38231900</v>
      </c>
      <c r="L368" s="6">
        <v>19.98</v>
      </c>
      <c r="M368" s="1" t="s">
        <v>70</v>
      </c>
      <c r="N368" s="7" t="s">
        <v>44</v>
      </c>
      <c r="O368" s="1" t="s">
        <v>53</v>
      </c>
      <c r="P368" s="8">
        <v>3600</v>
      </c>
      <c r="Q368" s="17">
        <f t="shared" si="41"/>
        <v>71928</v>
      </c>
      <c r="R368" s="9">
        <v>6650</v>
      </c>
      <c r="S368" s="9">
        <v>10.29</v>
      </c>
      <c r="T368" s="9">
        <v>0</v>
      </c>
      <c r="U368" s="10">
        <v>0</v>
      </c>
      <c r="V368" s="1" t="s">
        <v>46</v>
      </c>
      <c r="W368" s="1" t="s">
        <v>56</v>
      </c>
      <c r="X368" s="1">
        <v>2836283</v>
      </c>
      <c r="Y368" s="11">
        <v>41780</v>
      </c>
      <c r="Z368" s="11">
        <v>41781</v>
      </c>
      <c r="AA368" s="9">
        <f t="shared" si="42"/>
        <v>65267.71</v>
      </c>
      <c r="AB368" s="12">
        <v>59.1</v>
      </c>
      <c r="AC368" s="9">
        <f t="shared" si="43"/>
        <v>4250944.8</v>
      </c>
      <c r="AD368" s="9">
        <f t="shared" si="44"/>
        <v>3857321.6609999998</v>
      </c>
      <c r="AE368" s="1" t="s">
        <v>57</v>
      </c>
      <c r="AF368" s="1" t="s">
        <v>53</v>
      </c>
      <c r="AG368" s="4">
        <f t="shared" si="35"/>
        <v>71928</v>
      </c>
      <c r="AH368" s="10">
        <v>71928</v>
      </c>
      <c r="AI368" s="10">
        <v>6253.13</v>
      </c>
      <c r="AJ368" s="10">
        <v>14.22</v>
      </c>
      <c r="AK368" s="10"/>
      <c r="AL368" s="9">
        <f t="shared" si="36"/>
        <v>65660.649999999994</v>
      </c>
      <c r="AM368" s="1"/>
      <c r="AN368" s="1"/>
      <c r="AO368" s="12" t="e">
        <f>AB368/#REF!</f>
        <v>#REF!</v>
      </c>
      <c r="AP368" s="1" t="s">
        <v>1678</v>
      </c>
      <c r="AQ368" s="11">
        <v>41856</v>
      </c>
      <c r="AR368" s="1" t="s">
        <v>1680</v>
      </c>
      <c r="AS368" s="11">
        <v>41899</v>
      </c>
      <c r="AT368" s="1" t="s">
        <v>49</v>
      </c>
      <c r="AU368" s="1" t="s">
        <v>4171</v>
      </c>
    </row>
    <row r="369" spans="1:47" ht="15" customHeight="1" x14ac:dyDescent="0.25">
      <c r="A369" s="1">
        <v>368</v>
      </c>
      <c r="B369" s="1" t="s">
        <v>1258</v>
      </c>
      <c r="C369" s="1" t="s">
        <v>38</v>
      </c>
      <c r="D369" s="1">
        <v>9103550204</v>
      </c>
      <c r="E369" s="5">
        <v>41790</v>
      </c>
      <c r="F369" s="1" t="s">
        <v>339</v>
      </c>
      <c r="G369" s="1" t="s">
        <v>40</v>
      </c>
      <c r="H369" s="1" t="s">
        <v>41</v>
      </c>
      <c r="I369" s="1" t="s">
        <v>2809</v>
      </c>
      <c r="J369" s="1" t="s">
        <v>55</v>
      </c>
      <c r="K369" s="1">
        <v>29051700</v>
      </c>
      <c r="L369" s="6">
        <v>36.29</v>
      </c>
      <c r="M369" s="1" t="s">
        <v>70</v>
      </c>
      <c r="N369" s="7" t="s">
        <v>44</v>
      </c>
      <c r="O369" s="1" t="s">
        <v>53</v>
      </c>
      <c r="P369" s="8">
        <v>1975</v>
      </c>
      <c r="Q369" s="17">
        <f t="shared" si="41"/>
        <v>71672.75</v>
      </c>
      <c r="R369" s="9">
        <v>4912</v>
      </c>
      <c r="S369" s="9">
        <v>10.25</v>
      </c>
      <c r="T369" s="9">
        <v>0</v>
      </c>
      <c r="U369" s="10">
        <v>0</v>
      </c>
      <c r="V369" s="1" t="s">
        <v>46</v>
      </c>
      <c r="W369" s="1" t="s">
        <v>56</v>
      </c>
      <c r="X369" s="1">
        <v>2840949</v>
      </c>
      <c r="Y369" s="11">
        <v>41780</v>
      </c>
      <c r="Z369" s="11">
        <v>41783</v>
      </c>
      <c r="AA369" s="9">
        <f t="shared" si="42"/>
        <v>66750.5</v>
      </c>
      <c r="AB369" s="12">
        <v>59.1</v>
      </c>
      <c r="AC369" s="9">
        <f t="shared" si="43"/>
        <v>4235859.5250000004</v>
      </c>
      <c r="AD369" s="9">
        <f t="shared" si="44"/>
        <v>3944954.5500000003</v>
      </c>
      <c r="AE369" s="1" t="s">
        <v>48</v>
      </c>
      <c r="AF369" s="1" t="s">
        <v>53</v>
      </c>
      <c r="AG369" s="4">
        <f t="shared" si="35"/>
        <v>71672.75</v>
      </c>
      <c r="AH369" s="10">
        <v>71672.75</v>
      </c>
      <c r="AI369" s="10">
        <v>2456</v>
      </c>
      <c r="AJ369" s="10">
        <v>10.25</v>
      </c>
      <c r="AK369" s="10">
        <v>0</v>
      </c>
      <c r="AL369" s="9">
        <f t="shared" si="36"/>
        <v>69206.5</v>
      </c>
      <c r="AM369" s="1"/>
      <c r="AN369" s="1"/>
      <c r="AO369" s="12" t="e">
        <f>AB369/#REF!</f>
        <v>#REF!</v>
      </c>
      <c r="AP369" s="1" t="s">
        <v>1681</v>
      </c>
      <c r="AQ369" s="11">
        <v>41822</v>
      </c>
      <c r="AR369" s="1" t="s">
        <v>1682</v>
      </c>
      <c r="AS369" s="11">
        <v>41823</v>
      </c>
      <c r="AT369" s="1" t="s">
        <v>49</v>
      </c>
      <c r="AU369" s="1" t="s">
        <v>4171</v>
      </c>
    </row>
    <row r="370" spans="1:47" ht="15" customHeight="1" x14ac:dyDescent="0.25">
      <c r="A370" s="1">
        <v>369</v>
      </c>
      <c r="B370" s="1" t="s">
        <v>1258</v>
      </c>
      <c r="C370" s="1" t="s">
        <v>38</v>
      </c>
      <c r="D370" s="1">
        <v>9103550205</v>
      </c>
      <c r="E370" s="5">
        <v>41783</v>
      </c>
      <c r="F370" s="1" t="s">
        <v>338</v>
      </c>
      <c r="G370" s="1" t="s">
        <v>40</v>
      </c>
      <c r="H370" s="1" t="s">
        <v>41</v>
      </c>
      <c r="I370" s="1" t="s">
        <v>2809</v>
      </c>
      <c r="J370" s="1" t="s">
        <v>187</v>
      </c>
      <c r="K370" s="1">
        <v>38237090</v>
      </c>
      <c r="L370" s="6">
        <v>18.14</v>
      </c>
      <c r="M370" s="1" t="s">
        <v>70</v>
      </c>
      <c r="N370" s="7" t="s">
        <v>44</v>
      </c>
      <c r="O370" s="1" t="s">
        <v>53</v>
      </c>
      <c r="P370" s="8">
        <v>1733</v>
      </c>
      <c r="Q370" s="17">
        <f t="shared" si="41"/>
        <v>31436.620000000003</v>
      </c>
      <c r="R370" s="9">
        <v>3200</v>
      </c>
      <c r="S370" s="9">
        <v>4.5</v>
      </c>
      <c r="T370" s="9">
        <v>0</v>
      </c>
      <c r="U370" s="10">
        <v>0</v>
      </c>
      <c r="V370" s="1" t="s">
        <v>46</v>
      </c>
      <c r="W370" s="1" t="s">
        <v>56</v>
      </c>
      <c r="X370" s="1">
        <v>2844007</v>
      </c>
      <c r="Y370" s="11">
        <v>41780</v>
      </c>
      <c r="Z370" s="11">
        <v>41781</v>
      </c>
      <c r="AA370" s="9">
        <f t="shared" si="42"/>
        <v>28232.120000000003</v>
      </c>
      <c r="AB370" s="12">
        <v>59.1</v>
      </c>
      <c r="AC370" s="9">
        <f t="shared" si="43"/>
        <v>1857904.2420000001</v>
      </c>
      <c r="AD370" s="9">
        <f t="shared" si="44"/>
        <v>1668518.2920000001</v>
      </c>
      <c r="AE370" s="1" t="s">
        <v>48</v>
      </c>
      <c r="AF370" s="1" t="s">
        <v>53</v>
      </c>
      <c r="AG370" s="4">
        <f t="shared" si="35"/>
        <v>31436.620000000003</v>
      </c>
      <c r="AH370" s="10">
        <v>31401.62</v>
      </c>
      <c r="AI370" s="10">
        <v>3280</v>
      </c>
      <c r="AJ370" s="10">
        <v>4.5</v>
      </c>
      <c r="AK370" s="10">
        <v>0</v>
      </c>
      <c r="AL370" s="9">
        <f t="shared" si="36"/>
        <v>28117.119999999999</v>
      </c>
      <c r="AM370" s="1"/>
      <c r="AN370" s="1"/>
      <c r="AO370" s="12" t="e">
        <f>AB370/#REF!</f>
        <v>#REF!</v>
      </c>
      <c r="AP370" s="1" t="s">
        <v>1683</v>
      </c>
      <c r="AQ370" s="11">
        <v>41893</v>
      </c>
      <c r="AR370" s="1" t="s">
        <v>1684</v>
      </c>
      <c r="AS370" s="11">
        <v>41894</v>
      </c>
      <c r="AT370" s="1" t="s">
        <v>49</v>
      </c>
      <c r="AU370" s="1" t="s">
        <v>4171</v>
      </c>
    </row>
    <row r="371" spans="1:47" ht="15" customHeight="1" x14ac:dyDescent="0.25">
      <c r="A371" s="1">
        <v>370</v>
      </c>
      <c r="B371" s="1" t="s">
        <v>1258</v>
      </c>
      <c r="C371" s="1" t="s">
        <v>38</v>
      </c>
      <c r="D371" s="1" t="s">
        <v>1685</v>
      </c>
      <c r="E371" s="5">
        <v>41786</v>
      </c>
      <c r="F371" s="1" t="s">
        <v>336</v>
      </c>
      <c r="G371" s="1" t="s">
        <v>40</v>
      </c>
      <c r="H371" s="1" t="s">
        <v>41</v>
      </c>
      <c r="I371" s="1" t="s">
        <v>2809</v>
      </c>
      <c r="J371" s="1" t="s">
        <v>200</v>
      </c>
      <c r="K371" s="1">
        <v>38231900</v>
      </c>
      <c r="L371" s="6">
        <v>19.88</v>
      </c>
      <c r="M371" s="1" t="s">
        <v>70</v>
      </c>
      <c r="N371" s="7" t="s">
        <v>44</v>
      </c>
      <c r="O371" s="1" t="s">
        <v>53</v>
      </c>
      <c r="P371" s="8">
        <v>1730</v>
      </c>
      <c r="Q371" s="17">
        <f t="shared" si="41"/>
        <v>34392.400000000001</v>
      </c>
      <c r="R371" s="9">
        <v>1450</v>
      </c>
      <c r="S371" s="9">
        <v>4.92</v>
      </c>
      <c r="T371" s="9">
        <v>0</v>
      </c>
      <c r="U371" s="10">
        <v>0</v>
      </c>
      <c r="V371" s="1" t="s">
        <v>46</v>
      </c>
      <c r="W371" s="1" t="s">
        <v>59</v>
      </c>
      <c r="X371" s="1">
        <v>2825457</v>
      </c>
      <c r="Y371" s="11">
        <v>41779</v>
      </c>
      <c r="Z371" s="11">
        <v>41780</v>
      </c>
      <c r="AA371" s="9">
        <f t="shared" si="42"/>
        <v>32937.480000000003</v>
      </c>
      <c r="AB371" s="12">
        <v>59.1</v>
      </c>
      <c r="AC371" s="9">
        <f t="shared" si="43"/>
        <v>2032590.84</v>
      </c>
      <c r="AD371" s="9">
        <f t="shared" si="44"/>
        <v>1946605.0680000002</v>
      </c>
      <c r="AE371" s="1" t="s">
        <v>51</v>
      </c>
      <c r="AF371" s="1" t="s">
        <v>53</v>
      </c>
      <c r="AG371" s="4">
        <f t="shared" si="35"/>
        <v>34392.400000000001</v>
      </c>
      <c r="AH371" s="10">
        <v>34392</v>
      </c>
      <c r="AI371" s="9">
        <v>1450</v>
      </c>
      <c r="AJ371" s="9">
        <v>4.92</v>
      </c>
      <c r="AK371" s="10">
        <v>0</v>
      </c>
      <c r="AL371" s="9">
        <f t="shared" si="36"/>
        <v>32937.08</v>
      </c>
      <c r="AM371" s="1"/>
      <c r="AN371" s="1"/>
      <c r="AO371" s="12" t="e">
        <f>AB371/#REF!</f>
        <v>#REF!</v>
      </c>
      <c r="AP371" s="1" t="s">
        <v>1686</v>
      </c>
      <c r="AQ371" s="11">
        <v>41820</v>
      </c>
      <c r="AR371" s="1" t="s">
        <v>1687</v>
      </c>
      <c r="AS371" s="11">
        <v>41832</v>
      </c>
      <c r="AT371" s="1" t="s">
        <v>49</v>
      </c>
      <c r="AU371" s="1" t="s">
        <v>4171</v>
      </c>
    </row>
    <row r="372" spans="1:47" ht="15" customHeight="1" x14ac:dyDescent="0.25">
      <c r="A372" s="1">
        <v>371</v>
      </c>
      <c r="B372" s="1" t="s">
        <v>1258</v>
      </c>
      <c r="C372" s="1" t="s">
        <v>38</v>
      </c>
      <c r="D372" s="1" t="s">
        <v>1685</v>
      </c>
      <c r="E372" s="5">
        <v>41786</v>
      </c>
      <c r="F372" s="1" t="s">
        <v>340</v>
      </c>
      <c r="G372" s="1" t="s">
        <v>40</v>
      </c>
      <c r="H372" s="1" t="s">
        <v>41</v>
      </c>
      <c r="I372" s="1" t="s">
        <v>2809</v>
      </c>
      <c r="J372" s="1" t="s">
        <v>200</v>
      </c>
      <c r="K372" s="1">
        <v>38231900</v>
      </c>
      <c r="L372" s="6">
        <v>19.91</v>
      </c>
      <c r="M372" s="1" t="s">
        <v>70</v>
      </c>
      <c r="N372" s="7" t="s">
        <v>44</v>
      </c>
      <c r="O372" s="1" t="s">
        <v>53</v>
      </c>
      <c r="P372" s="8">
        <v>1730</v>
      </c>
      <c r="Q372" s="17">
        <f t="shared" si="41"/>
        <v>34444.300000000003</v>
      </c>
      <c r="R372" s="9">
        <v>1450</v>
      </c>
      <c r="S372" s="9">
        <v>4.93</v>
      </c>
      <c r="T372" s="9">
        <v>0</v>
      </c>
      <c r="U372" s="10">
        <v>0</v>
      </c>
      <c r="V372" s="1" t="s">
        <v>46</v>
      </c>
      <c r="W372" s="1" t="s">
        <v>59</v>
      </c>
      <c r="X372" s="1">
        <v>2844015</v>
      </c>
      <c r="Y372" s="11">
        <v>41780</v>
      </c>
      <c r="Z372" s="11">
        <v>41781</v>
      </c>
      <c r="AA372" s="9">
        <f t="shared" si="42"/>
        <v>32989.370000000003</v>
      </c>
      <c r="AB372" s="12">
        <v>59.1</v>
      </c>
      <c r="AC372" s="9">
        <f t="shared" si="43"/>
        <v>2035658.1300000001</v>
      </c>
      <c r="AD372" s="9">
        <f t="shared" si="44"/>
        <v>1949671.7670000002</v>
      </c>
      <c r="AE372" s="1" t="s">
        <v>51</v>
      </c>
      <c r="AF372" s="1" t="s">
        <v>53</v>
      </c>
      <c r="AG372" s="4">
        <f t="shared" si="35"/>
        <v>34444.300000000003</v>
      </c>
      <c r="AH372" s="10">
        <v>34444</v>
      </c>
      <c r="AI372" s="9">
        <v>1450</v>
      </c>
      <c r="AJ372" s="9">
        <v>4.93</v>
      </c>
      <c r="AK372" s="10">
        <v>0</v>
      </c>
      <c r="AL372" s="9">
        <f t="shared" si="36"/>
        <v>32989.07</v>
      </c>
      <c r="AM372" s="1"/>
      <c r="AN372" s="1"/>
      <c r="AO372" s="12" t="e">
        <f>AB372/#REF!</f>
        <v>#REF!</v>
      </c>
      <c r="AP372" s="1" t="s">
        <v>1686</v>
      </c>
      <c r="AQ372" s="11">
        <v>41820</v>
      </c>
      <c r="AR372" s="1" t="s">
        <v>1688</v>
      </c>
      <c r="AS372" s="11">
        <v>41832</v>
      </c>
      <c r="AT372" s="1" t="s">
        <v>49</v>
      </c>
      <c r="AU372" s="1" t="s">
        <v>4171</v>
      </c>
    </row>
    <row r="373" spans="1:47" ht="15" customHeight="1" x14ac:dyDescent="0.25">
      <c r="A373" s="1">
        <v>372</v>
      </c>
      <c r="B373" s="1" t="s">
        <v>1258</v>
      </c>
      <c r="C373" s="1" t="s">
        <v>38</v>
      </c>
      <c r="D373" s="1">
        <v>9103550208</v>
      </c>
      <c r="E373" s="5">
        <v>41783</v>
      </c>
      <c r="F373" s="1" t="s">
        <v>342</v>
      </c>
      <c r="G373" s="1" t="s">
        <v>40</v>
      </c>
      <c r="H373" s="1" t="s">
        <v>41</v>
      </c>
      <c r="I373" s="1" t="s">
        <v>2809</v>
      </c>
      <c r="J373" s="1" t="s">
        <v>63</v>
      </c>
      <c r="K373" s="1">
        <v>29159090</v>
      </c>
      <c r="L373" s="6">
        <v>20</v>
      </c>
      <c r="M373" s="1" t="s">
        <v>70</v>
      </c>
      <c r="N373" s="7" t="s">
        <v>52</v>
      </c>
      <c r="O373" s="1" t="s">
        <v>53</v>
      </c>
      <c r="P373" s="8">
        <v>3650</v>
      </c>
      <c r="Q373" s="17">
        <f>+L373*P373</f>
        <v>73000</v>
      </c>
      <c r="R373" s="9">
        <v>400</v>
      </c>
      <c r="S373" s="9">
        <v>0</v>
      </c>
      <c r="T373" s="9">
        <v>0</v>
      </c>
      <c r="U373" s="10">
        <v>0</v>
      </c>
      <c r="V373" s="1" t="s">
        <v>46</v>
      </c>
      <c r="W373" s="1" t="s">
        <v>75</v>
      </c>
      <c r="X373" s="1">
        <v>2849267</v>
      </c>
      <c r="Y373" s="11">
        <v>41780</v>
      </c>
      <c r="Z373" s="11">
        <v>41781</v>
      </c>
      <c r="AA373" s="9">
        <f>Q373-R373-S373</f>
        <v>72600</v>
      </c>
      <c r="AB373" s="12">
        <v>59.1</v>
      </c>
      <c r="AC373" s="9">
        <f>+Q373*AB373</f>
        <v>4314300</v>
      </c>
      <c r="AD373" s="9">
        <f>+AA373*AB373</f>
        <v>4290660</v>
      </c>
      <c r="AE373" s="1"/>
      <c r="AF373" s="1"/>
      <c r="AG373" s="4">
        <f t="shared" si="35"/>
        <v>73000</v>
      </c>
      <c r="AH373" s="10"/>
      <c r="AI373" s="10"/>
      <c r="AJ373" s="10"/>
      <c r="AK373" s="10"/>
      <c r="AL373" s="9">
        <f t="shared" si="36"/>
        <v>0</v>
      </c>
      <c r="AM373" s="1"/>
      <c r="AN373" s="1"/>
      <c r="AO373" s="12" t="e">
        <f>AB373/#REF!</f>
        <v>#REF!</v>
      </c>
      <c r="AP373" s="1"/>
      <c r="AQ373" s="11"/>
      <c r="AR373" s="1"/>
      <c r="AS373" s="1"/>
      <c r="AT373" s="1" t="s">
        <v>4314</v>
      </c>
      <c r="AU373" s="1" t="s">
        <v>4314</v>
      </c>
    </row>
    <row r="374" spans="1:47" ht="15" customHeight="1" x14ac:dyDescent="0.25">
      <c r="A374" s="1">
        <v>373</v>
      </c>
      <c r="B374" s="1" t="s">
        <v>1258</v>
      </c>
      <c r="C374" s="1" t="s">
        <v>38</v>
      </c>
      <c r="D374" s="1">
        <v>9103550209</v>
      </c>
      <c r="E374" s="5">
        <v>41787</v>
      </c>
      <c r="F374" s="1" t="s">
        <v>341</v>
      </c>
      <c r="G374" s="1" t="s">
        <v>40</v>
      </c>
      <c r="H374" s="1" t="s">
        <v>41</v>
      </c>
      <c r="I374" s="1" t="s">
        <v>2809</v>
      </c>
      <c r="J374" s="1" t="s">
        <v>63</v>
      </c>
      <c r="K374" s="1">
        <v>38231200</v>
      </c>
      <c r="L374" s="6">
        <v>59.03</v>
      </c>
      <c r="M374" s="1" t="s">
        <v>70</v>
      </c>
      <c r="N374" s="7" t="s">
        <v>52</v>
      </c>
      <c r="O374" s="1" t="s">
        <v>53</v>
      </c>
      <c r="P374" s="8">
        <v>1335</v>
      </c>
      <c r="Q374" s="17">
        <f>+L374*P374</f>
        <v>78805.05</v>
      </c>
      <c r="R374" s="9">
        <v>1680</v>
      </c>
      <c r="S374" s="9">
        <v>0</v>
      </c>
      <c r="T374" s="9">
        <v>0</v>
      </c>
      <c r="U374" s="10">
        <v>0</v>
      </c>
      <c r="V374" s="1" t="s">
        <v>46</v>
      </c>
      <c r="W374" s="1" t="s">
        <v>64</v>
      </c>
      <c r="X374" s="1">
        <v>2857898</v>
      </c>
      <c r="Y374" s="11">
        <v>41781</v>
      </c>
      <c r="Z374" s="11">
        <v>41781</v>
      </c>
      <c r="AA374" s="9">
        <f>Q374-R374-S374</f>
        <v>77125.05</v>
      </c>
      <c r="AB374" s="12">
        <v>59.1</v>
      </c>
      <c r="AC374" s="9">
        <f>+Q374*AB374</f>
        <v>4657378.4550000001</v>
      </c>
      <c r="AD374" s="9">
        <f>+AA374*AB374</f>
        <v>4558090.4550000001</v>
      </c>
      <c r="AE374" s="1" t="s">
        <v>51</v>
      </c>
      <c r="AF374" s="1" t="s">
        <v>53</v>
      </c>
      <c r="AG374" s="4">
        <f t="shared" si="35"/>
        <v>78805.05</v>
      </c>
      <c r="AH374" s="10">
        <v>78805</v>
      </c>
      <c r="AI374" s="10">
        <v>1680</v>
      </c>
      <c r="AJ374" s="10">
        <v>0</v>
      </c>
      <c r="AK374" s="10">
        <v>0</v>
      </c>
      <c r="AL374" s="9">
        <f t="shared" si="36"/>
        <v>77125</v>
      </c>
      <c r="AM374" s="1"/>
      <c r="AN374" s="1"/>
      <c r="AO374" s="12" t="e">
        <f>AB374/#REF!</f>
        <v>#REF!</v>
      </c>
      <c r="AP374" s="1" t="s">
        <v>1689</v>
      </c>
      <c r="AQ374" s="11">
        <v>41800</v>
      </c>
      <c r="AR374" s="1" t="s">
        <v>1690</v>
      </c>
      <c r="AS374" s="11">
        <v>41844</v>
      </c>
      <c r="AT374" s="1" t="s">
        <v>49</v>
      </c>
      <c r="AU374" s="1" t="s">
        <v>4171</v>
      </c>
    </row>
    <row r="375" spans="1:47" ht="15" customHeight="1" x14ac:dyDescent="0.25">
      <c r="A375" s="1">
        <v>374</v>
      </c>
      <c r="B375" s="1" t="s">
        <v>1258</v>
      </c>
      <c r="C375" s="1" t="s">
        <v>38</v>
      </c>
      <c r="D375" s="1">
        <v>9103550210</v>
      </c>
      <c r="E375" s="5">
        <v>41787</v>
      </c>
      <c r="F375" s="1" t="s">
        <v>343</v>
      </c>
      <c r="G375" s="1" t="s">
        <v>40</v>
      </c>
      <c r="H375" s="1" t="s">
        <v>41</v>
      </c>
      <c r="I375" s="1" t="s">
        <v>2809</v>
      </c>
      <c r="J375" s="1" t="s">
        <v>63</v>
      </c>
      <c r="K375" s="1">
        <v>29161990</v>
      </c>
      <c r="L375" s="6">
        <v>39.47</v>
      </c>
      <c r="M375" s="1" t="s">
        <v>70</v>
      </c>
      <c r="N375" s="7" t="s">
        <v>44</v>
      </c>
      <c r="O375" s="1" t="s">
        <v>53</v>
      </c>
      <c r="P375" s="8">
        <v>2765</v>
      </c>
      <c r="Q375" s="17">
        <f>+L375*P375</f>
        <v>109134.55</v>
      </c>
      <c r="R375" s="9">
        <v>1120</v>
      </c>
      <c r="S375" s="9">
        <v>15.61</v>
      </c>
      <c r="T375" s="9">
        <v>0</v>
      </c>
      <c r="U375" s="10">
        <v>0</v>
      </c>
      <c r="V375" s="1" t="s">
        <v>46</v>
      </c>
      <c r="W375" s="1" t="s">
        <v>64</v>
      </c>
      <c r="X375" s="1">
        <v>2860025</v>
      </c>
      <c r="Y375" s="11">
        <v>41781</v>
      </c>
      <c r="Z375" s="11">
        <v>41782</v>
      </c>
      <c r="AA375" s="9">
        <f>Q375-R375-S375</f>
        <v>107998.94</v>
      </c>
      <c r="AB375" s="12">
        <v>59.1</v>
      </c>
      <c r="AC375" s="9">
        <f>+Q375*AB375</f>
        <v>6449851.9050000003</v>
      </c>
      <c r="AD375" s="9">
        <f>+AA375*AB375</f>
        <v>6382737.3540000003</v>
      </c>
      <c r="AE375" s="1" t="s">
        <v>51</v>
      </c>
      <c r="AF375" s="1" t="s">
        <v>53</v>
      </c>
      <c r="AG375" s="4">
        <f t="shared" si="35"/>
        <v>109134.55</v>
      </c>
      <c r="AH375" s="10">
        <v>109134</v>
      </c>
      <c r="AI375" s="9">
        <v>1120</v>
      </c>
      <c r="AJ375" s="9">
        <v>15.61</v>
      </c>
      <c r="AK375" s="10">
        <v>0</v>
      </c>
      <c r="AL375" s="9">
        <f t="shared" si="36"/>
        <v>107998.39</v>
      </c>
      <c r="AM375" s="1"/>
      <c r="AN375" s="1"/>
      <c r="AO375" s="12" t="e">
        <f>AB375/#REF!</f>
        <v>#REF!</v>
      </c>
      <c r="AP375" s="1" t="s">
        <v>1691</v>
      </c>
      <c r="AQ375" s="11">
        <v>41814</v>
      </c>
      <c r="AR375" s="1" t="s">
        <v>1692</v>
      </c>
      <c r="AS375" s="11">
        <v>41844</v>
      </c>
      <c r="AT375" s="1" t="s">
        <v>49</v>
      </c>
      <c r="AU375" s="1" t="s">
        <v>4171</v>
      </c>
    </row>
    <row r="376" spans="1:47" ht="15" customHeight="1" x14ac:dyDescent="0.25">
      <c r="A376" s="1">
        <v>375</v>
      </c>
      <c r="B376" s="1" t="s">
        <v>1258</v>
      </c>
      <c r="C376" s="1" t="s">
        <v>38</v>
      </c>
      <c r="D376" s="1">
        <v>9103550211</v>
      </c>
      <c r="E376" s="5">
        <v>41788</v>
      </c>
      <c r="F376" s="1" t="s">
        <v>345</v>
      </c>
      <c r="G376" s="1" t="s">
        <v>40</v>
      </c>
      <c r="H376" s="1" t="s">
        <v>41</v>
      </c>
      <c r="I376" s="1" t="s">
        <v>2809</v>
      </c>
      <c r="J376" s="1" t="s">
        <v>63</v>
      </c>
      <c r="K376" s="1">
        <v>38231200</v>
      </c>
      <c r="L376" s="6">
        <v>58.41</v>
      </c>
      <c r="M376" s="1" t="s">
        <v>70</v>
      </c>
      <c r="N376" s="7" t="s">
        <v>52</v>
      </c>
      <c r="O376" s="1" t="s">
        <v>53</v>
      </c>
      <c r="P376" s="8">
        <v>1335</v>
      </c>
      <c r="Q376" s="17">
        <f>+L376*P376</f>
        <v>77977.349999999991</v>
      </c>
      <c r="R376" s="9">
        <v>1680</v>
      </c>
      <c r="S376" s="9">
        <v>0</v>
      </c>
      <c r="T376" s="9">
        <v>0</v>
      </c>
      <c r="U376" s="10">
        <v>0</v>
      </c>
      <c r="V376" s="1" t="s">
        <v>46</v>
      </c>
      <c r="W376" s="1" t="s">
        <v>64</v>
      </c>
      <c r="X376" s="1">
        <v>2868262</v>
      </c>
      <c r="Y376" s="11">
        <v>41781</v>
      </c>
      <c r="Z376" s="11">
        <v>41782</v>
      </c>
      <c r="AA376" s="9">
        <f>Q376-R376-S376</f>
        <v>76297.349999999991</v>
      </c>
      <c r="AB376" s="12">
        <v>59.1</v>
      </c>
      <c r="AC376" s="9">
        <f>+Q376*AB376</f>
        <v>4608461.3849999998</v>
      </c>
      <c r="AD376" s="9">
        <f>+AA376*AB376</f>
        <v>4509173.3849999998</v>
      </c>
      <c r="AE376" s="1" t="s">
        <v>51</v>
      </c>
      <c r="AF376" s="1" t="s">
        <v>53</v>
      </c>
      <c r="AG376" s="4">
        <f t="shared" si="35"/>
        <v>77977.349999999991</v>
      </c>
      <c r="AH376" s="10">
        <v>77977</v>
      </c>
      <c r="AI376" s="10">
        <v>1500</v>
      </c>
      <c r="AJ376" s="10">
        <v>0</v>
      </c>
      <c r="AK376" s="10">
        <v>0</v>
      </c>
      <c r="AL376" s="9">
        <f t="shared" si="36"/>
        <v>76477</v>
      </c>
      <c r="AM376" s="1"/>
      <c r="AN376" s="1"/>
      <c r="AO376" s="12" t="e">
        <f>AB376/#REF!</f>
        <v>#REF!</v>
      </c>
      <c r="AP376" s="1" t="s">
        <v>1693</v>
      </c>
      <c r="AQ376" s="11">
        <v>41821</v>
      </c>
      <c r="AR376" s="1" t="s">
        <v>1694</v>
      </c>
      <c r="AS376" s="11">
        <v>41832</v>
      </c>
      <c r="AT376" s="1" t="s">
        <v>49</v>
      </c>
      <c r="AU376" s="1" t="s">
        <v>4171</v>
      </c>
    </row>
    <row r="377" spans="1:47" ht="15" customHeight="1" x14ac:dyDescent="0.25">
      <c r="A377" s="1">
        <v>376</v>
      </c>
      <c r="B377" s="1" t="s">
        <v>1258</v>
      </c>
      <c r="C377" s="1" t="s">
        <v>38</v>
      </c>
      <c r="D377" s="1">
        <v>9103550212</v>
      </c>
      <c r="E377" s="5">
        <v>41786</v>
      </c>
      <c r="F377" s="1" t="s">
        <v>350</v>
      </c>
      <c r="G377" s="1" t="s">
        <v>40</v>
      </c>
      <c r="H377" s="1" t="s">
        <v>41</v>
      </c>
      <c r="I377" s="1" t="s">
        <v>2809</v>
      </c>
      <c r="J377" s="1" t="s">
        <v>50</v>
      </c>
      <c r="K377" s="1">
        <v>38237090</v>
      </c>
      <c r="L377" s="6">
        <v>15</v>
      </c>
      <c r="M377" s="1" t="s">
        <v>70</v>
      </c>
      <c r="N377" s="7" t="s">
        <v>52</v>
      </c>
      <c r="O377" s="1" t="s">
        <v>53</v>
      </c>
      <c r="P377" s="8">
        <v>1695</v>
      </c>
      <c r="Q377" s="17">
        <f t="shared" ref="Q377:Q440" si="45">+L377*P377</f>
        <v>25425</v>
      </c>
      <c r="R377" s="9">
        <v>1050</v>
      </c>
      <c r="S377" s="9">
        <v>0</v>
      </c>
      <c r="T377" s="9">
        <v>0</v>
      </c>
      <c r="U377" s="10">
        <v>0</v>
      </c>
      <c r="V377" s="1" t="s">
        <v>46</v>
      </c>
      <c r="W377" s="1" t="s">
        <v>2657</v>
      </c>
      <c r="X377" s="1">
        <v>2872914</v>
      </c>
      <c r="Y377" s="11">
        <v>41781</v>
      </c>
      <c r="Z377" s="11">
        <v>41782</v>
      </c>
      <c r="AA377" s="9">
        <f t="shared" ref="AA377:AA438" si="46">Q377-R377-S377</f>
        <v>24375</v>
      </c>
      <c r="AB377" s="12">
        <v>59.1</v>
      </c>
      <c r="AC377" s="9">
        <f t="shared" ref="AC377:AC440" si="47">+Q377*AB377</f>
        <v>1502617.5</v>
      </c>
      <c r="AD377" s="9">
        <f t="shared" ref="AD377:AD440" si="48">+AA377*AB377</f>
        <v>1440562.5</v>
      </c>
      <c r="AE377" s="1" t="s">
        <v>48</v>
      </c>
      <c r="AF377" s="1" t="s">
        <v>53</v>
      </c>
      <c r="AG377" s="4">
        <f t="shared" si="35"/>
        <v>25425</v>
      </c>
      <c r="AH377" s="10">
        <v>25249.55</v>
      </c>
      <c r="AI377" s="10">
        <v>1050</v>
      </c>
      <c r="AJ377" s="10">
        <v>0</v>
      </c>
      <c r="AK377" s="10">
        <v>0</v>
      </c>
      <c r="AL377" s="9">
        <f t="shared" si="36"/>
        <v>24199.55</v>
      </c>
      <c r="AM377" s="1"/>
      <c r="AN377" s="1"/>
      <c r="AO377" s="12" t="e">
        <f>AB377/#REF!</f>
        <v>#REF!</v>
      </c>
      <c r="AP377" s="1" t="s">
        <v>1695</v>
      </c>
      <c r="AQ377" s="11">
        <v>41850</v>
      </c>
      <c r="AR377" s="1" t="s">
        <v>1696</v>
      </c>
      <c r="AS377" s="11">
        <v>41851</v>
      </c>
      <c r="AT377" s="1" t="s">
        <v>49</v>
      </c>
      <c r="AU377" s="1" t="s">
        <v>4171</v>
      </c>
    </row>
    <row r="378" spans="1:47" ht="15" customHeight="1" x14ac:dyDescent="0.25">
      <c r="A378" s="1">
        <v>377</v>
      </c>
      <c r="B378" s="1" t="s">
        <v>1258</v>
      </c>
      <c r="C378" s="1" t="s">
        <v>38</v>
      </c>
      <c r="D378" s="1">
        <v>9103550213</v>
      </c>
      <c r="E378" s="5">
        <v>41785</v>
      </c>
      <c r="F378" s="1" t="s">
        <v>347</v>
      </c>
      <c r="G378" s="1" t="s">
        <v>40</v>
      </c>
      <c r="H378" s="1" t="s">
        <v>41</v>
      </c>
      <c r="I378" s="1" t="s">
        <v>2809</v>
      </c>
      <c r="J378" s="1" t="s">
        <v>142</v>
      </c>
      <c r="K378" s="1">
        <v>38237090</v>
      </c>
      <c r="L378" s="6">
        <v>72</v>
      </c>
      <c r="M378" s="1" t="s">
        <v>70</v>
      </c>
      <c r="N378" s="7" t="s">
        <v>52</v>
      </c>
      <c r="O378" s="1" t="s">
        <v>53</v>
      </c>
      <c r="P378" s="8">
        <v>1600</v>
      </c>
      <c r="Q378" s="17">
        <f t="shared" si="45"/>
        <v>115200</v>
      </c>
      <c r="R378" s="9">
        <v>4086</v>
      </c>
      <c r="S378" s="9">
        <v>0</v>
      </c>
      <c r="T378" s="9">
        <v>2217.6</v>
      </c>
      <c r="U378" s="10">
        <v>0</v>
      </c>
      <c r="V378" s="1" t="s">
        <v>46</v>
      </c>
      <c r="W378" s="1" t="s">
        <v>143</v>
      </c>
      <c r="X378" s="1">
        <v>2872918</v>
      </c>
      <c r="Y378" s="11">
        <v>41781</v>
      </c>
      <c r="Z378" s="11">
        <v>41782</v>
      </c>
      <c r="AA378" s="9">
        <f t="shared" si="46"/>
        <v>111114</v>
      </c>
      <c r="AB378" s="12">
        <v>59.1</v>
      </c>
      <c r="AC378" s="9">
        <f t="shared" si="47"/>
        <v>6808320</v>
      </c>
      <c r="AD378" s="9">
        <f t="shared" si="48"/>
        <v>6566837.4000000004</v>
      </c>
      <c r="AE378" s="1" t="s">
        <v>51</v>
      </c>
      <c r="AF378" s="1" t="s">
        <v>53</v>
      </c>
      <c r="AG378" s="4">
        <f t="shared" si="35"/>
        <v>115200</v>
      </c>
      <c r="AH378" s="10">
        <v>115185</v>
      </c>
      <c r="AI378" s="10">
        <v>4086</v>
      </c>
      <c r="AJ378" s="10">
        <v>0</v>
      </c>
      <c r="AK378" s="10">
        <v>2217.6</v>
      </c>
      <c r="AL378" s="9">
        <f t="shared" si="36"/>
        <v>108881.4</v>
      </c>
      <c r="AM378" s="1"/>
      <c r="AN378" s="1"/>
      <c r="AO378" s="12" t="e">
        <f>AB378/#REF!</f>
        <v>#REF!</v>
      </c>
      <c r="AP378" s="1" t="s">
        <v>1697</v>
      </c>
      <c r="AQ378" s="11">
        <v>41801</v>
      </c>
      <c r="AR378" s="1" t="s">
        <v>1698</v>
      </c>
      <c r="AS378" s="11">
        <v>42032</v>
      </c>
      <c r="AT378" s="1" t="s">
        <v>49</v>
      </c>
      <c r="AU378" s="1" t="s">
        <v>4171</v>
      </c>
    </row>
    <row r="379" spans="1:47" ht="15" customHeight="1" x14ac:dyDescent="0.25">
      <c r="A379" s="1">
        <v>378</v>
      </c>
      <c r="B379" s="1" t="s">
        <v>1258</v>
      </c>
      <c r="C379" s="1" t="s">
        <v>38</v>
      </c>
      <c r="D379" s="1">
        <v>9103550214</v>
      </c>
      <c r="E379" s="5">
        <v>41786</v>
      </c>
      <c r="F379" s="1" t="s">
        <v>346</v>
      </c>
      <c r="G379" s="1" t="s">
        <v>40</v>
      </c>
      <c r="H379" s="1" t="s">
        <v>41</v>
      </c>
      <c r="I379" s="1" t="s">
        <v>2809</v>
      </c>
      <c r="J379" s="1" t="s">
        <v>169</v>
      </c>
      <c r="K379" s="1">
        <v>29159090</v>
      </c>
      <c r="L379" s="6">
        <v>12</v>
      </c>
      <c r="M379" s="1" t="s">
        <v>70</v>
      </c>
      <c r="N379" s="7" t="s">
        <v>44</v>
      </c>
      <c r="O379" s="1" t="s">
        <v>53</v>
      </c>
      <c r="P379" s="8">
        <v>4050</v>
      </c>
      <c r="Q379" s="17">
        <f t="shared" si="45"/>
        <v>48600</v>
      </c>
      <c r="R379" s="9">
        <v>3000</v>
      </c>
      <c r="S379" s="9">
        <v>6.95</v>
      </c>
      <c r="T379" s="9">
        <v>0</v>
      </c>
      <c r="U379" s="10">
        <v>0</v>
      </c>
      <c r="V379" s="1" t="s">
        <v>46</v>
      </c>
      <c r="W379" s="1" t="s">
        <v>188</v>
      </c>
      <c r="X379" s="1">
        <v>2869432</v>
      </c>
      <c r="Y379" s="11">
        <v>41781</v>
      </c>
      <c r="Z379" s="11">
        <v>41782</v>
      </c>
      <c r="AA379" s="9">
        <f t="shared" si="46"/>
        <v>45593.05</v>
      </c>
      <c r="AB379" s="12">
        <v>59.1</v>
      </c>
      <c r="AC379" s="9">
        <f t="shared" si="47"/>
        <v>2872260</v>
      </c>
      <c r="AD379" s="9">
        <f t="shared" si="48"/>
        <v>2694549.2550000004</v>
      </c>
      <c r="AE379" s="1" t="s">
        <v>48</v>
      </c>
      <c r="AF379" s="1" t="s">
        <v>53</v>
      </c>
      <c r="AG379" s="4">
        <f t="shared" si="35"/>
        <v>48600</v>
      </c>
      <c r="AH379" s="10">
        <v>48565.5</v>
      </c>
      <c r="AI379" s="10">
        <v>2982</v>
      </c>
      <c r="AJ379" s="10">
        <v>6.95</v>
      </c>
      <c r="AK379" s="10">
        <v>0</v>
      </c>
      <c r="AL379" s="9">
        <f t="shared" si="36"/>
        <v>45576.55</v>
      </c>
      <c r="AM379" s="1"/>
      <c r="AN379" s="1"/>
      <c r="AO379" s="12" t="e">
        <f>AB379/#REF!</f>
        <v>#REF!</v>
      </c>
      <c r="AP379" s="1" t="s">
        <v>1699</v>
      </c>
      <c r="AQ379" s="11">
        <v>41856</v>
      </c>
      <c r="AR379" s="1" t="s">
        <v>1700</v>
      </c>
      <c r="AS379" s="11">
        <v>41857</v>
      </c>
      <c r="AT379" s="1" t="s">
        <v>49</v>
      </c>
      <c r="AU379" s="1" t="s">
        <v>4171</v>
      </c>
    </row>
    <row r="380" spans="1:47" ht="15" customHeight="1" x14ac:dyDescent="0.25">
      <c r="A380" s="1">
        <v>379</v>
      </c>
      <c r="B380" s="1" t="s">
        <v>1258</v>
      </c>
      <c r="C380" s="1" t="s">
        <v>38</v>
      </c>
      <c r="D380" s="1">
        <v>9103550215</v>
      </c>
      <c r="E380" s="5">
        <v>41799</v>
      </c>
      <c r="F380" s="1" t="s">
        <v>334</v>
      </c>
      <c r="G380" s="1" t="s">
        <v>40</v>
      </c>
      <c r="H380" s="1" t="s">
        <v>41</v>
      </c>
      <c r="I380" s="1" t="s">
        <v>2809</v>
      </c>
      <c r="J380" s="1" t="s">
        <v>2759</v>
      </c>
      <c r="K380" s="1">
        <v>29051700</v>
      </c>
      <c r="L380" s="6">
        <v>5</v>
      </c>
      <c r="M380" s="1" t="s">
        <v>70</v>
      </c>
      <c r="N380" s="7" t="s">
        <v>67</v>
      </c>
      <c r="O380" s="1" t="s">
        <v>53</v>
      </c>
      <c r="P380" s="8">
        <v>1940</v>
      </c>
      <c r="Q380" s="17">
        <f t="shared" si="45"/>
        <v>9700</v>
      </c>
      <c r="R380" s="9">
        <v>0</v>
      </c>
      <c r="S380" s="9">
        <v>0</v>
      </c>
      <c r="T380" s="9">
        <v>0</v>
      </c>
      <c r="U380" s="10">
        <v>0</v>
      </c>
      <c r="V380" s="1" t="s">
        <v>46</v>
      </c>
      <c r="W380" s="1" t="s">
        <v>72</v>
      </c>
      <c r="X380" s="1">
        <v>2833847</v>
      </c>
      <c r="Y380" s="11">
        <v>41780</v>
      </c>
      <c r="Z380" s="11">
        <v>41785</v>
      </c>
      <c r="AA380" s="9">
        <f t="shared" si="46"/>
        <v>9700</v>
      </c>
      <c r="AB380" s="12">
        <v>59.1</v>
      </c>
      <c r="AC380" s="9">
        <f t="shared" si="47"/>
        <v>573270</v>
      </c>
      <c r="AD380" s="9">
        <f t="shared" si="48"/>
        <v>573270</v>
      </c>
      <c r="AE380" s="1" t="s">
        <v>48</v>
      </c>
      <c r="AF380" s="1" t="s">
        <v>53</v>
      </c>
      <c r="AG380" s="4">
        <f t="shared" si="35"/>
        <v>9700</v>
      </c>
      <c r="AH380" s="10">
        <v>9700</v>
      </c>
      <c r="AI380" s="9">
        <v>0</v>
      </c>
      <c r="AJ380" s="9">
        <v>0</v>
      </c>
      <c r="AK380" s="9">
        <v>0</v>
      </c>
      <c r="AL380" s="9">
        <f t="shared" si="36"/>
        <v>9700</v>
      </c>
      <c r="AM380" s="1"/>
      <c r="AN380" s="1"/>
      <c r="AO380" s="12" t="e">
        <f>AB380/#REF!</f>
        <v>#REF!</v>
      </c>
      <c r="AP380" s="1" t="s">
        <v>1701</v>
      </c>
      <c r="AQ380" s="11">
        <v>41835</v>
      </c>
      <c r="AR380" s="1" t="s">
        <v>1702</v>
      </c>
      <c r="AS380" s="11">
        <v>41836</v>
      </c>
      <c r="AT380" s="1" t="s">
        <v>49</v>
      </c>
      <c r="AU380" s="1" t="s">
        <v>4171</v>
      </c>
    </row>
    <row r="381" spans="1:47" ht="15" customHeight="1" x14ac:dyDescent="0.25">
      <c r="A381" s="1">
        <v>380</v>
      </c>
      <c r="B381" s="1" t="s">
        <v>1258</v>
      </c>
      <c r="C381" s="1" t="s">
        <v>38</v>
      </c>
      <c r="D381" s="1">
        <v>9103550216</v>
      </c>
      <c r="E381" s="5">
        <v>41787</v>
      </c>
      <c r="F381" s="1" t="s">
        <v>348</v>
      </c>
      <c r="G381" s="1" t="s">
        <v>40</v>
      </c>
      <c r="H381" s="1" t="s">
        <v>41</v>
      </c>
      <c r="I381" s="1" t="s">
        <v>2809</v>
      </c>
      <c r="J381" s="1" t="s">
        <v>1115</v>
      </c>
      <c r="K381" s="1">
        <v>38237090</v>
      </c>
      <c r="L381" s="6">
        <v>12</v>
      </c>
      <c r="M381" s="1" t="s">
        <v>70</v>
      </c>
      <c r="N381" s="7" t="s">
        <v>44</v>
      </c>
      <c r="O381" s="1" t="s">
        <v>53</v>
      </c>
      <c r="P381" s="8">
        <v>1770</v>
      </c>
      <c r="Q381" s="17">
        <f t="shared" si="45"/>
        <v>21240</v>
      </c>
      <c r="R381" s="9">
        <v>1030</v>
      </c>
      <c r="S381" s="9">
        <v>3.04</v>
      </c>
      <c r="T381" s="9">
        <v>0</v>
      </c>
      <c r="U381" s="10">
        <v>0</v>
      </c>
      <c r="V381" s="1" t="s">
        <v>46</v>
      </c>
      <c r="W381" s="1" t="s">
        <v>2657</v>
      </c>
      <c r="X381" s="1">
        <v>2873416</v>
      </c>
      <c r="Y381" s="11">
        <v>41781</v>
      </c>
      <c r="Z381" s="11">
        <v>41782</v>
      </c>
      <c r="AA381" s="9">
        <f t="shared" si="46"/>
        <v>20206.96</v>
      </c>
      <c r="AB381" s="12">
        <v>59.1</v>
      </c>
      <c r="AC381" s="9">
        <f t="shared" si="47"/>
        <v>1255284</v>
      </c>
      <c r="AD381" s="9">
        <f t="shared" si="48"/>
        <v>1194231.3359999999</v>
      </c>
      <c r="AE381" s="1" t="s">
        <v>48</v>
      </c>
      <c r="AF381" s="1" t="s">
        <v>53</v>
      </c>
      <c r="AG381" s="4">
        <f t="shared" si="35"/>
        <v>21240</v>
      </c>
      <c r="AH381" s="10">
        <v>21240</v>
      </c>
      <c r="AI381" s="10">
        <v>1026.02</v>
      </c>
      <c r="AJ381" s="10">
        <v>3.0779999999999998</v>
      </c>
      <c r="AK381" s="10"/>
      <c r="AL381" s="9">
        <f t="shared" si="36"/>
        <v>20210.902000000002</v>
      </c>
      <c r="AM381" s="1"/>
      <c r="AN381" s="1"/>
      <c r="AO381" s="12" t="e">
        <f>AB381/#REF!</f>
        <v>#REF!</v>
      </c>
      <c r="AP381" s="1" t="s">
        <v>1703</v>
      </c>
      <c r="AQ381" s="11">
        <v>41856</v>
      </c>
      <c r="AR381" s="1" t="s">
        <v>1704</v>
      </c>
      <c r="AS381" s="11">
        <v>41857</v>
      </c>
      <c r="AT381" s="1" t="s">
        <v>49</v>
      </c>
      <c r="AU381" s="1" t="s">
        <v>4171</v>
      </c>
    </row>
    <row r="382" spans="1:47" ht="15" customHeight="1" x14ac:dyDescent="0.25">
      <c r="A382" s="1">
        <v>381</v>
      </c>
      <c r="B382" s="1" t="s">
        <v>1258</v>
      </c>
      <c r="C382" s="1" t="s">
        <v>38</v>
      </c>
      <c r="D382" s="1">
        <v>9103550216</v>
      </c>
      <c r="E382" s="5">
        <v>41787</v>
      </c>
      <c r="F382" s="1" t="s">
        <v>348</v>
      </c>
      <c r="G382" s="1" t="s">
        <v>40</v>
      </c>
      <c r="H382" s="1" t="s">
        <v>41</v>
      </c>
      <c r="I382" s="1" t="s">
        <v>2809</v>
      </c>
      <c r="J382" s="1" t="s">
        <v>1115</v>
      </c>
      <c r="K382" s="1">
        <v>38237090</v>
      </c>
      <c r="L382" s="6">
        <v>12</v>
      </c>
      <c r="M382" s="1" t="s">
        <v>70</v>
      </c>
      <c r="N382" s="7" t="s">
        <v>44</v>
      </c>
      <c r="O382" s="1" t="s">
        <v>53</v>
      </c>
      <c r="P382" s="8">
        <v>1870</v>
      </c>
      <c r="Q382" s="17">
        <f t="shared" si="45"/>
        <v>22440</v>
      </c>
      <c r="R382" s="9">
        <v>1030</v>
      </c>
      <c r="S382" s="9">
        <v>3.21</v>
      </c>
      <c r="T382" s="9">
        <v>0</v>
      </c>
      <c r="U382" s="10">
        <v>0</v>
      </c>
      <c r="V382" s="1" t="s">
        <v>46</v>
      </c>
      <c r="W382" s="1" t="s">
        <v>2657</v>
      </c>
      <c r="X382" s="1">
        <v>2873416</v>
      </c>
      <c r="Y382" s="11">
        <v>41781</v>
      </c>
      <c r="Z382" s="11">
        <v>41782</v>
      </c>
      <c r="AA382" s="9">
        <f t="shared" si="46"/>
        <v>21406.79</v>
      </c>
      <c r="AB382" s="12">
        <v>59.1</v>
      </c>
      <c r="AC382" s="9">
        <f t="shared" si="47"/>
        <v>1326204</v>
      </c>
      <c r="AD382" s="9">
        <f t="shared" si="48"/>
        <v>1265141.2890000001</v>
      </c>
      <c r="AE382" s="1" t="s">
        <v>48</v>
      </c>
      <c r="AF382" s="1" t="s">
        <v>53</v>
      </c>
      <c r="AG382" s="4">
        <f t="shared" si="35"/>
        <v>22440</v>
      </c>
      <c r="AH382" s="10">
        <v>22440</v>
      </c>
      <c r="AI382" s="10">
        <v>1083.98</v>
      </c>
      <c r="AJ382" s="10">
        <v>3.25</v>
      </c>
      <c r="AK382" s="10"/>
      <c r="AL382" s="9">
        <f t="shared" si="36"/>
        <v>21352.77</v>
      </c>
      <c r="AM382" s="1"/>
      <c r="AN382" s="1"/>
      <c r="AO382" s="12" t="e">
        <f>AB382/#REF!</f>
        <v>#REF!</v>
      </c>
      <c r="AP382" s="1" t="s">
        <v>1703</v>
      </c>
      <c r="AQ382" s="11">
        <v>41856</v>
      </c>
      <c r="AR382" s="1" t="s">
        <v>1704</v>
      </c>
      <c r="AS382" s="11">
        <v>41857</v>
      </c>
      <c r="AT382" s="1" t="s">
        <v>49</v>
      </c>
      <c r="AU382" s="1" t="s">
        <v>4171</v>
      </c>
    </row>
    <row r="383" spans="1:47" ht="15" customHeight="1" x14ac:dyDescent="0.25">
      <c r="A383" s="1">
        <v>382</v>
      </c>
      <c r="B383" s="1" t="s">
        <v>1258</v>
      </c>
      <c r="C383" s="1" t="s">
        <v>38</v>
      </c>
      <c r="D383" s="1">
        <v>9103550217</v>
      </c>
      <c r="E383" s="5">
        <v>41788</v>
      </c>
      <c r="F383" s="1" t="s">
        <v>380</v>
      </c>
      <c r="G383" s="1" t="s">
        <v>40</v>
      </c>
      <c r="H383" s="1" t="s">
        <v>41</v>
      </c>
      <c r="I383" s="1" t="s">
        <v>2809</v>
      </c>
      <c r="J383" s="1" t="s">
        <v>1705</v>
      </c>
      <c r="K383" s="1">
        <v>38237090</v>
      </c>
      <c r="L383" s="6">
        <v>19.489999999999998</v>
      </c>
      <c r="M383" s="1" t="s">
        <v>70</v>
      </c>
      <c r="N383" s="7" t="s">
        <v>44</v>
      </c>
      <c r="O383" s="1" t="s">
        <v>53</v>
      </c>
      <c r="P383" s="8">
        <v>1903</v>
      </c>
      <c r="Q383" s="17">
        <f t="shared" si="45"/>
        <v>37089.469999999994</v>
      </c>
      <c r="R383" s="9">
        <v>560</v>
      </c>
      <c r="S383" s="9">
        <v>5.3</v>
      </c>
      <c r="T383" s="9">
        <v>0</v>
      </c>
      <c r="U383" s="10">
        <v>0</v>
      </c>
      <c r="V383" s="1" t="s">
        <v>46</v>
      </c>
      <c r="W383" s="1" t="s">
        <v>64</v>
      </c>
      <c r="X383" s="1">
        <v>2894968</v>
      </c>
      <c r="Y383" s="11">
        <v>41782</v>
      </c>
      <c r="Z383" s="11">
        <v>41783</v>
      </c>
      <c r="AA383" s="9">
        <f t="shared" si="46"/>
        <v>36524.169999999991</v>
      </c>
      <c r="AB383" s="12">
        <v>59.1</v>
      </c>
      <c r="AC383" s="9">
        <f t="shared" si="47"/>
        <v>2191987.6769999997</v>
      </c>
      <c r="AD383" s="9">
        <f t="shared" si="48"/>
        <v>2158578.4469999997</v>
      </c>
      <c r="AE383" s="1" t="s">
        <v>48</v>
      </c>
      <c r="AF383" s="1" t="s">
        <v>53</v>
      </c>
      <c r="AG383" s="4">
        <f t="shared" si="35"/>
        <v>37089.469999999994</v>
      </c>
      <c r="AH383" s="10">
        <v>36848.47</v>
      </c>
      <c r="AI383" s="10">
        <v>500</v>
      </c>
      <c r="AJ383" s="10">
        <v>5.3</v>
      </c>
      <c r="AK383" s="10">
        <v>0</v>
      </c>
      <c r="AL383" s="9">
        <f t="shared" si="36"/>
        <v>36343.17</v>
      </c>
      <c r="AM383" s="1"/>
      <c r="AN383" s="1"/>
      <c r="AO383" s="12" t="e">
        <f>AB383/#REF!</f>
        <v>#REF!</v>
      </c>
      <c r="AP383" s="1" t="s">
        <v>1706</v>
      </c>
      <c r="AQ383" s="11">
        <v>41806</v>
      </c>
      <c r="AR383" s="1" t="s">
        <v>1707</v>
      </c>
      <c r="AS383" s="11">
        <v>41808</v>
      </c>
      <c r="AT383" s="1" t="s">
        <v>49</v>
      </c>
      <c r="AU383" s="1" t="s">
        <v>4171</v>
      </c>
    </row>
    <row r="384" spans="1:47" ht="15" customHeight="1" x14ac:dyDescent="0.25">
      <c r="A384" s="1">
        <v>383</v>
      </c>
      <c r="B384" s="1" t="s">
        <v>1258</v>
      </c>
      <c r="C384" s="1" t="s">
        <v>38</v>
      </c>
      <c r="D384" s="1">
        <v>9103550218</v>
      </c>
      <c r="E384" s="5">
        <v>41788</v>
      </c>
      <c r="F384" s="1" t="s">
        <v>352</v>
      </c>
      <c r="G384" s="1" t="s">
        <v>40</v>
      </c>
      <c r="H384" s="1" t="s">
        <v>41</v>
      </c>
      <c r="I384" s="1" t="s">
        <v>2809</v>
      </c>
      <c r="J384" s="1" t="s">
        <v>63</v>
      </c>
      <c r="K384" s="1">
        <v>29161990</v>
      </c>
      <c r="L384" s="6">
        <v>38.94</v>
      </c>
      <c r="M384" s="1" t="s">
        <v>70</v>
      </c>
      <c r="N384" s="7" t="s">
        <v>44</v>
      </c>
      <c r="O384" s="1" t="s">
        <v>53</v>
      </c>
      <c r="P384" s="8">
        <v>2765</v>
      </c>
      <c r="Q384" s="17">
        <f t="shared" si="45"/>
        <v>107669.09999999999</v>
      </c>
      <c r="R384" s="9">
        <v>1200</v>
      </c>
      <c r="S384" s="9">
        <v>15.4</v>
      </c>
      <c r="T384" s="9">
        <v>0</v>
      </c>
      <c r="U384" s="10">
        <v>0</v>
      </c>
      <c r="V384" s="1" t="s">
        <v>46</v>
      </c>
      <c r="W384" s="1" t="s">
        <v>64</v>
      </c>
      <c r="X384" s="1">
        <v>2898722</v>
      </c>
      <c r="Y384" s="11">
        <v>41783</v>
      </c>
      <c r="Z384" s="11">
        <v>41783</v>
      </c>
      <c r="AA384" s="9">
        <f t="shared" si="46"/>
        <v>106453.7</v>
      </c>
      <c r="AB384" s="12">
        <v>59.1</v>
      </c>
      <c r="AC384" s="9">
        <f t="shared" si="47"/>
        <v>6363243.8099999996</v>
      </c>
      <c r="AD384" s="9">
        <f t="shared" si="48"/>
        <v>6291413.6699999999</v>
      </c>
      <c r="AE384" s="1" t="s">
        <v>51</v>
      </c>
      <c r="AF384" s="1" t="s">
        <v>53</v>
      </c>
      <c r="AG384" s="4">
        <f t="shared" si="35"/>
        <v>107669.09999999999</v>
      </c>
      <c r="AH384" s="10">
        <v>107628</v>
      </c>
      <c r="AI384" s="9">
        <v>1200</v>
      </c>
      <c r="AJ384" s="9">
        <v>15.4</v>
      </c>
      <c r="AK384" s="10">
        <v>0</v>
      </c>
      <c r="AL384" s="9">
        <f t="shared" si="36"/>
        <v>106412.6</v>
      </c>
      <c r="AM384" s="1"/>
      <c r="AN384" s="1"/>
      <c r="AO384" s="12" t="e">
        <f>AB384/#REF!</f>
        <v>#REF!</v>
      </c>
      <c r="AP384" s="1" t="s">
        <v>1708</v>
      </c>
      <c r="AQ384" s="11">
        <v>41800</v>
      </c>
      <c r="AR384" s="1" t="s">
        <v>1709</v>
      </c>
      <c r="AS384" s="11">
        <v>41844</v>
      </c>
      <c r="AT384" s="1" t="s">
        <v>49</v>
      </c>
      <c r="AU384" s="1" t="s">
        <v>4171</v>
      </c>
    </row>
    <row r="385" spans="1:47" ht="15" customHeight="1" x14ac:dyDescent="0.25">
      <c r="A385" s="1">
        <v>384</v>
      </c>
      <c r="B385" s="1" t="s">
        <v>1258</v>
      </c>
      <c r="C385" s="1" t="s">
        <v>38</v>
      </c>
      <c r="D385" s="1">
        <v>9103550219</v>
      </c>
      <c r="E385" s="5">
        <v>41788</v>
      </c>
      <c r="F385" s="1" t="s">
        <v>379</v>
      </c>
      <c r="G385" s="1" t="s">
        <v>40</v>
      </c>
      <c r="H385" s="1" t="s">
        <v>41</v>
      </c>
      <c r="I385" s="1" t="s">
        <v>2809</v>
      </c>
      <c r="J385" s="1" t="s">
        <v>63</v>
      </c>
      <c r="K385" s="1">
        <v>29161990</v>
      </c>
      <c r="L385" s="6">
        <v>39.11</v>
      </c>
      <c r="M385" s="1" t="s">
        <v>70</v>
      </c>
      <c r="N385" s="7" t="s">
        <v>44</v>
      </c>
      <c r="O385" s="1" t="s">
        <v>53</v>
      </c>
      <c r="P385" s="8">
        <v>2765</v>
      </c>
      <c r="Q385" s="17">
        <f t="shared" si="45"/>
        <v>108139.15</v>
      </c>
      <c r="R385" s="9">
        <v>1200</v>
      </c>
      <c r="S385" s="9">
        <v>15.46</v>
      </c>
      <c r="T385" s="9">
        <v>0</v>
      </c>
      <c r="U385" s="10">
        <v>0</v>
      </c>
      <c r="V385" s="1" t="s">
        <v>46</v>
      </c>
      <c r="W385" s="1" t="s">
        <v>64</v>
      </c>
      <c r="X385" s="1">
        <v>2891175</v>
      </c>
      <c r="Y385" s="11">
        <v>41782</v>
      </c>
      <c r="Z385" s="11">
        <v>41783</v>
      </c>
      <c r="AA385" s="9">
        <f t="shared" si="46"/>
        <v>106923.68999999999</v>
      </c>
      <c r="AB385" s="12">
        <v>59.1</v>
      </c>
      <c r="AC385" s="9">
        <f t="shared" si="47"/>
        <v>6391023.7649999997</v>
      </c>
      <c r="AD385" s="9">
        <f t="shared" si="48"/>
        <v>6319190.078999999</v>
      </c>
      <c r="AE385" s="1" t="s">
        <v>51</v>
      </c>
      <c r="AF385" s="1" t="s">
        <v>53</v>
      </c>
      <c r="AG385" s="4">
        <f t="shared" si="35"/>
        <v>108139.15</v>
      </c>
      <c r="AH385" s="10">
        <v>108139</v>
      </c>
      <c r="AI385" s="9">
        <v>1200</v>
      </c>
      <c r="AJ385" s="9">
        <v>15.46</v>
      </c>
      <c r="AK385" s="10">
        <v>0</v>
      </c>
      <c r="AL385" s="9">
        <f t="shared" si="36"/>
        <v>106923.54</v>
      </c>
      <c r="AM385" s="1"/>
      <c r="AN385" s="1"/>
      <c r="AO385" s="12" t="e">
        <f>AB385/#REF!</f>
        <v>#REF!</v>
      </c>
      <c r="AP385" s="1" t="s">
        <v>1710</v>
      </c>
      <c r="AQ385" s="11">
        <v>41807</v>
      </c>
      <c r="AR385" s="1" t="s">
        <v>1711</v>
      </c>
      <c r="AS385" s="11">
        <v>41845</v>
      </c>
      <c r="AT385" s="1" t="s">
        <v>49</v>
      </c>
      <c r="AU385" s="1" t="s">
        <v>4171</v>
      </c>
    </row>
    <row r="386" spans="1:47" ht="15" customHeight="1" x14ac:dyDescent="0.25">
      <c r="A386" s="1">
        <v>385</v>
      </c>
      <c r="B386" s="1" t="s">
        <v>1258</v>
      </c>
      <c r="C386" s="1" t="s">
        <v>38</v>
      </c>
      <c r="D386" s="1">
        <v>9103550220</v>
      </c>
      <c r="E386" s="5">
        <v>41788</v>
      </c>
      <c r="F386" s="1" t="s">
        <v>363</v>
      </c>
      <c r="G386" s="1" t="s">
        <v>40</v>
      </c>
      <c r="H386" s="1" t="s">
        <v>41</v>
      </c>
      <c r="I386" s="1" t="s">
        <v>2809</v>
      </c>
      <c r="J386" s="1" t="s">
        <v>63</v>
      </c>
      <c r="K386" s="1">
        <v>29161990</v>
      </c>
      <c r="L386" s="6">
        <v>38.65</v>
      </c>
      <c r="M386" s="1" t="s">
        <v>70</v>
      </c>
      <c r="N386" s="7" t="s">
        <v>44</v>
      </c>
      <c r="O386" s="1" t="s">
        <v>53</v>
      </c>
      <c r="P386" s="8">
        <v>2765</v>
      </c>
      <c r="Q386" s="17">
        <f t="shared" si="45"/>
        <v>106867.25</v>
      </c>
      <c r="R386" s="9">
        <v>1120</v>
      </c>
      <c r="S386" s="9">
        <v>15.28</v>
      </c>
      <c r="T386" s="9">
        <v>0</v>
      </c>
      <c r="U386" s="10">
        <v>0</v>
      </c>
      <c r="V386" s="1" t="s">
        <v>46</v>
      </c>
      <c r="W386" s="1" t="s">
        <v>64</v>
      </c>
      <c r="X386" s="1">
        <v>2911383</v>
      </c>
      <c r="Y386" s="11">
        <v>41783</v>
      </c>
      <c r="Z386" s="11">
        <v>41785</v>
      </c>
      <c r="AA386" s="9">
        <f t="shared" si="46"/>
        <v>105731.97</v>
      </c>
      <c r="AB386" s="12">
        <v>59.1</v>
      </c>
      <c r="AC386" s="9">
        <f t="shared" si="47"/>
        <v>6315854.4750000006</v>
      </c>
      <c r="AD386" s="9">
        <f t="shared" si="48"/>
        <v>6248759.4270000001</v>
      </c>
      <c r="AE386" s="1" t="s">
        <v>51</v>
      </c>
      <c r="AF386" s="1" t="s">
        <v>53</v>
      </c>
      <c r="AG386" s="4">
        <f t="shared" ref="AG386:AG449" si="49">Q386</f>
        <v>106867.25</v>
      </c>
      <c r="AH386" s="10">
        <v>106826</v>
      </c>
      <c r="AI386" s="10">
        <v>100</v>
      </c>
      <c r="AJ386" s="10">
        <v>15.28</v>
      </c>
      <c r="AK386" s="10">
        <v>0</v>
      </c>
      <c r="AL386" s="9">
        <f t="shared" ref="AL386:AL449" si="50">AH386-(AI386+AJ386+AK386)</f>
        <v>106710.72</v>
      </c>
      <c r="AM386" s="1"/>
      <c r="AN386" s="1"/>
      <c r="AO386" s="12" t="e">
        <f>AB386/#REF!</f>
        <v>#REF!</v>
      </c>
      <c r="AP386" s="1" t="s">
        <v>1712</v>
      </c>
      <c r="AQ386" s="11">
        <v>41807</v>
      </c>
      <c r="AR386" s="1" t="s">
        <v>1713</v>
      </c>
      <c r="AS386" s="11">
        <v>41845</v>
      </c>
      <c r="AT386" s="1" t="s">
        <v>49</v>
      </c>
      <c r="AU386" s="1" t="s">
        <v>4171</v>
      </c>
    </row>
    <row r="387" spans="1:47" ht="15" customHeight="1" x14ac:dyDescent="0.25">
      <c r="A387" s="1">
        <v>386</v>
      </c>
      <c r="B387" s="1" t="s">
        <v>1258</v>
      </c>
      <c r="C387" s="1" t="s">
        <v>38</v>
      </c>
      <c r="D387" s="1">
        <v>9103550221</v>
      </c>
      <c r="E387" s="5">
        <v>41789</v>
      </c>
      <c r="F387" s="1" t="s">
        <v>355</v>
      </c>
      <c r="G387" s="1" t="s">
        <v>40</v>
      </c>
      <c r="H387" s="1" t="s">
        <v>41</v>
      </c>
      <c r="I387" s="1" t="s">
        <v>2809</v>
      </c>
      <c r="J387" s="1" t="s">
        <v>1714</v>
      </c>
      <c r="K387" s="1">
        <v>38237090</v>
      </c>
      <c r="L387" s="6">
        <v>48</v>
      </c>
      <c r="M387" s="1" t="s">
        <v>70</v>
      </c>
      <c r="N387" s="7" t="s">
        <v>52</v>
      </c>
      <c r="O387" s="1" t="s">
        <v>53</v>
      </c>
      <c r="P387" s="8">
        <v>2070</v>
      </c>
      <c r="Q387" s="17">
        <f t="shared" si="45"/>
        <v>99360</v>
      </c>
      <c r="R387" s="9">
        <v>4900</v>
      </c>
      <c r="S387" s="9">
        <v>0</v>
      </c>
      <c r="T387" s="9">
        <v>0</v>
      </c>
      <c r="U387" s="10">
        <v>0</v>
      </c>
      <c r="V387" s="1" t="s">
        <v>46</v>
      </c>
      <c r="W387" s="1" t="s">
        <v>745</v>
      </c>
      <c r="X387" s="1">
        <v>2917628</v>
      </c>
      <c r="Y387" s="11">
        <v>41783</v>
      </c>
      <c r="Z387" s="11">
        <v>41785</v>
      </c>
      <c r="AA387" s="9">
        <f t="shared" si="46"/>
        <v>94460</v>
      </c>
      <c r="AB387" s="12">
        <v>59.1</v>
      </c>
      <c r="AC387" s="9">
        <f t="shared" si="47"/>
        <v>5872176</v>
      </c>
      <c r="AD387" s="9">
        <f t="shared" si="48"/>
        <v>5582586</v>
      </c>
      <c r="AE387" s="1" t="s">
        <v>48</v>
      </c>
      <c r="AF387" s="1" t="s">
        <v>53</v>
      </c>
      <c r="AG387" s="4">
        <f t="shared" si="49"/>
        <v>99360</v>
      </c>
      <c r="AH387" s="10">
        <v>99159</v>
      </c>
      <c r="AI387" s="10">
        <v>4856</v>
      </c>
      <c r="AJ387" s="10">
        <v>0</v>
      </c>
      <c r="AK387" s="10">
        <v>0</v>
      </c>
      <c r="AL387" s="9">
        <f t="shared" si="50"/>
        <v>94303</v>
      </c>
      <c r="AM387" s="1"/>
      <c r="AN387" s="1"/>
      <c r="AO387" s="12" t="e">
        <f>AB387/#REF!</f>
        <v>#REF!</v>
      </c>
      <c r="AP387" s="1" t="s">
        <v>1715</v>
      </c>
      <c r="AQ387" s="11">
        <v>41835</v>
      </c>
      <c r="AR387" s="1" t="s">
        <v>1716</v>
      </c>
      <c r="AS387" s="11">
        <v>41836</v>
      </c>
      <c r="AT387" s="1" t="s">
        <v>49</v>
      </c>
      <c r="AU387" s="1" t="s">
        <v>4171</v>
      </c>
    </row>
    <row r="388" spans="1:47" ht="15" customHeight="1" x14ac:dyDescent="0.25">
      <c r="A388" s="1">
        <v>387</v>
      </c>
      <c r="B388" s="1" t="s">
        <v>1258</v>
      </c>
      <c r="C388" s="1" t="s">
        <v>38</v>
      </c>
      <c r="D388" s="1" t="s">
        <v>1717</v>
      </c>
      <c r="E388" s="5">
        <v>41789</v>
      </c>
      <c r="F388" s="1" t="s">
        <v>351</v>
      </c>
      <c r="G388" s="1" t="s">
        <v>40</v>
      </c>
      <c r="H388" s="1" t="s">
        <v>41</v>
      </c>
      <c r="I388" s="1" t="s">
        <v>2809</v>
      </c>
      <c r="J388" s="1" t="s">
        <v>50</v>
      </c>
      <c r="K388" s="1">
        <v>38237090</v>
      </c>
      <c r="L388" s="6">
        <v>56.19</v>
      </c>
      <c r="M388" s="1" t="s">
        <v>70</v>
      </c>
      <c r="N388" s="7" t="s">
        <v>52</v>
      </c>
      <c r="O388" s="1" t="s">
        <v>45</v>
      </c>
      <c r="P388" s="8">
        <v>990</v>
      </c>
      <c r="Q388" s="17">
        <f t="shared" si="45"/>
        <v>55628.1</v>
      </c>
      <c r="R388" s="9">
        <v>2960.48</v>
      </c>
      <c r="S388" s="9">
        <v>0</v>
      </c>
      <c r="T388" s="9">
        <v>0</v>
      </c>
      <c r="U388" s="10">
        <v>0</v>
      </c>
      <c r="V388" s="1" t="s">
        <v>46</v>
      </c>
      <c r="W388" s="1" t="s">
        <v>2657</v>
      </c>
      <c r="X388" s="1">
        <v>2898715</v>
      </c>
      <c r="Y388" s="11">
        <v>41783</v>
      </c>
      <c r="Z388" s="11">
        <v>41783</v>
      </c>
      <c r="AA388" s="9">
        <f t="shared" si="46"/>
        <v>52667.619999999995</v>
      </c>
      <c r="AB388" s="12">
        <v>80.849999999999994</v>
      </c>
      <c r="AC388" s="9">
        <f t="shared" si="47"/>
        <v>4497531.8849999998</v>
      </c>
      <c r="AD388" s="9">
        <f t="shared" si="48"/>
        <v>4258177.0769999996</v>
      </c>
      <c r="AE388" s="1" t="s">
        <v>51</v>
      </c>
      <c r="AF388" s="1" t="s">
        <v>45</v>
      </c>
      <c r="AG388" s="4">
        <f t="shared" si="49"/>
        <v>55628.1</v>
      </c>
      <c r="AH388" s="10">
        <v>55628</v>
      </c>
      <c r="AI388" s="10">
        <v>2861</v>
      </c>
      <c r="AJ388" s="10">
        <v>0</v>
      </c>
      <c r="AK388" s="10">
        <v>0</v>
      </c>
      <c r="AL388" s="9">
        <f t="shared" si="50"/>
        <v>52767</v>
      </c>
      <c r="AM388" s="1"/>
      <c r="AN388" s="1"/>
      <c r="AO388" s="12" t="e">
        <f>AB388/#REF!</f>
        <v>#REF!</v>
      </c>
      <c r="AP388" s="1" t="s">
        <v>1718</v>
      </c>
      <c r="AQ388" s="11">
        <v>41852</v>
      </c>
      <c r="AR388" s="1" t="s">
        <v>1719</v>
      </c>
      <c r="AS388" s="11">
        <v>41867</v>
      </c>
      <c r="AT388" s="1" t="s">
        <v>49</v>
      </c>
      <c r="AU388" s="1" t="s">
        <v>4171</v>
      </c>
    </row>
    <row r="389" spans="1:47" ht="15" customHeight="1" x14ac:dyDescent="0.25">
      <c r="A389" s="1">
        <v>388</v>
      </c>
      <c r="B389" s="1" t="s">
        <v>1258</v>
      </c>
      <c r="C389" s="1" t="s">
        <v>38</v>
      </c>
      <c r="D389" s="1" t="s">
        <v>1717</v>
      </c>
      <c r="E389" s="5">
        <v>41789</v>
      </c>
      <c r="F389" s="1" t="s">
        <v>364</v>
      </c>
      <c r="G389" s="1" t="s">
        <v>40</v>
      </c>
      <c r="H389" s="1" t="s">
        <v>41</v>
      </c>
      <c r="I389" s="1" t="s">
        <v>2809</v>
      </c>
      <c r="J389" s="1" t="s">
        <v>50</v>
      </c>
      <c r="K389" s="1">
        <v>38237090</v>
      </c>
      <c r="L389" s="6">
        <v>56.2</v>
      </c>
      <c r="M389" s="1" t="s">
        <v>70</v>
      </c>
      <c r="N389" s="7" t="s">
        <v>52</v>
      </c>
      <c r="O389" s="1" t="s">
        <v>45</v>
      </c>
      <c r="P389" s="8">
        <v>990</v>
      </c>
      <c r="Q389" s="17">
        <f t="shared" si="45"/>
        <v>55638</v>
      </c>
      <c r="R389" s="9">
        <v>2960.48</v>
      </c>
      <c r="S389" s="9">
        <v>0</v>
      </c>
      <c r="T389" s="9">
        <v>0</v>
      </c>
      <c r="U389" s="10">
        <v>0</v>
      </c>
      <c r="V389" s="1" t="s">
        <v>46</v>
      </c>
      <c r="W389" s="1" t="s">
        <v>2657</v>
      </c>
      <c r="X389" s="1">
        <v>2913318</v>
      </c>
      <c r="Y389" s="11">
        <v>41783</v>
      </c>
      <c r="Z389" s="11">
        <v>41785</v>
      </c>
      <c r="AA389" s="9">
        <f t="shared" si="46"/>
        <v>52677.52</v>
      </c>
      <c r="AB389" s="12">
        <v>80.849999999999994</v>
      </c>
      <c r="AC389" s="9">
        <f t="shared" si="47"/>
        <v>4498332.3</v>
      </c>
      <c r="AD389" s="9">
        <f t="shared" si="48"/>
        <v>4258977.4919999996</v>
      </c>
      <c r="AE389" s="1" t="s">
        <v>51</v>
      </c>
      <c r="AF389" s="1" t="s">
        <v>45</v>
      </c>
      <c r="AG389" s="4">
        <f t="shared" si="49"/>
        <v>55638</v>
      </c>
      <c r="AH389" s="10">
        <v>55441</v>
      </c>
      <c r="AI389" s="10">
        <v>2861.92</v>
      </c>
      <c r="AJ389" s="10">
        <v>0</v>
      </c>
      <c r="AK389" s="10">
        <v>0</v>
      </c>
      <c r="AL389" s="9">
        <f t="shared" si="50"/>
        <v>52579.08</v>
      </c>
      <c r="AM389" s="1"/>
      <c r="AN389" s="1"/>
      <c r="AO389" s="12" t="e">
        <f>AB389/#REF!</f>
        <v>#REF!</v>
      </c>
      <c r="AP389" s="1" t="s">
        <v>1718</v>
      </c>
      <c r="AQ389" s="11">
        <v>41852</v>
      </c>
      <c r="AR389" s="1" t="s">
        <v>1720</v>
      </c>
      <c r="AS389" s="11">
        <v>41867</v>
      </c>
      <c r="AT389" s="1" t="s">
        <v>49</v>
      </c>
      <c r="AU389" s="1" t="s">
        <v>4171</v>
      </c>
    </row>
    <row r="390" spans="1:47" ht="15" customHeight="1" x14ac:dyDescent="0.25">
      <c r="A390" s="1">
        <v>389</v>
      </c>
      <c r="B390" s="1" t="s">
        <v>1258</v>
      </c>
      <c r="C390" s="1" t="s">
        <v>38</v>
      </c>
      <c r="D390" s="1">
        <v>9103550225</v>
      </c>
      <c r="E390" s="5">
        <v>41793</v>
      </c>
      <c r="F390" s="1" t="s">
        <v>354</v>
      </c>
      <c r="G390" s="1" t="s">
        <v>40</v>
      </c>
      <c r="H390" s="1" t="s">
        <v>41</v>
      </c>
      <c r="I390" s="1" t="s">
        <v>2809</v>
      </c>
      <c r="J390" s="1" t="s">
        <v>55</v>
      </c>
      <c r="K390" s="1">
        <v>38237090</v>
      </c>
      <c r="L390" s="6">
        <v>18.14</v>
      </c>
      <c r="M390" s="1" t="s">
        <v>70</v>
      </c>
      <c r="N390" s="7" t="s">
        <v>44</v>
      </c>
      <c r="O390" s="1" t="s">
        <v>53</v>
      </c>
      <c r="P390" s="8">
        <v>1807</v>
      </c>
      <c r="Q390" s="17">
        <f t="shared" si="45"/>
        <v>32778.980000000003</v>
      </c>
      <c r="R390" s="9">
        <v>2450</v>
      </c>
      <c r="S390" s="9">
        <v>4.6900000000000004</v>
      </c>
      <c r="T390" s="9">
        <v>0</v>
      </c>
      <c r="U390" s="10">
        <v>0</v>
      </c>
      <c r="V390" s="1" t="s">
        <v>46</v>
      </c>
      <c r="W390" s="1" t="s">
        <v>56</v>
      </c>
      <c r="X390" s="1">
        <v>2934038</v>
      </c>
      <c r="Y390" s="11">
        <v>41785</v>
      </c>
      <c r="Z390" s="11">
        <v>41786</v>
      </c>
      <c r="AA390" s="9">
        <f t="shared" si="46"/>
        <v>30324.290000000005</v>
      </c>
      <c r="AB390" s="12">
        <v>59.1</v>
      </c>
      <c r="AC390" s="9">
        <f t="shared" si="47"/>
        <v>1937237.7180000003</v>
      </c>
      <c r="AD390" s="9">
        <f t="shared" si="48"/>
        <v>1792165.5390000003</v>
      </c>
      <c r="AE390" s="1" t="s">
        <v>51</v>
      </c>
      <c r="AF390" s="1" t="s">
        <v>53</v>
      </c>
      <c r="AG390" s="4">
        <f t="shared" si="49"/>
        <v>32778.980000000003</v>
      </c>
      <c r="AH390" s="10">
        <v>32779</v>
      </c>
      <c r="AI390" s="10">
        <v>2400</v>
      </c>
      <c r="AJ390" s="10">
        <v>4.6900000000000004</v>
      </c>
      <c r="AK390" s="10">
        <v>0</v>
      </c>
      <c r="AL390" s="9">
        <f t="shared" si="50"/>
        <v>30374.31</v>
      </c>
      <c r="AM390" s="1"/>
      <c r="AN390" s="1"/>
      <c r="AO390" s="12" t="e">
        <f>AB390/#REF!</f>
        <v>#REF!</v>
      </c>
      <c r="AP390" s="1" t="s">
        <v>1721</v>
      </c>
      <c r="AQ390" s="11">
        <v>41822</v>
      </c>
      <c r="AR390" s="1" t="s">
        <v>1722</v>
      </c>
      <c r="AS390" s="11">
        <v>41864</v>
      </c>
      <c r="AT390" s="1" t="s">
        <v>49</v>
      </c>
      <c r="AU390" s="1" t="s">
        <v>4171</v>
      </c>
    </row>
    <row r="391" spans="1:47" ht="15" customHeight="1" x14ac:dyDescent="0.25">
      <c r="A391" s="1">
        <v>390</v>
      </c>
      <c r="B391" s="1" t="s">
        <v>1258</v>
      </c>
      <c r="C391" s="1" t="s">
        <v>38</v>
      </c>
      <c r="D391" s="1">
        <v>9103550226</v>
      </c>
      <c r="E391" s="5">
        <v>41792</v>
      </c>
      <c r="F391" s="1" t="s">
        <v>370</v>
      </c>
      <c r="G391" s="1" t="s">
        <v>40</v>
      </c>
      <c r="H391" s="1" t="s">
        <v>41</v>
      </c>
      <c r="I391" s="1" t="s">
        <v>2809</v>
      </c>
      <c r="J391" s="1" t="s">
        <v>1119</v>
      </c>
      <c r="K391" s="1">
        <v>29159090</v>
      </c>
      <c r="L391" s="6">
        <v>57.6</v>
      </c>
      <c r="M391" s="1" t="s">
        <v>70</v>
      </c>
      <c r="N391" s="7" t="s">
        <v>44</v>
      </c>
      <c r="O391" s="1" t="s">
        <v>53</v>
      </c>
      <c r="P391" s="8">
        <v>1445</v>
      </c>
      <c r="Q391" s="17">
        <f t="shared" si="45"/>
        <v>83232</v>
      </c>
      <c r="R391" s="9">
        <v>400</v>
      </c>
      <c r="S391" s="9">
        <v>11.9</v>
      </c>
      <c r="T391" s="9">
        <v>0</v>
      </c>
      <c r="U391" s="10">
        <v>0</v>
      </c>
      <c r="V391" s="1" t="s">
        <v>46</v>
      </c>
      <c r="W391" s="1" t="s">
        <v>54</v>
      </c>
      <c r="X391" s="1">
        <v>2963010</v>
      </c>
      <c r="Y391" s="11">
        <v>41786</v>
      </c>
      <c r="Z391" s="11">
        <v>41787</v>
      </c>
      <c r="AA391" s="9">
        <f t="shared" si="46"/>
        <v>82820.100000000006</v>
      </c>
      <c r="AB391" s="12">
        <v>59.1</v>
      </c>
      <c r="AC391" s="9">
        <f t="shared" si="47"/>
        <v>4919011.2</v>
      </c>
      <c r="AD391" s="9">
        <f t="shared" si="48"/>
        <v>4894667.91</v>
      </c>
      <c r="AE391" s="1" t="s">
        <v>48</v>
      </c>
      <c r="AF391" s="1" t="s">
        <v>53</v>
      </c>
      <c r="AG391" s="4">
        <f t="shared" si="49"/>
        <v>83232</v>
      </c>
      <c r="AH391" s="10">
        <v>82944</v>
      </c>
      <c r="AI391" s="10">
        <v>365</v>
      </c>
      <c r="AJ391" s="10">
        <v>11.9</v>
      </c>
      <c r="AK391" s="10">
        <v>0</v>
      </c>
      <c r="AL391" s="9">
        <f t="shared" si="50"/>
        <v>82567.100000000006</v>
      </c>
      <c r="AM391" s="1"/>
      <c r="AN391" s="1"/>
      <c r="AO391" s="12" t="e">
        <f>AB391/#REF!</f>
        <v>#REF!</v>
      </c>
      <c r="AP391" s="1" t="s">
        <v>1723</v>
      </c>
      <c r="AQ391" s="11">
        <v>41838</v>
      </c>
      <c r="AR391" s="1" t="s">
        <v>1724</v>
      </c>
      <c r="AS391" s="11">
        <v>41839</v>
      </c>
      <c r="AT391" s="1" t="s">
        <v>49</v>
      </c>
      <c r="AU391" s="1" t="s">
        <v>4171</v>
      </c>
    </row>
    <row r="392" spans="1:47" ht="15" customHeight="1" x14ac:dyDescent="0.25">
      <c r="A392" s="1">
        <v>391</v>
      </c>
      <c r="B392" s="1" t="s">
        <v>1258</v>
      </c>
      <c r="C392" s="1" t="s">
        <v>38</v>
      </c>
      <c r="D392" s="1">
        <v>9103550227</v>
      </c>
      <c r="E392" s="5">
        <v>41792</v>
      </c>
      <c r="F392" s="1" t="s">
        <v>367</v>
      </c>
      <c r="G392" s="1" t="s">
        <v>40</v>
      </c>
      <c r="H392" s="1" t="s">
        <v>41</v>
      </c>
      <c r="I392" s="1" t="s">
        <v>2809</v>
      </c>
      <c r="J392" s="1" t="s">
        <v>349</v>
      </c>
      <c r="K392" s="1">
        <v>29159090</v>
      </c>
      <c r="L392" s="6">
        <v>1.5</v>
      </c>
      <c r="M392" s="1" t="s">
        <v>70</v>
      </c>
      <c r="N392" s="7" t="s">
        <v>44</v>
      </c>
      <c r="O392" s="1" t="s">
        <v>53</v>
      </c>
      <c r="P392" s="8">
        <v>2717</v>
      </c>
      <c r="Q392" s="17">
        <f t="shared" si="45"/>
        <v>4075.5</v>
      </c>
      <c r="R392" s="9">
        <v>150</v>
      </c>
      <c r="S392" s="9">
        <v>0.57999999999999996</v>
      </c>
      <c r="T392" s="9">
        <v>0</v>
      </c>
      <c r="U392" s="10">
        <v>0</v>
      </c>
      <c r="V392" s="1" t="s">
        <v>46</v>
      </c>
      <c r="W392" s="1" t="s">
        <v>294</v>
      </c>
      <c r="X392" s="1">
        <v>2963148</v>
      </c>
      <c r="Y392" s="11">
        <v>41786</v>
      </c>
      <c r="Z392" s="11">
        <v>41788</v>
      </c>
      <c r="AA392" s="9">
        <f t="shared" si="46"/>
        <v>3924.92</v>
      </c>
      <c r="AB392" s="12">
        <v>59.1</v>
      </c>
      <c r="AC392" s="9">
        <f t="shared" si="47"/>
        <v>240862.05000000002</v>
      </c>
      <c r="AD392" s="9">
        <f t="shared" si="48"/>
        <v>231962.772</v>
      </c>
      <c r="AE392" s="1" t="s">
        <v>48</v>
      </c>
      <c r="AF392" s="1" t="s">
        <v>53</v>
      </c>
      <c r="AG392" s="4">
        <f t="shared" si="49"/>
        <v>4075.5</v>
      </c>
      <c r="AH392" s="10">
        <v>4075.5</v>
      </c>
      <c r="AI392" s="10">
        <v>175.88</v>
      </c>
      <c r="AJ392" s="10">
        <v>0.59</v>
      </c>
      <c r="AK392" s="10">
        <v>0</v>
      </c>
      <c r="AL392" s="9">
        <f t="shared" si="50"/>
        <v>3899.03</v>
      </c>
      <c r="AM392" s="1"/>
      <c r="AN392" s="1"/>
      <c r="AO392" s="12" t="e">
        <f>AB392/#REF!</f>
        <v>#REF!</v>
      </c>
      <c r="AP392" s="1" t="s">
        <v>1725</v>
      </c>
      <c r="AQ392" s="11">
        <v>41855</v>
      </c>
      <c r="AR392" s="1" t="s">
        <v>1726</v>
      </c>
      <c r="AS392" s="11">
        <v>41856</v>
      </c>
      <c r="AT392" s="1" t="s">
        <v>49</v>
      </c>
      <c r="AU392" s="1" t="s">
        <v>4171</v>
      </c>
    </row>
    <row r="393" spans="1:47" ht="15" customHeight="1" x14ac:dyDescent="0.25">
      <c r="A393" s="1">
        <v>392</v>
      </c>
      <c r="B393" s="1" t="s">
        <v>1258</v>
      </c>
      <c r="C393" s="1" t="s">
        <v>38</v>
      </c>
      <c r="D393" s="1">
        <v>9103550227</v>
      </c>
      <c r="E393" s="5">
        <v>41792</v>
      </c>
      <c r="F393" s="1" t="s">
        <v>367</v>
      </c>
      <c r="G393" s="1" t="s">
        <v>40</v>
      </c>
      <c r="H393" s="1" t="s">
        <v>41</v>
      </c>
      <c r="I393" s="1" t="s">
        <v>2809</v>
      </c>
      <c r="J393" s="1" t="s">
        <v>349</v>
      </c>
      <c r="K393" s="1">
        <v>29051700</v>
      </c>
      <c r="L393" s="6">
        <v>9</v>
      </c>
      <c r="M393" s="1" t="s">
        <v>70</v>
      </c>
      <c r="N393" s="7" t="s">
        <v>44</v>
      </c>
      <c r="O393" s="1" t="s">
        <v>53</v>
      </c>
      <c r="P393" s="8">
        <v>2217</v>
      </c>
      <c r="Q393" s="17">
        <f t="shared" si="45"/>
        <v>19953</v>
      </c>
      <c r="R393" s="9">
        <v>900</v>
      </c>
      <c r="S393" s="9">
        <v>2.85</v>
      </c>
      <c r="T393" s="9">
        <v>0</v>
      </c>
      <c r="U393" s="10">
        <v>0</v>
      </c>
      <c r="V393" s="1" t="s">
        <v>46</v>
      </c>
      <c r="W393" s="1" t="s">
        <v>294</v>
      </c>
      <c r="X393" s="1">
        <v>2963148</v>
      </c>
      <c r="Y393" s="11">
        <v>41786</v>
      </c>
      <c r="Z393" s="11">
        <v>41788</v>
      </c>
      <c r="AA393" s="9">
        <f t="shared" si="46"/>
        <v>19050.150000000001</v>
      </c>
      <c r="AB393" s="12">
        <v>59.1</v>
      </c>
      <c r="AC393" s="9">
        <f t="shared" si="47"/>
        <v>1179222.3</v>
      </c>
      <c r="AD393" s="9">
        <f t="shared" si="48"/>
        <v>1125863.8650000002</v>
      </c>
      <c r="AE393" s="1" t="s">
        <v>48</v>
      </c>
      <c r="AF393" s="1" t="s">
        <v>53</v>
      </c>
      <c r="AG393" s="4">
        <f t="shared" si="49"/>
        <v>19953</v>
      </c>
      <c r="AH393" s="10">
        <v>19953</v>
      </c>
      <c r="AI393" s="10">
        <v>861.07</v>
      </c>
      <c r="AJ393" s="10">
        <v>2.85</v>
      </c>
      <c r="AK393" s="10">
        <v>0</v>
      </c>
      <c r="AL393" s="9">
        <f t="shared" si="50"/>
        <v>19089.080000000002</v>
      </c>
      <c r="AM393" s="1"/>
      <c r="AN393" s="1"/>
      <c r="AO393" s="12" t="e">
        <f>AB393/#REF!</f>
        <v>#REF!</v>
      </c>
      <c r="AP393" s="1" t="s">
        <v>1725</v>
      </c>
      <c r="AQ393" s="11">
        <v>41855</v>
      </c>
      <c r="AR393" s="1" t="s">
        <v>1726</v>
      </c>
      <c r="AS393" s="11">
        <v>41856</v>
      </c>
      <c r="AT393" s="1" t="s">
        <v>49</v>
      </c>
      <c r="AU393" s="1" t="s">
        <v>4171</v>
      </c>
    </row>
    <row r="394" spans="1:47" ht="15" customHeight="1" x14ac:dyDescent="0.25">
      <c r="A394" s="1">
        <v>393</v>
      </c>
      <c r="B394" s="1" t="s">
        <v>1258</v>
      </c>
      <c r="C394" s="1" t="s">
        <v>38</v>
      </c>
      <c r="D394" s="1">
        <v>9103550227</v>
      </c>
      <c r="E394" s="5">
        <v>41792</v>
      </c>
      <c r="F394" s="1" t="s">
        <v>367</v>
      </c>
      <c r="G394" s="1" t="s">
        <v>40</v>
      </c>
      <c r="H394" s="1" t="s">
        <v>41</v>
      </c>
      <c r="I394" s="1" t="s">
        <v>2809</v>
      </c>
      <c r="J394" s="1" t="s">
        <v>349</v>
      </c>
      <c r="K394" s="1">
        <v>38237090</v>
      </c>
      <c r="L394" s="6">
        <v>1.5</v>
      </c>
      <c r="M394" s="1" t="s">
        <v>70</v>
      </c>
      <c r="N394" s="7" t="s">
        <v>44</v>
      </c>
      <c r="O394" s="1" t="s">
        <v>53</v>
      </c>
      <c r="P394" s="8">
        <v>1992</v>
      </c>
      <c r="Q394" s="17">
        <f t="shared" si="45"/>
        <v>2988</v>
      </c>
      <c r="R394" s="9">
        <v>150</v>
      </c>
      <c r="S394" s="9">
        <v>0.43</v>
      </c>
      <c r="T394" s="9">
        <v>0</v>
      </c>
      <c r="U394" s="10">
        <v>0</v>
      </c>
      <c r="V394" s="1" t="s">
        <v>46</v>
      </c>
      <c r="W394" s="1" t="s">
        <v>294</v>
      </c>
      <c r="X394" s="1">
        <v>2963148</v>
      </c>
      <c r="Y394" s="11">
        <v>41786</v>
      </c>
      <c r="Z394" s="11">
        <v>41788</v>
      </c>
      <c r="AA394" s="9">
        <f t="shared" si="46"/>
        <v>2837.57</v>
      </c>
      <c r="AB394" s="12">
        <v>59.1</v>
      </c>
      <c r="AC394" s="9">
        <f t="shared" si="47"/>
        <v>176590.80000000002</v>
      </c>
      <c r="AD394" s="9">
        <f t="shared" si="48"/>
        <v>167700.38700000002</v>
      </c>
      <c r="AE394" s="1" t="s">
        <v>48</v>
      </c>
      <c r="AF394" s="1" t="s">
        <v>53</v>
      </c>
      <c r="AG394" s="4">
        <f t="shared" si="49"/>
        <v>2988</v>
      </c>
      <c r="AH394" s="10">
        <v>2967</v>
      </c>
      <c r="AI394" s="10">
        <v>128.05000000000001</v>
      </c>
      <c r="AJ394" s="10">
        <v>0.42</v>
      </c>
      <c r="AK394" s="10">
        <v>0</v>
      </c>
      <c r="AL394" s="9">
        <f t="shared" si="50"/>
        <v>2838.53</v>
      </c>
      <c r="AM394" s="1"/>
      <c r="AN394" s="1"/>
      <c r="AO394" s="12" t="e">
        <f>AB394/#REF!</f>
        <v>#REF!</v>
      </c>
      <c r="AP394" s="1" t="s">
        <v>1725</v>
      </c>
      <c r="AQ394" s="11">
        <v>41855</v>
      </c>
      <c r="AR394" s="1" t="s">
        <v>1726</v>
      </c>
      <c r="AS394" s="11">
        <v>41856</v>
      </c>
      <c r="AT394" s="1" t="s">
        <v>49</v>
      </c>
      <c r="AU394" s="1" t="s">
        <v>4171</v>
      </c>
    </row>
    <row r="395" spans="1:47" ht="15" customHeight="1" x14ac:dyDescent="0.25">
      <c r="A395" s="1">
        <v>394</v>
      </c>
      <c r="B395" s="1" t="s">
        <v>1258</v>
      </c>
      <c r="C395" s="1" t="s">
        <v>38</v>
      </c>
      <c r="D395" s="1">
        <v>9103550228</v>
      </c>
      <c r="E395" s="5">
        <v>41793</v>
      </c>
      <c r="F395" s="1" t="s">
        <v>359</v>
      </c>
      <c r="G395" s="1" t="s">
        <v>40</v>
      </c>
      <c r="H395" s="1" t="s">
        <v>41</v>
      </c>
      <c r="I395" s="1" t="s">
        <v>2809</v>
      </c>
      <c r="J395" s="1" t="s">
        <v>50</v>
      </c>
      <c r="K395" s="1">
        <v>38237090</v>
      </c>
      <c r="L395" s="6">
        <v>37.97</v>
      </c>
      <c r="M395" s="1" t="s">
        <v>70</v>
      </c>
      <c r="N395" s="7" t="s">
        <v>52</v>
      </c>
      <c r="O395" s="1" t="s">
        <v>45</v>
      </c>
      <c r="P395" s="8">
        <v>990</v>
      </c>
      <c r="Q395" s="17">
        <f t="shared" si="45"/>
        <v>37590.299999999996</v>
      </c>
      <c r="R395" s="9">
        <v>1906.86</v>
      </c>
      <c r="S395" s="9">
        <v>0</v>
      </c>
      <c r="T395" s="9">
        <v>0</v>
      </c>
      <c r="U395" s="10">
        <v>0</v>
      </c>
      <c r="V395" s="1" t="s">
        <v>46</v>
      </c>
      <c r="W395" s="1" t="s">
        <v>2657</v>
      </c>
      <c r="X395" s="1">
        <v>2960564</v>
      </c>
      <c r="Y395" s="11">
        <v>41786</v>
      </c>
      <c r="Z395" s="11">
        <v>41788</v>
      </c>
      <c r="AA395" s="9">
        <f t="shared" si="46"/>
        <v>35683.439999999995</v>
      </c>
      <c r="AB395" s="12">
        <v>80.849999999999994</v>
      </c>
      <c r="AC395" s="9">
        <f t="shared" si="47"/>
        <v>3039175.7549999994</v>
      </c>
      <c r="AD395" s="9">
        <f t="shared" si="48"/>
        <v>2885006.1239999994</v>
      </c>
      <c r="AE395" s="1" t="s">
        <v>51</v>
      </c>
      <c r="AF395" s="1" t="s">
        <v>45</v>
      </c>
      <c r="AG395" s="4">
        <f t="shared" si="49"/>
        <v>37590.299999999996</v>
      </c>
      <c r="AH395" s="10">
        <v>37460</v>
      </c>
      <c r="AI395" s="10">
        <v>2013.39</v>
      </c>
      <c r="AJ395" s="10">
        <v>0</v>
      </c>
      <c r="AK395" s="10">
        <v>0</v>
      </c>
      <c r="AL395" s="9">
        <f t="shared" si="50"/>
        <v>35446.61</v>
      </c>
      <c r="AM395" s="1"/>
      <c r="AN395" s="1"/>
      <c r="AO395" s="12" t="e">
        <f>AB395/#REF!</f>
        <v>#REF!</v>
      </c>
      <c r="AP395" s="1" t="s">
        <v>1727</v>
      </c>
      <c r="AQ395" s="11">
        <v>41857</v>
      </c>
      <c r="AR395" s="1" t="s">
        <v>1728</v>
      </c>
      <c r="AS395" s="11">
        <v>41905</v>
      </c>
      <c r="AT395" s="1" t="s">
        <v>49</v>
      </c>
      <c r="AU395" s="1" t="s">
        <v>4171</v>
      </c>
    </row>
    <row r="396" spans="1:47" ht="15" customHeight="1" x14ac:dyDescent="0.25">
      <c r="A396" s="1">
        <v>395</v>
      </c>
      <c r="B396" s="1" t="s">
        <v>1258</v>
      </c>
      <c r="C396" s="1" t="s">
        <v>38</v>
      </c>
      <c r="D396" s="1">
        <v>9103550229</v>
      </c>
      <c r="E396" s="5">
        <v>41790</v>
      </c>
      <c r="F396" s="1" t="s">
        <v>353</v>
      </c>
      <c r="G396" s="1" t="s">
        <v>40</v>
      </c>
      <c r="H396" s="1" t="s">
        <v>41</v>
      </c>
      <c r="I396" s="1" t="s">
        <v>2809</v>
      </c>
      <c r="J396" s="1" t="s">
        <v>55</v>
      </c>
      <c r="K396" s="1">
        <v>38237090</v>
      </c>
      <c r="L396" s="6">
        <v>36.28</v>
      </c>
      <c r="M396" s="1" t="s">
        <v>70</v>
      </c>
      <c r="N396" s="7" t="s">
        <v>44</v>
      </c>
      <c r="O396" s="1" t="s">
        <v>53</v>
      </c>
      <c r="P396" s="8">
        <v>1782</v>
      </c>
      <c r="Q396" s="17">
        <f t="shared" si="45"/>
        <v>64650.96</v>
      </c>
      <c r="R396" s="9">
        <v>6400</v>
      </c>
      <c r="S396" s="9">
        <v>9.25</v>
      </c>
      <c r="T396" s="9">
        <v>0</v>
      </c>
      <c r="U396" s="10">
        <v>0</v>
      </c>
      <c r="V396" s="1" t="s">
        <v>46</v>
      </c>
      <c r="W396" s="1" t="s">
        <v>56</v>
      </c>
      <c r="X396" s="1">
        <v>2917574</v>
      </c>
      <c r="Y396" s="11">
        <v>41783</v>
      </c>
      <c r="Z396" s="11">
        <v>41785</v>
      </c>
      <c r="AA396" s="9">
        <f t="shared" si="46"/>
        <v>58241.71</v>
      </c>
      <c r="AB396" s="12">
        <v>59.1</v>
      </c>
      <c r="AC396" s="9">
        <f t="shared" si="47"/>
        <v>3820871.736</v>
      </c>
      <c r="AD396" s="9">
        <f t="shared" si="48"/>
        <v>3442085.0610000002</v>
      </c>
      <c r="AE396" s="1" t="s">
        <v>51</v>
      </c>
      <c r="AF396" s="1" t="s">
        <v>53</v>
      </c>
      <c r="AG396" s="4">
        <f t="shared" si="49"/>
        <v>64650.96</v>
      </c>
      <c r="AH396" s="10">
        <v>64651</v>
      </c>
      <c r="AI396" s="10">
        <v>6350</v>
      </c>
      <c r="AJ396" s="10">
        <v>9.25</v>
      </c>
      <c r="AK396" s="10">
        <v>0</v>
      </c>
      <c r="AL396" s="9">
        <f t="shared" si="50"/>
        <v>58291.75</v>
      </c>
      <c r="AM396" s="1"/>
      <c r="AN396" s="1"/>
      <c r="AO396" s="12" t="e">
        <f>AB396/#REF!</f>
        <v>#REF!</v>
      </c>
      <c r="AP396" s="1" t="s">
        <v>1729</v>
      </c>
      <c r="AQ396" s="11">
        <v>41852</v>
      </c>
      <c r="AR396" s="1" t="s">
        <v>1730</v>
      </c>
      <c r="AS396" s="11">
        <v>41864</v>
      </c>
      <c r="AT396" s="1" t="s">
        <v>49</v>
      </c>
      <c r="AU396" s="1" t="s">
        <v>4171</v>
      </c>
    </row>
    <row r="397" spans="1:47" ht="15" customHeight="1" x14ac:dyDescent="0.25">
      <c r="A397" s="1">
        <v>396</v>
      </c>
      <c r="B397" s="1" t="s">
        <v>1258</v>
      </c>
      <c r="C397" s="1" t="s">
        <v>38</v>
      </c>
      <c r="D397" s="1">
        <v>9103550230</v>
      </c>
      <c r="E397" s="5">
        <v>41790</v>
      </c>
      <c r="F397" s="1" t="s">
        <v>356</v>
      </c>
      <c r="G397" s="1" t="s">
        <v>40</v>
      </c>
      <c r="H397" s="1" t="s">
        <v>41</v>
      </c>
      <c r="I397" s="1" t="s">
        <v>2809</v>
      </c>
      <c r="J397" s="1" t="s">
        <v>55</v>
      </c>
      <c r="K397" s="1">
        <v>29051700</v>
      </c>
      <c r="L397" s="6">
        <v>18.14</v>
      </c>
      <c r="M397" s="1" t="s">
        <v>70</v>
      </c>
      <c r="N397" s="7" t="s">
        <v>44</v>
      </c>
      <c r="O397" s="1" t="s">
        <v>53</v>
      </c>
      <c r="P397" s="8">
        <v>1975</v>
      </c>
      <c r="Q397" s="17">
        <f t="shared" si="45"/>
        <v>35826.5</v>
      </c>
      <c r="R397" s="9">
        <v>2456</v>
      </c>
      <c r="S397" s="9">
        <v>5.12</v>
      </c>
      <c r="T397" s="9">
        <v>0</v>
      </c>
      <c r="U397" s="10">
        <v>0</v>
      </c>
      <c r="V397" s="1" t="s">
        <v>46</v>
      </c>
      <c r="W397" s="1" t="s">
        <v>56</v>
      </c>
      <c r="X397" s="1">
        <v>2956518</v>
      </c>
      <c r="Y397" s="11">
        <v>41786</v>
      </c>
      <c r="Z397" s="11">
        <v>41788</v>
      </c>
      <c r="AA397" s="9">
        <f t="shared" si="46"/>
        <v>33365.379999999997</v>
      </c>
      <c r="AB397" s="12">
        <v>59.1</v>
      </c>
      <c r="AC397" s="9">
        <f t="shared" si="47"/>
        <v>2117346.15</v>
      </c>
      <c r="AD397" s="9">
        <f t="shared" si="48"/>
        <v>1971893.9579999999</v>
      </c>
      <c r="AE397" s="1" t="s">
        <v>51</v>
      </c>
      <c r="AF397" s="1" t="s">
        <v>53</v>
      </c>
      <c r="AG397" s="4">
        <f t="shared" si="49"/>
        <v>35826.5</v>
      </c>
      <c r="AH397" s="10">
        <v>35826</v>
      </c>
      <c r="AI397" s="9">
        <v>2456</v>
      </c>
      <c r="AJ397" s="9">
        <v>5.12</v>
      </c>
      <c r="AK397" s="10">
        <v>0</v>
      </c>
      <c r="AL397" s="9">
        <f t="shared" si="50"/>
        <v>33364.879999999997</v>
      </c>
      <c r="AM397" s="1"/>
      <c r="AN397" s="1"/>
      <c r="AO397" s="12" t="e">
        <f>AB397/#REF!</f>
        <v>#REF!</v>
      </c>
      <c r="AP397" s="1" t="s">
        <v>1731</v>
      </c>
      <c r="AQ397" s="11">
        <v>41822</v>
      </c>
      <c r="AR397" s="1" t="s">
        <v>1732</v>
      </c>
      <c r="AS397" s="11">
        <v>41832</v>
      </c>
      <c r="AT397" s="1" t="s">
        <v>49</v>
      </c>
      <c r="AU397" s="1" t="s">
        <v>4171</v>
      </c>
    </row>
    <row r="398" spans="1:47" s="23" customFormat="1" ht="15" customHeight="1" x14ac:dyDescent="0.25">
      <c r="A398" s="3">
        <v>397</v>
      </c>
      <c r="B398" s="3" t="s">
        <v>1258</v>
      </c>
      <c r="C398" s="3" t="s">
        <v>38</v>
      </c>
      <c r="D398" s="3" t="s">
        <v>1733</v>
      </c>
      <c r="E398" s="19">
        <v>41790</v>
      </c>
      <c r="F398" s="3" t="s">
        <v>366</v>
      </c>
      <c r="G398" s="3" t="s">
        <v>40</v>
      </c>
      <c r="H398" s="3" t="s">
        <v>41</v>
      </c>
      <c r="I398" s="3" t="s">
        <v>2809</v>
      </c>
      <c r="J398" s="3" t="s">
        <v>55</v>
      </c>
      <c r="K398" s="3">
        <v>29051700</v>
      </c>
      <c r="L398" s="48">
        <v>18.14</v>
      </c>
      <c r="M398" s="3" t="s">
        <v>70</v>
      </c>
      <c r="N398" s="49" t="s">
        <v>44</v>
      </c>
      <c r="O398" s="3" t="s">
        <v>53</v>
      </c>
      <c r="P398" s="50">
        <v>1933</v>
      </c>
      <c r="Q398" s="17">
        <f t="shared" si="45"/>
        <v>35064.620000000003</v>
      </c>
      <c r="R398" s="20">
        <v>2256</v>
      </c>
      <c r="S398" s="20">
        <v>5.01</v>
      </c>
      <c r="T398" s="20">
        <v>0</v>
      </c>
      <c r="U398" s="4">
        <v>0</v>
      </c>
      <c r="V398" s="3" t="s">
        <v>46</v>
      </c>
      <c r="W398" s="3" t="s">
        <v>56</v>
      </c>
      <c r="X398" s="3">
        <v>2964031</v>
      </c>
      <c r="Y398" s="21">
        <v>41786</v>
      </c>
      <c r="Z398" s="21">
        <v>41788</v>
      </c>
      <c r="AA398" s="20">
        <f t="shared" si="46"/>
        <v>32803.61</v>
      </c>
      <c r="AB398" s="22">
        <v>59.1</v>
      </c>
      <c r="AC398" s="20">
        <f t="shared" si="47"/>
        <v>2072319.0420000001</v>
      </c>
      <c r="AD398" s="20">
        <f t="shared" si="48"/>
        <v>1938693.351</v>
      </c>
      <c r="AE398" s="3" t="s">
        <v>51</v>
      </c>
      <c r="AF398" s="3" t="s">
        <v>53</v>
      </c>
      <c r="AG398" s="4">
        <f t="shared" si="49"/>
        <v>35064.620000000003</v>
      </c>
      <c r="AH398" s="4">
        <v>35067</v>
      </c>
      <c r="AI398" s="20">
        <v>2156</v>
      </c>
      <c r="AJ398" s="20">
        <v>5.01</v>
      </c>
      <c r="AK398" s="4">
        <v>0</v>
      </c>
      <c r="AL398" s="20">
        <f t="shared" si="50"/>
        <v>32905.99</v>
      </c>
      <c r="AM398" s="3"/>
      <c r="AN398" s="3"/>
      <c r="AO398" s="22" t="e">
        <f>AB398/#REF!</f>
        <v>#REF!</v>
      </c>
      <c r="AP398" s="3" t="s">
        <v>1734</v>
      </c>
      <c r="AQ398" s="21"/>
      <c r="AR398" s="3" t="s">
        <v>3855</v>
      </c>
      <c r="AS398" s="21">
        <v>41832</v>
      </c>
      <c r="AT398" s="3" t="s">
        <v>49</v>
      </c>
      <c r="AU398" s="3" t="s">
        <v>3314</v>
      </c>
    </row>
    <row r="399" spans="1:47" s="23" customFormat="1" ht="15" customHeight="1" x14ac:dyDescent="0.25">
      <c r="A399" s="3">
        <v>398</v>
      </c>
      <c r="B399" s="3" t="s">
        <v>1258</v>
      </c>
      <c r="C399" s="3" t="s">
        <v>38</v>
      </c>
      <c r="D399" s="3" t="s">
        <v>1733</v>
      </c>
      <c r="E399" s="19">
        <v>41790</v>
      </c>
      <c r="F399" s="3" t="s">
        <v>368</v>
      </c>
      <c r="G399" s="3" t="s">
        <v>40</v>
      </c>
      <c r="H399" s="3" t="s">
        <v>41</v>
      </c>
      <c r="I399" s="3" t="s">
        <v>2809</v>
      </c>
      <c r="J399" s="3" t="s">
        <v>55</v>
      </c>
      <c r="K399" s="3">
        <v>29051700</v>
      </c>
      <c r="L399" s="48">
        <v>36.28</v>
      </c>
      <c r="M399" s="3" t="s">
        <v>70</v>
      </c>
      <c r="N399" s="49" t="s">
        <v>44</v>
      </c>
      <c r="O399" s="3" t="s">
        <v>53</v>
      </c>
      <c r="P399" s="50">
        <v>1933</v>
      </c>
      <c r="Q399" s="17">
        <f t="shared" si="45"/>
        <v>70129.240000000005</v>
      </c>
      <c r="R399" s="20">
        <v>4512</v>
      </c>
      <c r="S399" s="20">
        <v>10.029999999999999</v>
      </c>
      <c r="T399" s="20">
        <v>0</v>
      </c>
      <c r="U399" s="4">
        <v>0</v>
      </c>
      <c r="V399" s="3" t="s">
        <v>46</v>
      </c>
      <c r="W399" s="3" t="s">
        <v>56</v>
      </c>
      <c r="X399" s="3">
        <v>2983670</v>
      </c>
      <c r="Y399" s="21">
        <v>41726</v>
      </c>
      <c r="Z399" s="21">
        <v>41788</v>
      </c>
      <c r="AA399" s="20">
        <f t="shared" si="46"/>
        <v>65607.210000000006</v>
      </c>
      <c r="AB399" s="22">
        <v>59.1</v>
      </c>
      <c r="AC399" s="20">
        <f t="shared" si="47"/>
        <v>4144638.0840000003</v>
      </c>
      <c r="AD399" s="20">
        <f t="shared" si="48"/>
        <v>3877386.1110000005</v>
      </c>
      <c r="AE399" s="3"/>
      <c r="AF399" s="3" t="s">
        <v>53</v>
      </c>
      <c r="AG399" s="4">
        <f t="shared" si="49"/>
        <v>70129.240000000005</v>
      </c>
      <c r="AH399" s="4">
        <v>70129</v>
      </c>
      <c r="AI399" s="20">
        <v>4465</v>
      </c>
      <c r="AJ399" s="20">
        <v>10.029999999999999</v>
      </c>
      <c r="AK399" s="4">
        <v>0</v>
      </c>
      <c r="AL399" s="20">
        <f t="shared" si="50"/>
        <v>65653.97</v>
      </c>
      <c r="AM399" s="3"/>
      <c r="AN399" s="3"/>
      <c r="AO399" s="22" t="e">
        <f>AB399/#REF!</f>
        <v>#REF!</v>
      </c>
      <c r="AP399" s="3"/>
      <c r="AQ399" s="21"/>
      <c r="AR399" s="3"/>
      <c r="AS399" s="3"/>
      <c r="AT399" s="3" t="s">
        <v>49</v>
      </c>
      <c r="AU399" s="3" t="s">
        <v>3314</v>
      </c>
    </row>
    <row r="400" spans="1:47" ht="15" customHeight="1" x14ac:dyDescent="0.25">
      <c r="A400" s="1">
        <v>399</v>
      </c>
      <c r="B400" s="1" t="s">
        <v>1258</v>
      </c>
      <c r="C400" s="1" t="s">
        <v>38</v>
      </c>
      <c r="D400" s="1">
        <v>9103550233</v>
      </c>
      <c r="E400" s="5">
        <v>41793</v>
      </c>
      <c r="F400" s="1" t="s">
        <v>371</v>
      </c>
      <c r="G400" s="1" t="s">
        <v>40</v>
      </c>
      <c r="H400" s="1" t="s">
        <v>41</v>
      </c>
      <c r="I400" s="1" t="s">
        <v>2809</v>
      </c>
      <c r="J400" s="2" t="s">
        <v>58</v>
      </c>
      <c r="K400" s="1">
        <v>29159090</v>
      </c>
      <c r="L400" s="6">
        <v>10</v>
      </c>
      <c r="M400" s="1" t="s">
        <v>70</v>
      </c>
      <c r="N400" s="7" t="s">
        <v>44</v>
      </c>
      <c r="O400" s="1" t="s">
        <v>53</v>
      </c>
      <c r="P400" s="8">
        <v>3600</v>
      </c>
      <c r="Q400" s="17">
        <f t="shared" si="45"/>
        <v>36000</v>
      </c>
      <c r="R400" s="9">
        <v>1050</v>
      </c>
      <c r="S400" s="9">
        <v>5.15</v>
      </c>
      <c r="T400" s="9">
        <v>0</v>
      </c>
      <c r="U400" s="10">
        <v>0</v>
      </c>
      <c r="V400" s="1" t="s">
        <v>46</v>
      </c>
      <c r="W400" s="1" t="s">
        <v>59</v>
      </c>
      <c r="X400" s="1">
        <v>2964189</v>
      </c>
      <c r="Y400" s="11">
        <v>41786</v>
      </c>
      <c r="Z400" s="11">
        <v>41788</v>
      </c>
      <c r="AA400" s="9">
        <f t="shared" si="46"/>
        <v>34944.85</v>
      </c>
      <c r="AB400" s="12">
        <v>59.1</v>
      </c>
      <c r="AC400" s="9">
        <f t="shared" si="47"/>
        <v>2127600</v>
      </c>
      <c r="AD400" s="9">
        <f t="shared" si="48"/>
        <v>2065240.635</v>
      </c>
      <c r="AE400" s="1" t="s">
        <v>48</v>
      </c>
      <c r="AF400" s="1" t="s">
        <v>53</v>
      </c>
      <c r="AG400" s="4">
        <f t="shared" si="49"/>
        <v>36000</v>
      </c>
      <c r="AH400" s="10">
        <v>35848.76</v>
      </c>
      <c r="AI400" s="10">
        <v>1100</v>
      </c>
      <c r="AJ400" s="10">
        <v>5.15</v>
      </c>
      <c r="AK400" s="10">
        <v>0</v>
      </c>
      <c r="AL400" s="9">
        <f t="shared" si="50"/>
        <v>34743.61</v>
      </c>
      <c r="AM400" s="1"/>
      <c r="AN400" s="1"/>
      <c r="AO400" s="12" t="e">
        <f>AB400/#REF!</f>
        <v>#REF!</v>
      </c>
      <c r="AP400" s="1" t="s">
        <v>1735</v>
      </c>
      <c r="AQ400" s="11">
        <v>41814</v>
      </c>
      <c r="AR400" s="1" t="s">
        <v>1736</v>
      </c>
      <c r="AS400" s="11">
        <v>41815</v>
      </c>
      <c r="AT400" s="1" t="s">
        <v>49</v>
      </c>
      <c r="AU400" s="1" t="s">
        <v>4171</v>
      </c>
    </row>
    <row r="401" spans="1:47" ht="15" customHeight="1" x14ac:dyDescent="0.25">
      <c r="A401" s="1">
        <v>400</v>
      </c>
      <c r="B401" s="1" t="s">
        <v>1258</v>
      </c>
      <c r="C401" s="1" t="s">
        <v>38</v>
      </c>
      <c r="D401" s="1">
        <v>9103550234</v>
      </c>
      <c r="E401" s="5">
        <v>41792</v>
      </c>
      <c r="F401" s="1" t="s">
        <v>369</v>
      </c>
      <c r="G401" s="1" t="s">
        <v>40</v>
      </c>
      <c r="H401" s="1" t="s">
        <v>41</v>
      </c>
      <c r="I401" s="1" t="s">
        <v>2809</v>
      </c>
      <c r="J401" s="2" t="s">
        <v>58</v>
      </c>
      <c r="K401" s="1">
        <v>29159090</v>
      </c>
      <c r="L401" s="6">
        <v>10</v>
      </c>
      <c r="M401" s="1" t="s">
        <v>70</v>
      </c>
      <c r="N401" s="7" t="s">
        <v>44</v>
      </c>
      <c r="O401" s="1" t="s">
        <v>53</v>
      </c>
      <c r="P401" s="8">
        <v>3600</v>
      </c>
      <c r="Q401" s="17">
        <f t="shared" si="45"/>
        <v>36000</v>
      </c>
      <c r="R401" s="9">
        <v>1050</v>
      </c>
      <c r="S401" s="9">
        <v>5.15</v>
      </c>
      <c r="T401" s="9">
        <v>0</v>
      </c>
      <c r="U401" s="10">
        <v>0</v>
      </c>
      <c r="V401" s="1" t="s">
        <v>46</v>
      </c>
      <c r="W401" s="1" t="s">
        <v>59</v>
      </c>
      <c r="X401" s="1">
        <v>2983845</v>
      </c>
      <c r="Y401" s="11">
        <v>41787</v>
      </c>
      <c r="Z401" s="11">
        <v>41788</v>
      </c>
      <c r="AA401" s="9">
        <f t="shared" si="46"/>
        <v>34944.85</v>
      </c>
      <c r="AB401" s="12">
        <v>59.1</v>
      </c>
      <c r="AC401" s="9">
        <f t="shared" si="47"/>
        <v>2127600</v>
      </c>
      <c r="AD401" s="9">
        <f t="shared" si="48"/>
        <v>2065240.635</v>
      </c>
      <c r="AE401" s="1" t="s">
        <v>48</v>
      </c>
      <c r="AF401" s="1" t="s">
        <v>53</v>
      </c>
      <c r="AG401" s="4">
        <f t="shared" si="49"/>
        <v>36000</v>
      </c>
      <c r="AH401" s="10">
        <v>35848.76</v>
      </c>
      <c r="AI401" s="10">
        <v>1095</v>
      </c>
      <c r="AJ401" s="10">
        <v>5.15</v>
      </c>
      <c r="AK401" s="10">
        <v>0</v>
      </c>
      <c r="AL401" s="9">
        <f t="shared" si="50"/>
        <v>34748.61</v>
      </c>
      <c r="AM401" s="1"/>
      <c r="AN401" s="1"/>
      <c r="AO401" s="12" t="e">
        <f>AB401/#REF!</f>
        <v>#REF!</v>
      </c>
      <c r="AP401" s="1" t="s">
        <v>1737</v>
      </c>
      <c r="AQ401" s="11">
        <v>41813</v>
      </c>
      <c r="AR401" s="1" t="s">
        <v>1738</v>
      </c>
      <c r="AS401" s="11">
        <v>41814</v>
      </c>
      <c r="AT401" s="1" t="s">
        <v>49</v>
      </c>
      <c r="AU401" s="1" t="s">
        <v>4171</v>
      </c>
    </row>
    <row r="402" spans="1:47" ht="15" customHeight="1" x14ac:dyDescent="0.25">
      <c r="A402" s="1">
        <v>401</v>
      </c>
      <c r="B402" s="1" t="s">
        <v>1258</v>
      </c>
      <c r="C402" s="1" t="s">
        <v>38</v>
      </c>
      <c r="D402" s="1" t="s">
        <v>1739</v>
      </c>
      <c r="E402" s="5">
        <v>41791</v>
      </c>
      <c r="F402" s="1" t="s">
        <v>365</v>
      </c>
      <c r="G402" s="1" t="s">
        <v>40</v>
      </c>
      <c r="H402" s="1" t="s">
        <v>41</v>
      </c>
      <c r="I402" s="1" t="s">
        <v>2809</v>
      </c>
      <c r="J402" s="1" t="s">
        <v>142</v>
      </c>
      <c r="K402" s="1">
        <v>38237090</v>
      </c>
      <c r="L402" s="6">
        <v>72</v>
      </c>
      <c r="M402" s="1" t="s">
        <v>70</v>
      </c>
      <c r="N402" s="7" t="s">
        <v>52</v>
      </c>
      <c r="O402" s="1" t="s">
        <v>53</v>
      </c>
      <c r="P402" s="8">
        <v>1600</v>
      </c>
      <c r="Q402" s="17">
        <f t="shared" si="45"/>
        <v>115200</v>
      </c>
      <c r="R402" s="9">
        <v>4086</v>
      </c>
      <c r="S402" s="9">
        <v>0</v>
      </c>
      <c r="T402" s="9">
        <v>2217.6</v>
      </c>
      <c r="U402" s="10">
        <v>0</v>
      </c>
      <c r="V402" s="1" t="s">
        <v>46</v>
      </c>
      <c r="W402" s="1" t="s">
        <v>143</v>
      </c>
      <c r="X402" s="1">
        <v>2942636</v>
      </c>
      <c r="Y402" s="11">
        <v>41785</v>
      </c>
      <c r="Z402" s="11">
        <v>41786</v>
      </c>
      <c r="AA402" s="9">
        <f t="shared" si="46"/>
        <v>111114</v>
      </c>
      <c r="AB402" s="12">
        <v>59.1</v>
      </c>
      <c r="AC402" s="9">
        <f t="shared" si="47"/>
        <v>6808320</v>
      </c>
      <c r="AD402" s="9">
        <f t="shared" si="48"/>
        <v>6566837.4000000004</v>
      </c>
      <c r="AE402" s="1" t="s">
        <v>51</v>
      </c>
      <c r="AF402" s="1" t="s">
        <v>53</v>
      </c>
      <c r="AG402" s="4">
        <f t="shared" si="49"/>
        <v>115200</v>
      </c>
      <c r="AH402" s="10">
        <v>115200</v>
      </c>
      <c r="AI402" s="10">
        <v>3996</v>
      </c>
      <c r="AJ402" s="10">
        <v>0</v>
      </c>
      <c r="AK402" s="10">
        <v>0</v>
      </c>
      <c r="AL402" s="9">
        <f t="shared" si="50"/>
        <v>111204</v>
      </c>
      <c r="AM402" s="1"/>
      <c r="AN402" s="1"/>
      <c r="AO402" s="12" t="e">
        <f>AB402/#REF!</f>
        <v>#REF!</v>
      </c>
      <c r="AP402" s="1" t="s">
        <v>1740</v>
      </c>
      <c r="AQ402" s="11">
        <v>41815</v>
      </c>
      <c r="AR402" s="1" t="s">
        <v>1741</v>
      </c>
      <c r="AS402" s="11">
        <v>41832</v>
      </c>
      <c r="AT402" s="1" t="s">
        <v>49</v>
      </c>
      <c r="AU402" s="1" t="s">
        <v>4171</v>
      </c>
    </row>
    <row r="403" spans="1:47" ht="15" customHeight="1" x14ac:dyDescent="0.25">
      <c r="A403" s="1">
        <v>402</v>
      </c>
      <c r="B403" s="1" t="s">
        <v>1258</v>
      </c>
      <c r="C403" s="1" t="s">
        <v>38</v>
      </c>
      <c r="D403" s="1" t="s">
        <v>1739</v>
      </c>
      <c r="E403" s="5">
        <v>41791</v>
      </c>
      <c r="F403" s="1" t="s">
        <v>362</v>
      </c>
      <c r="G403" s="1" t="s">
        <v>40</v>
      </c>
      <c r="H403" s="1" t="s">
        <v>41</v>
      </c>
      <c r="I403" s="1" t="s">
        <v>2809</v>
      </c>
      <c r="J403" s="1" t="s">
        <v>142</v>
      </c>
      <c r="K403" s="1">
        <v>38237090</v>
      </c>
      <c r="L403" s="6">
        <v>36</v>
      </c>
      <c r="M403" s="1" t="s">
        <v>70</v>
      </c>
      <c r="N403" s="7" t="s">
        <v>52</v>
      </c>
      <c r="O403" s="1" t="s">
        <v>53</v>
      </c>
      <c r="P403" s="8">
        <v>1600</v>
      </c>
      <c r="Q403" s="17">
        <f t="shared" si="45"/>
        <v>57600</v>
      </c>
      <c r="R403" s="9">
        <v>2043</v>
      </c>
      <c r="S403" s="9">
        <v>0</v>
      </c>
      <c r="T403" s="9">
        <v>1108.8</v>
      </c>
      <c r="U403" s="10">
        <v>0</v>
      </c>
      <c r="V403" s="1" t="s">
        <v>46</v>
      </c>
      <c r="W403" s="1" t="s">
        <v>143</v>
      </c>
      <c r="X403" s="1">
        <v>2960878</v>
      </c>
      <c r="Y403" s="11">
        <v>41786</v>
      </c>
      <c r="Z403" s="11">
        <v>41787</v>
      </c>
      <c r="AA403" s="9">
        <f t="shared" si="46"/>
        <v>55557</v>
      </c>
      <c r="AB403" s="12">
        <v>59.1</v>
      </c>
      <c r="AC403" s="9">
        <f t="shared" si="47"/>
        <v>3404160</v>
      </c>
      <c r="AD403" s="9">
        <f t="shared" si="48"/>
        <v>3283418.7</v>
      </c>
      <c r="AE403" s="1" t="s">
        <v>51</v>
      </c>
      <c r="AF403" s="1" t="s">
        <v>53</v>
      </c>
      <c r="AG403" s="4">
        <f t="shared" si="49"/>
        <v>57600</v>
      </c>
      <c r="AH403" s="10">
        <v>57600</v>
      </c>
      <c r="AI403" s="10">
        <v>1998</v>
      </c>
      <c r="AJ403" s="10">
        <v>0</v>
      </c>
      <c r="AK403" s="10">
        <v>0</v>
      </c>
      <c r="AL403" s="9">
        <f t="shared" si="50"/>
        <v>55602</v>
      </c>
      <c r="AM403" s="1"/>
      <c r="AN403" s="1"/>
      <c r="AO403" s="12" t="e">
        <f>AB403/#REF!</f>
        <v>#REF!</v>
      </c>
      <c r="AP403" s="1" t="s">
        <v>1740</v>
      </c>
      <c r="AQ403" s="11">
        <v>41815</v>
      </c>
      <c r="AR403" s="1" t="s">
        <v>1742</v>
      </c>
      <c r="AS403" s="11">
        <v>41832</v>
      </c>
      <c r="AT403" s="1" t="s">
        <v>49</v>
      </c>
      <c r="AU403" s="1" t="s">
        <v>4171</v>
      </c>
    </row>
    <row r="404" spans="1:47" ht="15" customHeight="1" x14ac:dyDescent="0.25">
      <c r="A404" s="1">
        <v>403</v>
      </c>
      <c r="B404" s="1" t="s">
        <v>1258</v>
      </c>
      <c r="C404" s="1" t="s">
        <v>38</v>
      </c>
      <c r="D404" s="1" t="s">
        <v>1739</v>
      </c>
      <c r="E404" s="5">
        <v>41791</v>
      </c>
      <c r="F404" s="1" t="s">
        <v>374</v>
      </c>
      <c r="G404" s="1" t="s">
        <v>40</v>
      </c>
      <c r="H404" s="1" t="s">
        <v>41</v>
      </c>
      <c r="I404" s="1" t="s">
        <v>2809</v>
      </c>
      <c r="J404" s="1" t="s">
        <v>142</v>
      </c>
      <c r="K404" s="1">
        <v>38237090</v>
      </c>
      <c r="L404" s="6">
        <v>48</v>
      </c>
      <c r="M404" s="1" t="s">
        <v>70</v>
      </c>
      <c r="N404" s="7" t="s">
        <v>52</v>
      </c>
      <c r="O404" s="1" t="s">
        <v>53</v>
      </c>
      <c r="P404" s="8">
        <v>1600</v>
      </c>
      <c r="Q404" s="17">
        <f t="shared" si="45"/>
        <v>76800</v>
      </c>
      <c r="R404" s="9">
        <v>2724</v>
      </c>
      <c r="S404" s="9">
        <v>0</v>
      </c>
      <c r="T404" s="9">
        <v>1467.84</v>
      </c>
      <c r="U404" s="10">
        <v>0</v>
      </c>
      <c r="V404" s="1" t="s">
        <v>46</v>
      </c>
      <c r="W404" s="1" t="s">
        <v>143</v>
      </c>
      <c r="X404" s="1">
        <v>2983986</v>
      </c>
      <c r="Y404" s="11">
        <v>41787</v>
      </c>
      <c r="Z404" s="11">
        <v>41788</v>
      </c>
      <c r="AA404" s="9">
        <f t="shared" si="46"/>
        <v>74076</v>
      </c>
      <c r="AB404" s="12">
        <v>59.1</v>
      </c>
      <c r="AC404" s="9">
        <f t="shared" si="47"/>
        <v>4538880</v>
      </c>
      <c r="AD404" s="9">
        <f t="shared" si="48"/>
        <v>4377891.6000000006</v>
      </c>
      <c r="AE404" s="1" t="s">
        <v>51</v>
      </c>
      <c r="AF404" s="1" t="s">
        <v>53</v>
      </c>
      <c r="AG404" s="4">
        <f t="shared" si="49"/>
        <v>76800</v>
      </c>
      <c r="AH404" s="10">
        <v>76800</v>
      </c>
      <c r="AI404" s="10">
        <v>2664</v>
      </c>
      <c r="AJ404" s="10">
        <v>0</v>
      </c>
      <c r="AK404" s="10">
        <v>0</v>
      </c>
      <c r="AL404" s="9">
        <f t="shared" si="50"/>
        <v>74136</v>
      </c>
      <c r="AM404" s="1"/>
      <c r="AN404" s="1"/>
      <c r="AO404" s="12" t="e">
        <f>AB404/#REF!</f>
        <v>#REF!</v>
      </c>
      <c r="AP404" s="1" t="s">
        <v>1740</v>
      </c>
      <c r="AQ404" s="11">
        <v>41815</v>
      </c>
      <c r="AR404" s="1" t="s">
        <v>1743</v>
      </c>
      <c r="AS404" s="11">
        <v>41832</v>
      </c>
      <c r="AT404" s="1" t="s">
        <v>49</v>
      </c>
      <c r="AU404" s="1" t="s">
        <v>4171</v>
      </c>
    </row>
    <row r="405" spans="1:47" ht="15" customHeight="1" x14ac:dyDescent="0.25">
      <c r="A405" s="1">
        <v>404</v>
      </c>
      <c r="B405" s="1" t="s">
        <v>1258</v>
      </c>
      <c r="C405" s="1" t="s">
        <v>38</v>
      </c>
      <c r="D405" s="1" t="s">
        <v>1739</v>
      </c>
      <c r="E405" s="5">
        <v>41791</v>
      </c>
      <c r="F405" s="1" t="s">
        <v>373</v>
      </c>
      <c r="G405" s="1" t="s">
        <v>40</v>
      </c>
      <c r="H405" s="1" t="s">
        <v>41</v>
      </c>
      <c r="I405" s="1" t="s">
        <v>2809</v>
      </c>
      <c r="J405" s="1" t="s">
        <v>142</v>
      </c>
      <c r="K405" s="1">
        <v>38237090</v>
      </c>
      <c r="L405" s="6">
        <v>24</v>
      </c>
      <c r="M405" s="1" t="s">
        <v>70</v>
      </c>
      <c r="N405" s="7" t="s">
        <v>52</v>
      </c>
      <c r="O405" s="1" t="s">
        <v>53</v>
      </c>
      <c r="P405" s="8">
        <v>1600</v>
      </c>
      <c r="Q405" s="17">
        <f t="shared" si="45"/>
        <v>38400</v>
      </c>
      <c r="R405" s="9">
        <v>1362</v>
      </c>
      <c r="S405" s="9">
        <v>0</v>
      </c>
      <c r="T405" s="9">
        <v>733.92</v>
      </c>
      <c r="U405" s="10">
        <v>0</v>
      </c>
      <c r="V405" s="1" t="s">
        <v>46</v>
      </c>
      <c r="W405" s="1" t="s">
        <v>143</v>
      </c>
      <c r="X405" s="1">
        <v>2997826</v>
      </c>
      <c r="Y405" s="11">
        <v>41788</v>
      </c>
      <c r="Z405" s="11">
        <v>41789</v>
      </c>
      <c r="AA405" s="9">
        <f t="shared" si="46"/>
        <v>37038</v>
      </c>
      <c r="AB405" s="12">
        <v>59.1</v>
      </c>
      <c r="AC405" s="9">
        <f t="shared" si="47"/>
        <v>2269440</v>
      </c>
      <c r="AD405" s="9">
        <f t="shared" si="48"/>
        <v>2188945.8000000003</v>
      </c>
      <c r="AE405" s="1" t="s">
        <v>51</v>
      </c>
      <c r="AF405" s="1" t="s">
        <v>53</v>
      </c>
      <c r="AG405" s="4">
        <f t="shared" si="49"/>
        <v>38400</v>
      </c>
      <c r="AH405" s="10">
        <v>38400</v>
      </c>
      <c r="AI405" s="10">
        <v>1332</v>
      </c>
      <c r="AJ405" s="10">
        <v>0</v>
      </c>
      <c r="AK405" s="10">
        <v>0</v>
      </c>
      <c r="AL405" s="9">
        <f t="shared" si="50"/>
        <v>37068</v>
      </c>
      <c r="AM405" s="1"/>
      <c r="AN405" s="1"/>
      <c r="AO405" s="12" t="e">
        <f>AB405/#REF!</f>
        <v>#REF!</v>
      </c>
      <c r="AP405" s="1" t="s">
        <v>1740</v>
      </c>
      <c r="AQ405" s="11">
        <v>41815</v>
      </c>
      <c r="AR405" s="1" t="s">
        <v>1744</v>
      </c>
      <c r="AS405" s="11">
        <v>41832</v>
      </c>
      <c r="AT405" s="1" t="s">
        <v>49</v>
      </c>
      <c r="AU405" s="1" t="s">
        <v>4171</v>
      </c>
    </row>
    <row r="406" spans="1:47" ht="15" customHeight="1" x14ac:dyDescent="0.25">
      <c r="A406" s="1">
        <v>405</v>
      </c>
      <c r="B406" s="1" t="s">
        <v>1258</v>
      </c>
      <c r="C406" s="1" t="s">
        <v>38</v>
      </c>
      <c r="D406" s="1">
        <v>9103550243</v>
      </c>
      <c r="E406" s="5">
        <v>41797</v>
      </c>
      <c r="F406" s="1" t="s">
        <v>385</v>
      </c>
      <c r="G406" s="1" t="s">
        <v>40</v>
      </c>
      <c r="H406" s="1" t="s">
        <v>41</v>
      </c>
      <c r="I406" s="1" t="s">
        <v>2809</v>
      </c>
      <c r="J406" s="1" t="s">
        <v>142</v>
      </c>
      <c r="K406" s="1">
        <v>38237090</v>
      </c>
      <c r="L406" s="6">
        <v>72</v>
      </c>
      <c r="M406" s="1" t="s">
        <v>70</v>
      </c>
      <c r="N406" s="7" t="s">
        <v>52</v>
      </c>
      <c r="O406" s="1" t="s">
        <v>53</v>
      </c>
      <c r="P406" s="8">
        <v>2070</v>
      </c>
      <c r="Q406" s="17">
        <f t="shared" si="45"/>
        <v>149040</v>
      </c>
      <c r="R406" s="9">
        <v>7350</v>
      </c>
      <c r="S406" s="9">
        <v>0</v>
      </c>
      <c r="T406" s="9">
        <v>0</v>
      </c>
      <c r="U406" s="10">
        <v>0</v>
      </c>
      <c r="V406" s="1" t="s">
        <v>46</v>
      </c>
      <c r="W406" s="1" t="s">
        <v>745</v>
      </c>
      <c r="X406" s="1">
        <v>3007992</v>
      </c>
      <c r="Y406" s="11">
        <v>41788</v>
      </c>
      <c r="Z406" s="11">
        <v>41789</v>
      </c>
      <c r="AA406" s="9">
        <f t="shared" si="46"/>
        <v>141690</v>
      </c>
      <c r="AB406" s="12">
        <v>59.1</v>
      </c>
      <c r="AC406" s="9">
        <f t="shared" si="47"/>
        <v>8808264</v>
      </c>
      <c r="AD406" s="9">
        <f t="shared" si="48"/>
        <v>8373879</v>
      </c>
      <c r="AE406" s="1" t="s">
        <v>48</v>
      </c>
      <c r="AF406" s="1" t="s">
        <v>53</v>
      </c>
      <c r="AG406" s="4">
        <f t="shared" si="49"/>
        <v>149040</v>
      </c>
      <c r="AH406" s="10">
        <v>148839</v>
      </c>
      <c r="AI406" s="10">
        <v>7269</v>
      </c>
      <c r="AJ406" s="10">
        <v>0</v>
      </c>
      <c r="AK406" s="10">
        <v>0</v>
      </c>
      <c r="AL406" s="9">
        <f t="shared" si="50"/>
        <v>141570</v>
      </c>
      <c r="AM406" s="1"/>
      <c r="AN406" s="1"/>
      <c r="AO406" s="12" t="e">
        <f>AB406/#REF!</f>
        <v>#REF!</v>
      </c>
      <c r="AP406" s="1" t="s">
        <v>1745</v>
      </c>
      <c r="AQ406" s="11">
        <v>41820</v>
      </c>
      <c r="AR406" s="1" t="s">
        <v>1746</v>
      </c>
      <c r="AS406" s="11">
        <v>41822</v>
      </c>
      <c r="AT406" s="1" t="s">
        <v>49</v>
      </c>
      <c r="AU406" s="1" t="s">
        <v>4171</v>
      </c>
    </row>
    <row r="407" spans="1:47" ht="15" customHeight="1" x14ac:dyDescent="0.25">
      <c r="A407" s="1">
        <v>406</v>
      </c>
      <c r="B407" s="1" t="s">
        <v>1258</v>
      </c>
      <c r="C407" s="1" t="s">
        <v>38</v>
      </c>
      <c r="D407" s="1">
        <v>9103550244</v>
      </c>
      <c r="E407" s="5">
        <v>41794</v>
      </c>
      <c r="F407" s="1" t="s">
        <v>372</v>
      </c>
      <c r="G407" s="1" t="s">
        <v>40</v>
      </c>
      <c r="H407" s="1" t="s">
        <v>41</v>
      </c>
      <c r="I407" s="1" t="s">
        <v>2809</v>
      </c>
      <c r="J407" s="1" t="s">
        <v>1747</v>
      </c>
      <c r="K407" s="1">
        <v>38237090</v>
      </c>
      <c r="L407" s="6">
        <v>15</v>
      </c>
      <c r="M407" s="1" t="s">
        <v>70</v>
      </c>
      <c r="N407" s="7" t="s">
        <v>44</v>
      </c>
      <c r="O407" s="1" t="s">
        <v>53</v>
      </c>
      <c r="P407" s="8">
        <v>1740</v>
      </c>
      <c r="Q407" s="17">
        <f t="shared" si="45"/>
        <v>26100</v>
      </c>
      <c r="R407" s="9">
        <v>1100</v>
      </c>
      <c r="S407" s="9">
        <v>3.73</v>
      </c>
      <c r="T407" s="9">
        <v>0</v>
      </c>
      <c r="U407" s="10">
        <v>0</v>
      </c>
      <c r="V407" s="1" t="s">
        <v>46</v>
      </c>
      <c r="W407" s="1" t="s">
        <v>137</v>
      </c>
      <c r="X407" s="1">
        <v>3001766</v>
      </c>
      <c r="Y407" s="11">
        <v>41788</v>
      </c>
      <c r="Z407" s="11">
        <v>41789</v>
      </c>
      <c r="AA407" s="9">
        <f t="shared" si="46"/>
        <v>24996.27</v>
      </c>
      <c r="AB407" s="12">
        <v>59.1</v>
      </c>
      <c r="AC407" s="9">
        <f t="shared" si="47"/>
        <v>1542510</v>
      </c>
      <c r="AD407" s="9">
        <f t="shared" si="48"/>
        <v>1477279.557</v>
      </c>
      <c r="AE407" s="1" t="s">
        <v>48</v>
      </c>
      <c r="AF407" s="1" t="s">
        <v>53</v>
      </c>
      <c r="AG407" s="4">
        <f t="shared" si="49"/>
        <v>26100</v>
      </c>
      <c r="AH407" s="10">
        <v>26090</v>
      </c>
      <c r="AI407" s="10">
        <v>1155</v>
      </c>
      <c r="AJ407" s="10">
        <v>3.73</v>
      </c>
      <c r="AK407" s="10">
        <v>0</v>
      </c>
      <c r="AL407" s="9">
        <f t="shared" si="50"/>
        <v>24931.27</v>
      </c>
      <c r="AM407" s="1"/>
      <c r="AN407" s="1"/>
      <c r="AO407" s="12" t="e">
        <f>AB407/#REF!</f>
        <v>#REF!</v>
      </c>
      <c r="AP407" s="1" t="s">
        <v>1748</v>
      </c>
      <c r="AQ407" s="11">
        <v>41855</v>
      </c>
      <c r="AR407" s="1" t="s">
        <v>1749</v>
      </c>
      <c r="AS407" s="11">
        <v>41856</v>
      </c>
      <c r="AT407" s="1" t="s">
        <v>49</v>
      </c>
      <c r="AU407" s="1" t="s">
        <v>4171</v>
      </c>
    </row>
    <row r="408" spans="1:47" ht="15" customHeight="1" x14ac:dyDescent="0.25">
      <c r="A408" s="1">
        <v>407</v>
      </c>
      <c r="B408" s="1" t="s">
        <v>1258</v>
      </c>
      <c r="C408" s="1" t="s">
        <v>38</v>
      </c>
      <c r="D408" s="1">
        <v>9103550245</v>
      </c>
      <c r="E408" s="5">
        <v>41795</v>
      </c>
      <c r="F408" s="1" t="s">
        <v>378</v>
      </c>
      <c r="G408" s="1" t="s">
        <v>40</v>
      </c>
      <c r="H408" s="1" t="s">
        <v>41</v>
      </c>
      <c r="I408" s="1" t="s">
        <v>2809</v>
      </c>
      <c r="J408" s="1" t="s">
        <v>63</v>
      </c>
      <c r="K408" s="1">
        <v>29161990</v>
      </c>
      <c r="L408" s="6">
        <v>39.06</v>
      </c>
      <c r="M408" s="1" t="s">
        <v>70</v>
      </c>
      <c r="N408" s="7" t="s">
        <v>44</v>
      </c>
      <c r="O408" s="1" t="s">
        <v>53</v>
      </c>
      <c r="P408" s="8">
        <v>2765</v>
      </c>
      <c r="Q408" s="17">
        <f t="shared" si="45"/>
        <v>108000.90000000001</v>
      </c>
      <c r="R408" s="9">
        <v>1120</v>
      </c>
      <c r="S408" s="9">
        <v>15.44</v>
      </c>
      <c r="T408" s="9">
        <v>0</v>
      </c>
      <c r="U408" s="10">
        <v>0</v>
      </c>
      <c r="V408" s="1" t="s">
        <v>46</v>
      </c>
      <c r="W408" s="1" t="s">
        <v>64</v>
      </c>
      <c r="X408" s="1">
        <v>3006030</v>
      </c>
      <c r="Y408" s="11">
        <v>41788</v>
      </c>
      <c r="Z408" s="11">
        <v>41789</v>
      </c>
      <c r="AA408" s="9">
        <f t="shared" si="46"/>
        <v>106865.46</v>
      </c>
      <c r="AB408" s="12">
        <v>59.1</v>
      </c>
      <c r="AC408" s="9">
        <f t="shared" si="47"/>
        <v>6382853.1900000004</v>
      </c>
      <c r="AD408" s="9">
        <f t="shared" si="48"/>
        <v>6315748.6860000007</v>
      </c>
      <c r="AE408" s="1" t="s">
        <v>48</v>
      </c>
      <c r="AF408" s="1" t="s">
        <v>53</v>
      </c>
      <c r="AG408" s="4">
        <f t="shared" si="49"/>
        <v>108000.90000000001</v>
      </c>
      <c r="AH408" s="10">
        <v>107958.9</v>
      </c>
      <c r="AI408" s="9">
        <v>1120</v>
      </c>
      <c r="AJ408" s="9">
        <v>15.44</v>
      </c>
      <c r="AK408" s="10">
        <v>0</v>
      </c>
      <c r="AL408" s="9">
        <f t="shared" si="50"/>
        <v>106823.45999999999</v>
      </c>
      <c r="AM408" s="1"/>
      <c r="AN408" s="1"/>
      <c r="AO408" s="12" t="e">
        <f>AB408/#REF!</f>
        <v>#REF!</v>
      </c>
      <c r="AP408" s="1" t="s">
        <v>1750</v>
      </c>
      <c r="AQ408" s="11">
        <v>41815</v>
      </c>
      <c r="AR408" s="1" t="s">
        <v>1751</v>
      </c>
      <c r="AS408" s="11">
        <v>41816</v>
      </c>
      <c r="AT408" s="1" t="s">
        <v>49</v>
      </c>
      <c r="AU408" s="1" t="s">
        <v>4171</v>
      </c>
    </row>
    <row r="409" spans="1:47" ht="15" customHeight="1" x14ac:dyDescent="0.25">
      <c r="A409" s="1">
        <v>408</v>
      </c>
      <c r="B409" s="1" t="s">
        <v>1258</v>
      </c>
      <c r="C409" s="1" t="s">
        <v>38</v>
      </c>
      <c r="D409" s="1">
        <v>9103550246</v>
      </c>
      <c r="E409" s="5">
        <v>41795</v>
      </c>
      <c r="F409" s="1" t="s">
        <v>381</v>
      </c>
      <c r="G409" s="1" t="s">
        <v>40</v>
      </c>
      <c r="H409" s="1" t="s">
        <v>41</v>
      </c>
      <c r="I409" s="1" t="s">
        <v>2809</v>
      </c>
      <c r="J409" s="1" t="s">
        <v>63</v>
      </c>
      <c r="K409" s="1">
        <v>29161990</v>
      </c>
      <c r="L409" s="6">
        <v>39.31</v>
      </c>
      <c r="M409" s="1" t="s">
        <v>70</v>
      </c>
      <c r="N409" s="7" t="s">
        <v>44</v>
      </c>
      <c r="O409" s="1" t="s">
        <v>53</v>
      </c>
      <c r="P409" s="8">
        <v>2765</v>
      </c>
      <c r="Q409" s="17">
        <f t="shared" si="45"/>
        <v>108692.15000000001</v>
      </c>
      <c r="R409" s="9">
        <v>1120</v>
      </c>
      <c r="S409" s="9">
        <v>15.54</v>
      </c>
      <c r="T409" s="9">
        <v>0</v>
      </c>
      <c r="U409" s="10">
        <v>0</v>
      </c>
      <c r="V409" s="1" t="s">
        <v>46</v>
      </c>
      <c r="W409" s="1" t="s">
        <v>64</v>
      </c>
      <c r="X409" s="1">
        <v>3006323</v>
      </c>
      <c r="Y409" s="11">
        <v>41788</v>
      </c>
      <c r="Z409" s="11">
        <v>41789</v>
      </c>
      <c r="AA409" s="9">
        <f t="shared" si="46"/>
        <v>107556.61000000002</v>
      </c>
      <c r="AB409" s="12">
        <v>59.1</v>
      </c>
      <c r="AC409" s="9">
        <f t="shared" si="47"/>
        <v>6423706.0650000004</v>
      </c>
      <c r="AD409" s="9">
        <f t="shared" si="48"/>
        <v>6356595.6510000015</v>
      </c>
      <c r="AE409" s="1" t="s">
        <v>51</v>
      </c>
      <c r="AF409" s="1" t="s">
        <v>53</v>
      </c>
      <c r="AG409" s="4">
        <f t="shared" si="49"/>
        <v>108692.15000000001</v>
      </c>
      <c r="AH409" s="10">
        <v>108692</v>
      </c>
      <c r="AI409" s="9">
        <v>1120</v>
      </c>
      <c r="AJ409" s="9">
        <v>15.54</v>
      </c>
      <c r="AK409" s="10">
        <v>0</v>
      </c>
      <c r="AL409" s="9">
        <f t="shared" si="50"/>
        <v>107556.46</v>
      </c>
      <c r="AM409" s="1"/>
      <c r="AN409" s="1"/>
      <c r="AO409" s="12" t="e">
        <f>AB409/#REF!</f>
        <v>#REF!</v>
      </c>
      <c r="AP409" s="1" t="s">
        <v>1752</v>
      </c>
      <c r="AQ409" s="11">
        <v>41800</v>
      </c>
      <c r="AR409" s="1" t="s">
        <v>1753</v>
      </c>
      <c r="AS409" s="11">
        <v>41845</v>
      </c>
      <c r="AT409" s="1" t="s">
        <v>49</v>
      </c>
      <c r="AU409" s="1" t="s">
        <v>4171</v>
      </c>
    </row>
    <row r="410" spans="1:47" ht="15" customHeight="1" x14ac:dyDescent="0.25">
      <c r="A410" s="1">
        <v>409</v>
      </c>
      <c r="B410" s="1" t="s">
        <v>1258</v>
      </c>
      <c r="C410" s="1" t="s">
        <v>38</v>
      </c>
      <c r="D410" s="1">
        <v>9103550247</v>
      </c>
      <c r="E410" s="5">
        <v>41793</v>
      </c>
      <c r="F410" s="1" t="s">
        <v>376</v>
      </c>
      <c r="G410" s="1" t="s">
        <v>40</v>
      </c>
      <c r="H410" s="1" t="s">
        <v>41</v>
      </c>
      <c r="I410" s="1" t="s">
        <v>2809</v>
      </c>
      <c r="J410" s="1" t="s">
        <v>2716</v>
      </c>
      <c r="K410" s="1">
        <v>38231900</v>
      </c>
      <c r="L410" s="6">
        <v>19.850000000000001</v>
      </c>
      <c r="M410" s="1" t="s">
        <v>70</v>
      </c>
      <c r="N410" s="7" t="s">
        <v>67</v>
      </c>
      <c r="O410" s="1" t="s">
        <v>45</v>
      </c>
      <c r="P410" s="8">
        <v>2650.64</v>
      </c>
      <c r="Q410" s="17">
        <f t="shared" si="45"/>
        <v>52615.203999999998</v>
      </c>
      <c r="R410" s="9">
        <v>0</v>
      </c>
      <c r="S410" s="9">
        <v>0</v>
      </c>
      <c r="T410" s="9">
        <v>0</v>
      </c>
      <c r="U410" s="10">
        <v>0</v>
      </c>
      <c r="V410" s="1" t="s">
        <v>46</v>
      </c>
      <c r="W410" s="1" t="s">
        <v>47</v>
      </c>
      <c r="X410" s="1">
        <v>3003905</v>
      </c>
      <c r="Y410" s="11">
        <v>41788</v>
      </c>
      <c r="Z410" s="11">
        <v>41789</v>
      </c>
      <c r="AA410" s="9">
        <f t="shared" si="46"/>
        <v>52615.203999999998</v>
      </c>
      <c r="AB410" s="12">
        <v>80.849999999999994</v>
      </c>
      <c r="AC410" s="9">
        <f t="shared" si="47"/>
        <v>4253939.2433999991</v>
      </c>
      <c r="AD410" s="9">
        <f t="shared" si="48"/>
        <v>4253939.2433999991</v>
      </c>
      <c r="AE410" s="1" t="s">
        <v>48</v>
      </c>
      <c r="AF410" s="1" t="s">
        <v>45</v>
      </c>
      <c r="AG410" s="4">
        <f t="shared" si="49"/>
        <v>52615.203999999998</v>
      </c>
      <c r="AH410" s="10">
        <v>52555.199999999997</v>
      </c>
      <c r="AI410" s="9">
        <v>0</v>
      </c>
      <c r="AJ410" s="9">
        <v>0</v>
      </c>
      <c r="AK410" s="9">
        <v>0</v>
      </c>
      <c r="AL410" s="9">
        <f t="shared" si="50"/>
        <v>52555.199999999997</v>
      </c>
      <c r="AM410" s="1"/>
      <c r="AN410" s="1"/>
      <c r="AO410" s="12" t="e">
        <f>AB410/#REF!</f>
        <v>#REF!</v>
      </c>
      <c r="AP410" s="1" t="s">
        <v>1754</v>
      </c>
      <c r="AQ410" s="11">
        <v>41835</v>
      </c>
      <c r="AR410" s="1" t="s">
        <v>1755</v>
      </c>
      <c r="AS410" s="11">
        <v>41836</v>
      </c>
      <c r="AT410" s="1" t="s">
        <v>49</v>
      </c>
      <c r="AU410" s="1" t="s">
        <v>4171</v>
      </c>
    </row>
    <row r="411" spans="1:47" ht="15" customHeight="1" x14ac:dyDescent="0.25">
      <c r="A411" s="1">
        <v>410</v>
      </c>
      <c r="B411" s="1" t="s">
        <v>1258</v>
      </c>
      <c r="C411" s="1" t="s">
        <v>38</v>
      </c>
      <c r="D411" s="1">
        <v>9103550248</v>
      </c>
      <c r="E411" s="5">
        <v>41792</v>
      </c>
      <c r="F411" s="1" t="s">
        <v>375</v>
      </c>
      <c r="G411" s="1" t="s">
        <v>40</v>
      </c>
      <c r="H411" s="1" t="s">
        <v>41</v>
      </c>
      <c r="I411" s="1" t="s">
        <v>2809</v>
      </c>
      <c r="J411" s="1" t="s">
        <v>559</v>
      </c>
      <c r="K411" s="1">
        <v>38237090</v>
      </c>
      <c r="L411" s="6">
        <v>15</v>
      </c>
      <c r="M411" s="1" t="s">
        <v>70</v>
      </c>
      <c r="N411" s="7" t="s">
        <v>44</v>
      </c>
      <c r="O411" s="1" t="s">
        <v>53</v>
      </c>
      <c r="P411" s="8">
        <v>1685</v>
      </c>
      <c r="Q411" s="17">
        <f t="shared" si="45"/>
        <v>25275</v>
      </c>
      <c r="R411" s="9">
        <v>100</v>
      </c>
      <c r="S411" s="9">
        <v>3.61</v>
      </c>
      <c r="T411" s="9">
        <v>0</v>
      </c>
      <c r="U411" s="10">
        <v>0</v>
      </c>
      <c r="V411" s="1" t="s">
        <v>46</v>
      </c>
      <c r="W411" s="1" t="s">
        <v>1756</v>
      </c>
      <c r="X411" s="1">
        <v>3001476</v>
      </c>
      <c r="Y411" s="11">
        <v>41788</v>
      </c>
      <c r="Z411" s="11">
        <v>41789</v>
      </c>
      <c r="AA411" s="9">
        <f t="shared" si="46"/>
        <v>25171.39</v>
      </c>
      <c r="AB411" s="12">
        <v>59.1</v>
      </c>
      <c r="AC411" s="9">
        <f t="shared" si="47"/>
        <v>1493752.5</v>
      </c>
      <c r="AD411" s="9">
        <f t="shared" si="48"/>
        <v>1487629.149</v>
      </c>
      <c r="AE411" s="1" t="s">
        <v>48</v>
      </c>
      <c r="AF411" s="1" t="s">
        <v>53</v>
      </c>
      <c r="AG411" s="4">
        <f t="shared" si="49"/>
        <v>25275</v>
      </c>
      <c r="AH411" s="10">
        <v>25275</v>
      </c>
      <c r="AI411" s="9">
        <v>100</v>
      </c>
      <c r="AJ411" s="9">
        <v>3.61</v>
      </c>
      <c r="AK411" s="10">
        <v>0</v>
      </c>
      <c r="AL411" s="9">
        <f t="shared" si="50"/>
        <v>25171.39</v>
      </c>
      <c r="AM411" s="1"/>
      <c r="AN411" s="1"/>
      <c r="AO411" s="12" t="e">
        <f>AB411/#REF!</f>
        <v>#REF!</v>
      </c>
      <c r="AP411" s="1" t="s">
        <v>1757</v>
      </c>
      <c r="AQ411" s="11">
        <v>41799</v>
      </c>
      <c r="AR411" s="1" t="s">
        <v>1758</v>
      </c>
      <c r="AS411" s="11">
        <v>41800</v>
      </c>
      <c r="AT411" s="1" t="s">
        <v>49</v>
      </c>
      <c r="AU411" s="1" t="s">
        <v>4171</v>
      </c>
    </row>
    <row r="412" spans="1:47" ht="15" customHeight="1" x14ac:dyDescent="0.25">
      <c r="A412" s="1">
        <v>411</v>
      </c>
      <c r="B412" s="1" t="s">
        <v>1258</v>
      </c>
      <c r="C412" s="1" t="s">
        <v>38</v>
      </c>
      <c r="D412" s="1">
        <v>9103550249</v>
      </c>
      <c r="E412" s="5">
        <v>41793</v>
      </c>
      <c r="F412" s="1" t="s">
        <v>382</v>
      </c>
      <c r="G412" s="1" t="s">
        <v>40</v>
      </c>
      <c r="H412" s="1" t="s">
        <v>41</v>
      </c>
      <c r="I412" s="1" t="s">
        <v>2809</v>
      </c>
      <c r="J412" s="1" t="s">
        <v>2716</v>
      </c>
      <c r="K412" s="1">
        <v>38231900</v>
      </c>
      <c r="L412" s="6">
        <v>19.84</v>
      </c>
      <c r="M412" s="1" t="s">
        <v>70</v>
      </c>
      <c r="N412" s="7" t="s">
        <v>67</v>
      </c>
      <c r="O412" s="1" t="s">
        <v>45</v>
      </c>
      <c r="P412" s="8">
        <v>2650.64</v>
      </c>
      <c r="Q412" s="17">
        <f t="shared" si="45"/>
        <v>52588.6976</v>
      </c>
      <c r="R412" s="9">
        <v>0</v>
      </c>
      <c r="S412" s="9">
        <v>0</v>
      </c>
      <c r="T412" s="9">
        <v>0</v>
      </c>
      <c r="U412" s="10">
        <v>0</v>
      </c>
      <c r="V412" s="1" t="s">
        <v>46</v>
      </c>
      <c r="W412" s="1" t="s">
        <v>47</v>
      </c>
      <c r="X412" s="1">
        <v>3016768</v>
      </c>
      <c r="Y412" s="11">
        <v>41789</v>
      </c>
      <c r="Z412" s="11">
        <v>41791</v>
      </c>
      <c r="AA412" s="9">
        <f t="shared" si="46"/>
        <v>52588.6976</v>
      </c>
      <c r="AB412" s="12">
        <v>80.849999999999994</v>
      </c>
      <c r="AC412" s="9">
        <f t="shared" si="47"/>
        <v>4251796.20096</v>
      </c>
      <c r="AD412" s="9">
        <f t="shared" si="48"/>
        <v>4251796.20096</v>
      </c>
      <c r="AE412" s="1" t="s">
        <v>48</v>
      </c>
      <c r="AF412" s="1" t="s">
        <v>45</v>
      </c>
      <c r="AG412" s="4">
        <f t="shared" si="49"/>
        <v>52588.6976</v>
      </c>
      <c r="AH412" s="10">
        <v>52588.7</v>
      </c>
      <c r="AI412" s="9">
        <v>0</v>
      </c>
      <c r="AJ412" s="9">
        <v>0</v>
      </c>
      <c r="AK412" s="9">
        <v>0</v>
      </c>
      <c r="AL412" s="9">
        <f t="shared" si="50"/>
        <v>52588.7</v>
      </c>
      <c r="AM412" s="1"/>
      <c r="AN412" s="1"/>
      <c r="AO412" s="12" t="e">
        <f>AB412/#REF!</f>
        <v>#REF!</v>
      </c>
      <c r="AP412" s="1" t="s">
        <v>1759</v>
      </c>
      <c r="AQ412" s="11">
        <v>41835</v>
      </c>
      <c r="AR412" s="1" t="s">
        <v>1760</v>
      </c>
      <c r="AS412" s="11">
        <v>41836</v>
      </c>
      <c r="AT412" s="1" t="s">
        <v>49</v>
      </c>
      <c r="AU412" s="1" t="s">
        <v>4171</v>
      </c>
    </row>
    <row r="413" spans="1:47" ht="15" customHeight="1" x14ac:dyDescent="0.25">
      <c r="A413" s="1">
        <v>412</v>
      </c>
      <c r="B413" s="1" t="s">
        <v>1258</v>
      </c>
      <c r="C413" s="1" t="s">
        <v>38</v>
      </c>
      <c r="D413" s="1">
        <v>9103550250</v>
      </c>
      <c r="E413" s="5">
        <v>41795</v>
      </c>
      <c r="F413" s="1" t="s">
        <v>377</v>
      </c>
      <c r="G413" s="1" t="s">
        <v>40</v>
      </c>
      <c r="H413" s="1" t="s">
        <v>41</v>
      </c>
      <c r="I413" s="1" t="s">
        <v>2809</v>
      </c>
      <c r="J413" s="1" t="s">
        <v>264</v>
      </c>
      <c r="K413" s="1">
        <v>29161990</v>
      </c>
      <c r="L413" s="6">
        <v>32</v>
      </c>
      <c r="M413" s="1" t="s">
        <v>70</v>
      </c>
      <c r="N413" s="7" t="s">
        <v>44</v>
      </c>
      <c r="O413" s="1" t="s">
        <v>53</v>
      </c>
      <c r="P413" s="8">
        <v>3000</v>
      </c>
      <c r="Q413" s="17">
        <f t="shared" si="45"/>
        <v>96000</v>
      </c>
      <c r="R413" s="9">
        <v>420</v>
      </c>
      <c r="S413" s="9">
        <v>13.73</v>
      </c>
      <c r="T413" s="9">
        <v>0</v>
      </c>
      <c r="U413" s="10">
        <v>0</v>
      </c>
      <c r="V413" s="1" t="s">
        <v>46</v>
      </c>
      <c r="W413" s="1" t="s">
        <v>54</v>
      </c>
      <c r="X413" s="1">
        <v>3005612</v>
      </c>
      <c r="Y413" s="11">
        <v>41788</v>
      </c>
      <c r="Z413" s="11">
        <v>41789</v>
      </c>
      <c r="AA413" s="9">
        <f t="shared" si="46"/>
        <v>95566.27</v>
      </c>
      <c r="AB413" s="12">
        <v>59.1</v>
      </c>
      <c r="AC413" s="9">
        <f t="shared" si="47"/>
        <v>5673600</v>
      </c>
      <c r="AD413" s="9">
        <f t="shared" si="48"/>
        <v>5647966.557</v>
      </c>
      <c r="AE413" s="1" t="s">
        <v>48</v>
      </c>
      <c r="AF413" s="1" t="s">
        <v>53</v>
      </c>
      <c r="AG413" s="4">
        <f t="shared" si="49"/>
        <v>96000</v>
      </c>
      <c r="AH413" s="10">
        <v>95804</v>
      </c>
      <c r="AI413" s="10">
        <v>381</v>
      </c>
      <c r="AJ413" s="10">
        <v>13.73</v>
      </c>
      <c r="AK413" s="10">
        <v>0</v>
      </c>
      <c r="AL413" s="9">
        <f t="shared" si="50"/>
        <v>95409.27</v>
      </c>
      <c r="AM413" s="1"/>
      <c r="AN413" s="1"/>
      <c r="AO413" s="12" t="e">
        <f>AB413/#REF!</f>
        <v>#REF!</v>
      </c>
      <c r="AP413" s="1" t="s">
        <v>1761</v>
      </c>
      <c r="AQ413" s="11">
        <v>41820</v>
      </c>
      <c r="AR413" s="1" t="s">
        <v>1762</v>
      </c>
      <c r="AS413" s="11">
        <v>41822</v>
      </c>
      <c r="AT413" s="1" t="s">
        <v>49</v>
      </c>
      <c r="AU413" s="1" t="s">
        <v>4171</v>
      </c>
    </row>
    <row r="414" spans="1:47" ht="15" customHeight="1" x14ac:dyDescent="0.25">
      <c r="A414" s="1">
        <v>413</v>
      </c>
      <c r="B414" s="1" t="s">
        <v>1258</v>
      </c>
      <c r="C414" s="1" t="s">
        <v>38</v>
      </c>
      <c r="D414" s="1">
        <v>9103550251</v>
      </c>
      <c r="E414" s="5">
        <v>41795</v>
      </c>
      <c r="F414" s="1" t="s">
        <v>1763</v>
      </c>
      <c r="G414" s="1" t="s">
        <v>40</v>
      </c>
      <c r="H414" s="1" t="s">
        <v>41</v>
      </c>
      <c r="I414" s="1" t="s">
        <v>2809</v>
      </c>
      <c r="J414" s="1" t="s">
        <v>63</v>
      </c>
      <c r="K414" s="1">
        <v>38231200</v>
      </c>
      <c r="L414" s="6">
        <v>19.68</v>
      </c>
      <c r="M414" s="1" t="s">
        <v>70</v>
      </c>
      <c r="N414" s="7" t="s">
        <v>44</v>
      </c>
      <c r="O414" s="1" t="s">
        <v>53</v>
      </c>
      <c r="P414" s="8">
        <v>1330</v>
      </c>
      <c r="Q414" s="17">
        <f t="shared" si="45"/>
        <v>26174.399999999998</v>
      </c>
      <c r="R414" s="9">
        <v>560</v>
      </c>
      <c r="S414" s="9">
        <v>3.74</v>
      </c>
      <c r="T414" s="9">
        <v>0</v>
      </c>
      <c r="U414" s="10">
        <v>0</v>
      </c>
      <c r="V414" s="1" t="s">
        <v>46</v>
      </c>
      <c r="W414" s="1" t="s">
        <v>64</v>
      </c>
      <c r="X414" s="1">
        <v>3026850</v>
      </c>
      <c r="Y414" s="11">
        <v>41789</v>
      </c>
      <c r="Z414" s="11">
        <v>41790</v>
      </c>
      <c r="AA414" s="9">
        <f t="shared" si="46"/>
        <v>25610.659999999996</v>
      </c>
      <c r="AB414" s="12">
        <v>59.1</v>
      </c>
      <c r="AC414" s="9">
        <f t="shared" si="47"/>
        <v>1546907.0399999998</v>
      </c>
      <c r="AD414" s="9">
        <f t="shared" si="48"/>
        <v>1513590.0059999998</v>
      </c>
      <c r="AE414" s="1" t="s">
        <v>51</v>
      </c>
      <c r="AF414" s="1" t="s">
        <v>53</v>
      </c>
      <c r="AG414" s="4">
        <f t="shared" si="49"/>
        <v>26174.399999999998</v>
      </c>
      <c r="AH414" s="10">
        <v>26174</v>
      </c>
      <c r="AI414" s="10">
        <v>560</v>
      </c>
      <c r="AJ414" s="10">
        <v>3.74</v>
      </c>
      <c r="AK414" s="10">
        <v>0</v>
      </c>
      <c r="AL414" s="9">
        <f t="shared" si="50"/>
        <v>25610.26</v>
      </c>
      <c r="AM414" s="1"/>
      <c r="AN414" s="1"/>
      <c r="AO414" s="12" t="e">
        <f>AB414/#REF!</f>
        <v>#REF!</v>
      </c>
      <c r="AP414" s="1" t="s">
        <v>1764</v>
      </c>
      <c r="AQ414" s="11">
        <v>41828</v>
      </c>
      <c r="AR414" s="1" t="s">
        <v>1765</v>
      </c>
      <c r="AS414" s="11">
        <v>41864</v>
      </c>
      <c r="AT414" s="1" t="s">
        <v>49</v>
      </c>
      <c r="AU414" s="1" t="s">
        <v>4171</v>
      </c>
    </row>
    <row r="415" spans="1:47" ht="15" customHeight="1" x14ac:dyDescent="0.25">
      <c r="A415" s="1">
        <v>414</v>
      </c>
      <c r="B415" s="1" t="s">
        <v>1258</v>
      </c>
      <c r="C415" s="1" t="s">
        <v>38</v>
      </c>
      <c r="D415" s="1">
        <v>9103550252</v>
      </c>
      <c r="E415" s="5">
        <v>41795</v>
      </c>
      <c r="F415" s="1" t="s">
        <v>387</v>
      </c>
      <c r="G415" s="1" t="s">
        <v>40</v>
      </c>
      <c r="H415" s="1" t="s">
        <v>41</v>
      </c>
      <c r="I415" s="1" t="s">
        <v>2809</v>
      </c>
      <c r="J415" s="1" t="s">
        <v>63</v>
      </c>
      <c r="K415" s="1">
        <v>38231200</v>
      </c>
      <c r="L415" s="6">
        <v>58.98</v>
      </c>
      <c r="M415" s="1" t="s">
        <v>70</v>
      </c>
      <c r="N415" s="7" t="s">
        <v>52</v>
      </c>
      <c r="O415" s="1" t="s">
        <v>53</v>
      </c>
      <c r="P415" s="8">
        <v>1335</v>
      </c>
      <c r="Q415" s="17">
        <f t="shared" si="45"/>
        <v>78738.3</v>
      </c>
      <c r="R415" s="9">
        <v>1680</v>
      </c>
      <c r="S415" s="9">
        <v>0</v>
      </c>
      <c r="T415" s="9">
        <v>0</v>
      </c>
      <c r="U415" s="10">
        <v>0</v>
      </c>
      <c r="V415" s="1" t="s">
        <v>46</v>
      </c>
      <c r="W415" s="1" t="s">
        <v>64</v>
      </c>
      <c r="X415" s="1">
        <v>3028029</v>
      </c>
      <c r="Y415" s="11">
        <v>41789</v>
      </c>
      <c r="Z415" s="11">
        <v>41790</v>
      </c>
      <c r="AA415" s="9">
        <f t="shared" si="46"/>
        <v>77058.3</v>
      </c>
      <c r="AB415" s="12">
        <v>59.1</v>
      </c>
      <c r="AC415" s="9">
        <f t="shared" si="47"/>
        <v>4653433.53</v>
      </c>
      <c r="AD415" s="9">
        <f t="shared" si="48"/>
        <v>4554145.53</v>
      </c>
      <c r="AE415" s="1" t="s">
        <v>51</v>
      </c>
      <c r="AF415" s="1" t="s">
        <v>53</v>
      </c>
      <c r="AG415" s="4">
        <f t="shared" si="49"/>
        <v>78738.3</v>
      </c>
      <c r="AH415" s="10">
        <v>78709</v>
      </c>
      <c r="AI415" s="10">
        <v>1680</v>
      </c>
      <c r="AJ415" s="10">
        <v>0</v>
      </c>
      <c r="AK415" s="10">
        <v>0</v>
      </c>
      <c r="AL415" s="9">
        <f t="shared" si="50"/>
        <v>77029</v>
      </c>
      <c r="AM415" s="1"/>
      <c r="AN415" s="1"/>
      <c r="AO415" s="12" t="e">
        <f>AB415/#REF!</f>
        <v>#REF!</v>
      </c>
      <c r="AP415" s="1" t="s">
        <v>4180</v>
      </c>
      <c r="AQ415" s="11">
        <v>41828</v>
      </c>
      <c r="AR415" s="1" t="s">
        <v>4189</v>
      </c>
      <c r="AS415" s="11">
        <v>42332</v>
      </c>
      <c r="AT415" s="1" t="s">
        <v>49</v>
      </c>
      <c r="AU415" s="3" t="s">
        <v>4171</v>
      </c>
    </row>
    <row r="416" spans="1:47" ht="15" customHeight="1" x14ac:dyDescent="0.25">
      <c r="A416" s="1">
        <v>415</v>
      </c>
      <c r="B416" s="1" t="s">
        <v>1258</v>
      </c>
      <c r="C416" s="1" t="s">
        <v>38</v>
      </c>
      <c r="D416" s="1">
        <v>9103550253</v>
      </c>
      <c r="E416" s="5">
        <v>41795</v>
      </c>
      <c r="F416" s="1" t="s">
        <v>384</v>
      </c>
      <c r="G416" s="1" t="s">
        <v>40</v>
      </c>
      <c r="H416" s="1" t="s">
        <v>41</v>
      </c>
      <c r="I416" s="1" t="s">
        <v>2809</v>
      </c>
      <c r="J416" s="1" t="s">
        <v>63</v>
      </c>
      <c r="K416" s="1">
        <v>29161990</v>
      </c>
      <c r="L416" s="6">
        <v>39.11</v>
      </c>
      <c r="M416" s="1" t="s">
        <v>70</v>
      </c>
      <c r="N416" s="7" t="s">
        <v>44</v>
      </c>
      <c r="O416" s="1" t="s">
        <v>53</v>
      </c>
      <c r="P416" s="8">
        <v>2765</v>
      </c>
      <c r="Q416" s="17">
        <f t="shared" si="45"/>
        <v>108139.15</v>
      </c>
      <c r="R416" s="9">
        <v>1120</v>
      </c>
      <c r="S416" s="9">
        <v>15.46</v>
      </c>
      <c r="T416" s="9">
        <v>0</v>
      </c>
      <c r="U416" s="10">
        <v>0</v>
      </c>
      <c r="V416" s="1" t="s">
        <v>46</v>
      </c>
      <c r="W416" s="1" t="s">
        <v>64</v>
      </c>
      <c r="X416" s="1">
        <v>3028030</v>
      </c>
      <c r="Y416" s="11">
        <v>41789</v>
      </c>
      <c r="Z416" s="11">
        <v>41790</v>
      </c>
      <c r="AA416" s="9">
        <f t="shared" si="46"/>
        <v>107003.68999999999</v>
      </c>
      <c r="AB416" s="12">
        <v>59.1</v>
      </c>
      <c r="AC416" s="9">
        <f t="shared" si="47"/>
        <v>6391023.7649999997</v>
      </c>
      <c r="AD416" s="9">
        <f t="shared" si="48"/>
        <v>6323918.078999999</v>
      </c>
      <c r="AE416" s="1" t="s">
        <v>51</v>
      </c>
      <c r="AF416" s="1" t="s">
        <v>53</v>
      </c>
      <c r="AG416" s="4">
        <f t="shared" si="49"/>
        <v>108139.15</v>
      </c>
      <c r="AH416" s="10">
        <v>108098</v>
      </c>
      <c r="AI416" s="9">
        <v>1120</v>
      </c>
      <c r="AJ416" s="9">
        <v>15.46</v>
      </c>
      <c r="AK416" s="10">
        <v>0</v>
      </c>
      <c r="AL416" s="9">
        <f t="shared" si="50"/>
        <v>106962.54</v>
      </c>
      <c r="AM416" s="1"/>
      <c r="AN416" s="1"/>
      <c r="AO416" s="12" t="e">
        <f>AB416/#REF!</f>
        <v>#REF!</v>
      </c>
      <c r="AP416" s="1" t="s">
        <v>1766</v>
      </c>
      <c r="AQ416" s="11">
        <v>41814</v>
      </c>
      <c r="AR416" s="1" t="s">
        <v>1767</v>
      </c>
      <c r="AS416" s="11">
        <v>41845</v>
      </c>
      <c r="AT416" s="1" t="s">
        <v>49</v>
      </c>
      <c r="AU416" s="1" t="s">
        <v>4171</v>
      </c>
    </row>
    <row r="417" spans="1:47" ht="15" customHeight="1" x14ac:dyDescent="0.25">
      <c r="A417" s="1">
        <v>416</v>
      </c>
      <c r="B417" s="1" t="s">
        <v>1258</v>
      </c>
      <c r="C417" s="1" t="s">
        <v>38</v>
      </c>
      <c r="D417" s="1">
        <v>9103550254</v>
      </c>
      <c r="E417" s="5">
        <v>41790</v>
      </c>
      <c r="F417" s="1" t="s">
        <v>392</v>
      </c>
      <c r="G417" s="1" t="s">
        <v>40</v>
      </c>
      <c r="H417" s="1" t="s">
        <v>41</v>
      </c>
      <c r="I417" s="1" t="s">
        <v>2809</v>
      </c>
      <c r="J417" s="1" t="s">
        <v>2660</v>
      </c>
      <c r="K417" s="1">
        <v>29051700</v>
      </c>
      <c r="L417" s="6">
        <v>11</v>
      </c>
      <c r="M417" s="1" t="s">
        <v>70</v>
      </c>
      <c r="N417" s="7" t="s">
        <v>52</v>
      </c>
      <c r="O417" s="1" t="s">
        <v>53</v>
      </c>
      <c r="P417" s="8">
        <v>1750</v>
      </c>
      <c r="Q417" s="17">
        <f t="shared" si="45"/>
        <v>19250</v>
      </c>
      <c r="R417" s="9">
        <v>185</v>
      </c>
      <c r="S417" s="9">
        <v>0</v>
      </c>
      <c r="T417" s="9">
        <v>0</v>
      </c>
      <c r="U417" s="10">
        <v>0</v>
      </c>
      <c r="V417" s="1" t="s">
        <v>46</v>
      </c>
      <c r="W417" s="1" t="s">
        <v>75</v>
      </c>
      <c r="X417" s="1">
        <v>3049034</v>
      </c>
      <c r="Y417" s="11">
        <v>41790</v>
      </c>
      <c r="Z417" s="11">
        <v>41792</v>
      </c>
      <c r="AA417" s="9">
        <f t="shared" si="46"/>
        <v>19065</v>
      </c>
      <c r="AB417" s="12">
        <v>59.1</v>
      </c>
      <c r="AC417" s="9">
        <f t="shared" si="47"/>
        <v>1137675</v>
      </c>
      <c r="AD417" s="9">
        <f t="shared" si="48"/>
        <v>1126741.5</v>
      </c>
      <c r="AE417" s="1" t="s">
        <v>48</v>
      </c>
      <c r="AF417" s="1" t="s">
        <v>53</v>
      </c>
      <c r="AG417" s="4">
        <f t="shared" si="49"/>
        <v>19250</v>
      </c>
      <c r="AH417" s="10">
        <v>19250</v>
      </c>
      <c r="AI417" s="10">
        <v>100.7</v>
      </c>
      <c r="AJ417" s="10">
        <v>0</v>
      </c>
      <c r="AK417" s="10">
        <v>0</v>
      </c>
      <c r="AL417" s="9">
        <f t="shared" si="50"/>
        <v>19149.3</v>
      </c>
      <c r="AM417" s="1"/>
      <c r="AN417" s="1"/>
      <c r="AO417" s="12" t="e">
        <f>AB417/#REF!</f>
        <v>#REF!</v>
      </c>
      <c r="AP417" s="1" t="s">
        <v>1768</v>
      </c>
      <c r="AQ417" s="11">
        <v>41827</v>
      </c>
      <c r="AR417" s="1" t="s">
        <v>1769</v>
      </c>
      <c r="AS417" s="11">
        <v>41828</v>
      </c>
      <c r="AT417" s="1" t="s">
        <v>49</v>
      </c>
      <c r="AU417" s="1" t="s">
        <v>4171</v>
      </c>
    </row>
    <row r="418" spans="1:47" ht="15" customHeight="1" x14ac:dyDescent="0.25">
      <c r="A418" s="1">
        <v>417</v>
      </c>
      <c r="B418" s="1" t="s">
        <v>1258</v>
      </c>
      <c r="C418" s="1" t="s">
        <v>38</v>
      </c>
      <c r="D418" s="1">
        <v>9103550254</v>
      </c>
      <c r="E418" s="5">
        <v>41790</v>
      </c>
      <c r="F418" s="1" t="s">
        <v>392</v>
      </c>
      <c r="G418" s="1" t="s">
        <v>40</v>
      </c>
      <c r="H418" s="1" t="s">
        <v>41</v>
      </c>
      <c r="I418" s="1" t="s">
        <v>2809</v>
      </c>
      <c r="J418" s="1" t="s">
        <v>2660</v>
      </c>
      <c r="K418" s="1">
        <v>38237090</v>
      </c>
      <c r="L418" s="6">
        <v>11</v>
      </c>
      <c r="M418" s="1" t="s">
        <v>70</v>
      </c>
      <c r="N418" s="7" t="s">
        <v>52</v>
      </c>
      <c r="O418" s="1" t="s">
        <v>53</v>
      </c>
      <c r="P418" s="8">
        <v>3985</v>
      </c>
      <c r="Q418" s="17">
        <f t="shared" si="45"/>
        <v>43835</v>
      </c>
      <c r="R418" s="9">
        <v>185</v>
      </c>
      <c r="S418" s="9">
        <v>0</v>
      </c>
      <c r="T418" s="9">
        <v>0</v>
      </c>
      <c r="U418" s="10">
        <v>0</v>
      </c>
      <c r="V418" s="1" t="s">
        <v>46</v>
      </c>
      <c r="W418" s="1" t="s">
        <v>75</v>
      </c>
      <c r="X418" s="1">
        <v>3049034</v>
      </c>
      <c r="Y418" s="11">
        <v>41790</v>
      </c>
      <c r="Z418" s="11">
        <v>41792</v>
      </c>
      <c r="AA418" s="9">
        <f t="shared" si="46"/>
        <v>43650</v>
      </c>
      <c r="AB418" s="12">
        <v>59.1</v>
      </c>
      <c r="AC418" s="9">
        <f t="shared" si="47"/>
        <v>2590648.5</v>
      </c>
      <c r="AD418" s="9">
        <f t="shared" si="48"/>
        <v>2579715</v>
      </c>
      <c r="AE418" s="1" t="s">
        <v>48</v>
      </c>
      <c r="AF418" s="1" t="s">
        <v>53</v>
      </c>
      <c r="AG418" s="4">
        <f t="shared" si="49"/>
        <v>43835</v>
      </c>
      <c r="AH418" s="10">
        <v>43835</v>
      </c>
      <c r="AI418" s="10">
        <v>229.3</v>
      </c>
      <c r="AJ418" s="10">
        <v>0</v>
      </c>
      <c r="AK418" s="10">
        <v>0</v>
      </c>
      <c r="AL418" s="9">
        <f t="shared" si="50"/>
        <v>43605.7</v>
      </c>
      <c r="AM418" s="1"/>
      <c r="AN418" s="1"/>
      <c r="AO418" s="12" t="e">
        <f>AB418/#REF!</f>
        <v>#REF!</v>
      </c>
      <c r="AP418" s="1" t="s">
        <v>1768</v>
      </c>
      <c r="AQ418" s="11">
        <v>41827</v>
      </c>
      <c r="AR418" s="1" t="s">
        <v>1769</v>
      </c>
      <c r="AS418" s="11">
        <v>41828</v>
      </c>
      <c r="AT418" s="1" t="s">
        <v>49</v>
      </c>
      <c r="AU418" s="1" t="s">
        <v>4171</v>
      </c>
    </row>
    <row r="419" spans="1:47" ht="15" customHeight="1" x14ac:dyDescent="0.25">
      <c r="A419" s="1">
        <v>418</v>
      </c>
      <c r="B419" s="1" t="s">
        <v>1258</v>
      </c>
      <c r="C419" s="1" t="s">
        <v>38</v>
      </c>
      <c r="D419" s="1">
        <v>9103550255</v>
      </c>
      <c r="E419" s="5">
        <v>41794</v>
      </c>
      <c r="F419" s="1" t="s">
        <v>383</v>
      </c>
      <c r="G419" s="1" t="s">
        <v>40</v>
      </c>
      <c r="H419" s="1" t="s">
        <v>41</v>
      </c>
      <c r="I419" s="1" t="s">
        <v>2809</v>
      </c>
      <c r="J419" s="45" t="s">
        <v>2631</v>
      </c>
      <c r="K419" s="1">
        <v>38237090</v>
      </c>
      <c r="L419" s="6">
        <v>23.4</v>
      </c>
      <c r="M419" s="1" t="s">
        <v>70</v>
      </c>
      <c r="N419" s="7" t="s">
        <v>44</v>
      </c>
      <c r="O419" s="1" t="s">
        <v>53</v>
      </c>
      <c r="P419" s="8">
        <v>3530</v>
      </c>
      <c r="Q419" s="17">
        <f t="shared" si="45"/>
        <v>82602</v>
      </c>
      <c r="R419" s="9">
        <v>100</v>
      </c>
      <c r="S419" s="9">
        <v>11.81</v>
      </c>
      <c r="T419" s="9">
        <v>702</v>
      </c>
      <c r="U419" s="10">
        <v>0</v>
      </c>
      <c r="V419" s="1" t="s">
        <v>46</v>
      </c>
      <c r="W419" s="1" t="s">
        <v>64</v>
      </c>
      <c r="X419" s="1">
        <v>3045791</v>
      </c>
      <c r="Y419" s="11">
        <v>41790</v>
      </c>
      <c r="Z419" s="11">
        <v>41792</v>
      </c>
      <c r="AA419" s="9">
        <f t="shared" si="46"/>
        <v>82490.19</v>
      </c>
      <c r="AB419" s="12">
        <v>59.1</v>
      </c>
      <c r="AC419" s="9">
        <f t="shared" si="47"/>
        <v>4881778.2</v>
      </c>
      <c r="AD419" s="9">
        <f t="shared" si="48"/>
        <v>4875170.2290000003</v>
      </c>
      <c r="AE419" s="1" t="s">
        <v>48</v>
      </c>
      <c r="AF419" s="1" t="s">
        <v>53</v>
      </c>
      <c r="AG419" s="4">
        <f t="shared" si="49"/>
        <v>82602</v>
      </c>
      <c r="AH419" s="10">
        <v>82562.5</v>
      </c>
      <c r="AI419" s="10">
        <v>75</v>
      </c>
      <c r="AJ419" s="10">
        <v>11.81</v>
      </c>
      <c r="AK419" s="10">
        <v>702</v>
      </c>
      <c r="AL419" s="9">
        <f t="shared" si="50"/>
        <v>81773.69</v>
      </c>
      <c r="AM419" s="1"/>
      <c r="AN419" s="1"/>
      <c r="AO419" s="12" t="e">
        <f>AB419/#REF!</f>
        <v>#REF!</v>
      </c>
      <c r="AP419" s="1" t="s">
        <v>1770</v>
      </c>
      <c r="AQ419" s="11">
        <v>41856</v>
      </c>
      <c r="AR419" s="1" t="s">
        <v>1771</v>
      </c>
      <c r="AS419" s="11">
        <v>41857</v>
      </c>
      <c r="AT419" s="1" t="s">
        <v>49</v>
      </c>
      <c r="AU419" s="1" t="s">
        <v>4171</v>
      </c>
    </row>
    <row r="420" spans="1:47" ht="15" customHeight="1" x14ac:dyDescent="0.25">
      <c r="A420" s="1">
        <v>419</v>
      </c>
      <c r="B420" s="1" t="s">
        <v>1258</v>
      </c>
      <c r="C420" s="1" t="s">
        <v>38</v>
      </c>
      <c r="D420" s="1">
        <v>9103550256</v>
      </c>
      <c r="E420" s="5">
        <v>41797</v>
      </c>
      <c r="F420" s="1" t="s">
        <v>391</v>
      </c>
      <c r="G420" s="1" t="s">
        <v>40</v>
      </c>
      <c r="H420" s="1" t="s">
        <v>41</v>
      </c>
      <c r="I420" s="1" t="s">
        <v>2809</v>
      </c>
      <c r="J420" s="1" t="s">
        <v>55</v>
      </c>
      <c r="K420" s="1">
        <v>38237090</v>
      </c>
      <c r="L420" s="6">
        <v>36.29</v>
      </c>
      <c r="M420" s="1" t="s">
        <v>70</v>
      </c>
      <c r="N420" s="7" t="s">
        <v>44</v>
      </c>
      <c r="O420" s="1" t="s">
        <v>53</v>
      </c>
      <c r="P420" s="8">
        <v>1675</v>
      </c>
      <c r="Q420" s="17">
        <f t="shared" si="45"/>
        <v>60785.75</v>
      </c>
      <c r="R420" s="9">
        <v>4912</v>
      </c>
      <c r="S420" s="9">
        <v>8.69</v>
      </c>
      <c r="T420" s="9">
        <v>0</v>
      </c>
      <c r="U420" s="10">
        <v>0</v>
      </c>
      <c r="V420" s="1" t="s">
        <v>46</v>
      </c>
      <c r="W420" s="1" t="s">
        <v>56</v>
      </c>
      <c r="X420" s="1">
        <v>3071471</v>
      </c>
      <c r="Y420" s="11">
        <v>41792</v>
      </c>
      <c r="Z420" s="11">
        <v>41793</v>
      </c>
      <c r="AA420" s="9">
        <f t="shared" si="46"/>
        <v>55865.06</v>
      </c>
      <c r="AB420" s="12">
        <v>59.1</v>
      </c>
      <c r="AC420" s="9">
        <f t="shared" si="47"/>
        <v>3592437.8250000002</v>
      </c>
      <c r="AD420" s="9">
        <f t="shared" si="48"/>
        <v>3301625.0460000001</v>
      </c>
      <c r="AE420" s="1" t="s">
        <v>51</v>
      </c>
      <c r="AF420" s="1" t="s">
        <v>53</v>
      </c>
      <c r="AG420" s="4">
        <f t="shared" si="49"/>
        <v>60785.75</v>
      </c>
      <c r="AH420" s="10">
        <v>60786</v>
      </c>
      <c r="AI420" s="10">
        <v>4912</v>
      </c>
      <c r="AJ420" s="10">
        <v>8.69</v>
      </c>
      <c r="AK420" s="10">
        <v>0</v>
      </c>
      <c r="AL420" s="9">
        <f t="shared" si="50"/>
        <v>55865.31</v>
      </c>
      <c r="AM420" s="1"/>
      <c r="AN420" s="1"/>
      <c r="AO420" s="12" t="e">
        <f>AB420/#REF!</f>
        <v>#REF!</v>
      </c>
      <c r="AP420" s="1" t="s">
        <v>1772</v>
      </c>
      <c r="AQ420" s="11">
        <v>41822</v>
      </c>
      <c r="AR420" s="1" t="s">
        <v>1773</v>
      </c>
      <c r="AS420" s="11">
        <v>41864</v>
      </c>
      <c r="AT420" s="1" t="s">
        <v>49</v>
      </c>
      <c r="AU420" s="1" t="s">
        <v>4171</v>
      </c>
    </row>
    <row r="421" spans="1:47" ht="15" customHeight="1" x14ac:dyDescent="0.25">
      <c r="A421" s="1">
        <v>420</v>
      </c>
      <c r="B421" s="1" t="s">
        <v>1258</v>
      </c>
      <c r="C421" s="1" t="s">
        <v>38</v>
      </c>
      <c r="D421" s="1">
        <v>9103550257</v>
      </c>
      <c r="E421" s="5">
        <v>41795</v>
      </c>
      <c r="F421" s="1" t="s">
        <v>388</v>
      </c>
      <c r="G421" s="1" t="s">
        <v>40</v>
      </c>
      <c r="H421" s="1" t="s">
        <v>41</v>
      </c>
      <c r="I421" s="1" t="s">
        <v>2809</v>
      </c>
      <c r="J421" s="1" t="s">
        <v>55</v>
      </c>
      <c r="K421" s="1">
        <v>38237090</v>
      </c>
      <c r="L421" s="6">
        <v>18.11</v>
      </c>
      <c r="M421" s="1" t="s">
        <v>70</v>
      </c>
      <c r="N421" s="7" t="s">
        <v>44</v>
      </c>
      <c r="O421" s="1" t="s">
        <v>53</v>
      </c>
      <c r="P421" s="8">
        <v>1679</v>
      </c>
      <c r="Q421" s="17">
        <f t="shared" si="45"/>
        <v>30406.69</v>
      </c>
      <c r="R421" s="9">
        <v>5050</v>
      </c>
      <c r="S421" s="9">
        <v>4.3499999999999996</v>
      </c>
      <c r="T421" s="9">
        <v>0</v>
      </c>
      <c r="U421" s="10">
        <v>0</v>
      </c>
      <c r="V421" s="1" t="s">
        <v>46</v>
      </c>
      <c r="W421" s="1" t="s">
        <v>56</v>
      </c>
      <c r="X421" s="1">
        <v>3071461</v>
      </c>
      <c r="Y421" s="11">
        <v>41792</v>
      </c>
      <c r="Z421" s="11">
        <v>41793</v>
      </c>
      <c r="AA421" s="9">
        <f t="shared" si="46"/>
        <v>25352.34</v>
      </c>
      <c r="AB421" s="12">
        <v>59.1</v>
      </c>
      <c r="AC421" s="9">
        <f t="shared" si="47"/>
        <v>1797035.379</v>
      </c>
      <c r="AD421" s="9">
        <f t="shared" si="48"/>
        <v>1498323.294</v>
      </c>
      <c r="AE421" s="1" t="s">
        <v>51</v>
      </c>
      <c r="AF421" s="1" t="s">
        <v>53</v>
      </c>
      <c r="AG421" s="4">
        <f t="shared" si="49"/>
        <v>30406.69</v>
      </c>
      <c r="AH421" s="10">
        <v>30406</v>
      </c>
      <c r="AI421" s="10">
        <v>4700</v>
      </c>
      <c r="AJ421" s="10">
        <v>4.3499999999999996</v>
      </c>
      <c r="AK421" s="10">
        <v>0</v>
      </c>
      <c r="AL421" s="9">
        <f t="shared" si="50"/>
        <v>25701.65</v>
      </c>
      <c r="AM421" s="1"/>
      <c r="AN421" s="1"/>
      <c r="AO421" s="12" t="e">
        <f>AB421/#REF!</f>
        <v>#REF!</v>
      </c>
      <c r="AP421" s="1" t="s">
        <v>1774</v>
      </c>
      <c r="AQ421" s="11">
        <v>41822</v>
      </c>
      <c r="AR421" s="1" t="s">
        <v>1775</v>
      </c>
      <c r="AS421" s="11">
        <v>41832</v>
      </c>
      <c r="AT421" s="1" t="s">
        <v>49</v>
      </c>
      <c r="AU421" s="1" t="s">
        <v>4171</v>
      </c>
    </row>
    <row r="422" spans="1:47" ht="15" customHeight="1" x14ac:dyDescent="0.25">
      <c r="A422" s="1">
        <v>421</v>
      </c>
      <c r="B422" s="1" t="s">
        <v>1258</v>
      </c>
      <c r="C422" s="1" t="s">
        <v>38</v>
      </c>
      <c r="D422" s="1">
        <v>9103550258</v>
      </c>
      <c r="E422" s="5">
        <v>41797</v>
      </c>
      <c r="F422" s="1" t="s">
        <v>393</v>
      </c>
      <c r="G422" s="1" t="s">
        <v>40</v>
      </c>
      <c r="H422" s="1" t="s">
        <v>41</v>
      </c>
      <c r="I422" s="1" t="s">
        <v>2809</v>
      </c>
      <c r="J422" s="1" t="s">
        <v>55</v>
      </c>
      <c r="K422" s="1">
        <v>38237090</v>
      </c>
      <c r="L422" s="6">
        <v>18.14</v>
      </c>
      <c r="M422" s="1" t="s">
        <v>70</v>
      </c>
      <c r="N422" s="7" t="s">
        <v>44</v>
      </c>
      <c r="O422" s="1" t="s">
        <v>53</v>
      </c>
      <c r="P422" s="8">
        <v>1675</v>
      </c>
      <c r="Q422" s="17">
        <f t="shared" si="45"/>
        <v>30384.5</v>
      </c>
      <c r="R422" s="9">
        <v>3175</v>
      </c>
      <c r="S422" s="9">
        <v>4.34</v>
      </c>
      <c r="T422" s="9">
        <v>0</v>
      </c>
      <c r="U422" s="10">
        <v>0</v>
      </c>
      <c r="V422" s="1" t="s">
        <v>46</v>
      </c>
      <c r="W422" s="1" t="s">
        <v>56</v>
      </c>
      <c r="X422" s="1">
        <v>3071466</v>
      </c>
      <c r="Y422" s="11">
        <v>41792</v>
      </c>
      <c r="Z422" s="11">
        <v>41793</v>
      </c>
      <c r="AA422" s="9">
        <f t="shared" si="46"/>
        <v>27205.16</v>
      </c>
      <c r="AB422" s="12">
        <v>59.1</v>
      </c>
      <c r="AC422" s="9">
        <f t="shared" si="47"/>
        <v>1795723.95</v>
      </c>
      <c r="AD422" s="9">
        <f t="shared" si="48"/>
        <v>1607824.956</v>
      </c>
      <c r="AE422" s="1" t="s">
        <v>51</v>
      </c>
      <c r="AF422" s="1" t="s">
        <v>53</v>
      </c>
      <c r="AG422" s="4">
        <f t="shared" si="49"/>
        <v>30384.5</v>
      </c>
      <c r="AH422" s="10">
        <v>30384</v>
      </c>
      <c r="AI422" s="10">
        <v>3175</v>
      </c>
      <c r="AJ422" s="10">
        <v>4.34</v>
      </c>
      <c r="AK422" s="10">
        <v>0</v>
      </c>
      <c r="AL422" s="9">
        <f t="shared" si="50"/>
        <v>27204.66</v>
      </c>
      <c r="AM422" s="1"/>
      <c r="AN422" s="1"/>
      <c r="AO422" s="12" t="e">
        <f>AB422/#REF!</f>
        <v>#REF!</v>
      </c>
      <c r="AP422" s="1" t="s">
        <v>1776</v>
      </c>
      <c r="AQ422" s="11">
        <v>41822</v>
      </c>
      <c r="AR422" s="1" t="s">
        <v>1777</v>
      </c>
      <c r="AS422" s="11">
        <v>41832</v>
      </c>
      <c r="AT422" s="1" t="s">
        <v>49</v>
      </c>
      <c r="AU422" s="1" t="s">
        <v>4171</v>
      </c>
    </row>
    <row r="423" spans="1:47" ht="15" customHeight="1" x14ac:dyDescent="0.25">
      <c r="A423" s="1">
        <v>422</v>
      </c>
      <c r="B423" s="1" t="s">
        <v>1258</v>
      </c>
      <c r="C423" s="1" t="s">
        <v>38</v>
      </c>
      <c r="D423" s="1">
        <v>9103550259</v>
      </c>
      <c r="E423" s="5">
        <v>41800</v>
      </c>
      <c r="F423" s="1" t="s">
        <v>390</v>
      </c>
      <c r="G423" s="1" t="s">
        <v>40</v>
      </c>
      <c r="H423" s="1" t="s">
        <v>41</v>
      </c>
      <c r="I423" s="1" t="s">
        <v>2809</v>
      </c>
      <c r="J423" s="1" t="s">
        <v>349</v>
      </c>
      <c r="K423" s="1">
        <v>29051700</v>
      </c>
      <c r="L423" s="6">
        <v>12</v>
      </c>
      <c r="M423" s="1" t="s">
        <v>70</v>
      </c>
      <c r="N423" s="7" t="s">
        <v>44</v>
      </c>
      <c r="O423" s="1" t="s">
        <v>53</v>
      </c>
      <c r="P423" s="8">
        <v>1980</v>
      </c>
      <c r="Q423" s="17">
        <f t="shared" si="45"/>
        <v>23760</v>
      </c>
      <c r="R423" s="9">
        <v>1200</v>
      </c>
      <c r="S423" s="9">
        <v>3.4</v>
      </c>
      <c r="T423" s="9">
        <v>0</v>
      </c>
      <c r="U423" s="10">
        <v>0</v>
      </c>
      <c r="V423" s="1" t="s">
        <v>46</v>
      </c>
      <c r="W423" s="1" t="s">
        <v>294</v>
      </c>
      <c r="X423" s="1">
        <v>3109364</v>
      </c>
      <c r="Y423" s="11">
        <v>41794</v>
      </c>
      <c r="Z423" s="11">
        <v>41795</v>
      </c>
      <c r="AA423" s="9">
        <f t="shared" si="46"/>
        <v>22556.6</v>
      </c>
      <c r="AB423" s="12">
        <v>59.1</v>
      </c>
      <c r="AC423" s="9">
        <f t="shared" si="47"/>
        <v>1404216</v>
      </c>
      <c r="AD423" s="9">
        <f t="shared" si="48"/>
        <v>1333095.06</v>
      </c>
      <c r="AE423" s="1" t="s">
        <v>48</v>
      </c>
      <c r="AF423" s="1" t="s">
        <v>53</v>
      </c>
      <c r="AG423" s="4">
        <f t="shared" si="49"/>
        <v>23760</v>
      </c>
      <c r="AH423" s="10">
        <v>23739</v>
      </c>
      <c r="AI423" s="10">
        <v>1165</v>
      </c>
      <c r="AJ423" s="10">
        <v>3.4</v>
      </c>
      <c r="AK423" s="10">
        <v>0</v>
      </c>
      <c r="AL423" s="9">
        <f t="shared" si="50"/>
        <v>22570.6</v>
      </c>
      <c r="AM423" s="1"/>
      <c r="AN423" s="1"/>
      <c r="AO423" s="12" t="e">
        <f>AB423/#REF!</f>
        <v>#REF!</v>
      </c>
      <c r="AP423" s="1" t="s">
        <v>1778</v>
      </c>
      <c r="AQ423" s="11">
        <v>41863</v>
      </c>
      <c r="AR423" s="1" t="s">
        <v>1779</v>
      </c>
      <c r="AS423" s="11">
        <v>41864</v>
      </c>
      <c r="AT423" s="1" t="s">
        <v>49</v>
      </c>
      <c r="AU423" s="1" t="s">
        <v>4171</v>
      </c>
    </row>
    <row r="424" spans="1:47" ht="15" customHeight="1" x14ac:dyDescent="0.25">
      <c r="A424" s="1">
        <v>423</v>
      </c>
      <c r="B424" s="1" t="s">
        <v>1258</v>
      </c>
      <c r="C424" s="1" t="s">
        <v>38</v>
      </c>
      <c r="D424" s="1">
        <v>9103550260</v>
      </c>
      <c r="E424" s="5">
        <v>41800</v>
      </c>
      <c r="F424" s="1" t="s">
        <v>395</v>
      </c>
      <c r="G424" s="1" t="s">
        <v>40</v>
      </c>
      <c r="H424" s="1" t="s">
        <v>41</v>
      </c>
      <c r="I424" s="1" t="s">
        <v>2809</v>
      </c>
      <c r="J424" s="1" t="s">
        <v>2641</v>
      </c>
      <c r="K424" s="1">
        <v>38237090</v>
      </c>
      <c r="L424" s="6">
        <v>60</v>
      </c>
      <c r="M424" s="1" t="s">
        <v>70</v>
      </c>
      <c r="N424" s="7" t="s">
        <v>44</v>
      </c>
      <c r="O424" s="1" t="s">
        <v>53</v>
      </c>
      <c r="P424" s="8">
        <v>4150</v>
      </c>
      <c r="Q424" s="17">
        <f t="shared" si="45"/>
        <v>249000</v>
      </c>
      <c r="R424" s="9">
        <v>1000</v>
      </c>
      <c r="S424" s="9">
        <v>35.61</v>
      </c>
      <c r="T424" s="9">
        <v>0</v>
      </c>
      <c r="U424" s="10">
        <v>0</v>
      </c>
      <c r="V424" s="1" t="s">
        <v>46</v>
      </c>
      <c r="W424" s="1" t="s">
        <v>54</v>
      </c>
      <c r="X424" s="1">
        <v>3117569</v>
      </c>
      <c r="Y424" s="11">
        <v>41794</v>
      </c>
      <c r="Z424" s="11">
        <v>41796</v>
      </c>
      <c r="AA424" s="9">
        <f t="shared" si="46"/>
        <v>247964.39</v>
      </c>
      <c r="AB424" s="12">
        <v>59.1</v>
      </c>
      <c r="AC424" s="9">
        <f t="shared" si="47"/>
        <v>14715900</v>
      </c>
      <c r="AD424" s="9">
        <f t="shared" si="48"/>
        <v>14654695.449000001</v>
      </c>
      <c r="AE424" s="1" t="s">
        <v>48</v>
      </c>
      <c r="AF424" s="1" t="s">
        <v>53</v>
      </c>
      <c r="AG424" s="4">
        <f t="shared" si="49"/>
        <v>249000</v>
      </c>
      <c r="AH424" s="10">
        <v>249000</v>
      </c>
      <c r="AI424" s="10">
        <v>625</v>
      </c>
      <c r="AJ424" s="10">
        <v>35.61</v>
      </c>
      <c r="AK424" s="10">
        <v>0</v>
      </c>
      <c r="AL424" s="9">
        <f t="shared" si="50"/>
        <v>248339.39</v>
      </c>
      <c r="AM424" s="1"/>
      <c r="AN424" s="1"/>
      <c r="AO424" s="12" t="e">
        <f>AB424/#REF!</f>
        <v>#REF!</v>
      </c>
      <c r="AP424" s="1" t="s">
        <v>1780</v>
      </c>
      <c r="AQ424" s="11">
        <v>41892</v>
      </c>
      <c r="AR424" s="1" t="s">
        <v>1781</v>
      </c>
      <c r="AS424" s="11">
        <v>41894</v>
      </c>
      <c r="AT424" s="1" t="s">
        <v>49</v>
      </c>
      <c r="AU424" s="1" t="s">
        <v>4171</v>
      </c>
    </row>
    <row r="425" spans="1:47" ht="15" customHeight="1" x14ac:dyDescent="0.25">
      <c r="A425" s="1">
        <v>424</v>
      </c>
      <c r="B425" s="1" t="s">
        <v>1258</v>
      </c>
      <c r="C425" s="1" t="s">
        <v>38</v>
      </c>
      <c r="D425" s="1">
        <v>9103550260</v>
      </c>
      <c r="E425" s="5">
        <v>41800</v>
      </c>
      <c r="F425" s="1" t="s">
        <v>389</v>
      </c>
      <c r="G425" s="1" t="s">
        <v>40</v>
      </c>
      <c r="H425" s="1" t="s">
        <v>41</v>
      </c>
      <c r="I425" s="1" t="s">
        <v>2809</v>
      </c>
      <c r="J425" s="1" t="s">
        <v>2641</v>
      </c>
      <c r="K425" s="1">
        <v>38237090</v>
      </c>
      <c r="L425" s="6">
        <v>12</v>
      </c>
      <c r="M425" s="1" t="s">
        <v>70</v>
      </c>
      <c r="N425" s="7" t="s">
        <v>44</v>
      </c>
      <c r="O425" s="1" t="s">
        <v>53</v>
      </c>
      <c r="P425" s="8">
        <v>4150</v>
      </c>
      <c r="Q425" s="17">
        <f t="shared" si="45"/>
        <v>49800</v>
      </c>
      <c r="R425" s="9">
        <v>200</v>
      </c>
      <c r="S425" s="9">
        <v>7.12</v>
      </c>
      <c r="T425" s="9">
        <v>0</v>
      </c>
      <c r="U425" s="10">
        <v>0</v>
      </c>
      <c r="V425" s="1" t="s">
        <v>46</v>
      </c>
      <c r="W425" s="1" t="s">
        <v>54</v>
      </c>
      <c r="X425" s="1">
        <v>3120741</v>
      </c>
      <c r="Y425" s="11">
        <v>41794</v>
      </c>
      <c r="Z425" s="11">
        <v>41796</v>
      </c>
      <c r="AA425" s="9">
        <f t="shared" si="46"/>
        <v>49592.88</v>
      </c>
      <c r="AB425" s="12">
        <v>59.1</v>
      </c>
      <c r="AC425" s="9">
        <f t="shared" si="47"/>
        <v>2943180</v>
      </c>
      <c r="AD425" s="9">
        <f t="shared" si="48"/>
        <v>2930939.2080000001</v>
      </c>
      <c r="AE425" s="1" t="s">
        <v>48</v>
      </c>
      <c r="AF425" s="1" t="s">
        <v>53</v>
      </c>
      <c r="AG425" s="4">
        <f t="shared" si="49"/>
        <v>49800</v>
      </c>
      <c r="AH425" s="10">
        <v>49800</v>
      </c>
      <c r="AI425" s="10">
        <v>125</v>
      </c>
      <c r="AJ425" s="10">
        <v>7.12</v>
      </c>
      <c r="AK425" s="10">
        <v>0</v>
      </c>
      <c r="AL425" s="9">
        <f t="shared" si="50"/>
        <v>49667.88</v>
      </c>
      <c r="AM425" s="1"/>
      <c r="AN425" s="1"/>
      <c r="AO425" s="12" t="e">
        <f>AB425/#REF!</f>
        <v>#REF!</v>
      </c>
      <c r="AP425" s="1" t="s">
        <v>1780</v>
      </c>
      <c r="AQ425" s="11">
        <v>41892</v>
      </c>
      <c r="AR425" s="1" t="s">
        <v>1782</v>
      </c>
      <c r="AS425" s="11">
        <v>41894</v>
      </c>
      <c r="AT425" s="1" t="s">
        <v>49</v>
      </c>
      <c r="AU425" s="1" t="s">
        <v>4171</v>
      </c>
    </row>
    <row r="426" spans="1:47" ht="15" customHeight="1" x14ac:dyDescent="0.25">
      <c r="A426" s="1">
        <v>425</v>
      </c>
      <c r="B426" s="1" t="s">
        <v>1258</v>
      </c>
      <c r="C426" s="1" t="s">
        <v>38</v>
      </c>
      <c r="D426" s="1">
        <v>9103550261</v>
      </c>
      <c r="E426" s="5">
        <v>41800</v>
      </c>
      <c r="F426" s="1" t="s">
        <v>396</v>
      </c>
      <c r="G426" s="1" t="s">
        <v>40</v>
      </c>
      <c r="H426" s="1" t="s">
        <v>41</v>
      </c>
      <c r="I426" s="1" t="s">
        <v>2809</v>
      </c>
      <c r="J426" s="1" t="s">
        <v>2641</v>
      </c>
      <c r="K426" s="1">
        <v>38237090</v>
      </c>
      <c r="L426" s="6">
        <v>12</v>
      </c>
      <c r="M426" s="1" t="s">
        <v>70</v>
      </c>
      <c r="N426" s="7" t="s">
        <v>44</v>
      </c>
      <c r="O426" s="1" t="s">
        <v>53</v>
      </c>
      <c r="P426" s="8">
        <v>4300</v>
      </c>
      <c r="Q426" s="17">
        <f t="shared" si="45"/>
        <v>51600</v>
      </c>
      <c r="R426" s="9">
        <v>200</v>
      </c>
      <c r="S426" s="9">
        <v>7.38</v>
      </c>
      <c r="T426" s="9">
        <v>0</v>
      </c>
      <c r="U426" s="10">
        <v>0</v>
      </c>
      <c r="V426" s="1" t="s">
        <v>46</v>
      </c>
      <c r="W426" s="1" t="s">
        <v>54</v>
      </c>
      <c r="X426" s="1">
        <v>3120725</v>
      </c>
      <c r="Y426" s="11">
        <v>41794</v>
      </c>
      <c r="Z426" s="11">
        <v>41796</v>
      </c>
      <c r="AA426" s="9">
        <f t="shared" si="46"/>
        <v>51392.62</v>
      </c>
      <c r="AB426" s="12">
        <v>59.1</v>
      </c>
      <c r="AC426" s="9">
        <f t="shared" si="47"/>
        <v>3049560</v>
      </c>
      <c r="AD426" s="9">
        <f t="shared" si="48"/>
        <v>3037303.8420000002</v>
      </c>
      <c r="AE426" s="1" t="s">
        <v>48</v>
      </c>
      <c r="AF426" s="1" t="s">
        <v>53</v>
      </c>
      <c r="AG426" s="4">
        <f t="shared" si="49"/>
        <v>51600</v>
      </c>
      <c r="AH426" s="10">
        <v>51493.760000000002</v>
      </c>
      <c r="AI426" s="10">
        <v>125</v>
      </c>
      <c r="AJ426" s="10">
        <v>7.38</v>
      </c>
      <c r="AK426" s="10">
        <v>0</v>
      </c>
      <c r="AL426" s="9">
        <f t="shared" si="50"/>
        <v>51361.380000000005</v>
      </c>
      <c r="AM426" s="1"/>
      <c r="AN426" s="1"/>
      <c r="AO426" s="12" t="e">
        <f>AB426/#REF!</f>
        <v>#REF!</v>
      </c>
      <c r="AP426" s="1" t="s">
        <v>1783</v>
      </c>
      <c r="AQ426" s="11">
        <v>41892</v>
      </c>
      <c r="AR426" s="1" t="s">
        <v>1784</v>
      </c>
      <c r="AS426" s="11">
        <v>41894</v>
      </c>
      <c r="AT426" s="1" t="s">
        <v>49</v>
      </c>
      <c r="AU426" s="1" t="s">
        <v>4171</v>
      </c>
    </row>
    <row r="427" spans="1:47" ht="15" customHeight="1" x14ac:dyDescent="0.25">
      <c r="A427" s="1">
        <v>426</v>
      </c>
      <c r="B427" s="1" t="s">
        <v>1258</v>
      </c>
      <c r="C427" s="1" t="s">
        <v>38</v>
      </c>
      <c r="D427" s="1">
        <v>9103550262</v>
      </c>
      <c r="E427" s="5">
        <v>41802</v>
      </c>
      <c r="F427" s="1" t="s">
        <v>407</v>
      </c>
      <c r="G427" s="1" t="s">
        <v>40</v>
      </c>
      <c r="H427" s="1" t="s">
        <v>41</v>
      </c>
      <c r="I427" s="1" t="s">
        <v>2809</v>
      </c>
      <c r="J427" s="45" t="s">
        <v>2631</v>
      </c>
      <c r="K427" s="1">
        <v>38237090</v>
      </c>
      <c r="L427" s="6">
        <v>23.4</v>
      </c>
      <c r="M427" s="1" t="s">
        <v>70</v>
      </c>
      <c r="N427" s="7" t="s">
        <v>44</v>
      </c>
      <c r="O427" s="1" t="s">
        <v>53</v>
      </c>
      <c r="P427" s="8">
        <v>3530</v>
      </c>
      <c r="Q427" s="17">
        <f t="shared" si="45"/>
        <v>82602</v>
      </c>
      <c r="R427" s="9">
        <v>125</v>
      </c>
      <c r="S427" s="9">
        <v>11.81</v>
      </c>
      <c r="T427" s="9">
        <v>702</v>
      </c>
      <c r="U427" s="10">
        <v>0</v>
      </c>
      <c r="V427" s="1" t="s">
        <v>46</v>
      </c>
      <c r="W427" s="1" t="s">
        <v>64</v>
      </c>
      <c r="X427" s="1">
        <v>3141478</v>
      </c>
      <c r="Y427" s="11">
        <v>41795</v>
      </c>
      <c r="Z427" s="11">
        <v>41796</v>
      </c>
      <c r="AA427" s="9">
        <f t="shared" si="46"/>
        <v>82465.19</v>
      </c>
      <c r="AB427" s="12">
        <v>59.1</v>
      </c>
      <c r="AC427" s="9">
        <f t="shared" si="47"/>
        <v>4881778.2</v>
      </c>
      <c r="AD427" s="9">
        <f t="shared" si="48"/>
        <v>4873692.7290000003</v>
      </c>
      <c r="AE427" s="1" t="s">
        <v>48</v>
      </c>
      <c r="AF427" s="1" t="s">
        <v>53</v>
      </c>
      <c r="AG427" s="4">
        <f t="shared" si="49"/>
        <v>82602</v>
      </c>
      <c r="AH427" s="10">
        <v>82602</v>
      </c>
      <c r="AI427" s="10">
        <v>75</v>
      </c>
      <c r="AJ427" s="10">
        <v>11.81</v>
      </c>
      <c r="AK427" s="10">
        <v>702</v>
      </c>
      <c r="AL427" s="9">
        <f t="shared" si="50"/>
        <v>81813.19</v>
      </c>
      <c r="AM427" s="1"/>
      <c r="AN427" s="1"/>
      <c r="AO427" s="12" t="e">
        <f>AB427/#REF!</f>
        <v>#REF!</v>
      </c>
      <c r="AP427" s="1" t="s">
        <v>1785</v>
      </c>
      <c r="AQ427" s="11">
        <v>41888</v>
      </c>
      <c r="AR427" s="1" t="s">
        <v>1786</v>
      </c>
      <c r="AS427" s="11">
        <v>41890</v>
      </c>
      <c r="AT427" s="1" t="s">
        <v>49</v>
      </c>
      <c r="AU427" s="1" t="s">
        <v>4171</v>
      </c>
    </row>
    <row r="428" spans="1:47" ht="15" customHeight="1" x14ac:dyDescent="0.25">
      <c r="A428" s="1">
        <v>427</v>
      </c>
      <c r="B428" s="1" t="s">
        <v>1258</v>
      </c>
      <c r="C428" s="1" t="s">
        <v>38</v>
      </c>
      <c r="D428" s="1">
        <v>9103550263</v>
      </c>
      <c r="E428" s="5">
        <v>41806</v>
      </c>
      <c r="F428" s="1" t="s">
        <v>398</v>
      </c>
      <c r="G428" s="1" t="s">
        <v>40</v>
      </c>
      <c r="H428" s="1" t="s">
        <v>41</v>
      </c>
      <c r="I428" s="1" t="s">
        <v>2809</v>
      </c>
      <c r="J428" s="1" t="s">
        <v>837</v>
      </c>
      <c r="K428" s="1">
        <v>29159020</v>
      </c>
      <c r="L428" s="6">
        <v>39.85</v>
      </c>
      <c r="M428" s="1" t="s">
        <v>70</v>
      </c>
      <c r="N428" s="7" t="s">
        <v>44</v>
      </c>
      <c r="O428" s="1" t="s">
        <v>53</v>
      </c>
      <c r="P428" s="8">
        <v>4700.05</v>
      </c>
      <c r="Q428" s="17">
        <f t="shared" si="45"/>
        <v>187296.99250000002</v>
      </c>
      <c r="R428" s="9">
        <v>13300</v>
      </c>
      <c r="S428" s="9">
        <v>26.78</v>
      </c>
      <c r="T428" s="9">
        <v>0</v>
      </c>
      <c r="U428" s="10">
        <v>0</v>
      </c>
      <c r="V428" s="1" t="s">
        <v>46</v>
      </c>
      <c r="W428" s="1" t="s">
        <v>56</v>
      </c>
      <c r="X428" s="1">
        <v>3140808</v>
      </c>
      <c r="Y428" s="11">
        <v>41795</v>
      </c>
      <c r="Z428" s="11">
        <v>41796</v>
      </c>
      <c r="AA428" s="9">
        <f t="shared" si="46"/>
        <v>173970.21250000002</v>
      </c>
      <c r="AB428" s="12">
        <v>59.1</v>
      </c>
      <c r="AC428" s="9">
        <f t="shared" si="47"/>
        <v>11069252.256750003</v>
      </c>
      <c r="AD428" s="9">
        <f t="shared" si="48"/>
        <v>10281639.558750002</v>
      </c>
      <c r="AE428" s="1" t="s">
        <v>57</v>
      </c>
      <c r="AF428" s="1" t="s">
        <v>53</v>
      </c>
      <c r="AG428" s="4">
        <f t="shared" si="49"/>
        <v>187296.99250000002</v>
      </c>
      <c r="AH428" s="10">
        <v>187296.99</v>
      </c>
      <c r="AI428" s="10">
        <v>12500</v>
      </c>
      <c r="AJ428" s="10">
        <v>26.78</v>
      </c>
      <c r="AK428" s="10">
        <v>0</v>
      </c>
      <c r="AL428" s="9">
        <f t="shared" si="50"/>
        <v>174770.21</v>
      </c>
      <c r="AM428" s="1"/>
      <c r="AN428" s="1"/>
      <c r="AO428" s="12" t="e">
        <f>AB428/#REF!</f>
        <v>#REF!</v>
      </c>
      <c r="AP428" s="1"/>
      <c r="AQ428" s="11">
        <v>41856</v>
      </c>
      <c r="AR428" s="1" t="s">
        <v>3331</v>
      </c>
      <c r="AS428" s="11">
        <v>42060</v>
      </c>
      <c r="AT428" s="1" t="s">
        <v>49</v>
      </c>
      <c r="AU428" s="1" t="s">
        <v>4171</v>
      </c>
    </row>
    <row r="429" spans="1:47" ht="15" customHeight="1" x14ac:dyDescent="0.25">
      <c r="A429" s="1">
        <v>428</v>
      </c>
      <c r="B429" s="1" t="s">
        <v>1258</v>
      </c>
      <c r="C429" s="1" t="s">
        <v>38</v>
      </c>
      <c r="D429" s="1">
        <v>9103550265</v>
      </c>
      <c r="E429" s="5">
        <v>41800</v>
      </c>
      <c r="F429" s="1" t="s">
        <v>399</v>
      </c>
      <c r="G429" s="1" t="s">
        <v>40</v>
      </c>
      <c r="H429" s="1" t="s">
        <v>41</v>
      </c>
      <c r="I429" s="1" t="s">
        <v>2809</v>
      </c>
      <c r="J429" s="1" t="s">
        <v>50</v>
      </c>
      <c r="K429" s="1">
        <v>38237090</v>
      </c>
      <c r="L429" s="6">
        <v>15</v>
      </c>
      <c r="M429" s="1" t="s">
        <v>70</v>
      </c>
      <c r="N429" s="7" t="s">
        <v>52</v>
      </c>
      <c r="O429" s="1" t="s">
        <v>45</v>
      </c>
      <c r="P429" s="8">
        <v>1700</v>
      </c>
      <c r="Q429" s="17">
        <f t="shared" si="45"/>
        <v>25500</v>
      </c>
      <c r="R429" s="9">
        <v>773.86</v>
      </c>
      <c r="S429" s="9">
        <v>0</v>
      </c>
      <c r="T429" s="9">
        <v>0</v>
      </c>
      <c r="U429" s="10">
        <v>0</v>
      </c>
      <c r="V429" s="1" t="s">
        <v>46</v>
      </c>
      <c r="W429" s="1" t="s">
        <v>2657</v>
      </c>
      <c r="X429" s="1">
        <v>3155365</v>
      </c>
      <c r="Y429" s="11">
        <v>41796</v>
      </c>
      <c r="Z429" s="11">
        <v>41797</v>
      </c>
      <c r="AA429" s="9">
        <f t="shared" si="46"/>
        <v>24726.14</v>
      </c>
      <c r="AB429" s="12">
        <v>79.75</v>
      </c>
      <c r="AC429" s="9">
        <f t="shared" si="47"/>
        <v>2033625</v>
      </c>
      <c r="AD429" s="9">
        <f t="shared" si="48"/>
        <v>1971909.665</v>
      </c>
      <c r="AE429" s="1" t="s">
        <v>48</v>
      </c>
      <c r="AF429" s="1" t="s">
        <v>45</v>
      </c>
      <c r="AG429" s="4">
        <f t="shared" si="49"/>
        <v>25500</v>
      </c>
      <c r="AH429" s="10">
        <v>25327.27</v>
      </c>
      <c r="AI429" s="10">
        <v>1050</v>
      </c>
      <c r="AJ429" s="10">
        <v>0</v>
      </c>
      <c r="AK429" s="10">
        <v>0</v>
      </c>
      <c r="AL429" s="9">
        <f t="shared" si="50"/>
        <v>24277.27</v>
      </c>
      <c r="AM429" s="1"/>
      <c r="AN429" s="1"/>
      <c r="AO429" s="12" t="e">
        <f>AB429/#REF!</f>
        <v>#REF!</v>
      </c>
      <c r="AP429" s="1" t="s">
        <v>1787</v>
      </c>
      <c r="AQ429" s="11">
        <v>41876</v>
      </c>
      <c r="AR429" s="1" t="s">
        <v>1788</v>
      </c>
      <c r="AS429" s="11">
        <v>41877</v>
      </c>
      <c r="AT429" s="1" t="s">
        <v>49</v>
      </c>
      <c r="AU429" s="1" t="s">
        <v>4171</v>
      </c>
    </row>
    <row r="430" spans="1:47" ht="15" customHeight="1" x14ac:dyDescent="0.25">
      <c r="A430" s="1">
        <v>429</v>
      </c>
      <c r="B430" s="1" t="s">
        <v>1258</v>
      </c>
      <c r="C430" s="1" t="s">
        <v>38</v>
      </c>
      <c r="D430" s="1">
        <v>9103550266</v>
      </c>
      <c r="E430" s="5">
        <v>41802</v>
      </c>
      <c r="F430" s="1" t="s">
        <v>401</v>
      </c>
      <c r="G430" s="1" t="s">
        <v>40</v>
      </c>
      <c r="H430" s="1" t="s">
        <v>41</v>
      </c>
      <c r="I430" s="1" t="s">
        <v>2809</v>
      </c>
      <c r="J430" s="1" t="s">
        <v>1789</v>
      </c>
      <c r="K430" s="1">
        <v>38237090</v>
      </c>
      <c r="L430" s="6">
        <v>12</v>
      </c>
      <c r="M430" s="1" t="s">
        <v>70</v>
      </c>
      <c r="N430" s="7" t="s">
        <v>44</v>
      </c>
      <c r="O430" s="1" t="s">
        <v>53</v>
      </c>
      <c r="P430" s="8">
        <v>1655</v>
      </c>
      <c r="Q430" s="17">
        <f t="shared" si="45"/>
        <v>19860</v>
      </c>
      <c r="R430" s="9">
        <v>100</v>
      </c>
      <c r="S430" s="9">
        <v>2.84</v>
      </c>
      <c r="T430" s="9">
        <v>360</v>
      </c>
      <c r="U430" s="10">
        <v>0</v>
      </c>
      <c r="V430" s="1" t="s">
        <v>46</v>
      </c>
      <c r="W430" s="1" t="s">
        <v>64</v>
      </c>
      <c r="X430" s="1">
        <v>3158216</v>
      </c>
      <c r="Y430" s="11">
        <v>41796</v>
      </c>
      <c r="Z430" s="11">
        <v>41797</v>
      </c>
      <c r="AA430" s="9">
        <f t="shared" si="46"/>
        <v>19757.16</v>
      </c>
      <c r="AB430" s="12">
        <v>58.85</v>
      </c>
      <c r="AC430" s="9">
        <f t="shared" si="47"/>
        <v>1168761</v>
      </c>
      <c r="AD430" s="9">
        <f t="shared" si="48"/>
        <v>1162708.8659999999</v>
      </c>
      <c r="AE430" s="1" t="s">
        <v>48</v>
      </c>
      <c r="AF430" s="1" t="s">
        <v>53</v>
      </c>
      <c r="AG430" s="4">
        <f t="shared" si="49"/>
        <v>19860</v>
      </c>
      <c r="AH430" s="10">
        <v>19826.88</v>
      </c>
      <c r="AI430" s="10">
        <v>50</v>
      </c>
      <c r="AJ430" s="10">
        <v>2.84</v>
      </c>
      <c r="AK430" s="10">
        <v>360</v>
      </c>
      <c r="AL430" s="9">
        <f t="shared" si="50"/>
        <v>19414.04</v>
      </c>
      <c r="AM430" s="1"/>
      <c r="AN430" s="1"/>
      <c r="AO430" s="12" t="e">
        <f>AB430/#REF!</f>
        <v>#REF!</v>
      </c>
      <c r="AP430" s="1" t="s">
        <v>1790</v>
      </c>
      <c r="AQ430" s="11">
        <v>41842</v>
      </c>
      <c r="AR430" s="1" t="s">
        <v>1791</v>
      </c>
      <c r="AS430" s="11">
        <v>41843</v>
      </c>
      <c r="AT430" s="1" t="s">
        <v>49</v>
      </c>
      <c r="AU430" s="1" t="s">
        <v>4171</v>
      </c>
    </row>
    <row r="431" spans="1:47" ht="15" customHeight="1" x14ac:dyDescent="0.25">
      <c r="A431" s="1">
        <v>430</v>
      </c>
      <c r="B431" s="1" t="s">
        <v>1258</v>
      </c>
      <c r="C431" s="1" t="s">
        <v>38</v>
      </c>
      <c r="D431" s="1" t="s">
        <v>1792</v>
      </c>
      <c r="E431" s="5">
        <v>41802</v>
      </c>
      <c r="F431" s="1" t="s">
        <v>400</v>
      </c>
      <c r="G431" s="1" t="s">
        <v>40</v>
      </c>
      <c r="H431" s="1" t="s">
        <v>41</v>
      </c>
      <c r="I431" s="1" t="s">
        <v>2809</v>
      </c>
      <c r="J431" s="1" t="s">
        <v>63</v>
      </c>
      <c r="K431" s="1">
        <v>38231200</v>
      </c>
      <c r="L431" s="6">
        <v>39.39</v>
      </c>
      <c r="M431" s="1" t="s">
        <v>70</v>
      </c>
      <c r="N431" s="7" t="s">
        <v>52</v>
      </c>
      <c r="O431" s="1" t="s">
        <v>53</v>
      </c>
      <c r="P431" s="8">
        <v>1335</v>
      </c>
      <c r="Q431" s="17">
        <f t="shared" si="45"/>
        <v>52585.65</v>
      </c>
      <c r="R431" s="9">
        <v>1120</v>
      </c>
      <c r="S431" s="9">
        <v>0</v>
      </c>
      <c r="T431" s="9">
        <v>0</v>
      </c>
      <c r="U431" s="10">
        <v>0</v>
      </c>
      <c r="V431" s="1" t="s">
        <v>46</v>
      </c>
      <c r="W431" s="1" t="s">
        <v>64</v>
      </c>
      <c r="X431" s="1">
        <v>3163117</v>
      </c>
      <c r="Y431" s="11">
        <v>41796</v>
      </c>
      <c r="Z431" s="11">
        <v>41797</v>
      </c>
      <c r="AA431" s="9">
        <f t="shared" si="46"/>
        <v>51465.65</v>
      </c>
      <c r="AB431" s="12">
        <v>58.85</v>
      </c>
      <c r="AC431" s="9">
        <f t="shared" si="47"/>
        <v>3094665.5024999999</v>
      </c>
      <c r="AD431" s="9">
        <f t="shared" si="48"/>
        <v>3028753.5024999999</v>
      </c>
      <c r="AE431" s="1" t="s">
        <v>51</v>
      </c>
      <c r="AF431" s="1" t="s">
        <v>53</v>
      </c>
      <c r="AG431" s="4">
        <f t="shared" si="49"/>
        <v>52585.65</v>
      </c>
      <c r="AH431" s="10">
        <v>52585</v>
      </c>
      <c r="AI431" s="10">
        <v>1000</v>
      </c>
      <c r="AJ431" s="10">
        <v>0</v>
      </c>
      <c r="AK431" s="10">
        <v>0</v>
      </c>
      <c r="AL431" s="9">
        <f t="shared" si="50"/>
        <v>51585</v>
      </c>
      <c r="AM431" s="1"/>
      <c r="AN431" s="1"/>
      <c r="AO431" s="12" t="e">
        <f>AB431/#REF!</f>
        <v>#REF!</v>
      </c>
      <c r="AP431" s="1" t="s">
        <v>1793</v>
      </c>
      <c r="AQ431" s="11">
        <v>41835</v>
      </c>
      <c r="AR431" s="1" t="s">
        <v>1794</v>
      </c>
      <c r="AS431" s="11">
        <v>41864</v>
      </c>
      <c r="AT431" s="1" t="s">
        <v>49</v>
      </c>
      <c r="AU431" s="1" t="s">
        <v>4171</v>
      </c>
    </row>
    <row r="432" spans="1:47" ht="15" customHeight="1" x14ac:dyDescent="0.25">
      <c r="A432" s="1">
        <v>431</v>
      </c>
      <c r="B432" s="1" t="s">
        <v>1258</v>
      </c>
      <c r="C432" s="1" t="s">
        <v>38</v>
      </c>
      <c r="D432" s="1" t="s">
        <v>1792</v>
      </c>
      <c r="E432" s="5">
        <v>41802</v>
      </c>
      <c r="F432" s="1" t="s">
        <v>403</v>
      </c>
      <c r="G432" s="1" t="s">
        <v>40</v>
      </c>
      <c r="H432" s="1" t="s">
        <v>41</v>
      </c>
      <c r="I432" s="1" t="s">
        <v>2809</v>
      </c>
      <c r="J432" s="1" t="s">
        <v>63</v>
      </c>
      <c r="K432" s="1">
        <v>38231200</v>
      </c>
      <c r="L432" s="6">
        <v>19.68</v>
      </c>
      <c r="M432" s="1" t="s">
        <v>70</v>
      </c>
      <c r="N432" s="7" t="s">
        <v>52</v>
      </c>
      <c r="O432" s="1" t="s">
        <v>53</v>
      </c>
      <c r="P432" s="8">
        <v>1335</v>
      </c>
      <c r="Q432" s="17">
        <f t="shared" si="45"/>
        <v>26272.799999999999</v>
      </c>
      <c r="R432" s="9">
        <v>560</v>
      </c>
      <c r="S432" s="9">
        <v>0</v>
      </c>
      <c r="T432" s="9">
        <v>0</v>
      </c>
      <c r="U432" s="10">
        <v>0</v>
      </c>
      <c r="V432" s="1" t="s">
        <v>46</v>
      </c>
      <c r="W432" s="1" t="s">
        <v>64</v>
      </c>
      <c r="X432" s="1">
        <v>3175400</v>
      </c>
      <c r="Y432" s="11">
        <v>41797</v>
      </c>
      <c r="Z432" s="11">
        <v>41799</v>
      </c>
      <c r="AA432" s="9">
        <f t="shared" si="46"/>
        <v>25712.799999999999</v>
      </c>
      <c r="AB432" s="12">
        <v>58.85</v>
      </c>
      <c r="AC432" s="9">
        <f t="shared" si="47"/>
        <v>1546154.28</v>
      </c>
      <c r="AD432" s="9">
        <f t="shared" si="48"/>
        <v>1513198.28</v>
      </c>
      <c r="AE432" s="1" t="s">
        <v>51</v>
      </c>
      <c r="AF432" s="1" t="s">
        <v>53</v>
      </c>
      <c r="AG432" s="4">
        <f t="shared" si="49"/>
        <v>26272.799999999999</v>
      </c>
      <c r="AH432" s="10">
        <v>26273</v>
      </c>
      <c r="AI432" s="10">
        <v>500</v>
      </c>
      <c r="AJ432" s="10">
        <v>0</v>
      </c>
      <c r="AK432" s="10">
        <v>0</v>
      </c>
      <c r="AL432" s="9">
        <f t="shared" si="50"/>
        <v>25773</v>
      </c>
      <c r="AM432" s="1"/>
      <c r="AN432" s="1"/>
      <c r="AO432" s="12" t="e">
        <f>AB432/#REF!</f>
        <v>#REF!</v>
      </c>
      <c r="AP432" s="1" t="s">
        <v>1793</v>
      </c>
      <c r="AQ432" s="11">
        <v>41835</v>
      </c>
      <c r="AR432" s="1" t="s">
        <v>1795</v>
      </c>
      <c r="AS432" s="11">
        <v>41864</v>
      </c>
      <c r="AT432" s="1" t="s">
        <v>49</v>
      </c>
      <c r="AU432" s="1" t="s">
        <v>4171</v>
      </c>
    </row>
    <row r="433" spans="1:47" ht="15" customHeight="1" x14ac:dyDescent="0.25">
      <c r="A433" s="1">
        <v>432</v>
      </c>
      <c r="B433" s="1" t="s">
        <v>1258</v>
      </c>
      <c r="C433" s="1" t="s">
        <v>38</v>
      </c>
      <c r="D433" s="1">
        <v>9103550269</v>
      </c>
      <c r="E433" s="5">
        <v>41802</v>
      </c>
      <c r="F433" s="1" t="s">
        <v>408</v>
      </c>
      <c r="G433" s="1" t="s">
        <v>40</v>
      </c>
      <c r="H433" s="1" t="s">
        <v>41</v>
      </c>
      <c r="I433" s="1" t="s">
        <v>2809</v>
      </c>
      <c r="J433" s="1" t="s">
        <v>63</v>
      </c>
      <c r="K433" s="1">
        <v>29161990</v>
      </c>
      <c r="L433" s="6">
        <v>39.31</v>
      </c>
      <c r="M433" s="1" t="s">
        <v>70</v>
      </c>
      <c r="N433" s="7" t="s">
        <v>44</v>
      </c>
      <c r="O433" s="1" t="s">
        <v>53</v>
      </c>
      <c r="P433" s="8">
        <v>2570</v>
      </c>
      <c r="Q433" s="17">
        <f t="shared" si="45"/>
        <v>101026.70000000001</v>
      </c>
      <c r="R433" s="9">
        <v>2600</v>
      </c>
      <c r="S433" s="9">
        <v>14.45</v>
      </c>
      <c r="T433" s="9">
        <v>0</v>
      </c>
      <c r="U433" s="10">
        <v>0</v>
      </c>
      <c r="V433" s="1" t="s">
        <v>46</v>
      </c>
      <c r="W433" s="1" t="s">
        <v>64</v>
      </c>
      <c r="X433" s="1">
        <v>3163115</v>
      </c>
      <c r="Y433" s="11">
        <v>41796</v>
      </c>
      <c r="Z433" s="11">
        <v>41797</v>
      </c>
      <c r="AA433" s="9">
        <f t="shared" si="46"/>
        <v>98412.250000000015</v>
      </c>
      <c r="AB433" s="12">
        <v>58.85</v>
      </c>
      <c r="AC433" s="9">
        <f t="shared" si="47"/>
        <v>5945421.2950000009</v>
      </c>
      <c r="AD433" s="9">
        <f t="shared" si="48"/>
        <v>5791560.9125000006</v>
      </c>
      <c r="AE433" s="1" t="s">
        <v>51</v>
      </c>
      <c r="AF433" s="1" t="s">
        <v>53</v>
      </c>
      <c r="AG433" s="4">
        <f t="shared" si="49"/>
        <v>101026.70000000001</v>
      </c>
      <c r="AH433" s="10">
        <v>101013</v>
      </c>
      <c r="AI433" s="10">
        <v>1120</v>
      </c>
      <c r="AJ433" s="10">
        <v>14.45</v>
      </c>
      <c r="AK433" s="10">
        <v>0</v>
      </c>
      <c r="AL433" s="9">
        <f t="shared" si="50"/>
        <v>99878.55</v>
      </c>
      <c r="AM433" s="1"/>
      <c r="AN433" s="1"/>
      <c r="AO433" s="12" t="e">
        <f>AB433/#REF!</f>
        <v>#REF!</v>
      </c>
      <c r="AP433" s="1" t="s">
        <v>1796</v>
      </c>
      <c r="AQ433" s="11">
        <v>41821</v>
      </c>
      <c r="AR433" s="1" t="s">
        <v>1797</v>
      </c>
      <c r="AS433" s="11">
        <v>41832</v>
      </c>
      <c r="AT433" s="1" t="s">
        <v>49</v>
      </c>
      <c r="AU433" s="1" t="s">
        <v>4171</v>
      </c>
    </row>
    <row r="434" spans="1:47" ht="15" customHeight="1" x14ac:dyDescent="0.25">
      <c r="A434" s="1">
        <v>433</v>
      </c>
      <c r="B434" s="1" t="s">
        <v>1258</v>
      </c>
      <c r="C434" s="1" t="s">
        <v>38</v>
      </c>
      <c r="D434" s="1">
        <v>9103550274</v>
      </c>
      <c r="E434" s="5">
        <v>41802</v>
      </c>
      <c r="F434" s="1" t="s">
        <v>454</v>
      </c>
      <c r="G434" s="1" t="s">
        <v>40</v>
      </c>
      <c r="H434" s="1" t="s">
        <v>41</v>
      </c>
      <c r="I434" s="1" t="s">
        <v>2809</v>
      </c>
      <c r="J434" s="1" t="s">
        <v>63</v>
      </c>
      <c r="K434" s="1">
        <v>29161990</v>
      </c>
      <c r="L434" s="6">
        <v>39.090000000000003</v>
      </c>
      <c r="M434" s="1" t="s">
        <v>70</v>
      </c>
      <c r="N434" s="7" t="s">
        <v>44</v>
      </c>
      <c r="O434" s="1" t="s">
        <v>53</v>
      </c>
      <c r="P434" s="8">
        <v>2570</v>
      </c>
      <c r="Q434" s="17">
        <f t="shared" si="45"/>
        <v>100461.3</v>
      </c>
      <c r="R434" s="9">
        <v>1120</v>
      </c>
      <c r="S434" s="9">
        <v>14.37</v>
      </c>
      <c r="T434" s="9">
        <v>0</v>
      </c>
      <c r="U434" s="10">
        <v>0</v>
      </c>
      <c r="V434" s="1" t="s">
        <v>46</v>
      </c>
      <c r="W434" s="1" t="s">
        <v>64</v>
      </c>
      <c r="X434" s="1">
        <v>3175398</v>
      </c>
      <c r="Y434" s="11">
        <v>41797</v>
      </c>
      <c r="Z434" s="11">
        <v>41799</v>
      </c>
      <c r="AA434" s="9">
        <f t="shared" si="46"/>
        <v>99326.930000000008</v>
      </c>
      <c r="AB434" s="12">
        <v>58.85</v>
      </c>
      <c r="AC434" s="9">
        <f t="shared" si="47"/>
        <v>5912147.5049999999</v>
      </c>
      <c r="AD434" s="9">
        <f t="shared" si="48"/>
        <v>5845389.8305000002</v>
      </c>
      <c r="AE434" s="1" t="s">
        <v>51</v>
      </c>
      <c r="AF434" s="1" t="s">
        <v>53</v>
      </c>
      <c r="AG434" s="4">
        <f t="shared" si="49"/>
        <v>100461.3</v>
      </c>
      <c r="AH434" s="10">
        <v>100461</v>
      </c>
      <c r="AI434" s="9">
        <v>1120</v>
      </c>
      <c r="AJ434" s="9">
        <v>14.37</v>
      </c>
      <c r="AK434" s="10">
        <v>0</v>
      </c>
      <c r="AL434" s="9">
        <f t="shared" si="50"/>
        <v>99326.63</v>
      </c>
      <c r="AM434" s="1"/>
      <c r="AN434" s="1"/>
      <c r="AO434" s="12" t="e">
        <f>AB434/#REF!</f>
        <v>#REF!</v>
      </c>
      <c r="AP434" s="1" t="s">
        <v>1798</v>
      </c>
      <c r="AQ434" s="11">
        <v>41821</v>
      </c>
      <c r="AR434" s="1" t="s">
        <v>1799</v>
      </c>
      <c r="AS434" s="11">
        <v>41832</v>
      </c>
      <c r="AT434" s="1" t="s">
        <v>49</v>
      </c>
      <c r="AU434" s="1" t="s">
        <v>4171</v>
      </c>
    </row>
    <row r="435" spans="1:47" ht="15" customHeight="1" x14ac:dyDescent="0.25">
      <c r="A435" s="1">
        <v>434</v>
      </c>
      <c r="B435" s="1" t="s">
        <v>1258</v>
      </c>
      <c r="C435" s="1" t="s">
        <v>38</v>
      </c>
      <c r="D435" s="1" t="s">
        <v>1800</v>
      </c>
      <c r="E435" s="5">
        <v>41800</v>
      </c>
      <c r="F435" s="1" t="s">
        <v>402</v>
      </c>
      <c r="G435" s="1" t="s">
        <v>40</v>
      </c>
      <c r="H435" s="1" t="s">
        <v>41</v>
      </c>
      <c r="I435" s="1" t="s">
        <v>2809</v>
      </c>
      <c r="J435" s="1" t="s">
        <v>200</v>
      </c>
      <c r="K435" s="1">
        <v>38231900</v>
      </c>
      <c r="L435" s="6">
        <v>19.850000000000001</v>
      </c>
      <c r="M435" s="1" t="s">
        <v>70</v>
      </c>
      <c r="N435" s="7" t="s">
        <v>44</v>
      </c>
      <c r="O435" s="1" t="s">
        <v>53</v>
      </c>
      <c r="P435" s="8">
        <v>1730</v>
      </c>
      <c r="Q435" s="17">
        <f t="shared" si="45"/>
        <v>34340.5</v>
      </c>
      <c r="R435" s="9">
        <v>1300</v>
      </c>
      <c r="S435" s="9">
        <v>4.91</v>
      </c>
      <c r="T435" s="9">
        <v>595.5</v>
      </c>
      <c r="U435" s="10">
        <v>0</v>
      </c>
      <c r="V435" s="1" t="s">
        <v>46</v>
      </c>
      <c r="W435" s="1" t="s">
        <v>59</v>
      </c>
      <c r="X435" s="1">
        <v>3162805</v>
      </c>
      <c r="Y435" s="11">
        <v>41796</v>
      </c>
      <c r="Z435" s="11">
        <v>41797</v>
      </c>
      <c r="AA435" s="9">
        <f t="shared" si="46"/>
        <v>33035.589999999997</v>
      </c>
      <c r="AB435" s="12">
        <v>58.85</v>
      </c>
      <c r="AC435" s="9">
        <f t="shared" si="47"/>
        <v>2020938.425</v>
      </c>
      <c r="AD435" s="9">
        <f t="shared" si="48"/>
        <v>1944144.4714999998</v>
      </c>
      <c r="AE435" s="1" t="s">
        <v>51</v>
      </c>
      <c r="AF435" s="1" t="s">
        <v>53</v>
      </c>
      <c r="AG435" s="4">
        <f t="shared" si="49"/>
        <v>34340.5</v>
      </c>
      <c r="AH435" s="10">
        <v>34340</v>
      </c>
      <c r="AI435" s="10">
        <v>1300</v>
      </c>
      <c r="AJ435" s="10">
        <v>4.91</v>
      </c>
      <c r="AK435" s="10">
        <v>595.5</v>
      </c>
      <c r="AL435" s="9">
        <f t="shared" si="50"/>
        <v>32439.59</v>
      </c>
      <c r="AM435" s="1"/>
      <c r="AN435" s="1"/>
      <c r="AO435" s="12" t="e">
        <f>AB435/#REF!</f>
        <v>#REF!</v>
      </c>
      <c r="AP435" s="1" t="s">
        <v>1801</v>
      </c>
      <c r="AQ435" s="11">
        <v>41831</v>
      </c>
      <c r="AR435" s="1" t="s">
        <v>1802</v>
      </c>
      <c r="AS435" s="11">
        <v>41864</v>
      </c>
      <c r="AT435" s="1" t="s">
        <v>49</v>
      </c>
      <c r="AU435" s="1" t="s">
        <v>4171</v>
      </c>
    </row>
    <row r="436" spans="1:47" ht="15" customHeight="1" x14ac:dyDescent="0.25">
      <c r="A436" s="1">
        <v>435</v>
      </c>
      <c r="B436" s="1" t="s">
        <v>1258</v>
      </c>
      <c r="C436" s="1" t="s">
        <v>38</v>
      </c>
      <c r="D436" s="1" t="s">
        <v>1800</v>
      </c>
      <c r="E436" s="5">
        <v>41800</v>
      </c>
      <c r="F436" s="1" t="s">
        <v>404</v>
      </c>
      <c r="G436" s="1" t="s">
        <v>40</v>
      </c>
      <c r="H436" s="1" t="s">
        <v>41</v>
      </c>
      <c r="I436" s="1" t="s">
        <v>2809</v>
      </c>
      <c r="J436" s="1" t="s">
        <v>200</v>
      </c>
      <c r="K436" s="1">
        <v>38231900</v>
      </c>
      <c r="L436" s="6">
        <v>19.829999999999998</v>
      </c>
      <c r="M436" s="1" t="s">
        <v>70</v>
      </c>
      <c r="N436" s="7" t="s">
        <v>44</v>
      </c>
      <c r="O436" s="1" t="s">
        <v>53</v>
      </c>
      <c r="P436" s="8">
        <v>1730</v>
      </c>
      <c r="Q436" s="17">
        <f t="shared" si="45"/>
        <v>34305.899999999994</v>
      </c>
      <c r="R436" s="9">
        <v>1300</v>
      </c>
      <c r="S436" s="9">
        <v>4.91</v>
      </c>
      <c r="T436" s="9">
        <v>594.9</v>
      </c>
      <c r="U436" s="10">
        <v>0</v>
      </c>
      <c r="V436" s="1" t="s">
        <v>46</v>
      </c>
      <c r="W436" s="1" t="s">
        <v>59</v>
      </c>
      <c r="X436" s="1">
        <v>3175392</v>
      </c>
      <c r="Y436" s="11">
        <v>41797</v>
      </c>
      <c r="Z436" s="11">
        <v>41799</v>
      </c>
      <c r="AA436" s="9">
        <f t="shared" si="46"/>
        <v>33000.989999999991</v>
      </c>
      <c r="AB436" s="12">
        <v>58.85</v>
      </c>
      <c r="AC436" s="9">
        <f t="shared" si="47"/>
        <v>2018902.2149999996</v>
      </c>
      <c r="AD436" s="9">
        <f t="shared" si="48"/>
        <v>1942108.2614999996</v>
      </c>
      <c r="AE436" s="1" t="s">
        <v>51</v>
      </c>
      <c r="AF436" s="1" t="s">
        <v>53</v>
      </c>
      <c r="AG436" s="4">
        <f t="shared" si="49"/>
        <v>34305.899999999994</v>
      </c>
      <c r="AH436" s="10">
        <v>34296</v>
      </c>
      <c r="AI436" s="10">
        <v>1300</v>
      </c>
      <c r="AJ436" s="10">
        <v>4.91</v>
      </c>
      <c r="AK436" s="10">
        <v>594.9</v>
      </c>
      <c r="AL436" s="9">
        <f t="shared" si="50"/>
        <v>32396.19</v>
      </c>
      <c r="AM436" s="1"/>
      <c r="AN436" s="1"/>
      <c r="AO436" s="12" t="e">
        <f>AB436/#REF!</f>
        <v>#REF!</v>
      </c>
      <c r="AP436" s="1" t="s">
        <v>1801</v>
      </c>
      <c r="AQ436" s="11">
        <v>41831</v>
      </c>
      <c r="AR436" s="1" t="s">
        <v>1803</v>
      </c>
      <c r="AS436" s="11">
        <v>41864</v>
      </c>
      <c r="AT436" s="1" t="s">
        <v>49</v>
      </c>
      <c r="AU436" s="1" t="s">
        <v>4171</v>
      </c>
    </row>
    <row r="437" spans="1:47" ht="15" customHeight="1" x14ac:dyDescent="0.25">
      <c r="A437" s="1">
        <v>436</v>
      </c>
      <c r="B437" s="1" t="s">
        <v>1258</v>
      </c>
      <c r="C437" s="1" t="s">
        <v>38</v>
      </c>
      <c r="D437" s="1">
        <v>9103550280</v>
      </c>
      <c r="E437" s="5">
        <v>41803</v>
      </c>
      <c r="F437" s="1" t="s">
        <v>397</v>
      </c>
      <c r="G437" s="1" t="s">
        <v>40</v>
      </c>
      <c r="H437" s="1" t="s">
        <v>41</v>
      </c>
      <c r="I437" s="1" t="s">
        <v>2809</v>
      </c>
      <c r="J437" s="1" t="s">
        <v>221</v>
      </c>
      <c r="K437" s="1">
        <v>38237090</v>
      </c>
      <c r="L437" s="6">
        <v>2.25</v>
      </c>
      <c r="M437" s="1" t="s">
        <v>70</v>
      </c>
      <c r="N437" s="7" t="s">
        <v>44</v>
      </c>
      <c r="O437" s="1" t="s">
        <v>53</v>
      </c>
      <c r="P437" s="8">
        <v>4575</v>
      </c>
      <c r="Q437" s="17">
        <f t="shared" si="45"/>
        <v>10293.75</v>
      </c>
      <c r="R437" s="9">
        <v>125</v>
      </c>
      <c r="S437" s="9">
        <v>1.47</v>
      </c>
      <c r="T437" s="9">
        <v>0</v>
      </c>
      <c r="U437" s="10">
        <v>0</v>
      </c>
      <c r="V437" s="1" t="s">
        <v>46</v>
      </c>
      <c r="W437" s="1" t="s">
        <v>205</v>
      </c>
      <c r="X437" s="1">
        <v>3142392</v>
      </c>
      <c r="Y437" s="11">
        <v>41795</v>
      </c>
      <c r="Z437" s="11">
        <v>41797</v>
      </c>
      <c r="AA437" s="9">
        <f t="shared" si="46"/>
        <v>10167.280000000001</v>
      </c>
      <c r="AB437" s="12">
        <v>59.1</v>
      </c>
      <c r="AC437" s="9">
        <f t="shared" si="47"/>
        <v>608360.625</v>
      </c>
      <c r="AD437" s="9">
        <f t="shared" si="48"/>
        <v>600886.24800000002</v>
      </c>
      <c r="AE437" s="1" t="s">
        <v>48</v>
      </c>
      <c r="AF437" s="1" t="s">
        <v>53</v>
      </c>
      <c r="AG437" s="4">
        <f t="shared" si="49"/>
        <v>10293.75</v>
      </c>
      <c r="AH437" s="10">
        <v>10273.75</v>
      </c>
      <c r="AI437" s="10">
        <v>306.02</v>
      </c>
      <c r="AJ437" s="10">
        <v>1.47</v>
      </c>
      <c r="AK437" s="10">
        <v>0</v>
      </c>
      <c r="AL437" s="9">
        <f t="shared" si="50"/>
        <v>9966.26</v>
      </c>
      <c r="AM437" s="1"/>
      <c r="AN437" s="1"/>
      <c r="AO437" s="12" t="e">
        <f>AB437/#REF!</f>
        <v>#REF!</v>
      </c>
      <c r="AP437" s="1" t="s">
        <v>1804</v>
      </c>
      <c r="AQ437" s="11">
        <v>41828</v>
      </c>
      <c r="AR437" s="1" t="s">
        <v>1805</v>
      </c>
      <c r="AS437" s="11">
        <v>41830</v>
      </c>
      <c r="AT437" s="1" t="s">
        <v>49</v>
      </c>
      <c r="AU437" s="1" t="s">
        <v>4171</v>
      </c>
    </row>
    <row r="438" spans="1:47" ht="15" customHeight="1" x14ac:dyDescent="0.25">
      <c r="A438" s="1">
        <v>437</v>
      </c>
      <c r="B438" s="1" t="s">
        <v>1258</v>
      </c>
      <c r="C438" s="1" t="s">
        <v>38</v>
      </c>
      <c r="D438" s="1" t="s">
        <v>1806</v>
      </c>
      <c r="E438" s="5">
        <v>41801</v>
      </c>
      <c r="F438" s="1" t="s">
        <v>394</v>
      </c>
      <c r="G438" s="1" t="s">
        <v>40</v>
      </c>
      <c r="H438" s="1" t="s">
        <v>41</v>
      </c>
      <c r="I438" s="1" t="s">
        <v>2809</v>
      </c>
      <c r="J438" s="1" t="s">
        <v>2764</v>
      </c>
      <c r="K438" s="1">
        <v>29051700</v>
      </c>
      <c r="L438" s="6">
        <v>1.2</v>
      </c>
      <c r="M438" s="1" t="s">
        <v>70</v>
      </c>
      <c r="N438" s="7" t="s">
        <v>67</v>
      </c>
      <c r="O438" s="1" t="s">
        <v>53</v>
      </c>
      <c r="P438" s="8">
        <v>1500</v>
      </c>
      <c r="Q438" s="17">
        <f t="shared" si="45"/>
        <v>1800</v>
      </c>
      <c r="R438" s="9">
        <v>0</v>
      </c>
      <c r="S438" s="9">
        <v>0</v>
      </c>
      <c r="T438" s="9">
        <v>0</v>
      </c>
      <c r="U438" s="10">
        <v>0</v>
      </c>
      <c r="V438" s="1" t="s">
        <v>46</v>
      </c>
      <c r="W438" s="1" t="s">
        <v>143</v>
      </c>
      <c r="X438" s="1">
        <v>3161143</v>
      </c>
      <c r="Y438" s="11">
        <v>41796</v>
      </c>
      <c r="Z438" s="11">
        <v>41799</v>
      </c>
      <c r="AA438" s="9">
        <f t="shared" si="46"/>
        <v>1800</v>
      </c>
      <c r="AB438" s="12">
        <v>58.85</v>
      </c>
      <c r="AC438" s="9">
        <f t="shared" si="47"/>
        <v>105930</v>
      </c>
      <c r="AD438" s="9">
        <f t="shared" si="48"/>
        <v>105930</v>
      </c>
      <c r="AE438" s="1" t="s">
        <v>48</v>
      </c>
      <c r="AF438" s="1" t="s">
        <v>53</v>
      </c>
      <c r="AG438" s="4">
        <f t="shared" si="49"/>
        <v>1800</v>
      </c>
      <c r="AH438" s="10">
        <v>1800</v>
      </c>
      <c r="AI438" s="9">
        <v>0</v>
      </c>
      <c r="AJ438" s="9">
        <v>0</v>
      </c>
      <c r="AK438" s="9">
        <v>0</v>
      </c>
      <c r="AL438" s="9">
        <f t="shared" si="50"/>
        <v>1800</v>
      </c>
      <c r="AM438" s="1"/>
      <c r="AN438" s="1"/>
      <c r="AO438" s="12" t="e">
        <f>AB438/#REF!</f>
        <v>#REF!</v>
      </c>
      <c r="AP438" s="1" t="s">
        <v>1807</v>
      </c>
      <c r="AQ438" s="11">
        <v>41848</v>
      </c>
      <c r="AR438" s="1" t="s">
        <v>1808</v>
      </c>
      <c r="AS438" s="11">
        <v>41850</v>
      </c>
      <c r="AT438" s="1" t="s">
        <v>49</v>
      </c>
      <c r="AU438" s="1" t="s">
        <v>4171</v>
      </c>
    </row>
    <row r="439" spans="1:47" ht="15" customHeight="1" x14ac:dyDescent="0.25">
      <c r="A439" s="1">
        <v>438</v>
      </c>
      <c r="B439" s="1" t="s">
        <v>1258</v>
      </c>
      <c r="C439" s="1" t="s">
        <v>38</v>
      </c>
      <c r="D439" s="1" t="s">
        <v>1806</v>
      </c>
      <c r="E439" s="5">
        <v>41801</v>
      </c>
      <c r="F439" s="1" t="s">
        <v>394</v>
      </c>
      <c r="G439" s="1" t="s">
        <v>40</v>
      </c>
      <c r="H439" s="1" t="s">
        <v>41</v>
      </c>
      <c r="I439" s="1" t="s">
        <v>2809</v>
      </c>
      <c r="J439" s="1" t="s">
        <v>2764</v>
      </c>
      <c r="K439" s="1">
        <v>38237090</v>
      </c>
      <c r="L439" s="6">
        <v>12</v>
      </c>
      <c r="M439" s="1" t="s">
        <v>70</v>
      </c>
      <c r="N439" s="7" t="s">
        <v>67</v>
      </c>
      <c r="O439" s="1" t="s">
        <v>53</v>
      </c>
      <c r="P439" s="8">
        <v>1465</v>
      </c>
      <c r="Q439" s="17">
        <f t="shared" si="45"/>
        <v>17580</v>
      </c>
      <c r="R439" s="9">
        <v>0</v>
      </c>
      <c r="S439" s="9">
        <v>0</v>
      </c>
      <c r="T439" s="9">
        <v>0</v>
      </c>
      <c r="U439" s="10">
        <v>0</v>
      </c>
      <c r="V439" s="1" t="s">
        <v>46</v>
      </c>
      <c r="W439" s="1" t="s">
        <v>143</v>
      </c>
      <c r="X439" s="1">
        <v>3161143</v>
      </c>
      <c r="Y439" s="11">
        <v>41796</v>
      </c>
      <c r="Z439" s="11">
        <v>41799</v>
      </c>
      <c r="AA439" s="9">
        <f>Q439-R439-S439</f>
        <v>17580</v>
      </c>
      <c r="AB439" s="12">
        <v>58.85</v>
      </c>
      <c r="AC439" s="9">
        <f t="shared" si="47"/>
        <v>1034583</v>
      </c>
      <c r="AD439" s="9">
        <f t="shared" si="48"/>
        <v>1034583</v>
      </c>
      <c r="AE439" s="1" t="s">
        <v>48</v>
      </c>
      <c r="AF439" s="1" t="s">
        <v>53</v>
      </c>
      <c r="AG439" s="4">
        <f t="shared" si="49"/>
        <v>17580</v>
      </c>
      <c r="AH439" s="10">
        <v>17580</v>
      </c>
      <c r="AI439" s="9">
        <v>0</v>
      </c>
      <c r="AJ439" s="9">
        <v>0</v>
      </c>
      <c r="AK439" s="9">
        <v>0</v>
      </c>
      <c r="AL439" s="9">
        <f t="shared" si="50"/>
        <v>17580</v>
      </c>
      <c r="AM439" s="1"/>
      <c r="AN439" s="1"/>
      <c r="AO439" s="12" t="e">
        <f>AB439/#REF!</f>
        <v>#REF!</v>
      </c>
      <c r="AP439" s="1" t="s">
        <v>1807</v>
      </c>
      <c r="AQ439" s="11">
        <v>41848</v>
      </c>
      <c r="AR439" s="1" t="s">
        <v>1808</v>
      </c>
      <c r="AS439" s="11">
        <v>41850</v>
      </c>
      <c r="AT439" s="1" t="s">
        <v>49</v>
      </c>
      <c r="AU439" s="1" t="s">
        <v>4171</v>
      </c>
    </row>
    <row r="440" spans="1:47" ht="15" customHeight="1" x14ac:dyDescent="0.25">
      <c r="A440" s="1">
        <v>439</v>
      </c>
      <c r="B440" s="1" t="s">
        <v>1258</v>
      </c>
      <c r="C440" s="1" t="s">
        <v>38</v>
      </c>
      <c r="D440" s="1" t="s">
        <v>1806</v>
      </c>
      <c r="E440" s="5">
        <v>41801</v>
      </c>
      <c r="F440" s="1" t="s">
        <v>394</v>
      </c>
      <c r="G440" s="1" t="s">
        <v>40</v>
      </c>
      <c r="H440" s="1" t="s">
        <v>41</v>
      </c>
      <c r="I440" s="1" t="s">
        <v>2809</v>
      </c>
      <c r="J440" s="1" t="s">
        <v>2764</v>
      </c>
      <c r="K440" s="1">
        <v>29051700</v>
      </c>
      <c r="L440" s="6">
        <v>0.6</v>
      </c>
      <c r="M440" s="1" t="s">
        <v>70</v>
      </c>
      <c r="N440" s="7" t="s">
        <v>67</v>
      </c>
      <c r="O440" s="1" t="s">
        <v>53</v>
      </c>
      <c r="P440" s="8">
        <v>1750</v>
      </c>
      <c r="Q440" s="17">
        <f t="shared" si="45"/>
        <v>1050</v>
      </c>
      <c r="R440" s="9">
        <v>0</v>
      </c>
      <c r="S440" s="9">
        <v>0</v>
      </c>
      <c r="T440" s="9">
        <v>0</v>
      </c>
      <c r="U440" s="10">
        <v>0</v>
      </c>
      <c r="V440" s="1" t="s">
        <v>46</v>
      </c>
      <c r="W440" s="1" t="s">
        <v>143</v>
      </c>
      <c r="X440" s="1">
        <v>3161143</v>
      </c>
      <c r="Y440" s="11">
        <v>41796</v>
      </c>
      <c r="Z440" s="11">
        <v>41799</v>
      </c>
      <c r="AA440" s="9">
        <f>Q440-R440-S440</f>
        <v>1050</v>
      </c>
      <c r="AB440" s="12">
        <v>58.85</v>
      </c>
      <c r="AC440" s="9">
        <f t="shared" si="47"/>
        <v>61792.5</v>
      </c>
      <c r="AD440" s="9">
        <f t="shared" si="48"/>
        <v>61792.5</v>
      </c>
      <c r="AE440" s="1" t="s">
        <v>48</v>
      </c>
      <c r="AF440" s="1" t="s">
        <v>53</v>
      </c>
      <c r="AG440" s="4">
        <f t="shared" si="49"/>
        <v>1050</v>
      </c>
      <c r="AH440" s="10">
        <v>1030</v>
      </c>
      <c r="AI440" s="9">
        <v>0</v>
      </c>
      <c r="AJ440" s="9">
        <v>0</v>
      </c>
      <c r="AK440" s="9">
        <v>0</v>
      </c>
      <c r="AL440" s="9">
        <f t="shared" si="50"/>
        <v>1030</v>
      </c>
      <c r="AM440" s="1"/>
      <c r="AN440" s="1"/>
      <c r="AO440" s="12" t="e">
        <f>AB440/#REF!</f>
        <v>#REF!</v>
      </c>
      <c r="AP440" s="1" t="s">
        <v>1807</v>
      </c>
      <c r="AQ440" s="11">
        <v>41848</v>
      </c>
      <c r="AR440" s="1" t="s">
        <v>1808</v>
      </c>
      <c r="AS440" s="11">
        <v>41850</v>
      </c>
      <c r="AT440" s="1" t="s">
        <v>49</v>
      </c>
      <c r="AU440" s="1" t="s">
        <v>4171</v>
      </c>
    </row>
    <row r="441" spans="1:47" ht="15" customHeight="1" x14ac:dyDescent="0.25">
      <c r="A441" s="1">
        <v>440</v>
      </c>
      <c r="B441" s="1" t="s">
        <v>1258</v>
      </c>
      <c r="C441" s="1" t="s">
        <v>38</v>
      </c>
      <c r="D441" s="1">
        <v>9103550283</v>
      </c>
      <c r="E441" s="5">
        <v>41804</v>
      </c>
      <c r="F441" s="1" t="s">
        <v>429</v>
      </c>
      <c r="G441" s="1" t="s">
        <v>40</v>
      </c>
      <c r="H441" s="1" t="s">
        <v>41</v>
      </c>
      <c r="I441" s="1" t="s">
        <v>2809</v>
      </c>
      <c r="J441" s="1" t="s">
        <v>55</v>
      </c>
      <c r="K441" s="1">
        <v>38237090</v>
      </c>
      <c r="L441" s="6">
        <v>18.14</v>
      </c>
      <c r="M441" s="1" t="s">
        <v>70</v>
      </c>
      <c r="N441" s="7" t="s">
        <v>44</v>
      </c>
      <c r="O441" s="1" t="s">
        <v>53</v>
      </c>
      <c r="P441" s="8">
        <v>1675</v>
      </c>
      <c r="Q441" s="17">
        <f t="shared" ref="Q441:Q504" si="51">+L441*P441</f>
        <v>30384.5</v>
      </c>
      <c r="R441" s="9">
        <v>3200</v>
      </c>
      <c r="S441" s="9">
        <v>4.34</v>
      </c>
      <c r="T441" s="9">
        <v>0</v>
      </c>
      <c r="U441" s="10">
        <v>0</v>
      </c>
      <c r="V441" s="1" t="s">
        <v>46</v>
      </c>
      <c r="W441" s="1" t="s">
        <v>56</v>
      </c>
      <c r="X441" s="1">
        <v>3176570</v>
      </c>
      <c r="Y441" s="11">
        <v>41797</v>
      </c>
      <c r="Z441" s="11">
        <v>41799</v>
      </c>
      <c r="AA441" s="9">
        <f>Q441-R441-S441</f>
        <v>27180.16</v>
      </c>
      <c r="AB441" s="12">
        <v>58.85</v>
      </c>
      <c r="AC441" s="9">
        <f t="shared" ref="AC441:AC504" si="52">+Q441*AB441</f>
        <v>1788127.825</v>
      </c>
      <c r="AD441" s="9">
        <f t="shared" ref="AD441:AD504" si="53">+AA441*AB441</f>
        <v>1599552.416</v>
      </c>
      <c r="AE441" s="1" t="s">
        <v>51</v>
      </c>
      <c r="AF441" s="1" t="s">
        <v>53</v>
      </c>
      <c r="AG441" s="4">
        <f t="shared" si="49"/>
        <v>30384.5</v>
      </c>
      <c r="AH441" s="10">
        <v>30384</v>
      </c>
      <c r="AI441" s="10">
        <v>3175</v>
      </c>
      <c r="AJ441" s="10">
        <v>4.34</v>
      </c>
      <c r="AK441" s="10">
        <v>0</v>
      </c>
      <c r="AL441" s="9">
        <f t="shared" si="50"/>
        <v>27204.66</v>
      </c>
      <c r="AM441" s="1"/>
      <c r="AN441" s="1"/>
      <c r="AO441" s="12" t="e">
        <f>AB441/#REF!</f>
        <v>#REF!</v>
      </c>
      <c r="AP441" s="1" t="s">
        <v>1809</v>
      </c>
      <c r="AQ441" s="11">
        <v>41822</v>
      </c>
      <c r="AR441" s="1" t="s">
        <v>1810</v>
      </c>
      <c r="AS441" s="11">
        <v>41832</v>
      </c>
      <c r="AT441" s="1" t="s">
        <v>49</v>
      </c>
      <c r="AU441" s="1" t="s">
        <v>4171</v>
      </c>
    </row>
    <row r="442" spans="1:47" ht="15" customHeight="1" x14ac:dyDescent="0.25">
      <c r="A442" s="1">
        <v>441</v>
      </c>
      <c r="B442" s="1" t="s">
        <v>1258</v>
      </c>
      <c r="C442" s="1" t="s">
        <v>38</v>
      </c>
      <c r="D442" s="1">
        <v>9103550284</v>
      </c>
      <c r="E442" s="5">
        <v>41804</v>
      </c>
      <c r="F442" s="1" t="s">
        <v>406</v>
      </c>
      <c r="G442" s="1" t="s">
        <v>40</v>
      </c>
      <c r="H442" s="1" t="s">
        <v>41</v>
      </c>
      <c r="I442" s="1" t="s">
        <v>2809</v>
      </c>
      <c r="J442" s="1" t="s">
        <v>307</v>
      </c>
      <c r="K442" s="1">
        <v>38237090</v>
      </c>
      <c r="L442" s="6">
        <v>8.4</v>
      </c>
      <c r="M442" s="1" t="s">
        <v>70</v>
      </c>
      <c r="N442" s="7" t="s">
        <v>52</v>
      </c>
      <c r="O442" s="1" t="s">
        <v>53</v>
      </c>
      <c r="P442" s="8">
        <v>4605</v>
      </c>
      <c r="Q442" s="17">
        <f t="shared" si="51"/>
        <v>38682</v>
      </c>
      <c r="R442" s="9">
        <v>1400</v>
      </c>
      <c r="S442" s="9">
        <v>0</v>
      </c>
      <c r="T442" s="9">
        <v>0</v>
      </c>
      <c r="U442" s="10">
        <v>0</v>
      </c>
      <c r="V442" s="1" t="s">
        <v>46</v>
      </c>
      <c r="W442" s="1" t="s">
        <v>308</v>
      </c>
      <c r="X442" s="1">
        <v>3176897</v>
      </c>
      <c r="Y442" s="11">
        <v>41797</v>
      </c>
      <c r="Z442" s="11">
        <v>41799</v>
      </c>
      <c r="AA442" s="9">
        <f t="shared" ref="AA442:AA505" si="54">Q442-R442-S442</f>
        <v>37282</v>
      </c>
      <c r="AB442" s="12">
        <v>58.85</v>
      </c>
      <c r="AC442" s="9">
        <f t="shared" si="52"/>
        <v>2276435.7000000002</v>
      </c>
      <c r="AD442" s="9">
        <f t="shared" si="53"/>
        <v>2194045.7000000002</v>
      </c>
      <c r="AE442" s="1" t="s">
        <v>48</v>
      </c>
      <c r="AF442" s="1" t="s">
        <v>53</v>
      </c>
      <c r="AG442" s="4">
        <f t="shared" si="49"/>
        <v>38682</v>
      </c>
      <c r="AH442" s="10">
        <v>38637</v>
      </c>
      <c r="AI442" s="10">
        <v>1446</v>
      </c>
      <c r="AJ442" s="10">
        <v>0</v>
      </c>
      <c r="AK442" s="10">
        <v>0</v>
      </c>
      <c r="AL442" s="9">
        <f t="shared" si="50"/>
        <v>37191</v>
      </c>
      <c r="AM442" s="1"/>
      <c r="AN442" s="1"/>
      <c r="AO442" s="12" t="e">
        <f>AB442/#REF!</f>
        <v>#REF!</v>
      </c>
      <c r="AP442" s="1" t="s">
        <v>1811</v>
      </c>
      <c r="AQ442" s="11">
        <v>41901</v>
      </c>
      <c r="AR442" s="1" t="s">
        <v>1812</v>
      </c>
      <c r="AS442" s="11">
        <v>41902</v>
      </c>
      <c r="AT442" s="1" t="s">
        <v>49</v>
      </c>
      <c r="AU442" s="1" t="s">
        <v>4171</v>
      </c>
    </row>
    <row r="443" spans="1:47" ht="15" customHeight="1" x14ac:dyDescent="0.25">
      <c r="A443" s="1">
        <v>442</v>
      </c>
      <c r="B443" s="1" t="s">
        <v>1258</v>
      </c>
      <c r="C443" s="1" t="s">
        <v>38</v>
      </c>
      <c r="D443" s="1">
        <v>9103550285</v>
      </c>
      <c r="E443" s="5">
        <v>41804</v>
      </c>
      <c r="F443" s="1" t="s">
        <v>417</v>
      </c>
      <c r="G443" s="1" t="s">
        <v>40</v>
      </c>
      <c r="H443" s="1" t="s">
        <v>41</v>
      </c>
      <c r="I443" s="1" t="s">
        <v>2809</v>
      </c>
      <c r="J443" s="1" t="s">
        <v>55</v>
      </c>
      <c r="K443" s="1">
        <v>38237090</v>
      </c>
      <c r="L443" s="6">
        <v>36.28</v>
      </c>
      <c r="M443" s="1" t="s">
        <v>70</v>
      </c>
      <c r="N443" s="7" t="s">
        <v>44</v>
      </c>
      <c r="O443" s="1" t="s">
        <v>53</v>
      </c>
      <c r="P443" s="8">
        <v>1813</v>
      </c>
      <c r="Q443" s="17">
        <f t="shared" si="51"/>
        <v>65775.64</v>
      </c>
      <c r="R443" s="9">
        <v>6400</v>
      </c>
      <c r="S443" s="9">
        <v>9.41</v>
      </c>
      <c r="T443" s="9">
        <v>0</v>
      </c>
      <c r="U443" s="10">
        <v>0</v>
      </c>
      <c r="V443" s="1" t="s">
        <v>46</v>
      </c>
      <c r="W443" s="1" t="s">
        <v>56</v>
      </c>
      <c r="X443" s="1">
        <v>3199793</v>
      </c>
      <c r="Y443" s="11">
        <v>41799</v>
      </c>
      <c r="Z443" s="11">
        <v>41800</v>
      </c>
      <c r="AA443" s="9">
        <f t="shared" si="54"/>
        <v>59366.229999999996</v>
      </c>
      <c r="AB443" s="12">
        <v>58.85</v>
      </c>
      <c r="AC443" s="9">
        <f t="shared" si="52"/>
        <v>3870896.4139999999</v>
      </c>
      <c r="AD443" s="9">
        <f t="shared" si="53"/>
        <v>3493702.6354999999</v>
      </c>
      <c r="AE443" s="1" t="s">
        <v>51</v>
      </c>
      <c r="AF443" s="1" t="s">
        <v>53</v>
      </c>
      <c r="AG443" s="4">
        <f t="shared" si="49"/>
        <v>65775.64</v>
      </c>
      <c r="AH443" s="10">
        <v>65775</v>
      </c>
      <c r="AI443" s="10">
        <v>6350</v>
      </c>
      <c r="AJ443" s="10">
        <v>9.41</v>
      </c>
      <c r="AK443" s="10">
        <v>0</v>
      </c>
      <c r="AL443" s="9">
        <f t="shared" si="50"/>
        <v>59415.59</v>
      </c>
      <c r="AM443" s="1"/>
      <c r="AN443" s="1"/>
      <c r="AO443" s="12" t="e">
        <f>AB443/#REF!</f>
        <v>#REF!</v>
      </c>
      <c r="AP443" s="1" t="s">
        <v>1813</v>
      </c>
      <c r="AQ443" s="11">
        <v>41822</v>
      </c>
      <c r="AR443" s="1" t="s">
        <v>1814</v>
      </c>
      <c r="AS443" s="11">
        <v>41832</v>
      </c>
      <c r="AT443" s="1" t="s">
        <v>49</v>
      </c>
      <c r="AU443" s="1" t="s">
        <v>4171</v>
      </c>
    </row>
    <row r="444" spans="1:47" ht="15" customHeight="1" x14ac:dyDescent="0.25">
      <c r="A444" s="1">
        <v>443</v>
      </c>
      <c r="B444" s="1" t="s">
        <v>1258</v>
      </c>
      <c r="C444" s="1" t="s">
        <v>38</v>
      </c>
      <c r="D444" s="1">
        <v>9103550286</v>
      </c>
      <c r="E444" s="5">
        <v>41811</v>
      </c>
      <c r="F444" s="1" t="s">
        <v>409</v>
      </c>
      <c r="G444" s="1" t="s">
        <v>40</v>
      </c>
      <c r="H444" s="1" t="s">
        <v>41</v>
      </c>
      <c r="I444" s="1" t="s">
        <v>2809</v>
      </c>
      <c r="J444" s="1" t="s">
        <v>55</v>
      </c>
      <c r="K444" s="1">
        <v>38237090</v>
      </c>
      <c r="L444" s="6">
        <v>36.28</v>
      </c>
      <c r="M444" s="1" t="s">
        <v>70</v>
      </c>
      <c r="N444" s="7" t="s">
        <v>44</v>
      </c>
      <c r="O444" s="1" t="s">
        <v>53</v>
      </c>
      <c r="P444" s="8">
        <v>1813</v>
      </c>
      <c r="Q444" s="17">
        <f t="shared" si="51"/>
        <v>65775.64</v>
      </c>
      <c r="R444" s="9">
        <v>6400</v>
      </c>
      <c r="S444" s="9">
        <v>9.41</v>
      </c>
      <c r="T444" s="9">
        <v>0</v>
      </c>
      <c r="U444" s="10">
        <v>0</v>
      </c>
      <c r="V444" s="1" t="s">
        <v>46</v>
      </c>
      <c r="W444" s="1" t="s">
        <v>56</v>
      </c>
      <c r="X444" s="1">
        <v>3220467</v>
      </c>
      <c r="Y444" s="11">
        <v>41800</v>
      </c>
      <c r="Z444" s="11">
        <v>41802</v>
      </c>
      <c r="AA444" s="9">
        <f t="shared" si="54"/>
        <v>59366.229999999996</v>
      </c>
      <c r="AB444" s="12">
        <v>58.85</v>
      </c>
      <c r="AC444" s="9">
        <f t="shared" si="52"/>
        <v>3870896.4139999999</v>
      </c>
      <c r="AD444" s="9">
        <f t="shared" si="53"/>
        <v>3493702.6354999999</v>
      </c>
      <c r="AE444" s="1" t="s">
        <v>51</v>
      </c>
      <c r="AF444" s="1" t="s">
        <v>53</v>
      </c>
      <c r="AG444" s="4">
        <f t="shared" si="49"/>
        <v>65775.64</v>
      </c>
      <c r="AH444" s="10">
        <v>65776</v>
      </c>
      <c r="AI444" s="10">
        <v>6350</v>
      </c>
      <c r="AJ444" s="10">
        <v>9.41</v>
      </c>
      <c r="AK444" s="10"/>
      <c r="AL444" s="9">
        <f t="shared" si="50"/>
        <v>59416.59</v>
      </c>
      <c r="AM444" s="1"/>
      <c r="AN444" s="1"/>
      <c r="AO444" s="12" t="e">
        <f>AB444/#REF!</f>
        <v>#REF!</v>
      </c>
      <c r="AP444" s="1" t="s">
        <v>1815</v>
      </c>
      <c r="AQ444" s="11">
        <v>41893</v>
      </c>
      <c r="AR444" s="1" t="s">
        <v>1816</v>
      </c>
      <c r="AS444" s="11">
        <v>41905</v>
      </c>
      <c r="AT444" s="1" t="s">
        <v>49</v>
      </c>
      <c r="AU444" s="1" t="s">
        <v>4171</v>
      </c>
    </row>
    <row r="445" spans="1:47" ht="15" customHeight="1" x14ac:dyDescent="0.25">
      <c r="A445" s="1">
        <v>444</v>
      </c>
      <c r="B445" s="1" t="s">
        <v>1258</v>
      </c>
      <c r="C445" s="1" t="s">
        <v>38</v>
      </c>
      <c r="D445" s="1">
        <v>9103550287</v>
      </c>
      <c r="E445" s="5">
        <v>41804</v>
      </c>
      <c r="F445" s="1" t="s">
        <v>411</v>
      </c>
      <c r="G445" s="1" t="s">
        <v>40</v>
      </c>
      <c r="H445" s="1" t="s">
        <v>41</v>
      </c>
      <c r="I445" s="1" t="s">
        <v>2809</v>
      </c>
      <c r="J445" s="1" t="s">
        <v>55</v>
      </c>
      <c r="K445" s="1">
        <v>38237090</v>
      </c>
      <c r="L445" s="6">
        <v>36.28</v>
      </c>
      <c r="M445" s="1" t="s">
        <v>70</v>
      </c>
      <c r="N445" s="7" t="s">
        <v>44</v>
      </c>
      <c r="O445" s="1" t="s">
        <v>53</v>
      </c>
      <c r="P445" s="8">
        <v>1777</v>
      </c>
      <c r="Q445" s="17">
        <f t="shared" si="51"/>
        <v>64469.560000000005</v>
      </c>
      <c r="R445" s="9">
        <v>4912</v>
      </c>
      <c r="S445" s="9">
        <v>9.2200000000000006</v>
      </c>
      <c r="T445" s="9">
        <v>0</v>
      </c>
      <c r="U445" s="10">
        <v>0</v>
      </c>
      <c r="V445" s="1" t="s">
        <v>46</v>
      </c>
      <c r="W445" s="1" t="s">
        <v>56</v>
      </c>
      <c r="X445" s="1">
        <v>3198888</v>
      </c>
      <c r="Y445" s="11">
        <v>41799</v>
      </c>
      <c r="Z445" s="11">
        <v>41800</v>
      </c>
      <c r="AA445" s="9">
        <f t="shared" si="54"/>
        <v>59548.340000000004</v>
      </c>
      <c r="AB445" s="12">
        <v>58.85</v>
      </c>
      <c r="AC445" s="9">
        <f t="shared" si="52"/>
        <v>3794033.6060000006</v>
      </c>
      <c r="AD445" s="9">
        <f t="shared" si="53"/>
        <v>3504419.8090000004</v>
      </c>
      <c r="AE445" s="1" t="s">
        <v>51</v>
      </c>
      <c r="AF445" s="1" t="s">
        <v>53</v>
      </c>
      <c r="AG445" s="4">
        <f t="shared" si="49"/>
        <v>64469.560000000005</v>
      </c>
      <c r="AH445" s="10">
        <v>64434</v>
      </c>
      <c r="AI445" s="10">
        <v>4912</v>
      </c>
      <c r="AJ445" s="10">
        <v>9.2200000000000006</v>
      </c>
      <c r="AK445" s="10">
        <v>0</v>
      </c>
      <c r="AL445" s="9">
        <f t="shared" si="50"/>
        <v>59512.78</v>
      </c>
      <c r="AM445" s="1"/>
      <c r="AN445" s="1"/>
      <c r="AO445" s="12" t="e">
        <f>AB445/#REF!</f>
        <v>#REF!</v>
      </c>
      <c r="AP445" s="1" t="s">
        <v>1817</v>
      </c>
      <c r="AQ445" s="11">
        <v>41822</v>
      </c>
      <c r="AR445" s="1" t="s">
        <v>1818</v>
      </c>
      <c r="AS445" s="11">
        <v>41832</v>
      </c>
      <c r="AT445" s="1" t="s">
        <v>49</v>
      </c>
      <c r="AU445" s="1" t="s">
        <v>4171</v>
      </c>
    </row>
    <row r="446" spans="1:47" ht="15" customHeight="1" x14ac:dyDescent="0.25">
      <c r="A446" s="1">
        <v>445</v>
      </c>
      <c r="B446" s="1" t="s">
        <v>1258</v>
      </c>
      <c r="C446" s="1" t="s">
        <v>38</v>
      </c>
      <c r="D446" s="1">
        <v>9103550288</v>
      </c>
      <c r="E446" s="5">
        <v>41811</v>
      </c>
      <c r="F446" s="1" t="s">
        <v>410</v>
      </c>
      <c r="G446" s="1" t="s">
        <v>40</v>
      </c>
      <c r="H446" s="1" t="s">
        <v>41</v>
      </c>
      <c r="I446" s="1" t="s">
        <v>2809</v>
      </c>
      <c r="J446" s="1" t="s">
        <v>55</v>
      </c>
      <c r="K446" s="1">
        <v>38237090</v>
      </c>
      <c r="L446" s="6">
        <v>36.28</v>
      </c>
      <c r="M446" s="1" t="s">
        <v>70</v>
      </c>
      <c r="N446" s="7" t="s">
        <v>44</v>
      </c>
      <c r="O446" s="1" t="s">
        <v>53</v>
      </c>
      <c r="P446" s="8">
        <v>1777</v>
      </c>
      <c r="Q446" s="17">
        <f t="shared" si="51"/>
        <v>64469.560000000005</v>
      </c>
      <c r="R446" s="9">
        <v>4912</v>
      </c>
      <c r="S446" s="9">
        <v>9.2200000000000006</v>
      </c>
      <c r="T446" s="9">
        <v>0</v>
      </c>
      <c r="U446" s="10">
        <v>0</v>
      </c>
      <c r="V446" s="1" t="s">
        <v>46</v>
      </c>
      <c r="W446" s="1" t="s">
        <v>56</v>
      </c>
      <c r="X446" s="1">
        <v>3222426</v>
      </c>
      <c r="Y446" s="11">
        <v>41800</v>
      </c>
      <c r="Z446" s="11">
        <v>41802</v>
      </c>
      <c r="AA446" s="9">
        <f t="shared" si="54"/>
        <v>59548.340000000004</v>
      </c>
      <c r="AB446" s="12">
        <v>58.85</v>
      </c>
      <c r="AC446" s="9">
        <f t="shared" si="52"/>
        <v>3794033.6060000006</v>
      </c>
      <c r="AD446" s="9">
        <f t="shared" si="53"/>
        <v>3504419.8090000004</v>
      </c>
      <c r="AE446" s="1" t="s">
        <v>51</v>
      </c>
      <c r="AF446" s="1" t="s">
        <v>53</v>
      </c>
      <c r="AG446" s="4">
        <f t="shared" si="49"/>
        <v>64469.560000000005</v>
      </c>
      <c r="AH446" s="10">
        <v>64470</v>
      </c>
      <c r="AI446" s="10">
        <v>4912</v>
      </c>
      <c r="AJ446" s="10">
        <v>9.2200000000000006</v>
      </c>
      <c r="AK446" s="10">
        <v>0</v>
      </c>
      <c r="AL446" s="9">
        <f t="shared" si="50"/>
        <v>59548.78</v>
      </c>
      <c r="AM446" s="1"/>
      <c r="AN446" s="1"/>
      <c r="AO446" s="12" t="e">
        <f>AB446/#REF!</f>
        <v>#REF!</v>
      </c>
      <c r="AP446" s="1" t="s">
        <v>1819</v>
      </c>
      <c r="AQ446" s="11">
        <v>41893</v>
      </c>
      <c r="AR446" s="1" t="s">
        <v>1820</v>
      </c>
      <c r="AS446" s="11">
        <v>41905</v>
      </c>
      <c r="AT446" s="1" t="s">
        <v>49</v>
      </c>
      <c r="AU446" s="1" t="s">
        <v>4171</v>
      </c>
    </row>
    <row r="447" spans="1:47" ht="15" customHeight="1" x14ac:dyDescent="0.25">
      <c r="A447" s="1">
        <v>446</v>
      </c>
      <c r="B447" s="1" t="s">
        <v>1258</v>
      </c>
      <c r="C447" s="1" t="s">
        <v>38</v>
      </c>
      <c r="D447" s="1">
        <v>9103550289</v>
      </c>
      <c r="E447" s="5">
        <v>41808</v>
      </c>
      <c r="F447" s="1" t="s">
        <v>412</v>
      </c>
      <c r="G447" s="1" t="s">
        <v>40</v>
      </c>
      <c r="H447" s="1" t="s">
        <v>41</v>
      </c>
      <c r="I447" s="1" t="s">
        <v>2809</v>
      </c>
      <c r="J447" s="1" t="s">
        <v>55</v>
      </c>
      <c r="K447" s="1">
        <v>38237090</v>
      </c>
      <c r="L447" s="6">
        <v>37.29</v>
      </c>
      <c r="M447" s="1" t="s">
        <v>70</v>
      </c>
      <c r="N447" s="7" t="s">
        <v>44</v>
      </c>
      <c r="O447" s="1" t="s">
        <v>53</v>
      </c>
      <c r="P447" s="8">
        <v>1679</v>
      </c>
      <c r="Q447" s="17">
        <f t="shared" si="51"/>
        <v>62609.909999999996</v>
      </c>
      <c r="R447" s="9">
        <v>10000</v>
      </c>
      <c r="S447" s="9">
        <v>8.9499999999999993</v>
      </c>
      <c r="T447" s="9">
        <v>0</v>
      </c>
      <c r="U447" s="10">
        <v>0</v>
      </c>
      <c r="V447" s="1" t="s">
        <v>46</v>
      </c>
      <c r="W447" s="1" t="s">
        <v>56</v>
      </c>
      <c r="X447" s="1">
        <v>3222431</v>
      </c>
      <c r="Y447" s="11">
        <v>41800</v>
      </c>
      <c r="Z447" s="11">
        <v>41802</v>
      </c>
      <c r="AA447" s="9">
        <f t="shared" si="54"/>
        <v>52600.959999999999</v>
      </c>
      <c r="AB447" s="12">
        <v>58.85</v>
      </c>
      <c r="AC447" s="9">
        <f t="shared" si="52"/>
        <v>3684593.2034999998</v>
      </c>
      <c r="AD447" s="9">
        <f t="shared" si="53"/>
        <v>3095566.4959999998</v>
      </c>
      <c r="AE447" s="1" t="s">
        <v>51</v>
      </c>
      <c r="AF447" s="1" t="s">
        <v>53</v>
      </c>
      <c r="AG447" s="4">
        <f t="shared" si="49"/>
        <v>62609.909999999996</v>
      </c>
      <c r="AH447" s="10">
        <v>62609</v>
      </c>
      <c r="AI447" s="10">
        <v>9800</v>
      </c>
      <c r="AJ447" s="10">
        <v>8.9499999999999993</v>
      </c>
      <c r="AK447" s="10">
        <v>0</v>
      </c>
      <c r="AL447" s="9">
        <f t="shared" si="50"/>
        <v>52800.05</v>
      </c>
      <c r="AM447" s="1"/>
      <c r="AN447" s="1"/>
      <c r="AO447" s="12" t="e">
        <f>AB447/#REF!</f>
        <v>#REF!</v>
      </c>
      <c r="AP447" s="1" t="s">
        <v>1821</v>
      </c>
      <c r="AQ447" s="11">
        <v>41822</v>
      </c>
      <c r="AR447" s="1" t="s">
        <v>1822</v>
      </c>
      <c r="AS447" s="11">
        <v>41832</v>
      </c>
      <c r="AT447" s="1" t="s">
        <v>49</v>
      </c>
      <c r="AU447" s="1" t="s">
        <v>4171</v>
      </c>
    </row>
    <row r="448" spans="1:47" ht="15" customHeight="1" x14ac:dyDescent="0.25">
      <c r="A448" s="1">
        <v>447</v>
      </c>
      <c r="B448" s="1" t="s">
        <v>1258</v>
      </c>
      <c r="C448" s="1" t="s">
        <v>38</v>
      </c>
      <c r="D448" s="1">
        <v>9103550290</v>
      </c>
      <c r="E448" s="5">
        <v>41808</v>
      </c>
      <c r="F448" s="1" t="s">
        <v>414</v>
      </c>
      <c r="G448" s="1" t="s">
        <v>40</v>
      </c>
      <c r="H448" s="1" t="s">
        <v>41</v>
      </c>
      <c r="I448" s="1" t="s">
        <v>2809</v>
      </c>
      <c r="J448" s="2" t="s">
        <v>58</v>
      </c>
      <c r="K448" s="1">
        <v>29159020</v>
      </c>
      <c r="L448" s="6">
        <v>59.77</v>
      </c>
      <c r="M448" s="1" t="s">
        <v>70</v>
      </c>
      <c r="N448" s="7" t="s">
        <v>44</v>
      </c>
      <c r="O448" s="1" t="s">
        <v>45</v>
      </c>
      <c r="P448" s="8">
        <v>3590</v>
      </c>
      <c r="Q448" s="17">
        <f t="shared" si="51"/>
        <v>214574.30000000002</v>
      </c>
      <c r="R448" s="9">
        <v>5755.86</v>
      </c>
      <c r="S448" s="9">
        <v>30.68</v>
      </c>
      <c r="T448" s="9">
        <v>4082.29</v>
      </c>
      <c r="U448" s="10">
        <v>0</v>
      </c>
      <c r="V448" s="1" t="s">
        <v>46</v>
      </c>
      <c r="W448" s="1" t="s">
        <v>59</v>
      </c>
      <c r="X448" s="1">
        <v>3222445</v>
      </c>
      <c r="Y448" s="11">
        <v>41800</v>
      </c>
      <c r="Z448" s="11">
        <v>41801</v>
      </c>
      <c r="AA448" s="9">
        <f t="shared" si="54"/>
        <v>208787.76000000004</v>
      </c>
      <c r="AB448" s="12">
        <v>79.75</v>
      </c>
      <c r="AC448" s="9">
        <f t="shared" si="52"/>
        <v>17112300.425000001</v>
      </c>
      <c r="AD448" s="9">
        <f t="shared" si="53"/>
        <v>16650823.860000003</v>
      </c>
      <c r="AE448" s="1" t="s">
        <v>284</v>
      </c>
      <c r="AF448" s="1" t="s">
        <v>45</v>
      </c>
      <c r="AG448" s="4">
        <f t="shared" si="49"/>
        <v>214574.30000000002</v>
      </c>
      <c r="AH448" s="10">
        <v>214252.44</v>
      </c>
      <c r="AI448" s="10">
        <v>6382.33</v>
      </c>
      <c r="AJ448" s="10">
        <v>30.68</v>
      </c>
      <c r="AK448" s="10">
        <v>4291.49</v>
      </c>
      <c r="AL448" s="9">
        <f t="shared" si="50"/>
        <v>203547.94</v>
      </c>
      <c r="AM448" s="1"/>
      <c r="AN448" s="1"/>
      <c r="AO448" s="12" t="e">
        <f>AB448/#REF!</f>
        <v>#REF!</v>
      </c>
      <c r="AP448" s="1" t="s">
        <v>1823</v>
      </c>
      <c r="AQ448" s="11">
        <v>41835</v>
      </c>
      <c r="AR448" s="1" t="s">
        <v>1824</v>
      </c>
      <c r="AS448" s="11">
        <v>41835</v>
      </c>
      <c r="AT448" s="1" t="s">
        <v>49</v>
      </c>
      <c r="AU448" s="1" t="s">
        <v>4171</v>
      </c>
    </row>
    <row r="449" spans="1:47" ht="15" customHeight="1" x14ac:dyDescent="0.25">
      <c r="A449" s="1">
        <v>448</v>
      </c>
      <c r="B449" s="1" t="s">
        <v>1258</v>
      </c>
      <c r="C449" s="1" t="s">
        <v>38</v>
      </c>
      <c r="D449" s="1">
        <v>9103550291</v>
      </c>
      <c r="E449" s="5">
        <v>41806</v>
      </c>
      <c r="F449" s="1" t="s">
        <v>413</v>
      </c>
      <c r="G449" s="1" t="s">
        <v>40</v>
      </c>
      <c r="H449" s="1" t="s">
        <v>41</v>
      </c>
      <c r="I449" s="1" t="s">
        <v>2809</v>
      </c>
      <c r="J449" s="1" t="s">
        <v>837</v>
      </c>
      <c r="K449" s="1">
        <v>29159020</v>
      </c>
      <c r="L449" s="6">
        <v>19.98</v>
      </c>
      <c r="M449" s="1" t="s">
        <v>70</v>
      </c>
      <c r="N449" s="7" t="s">
        <v>44</v>
      </c>
      <c r="O449" s="1" t="s">
        <v>53</v>
      </c>
      <c r="P449" s="8">
        <v>4650</v>
      </c>
      <c r="Q449" s="17">
        <f t="shared" si="51"/>
        <v>92907</v>
      </c>
      <c r="R449" s="9">
        <v>6650</v>
      </c>
      <c r="S449" s="9">
        <v>13.29</v>
      </c>
      <c r="T449" s="9">
        <v>0</v>
      </c>
      <c r="U449" s="10">
        <v>0</v>
      </c>
      <c r="V449" s="1" t="s">
        <v>46</v>
      </c>
      <c r="W449" s="1" t="s">
        <v>56</v>
      </c>
      <c r="X449" s="1">
        <v>3223836</v>
      </c>
      <c r="Y449" s="11">
        <v>41800</v>
      </c>
      <c r="Z449" s="11">
        <v>41802</v>
      </c>
      <c r="AA449" s="9">
        <f t="shared" si="54"/>
        <v>86243.71</v>
      </c>
      <c r="AB449" s="12">
        <v>58.85</v>
      </c>
      <c r="AC449" s="9">
        <f t="shared" si="52"/>
        <v>5467576.9500000002</v>
      </c>
      <c r="AD449" s="9">
        <f t="shared" si="53"/>
        <v>5075442.3335000006</v>
      </c>
      <c r="AE449" s="1" t="s">
        <v>57</v>
      </c>
      <c r="AF449" s="1" t="s">
        <v>53</v>
      </c>
      <c r="AG449" s="4">
        <f t="shared" si="49"/>
        <v>92907</v>
      </c>
      <c r="AH449" s="10">
        <v>92722</v>
      </c>
      <c r="AI449" s="10">
        <v>6250</v>
      </c>
      <c r="AJ449" s="10">
        <v>13.29</v>
      </c>
      <c r="AK449" s="10">
        <v>0</v>
      </c>
      <c r="AL449" s="9">
        <f t="shared" si="50"/>
        <v>86458.71</v>
      </c>
      <c r="AM449" s="1"/>
      <c r="AN449" s="1"/>
      <c r="AO449" s="12" t="e">
        <f>AB449/#REF!</f>
        <v>#REF!</v>
      </c>
      <c r="AP449" s="1"/>
      <c r="AQ449" s="11">
        <v>41856</v>
      </c>
      <c r="AR449" s="1" t="s">
        <v>3332</v>
      </c>
      <c r="AS449" s="11">
        <v>42060</v>
      </c>
      <c r="AT449" s="1" t="s">
        <v>49</v>
      </c>
      <c r="AU449" s="1" t="s">
        <v>4171</v>
      </c>
    </row>
    <row r="450" spans="1:47" ht="15" customHeight="1" x14ac:dyDescent="0.25">
      <c r="A450" s="1">
        <v>449</v>
      </c>
      <c r="B450" s="1" t="s">
        <v>1258</v>
      </c>
      <c r="C450" s="1" t="s">
        <v>38</v>
      </c>
      <c r="D450" s="1">
        <v>9103550292</v>
      </c>
      <c r="E450" s="5">
        <v>41808</v>
      </c>
      <c r="F450" s="1" t="s">
        <v>418</v>
      </c>
      <c r="G450" s="1" t="s">
        <v>40</v>
      </c>
      <c r="H450" s="1" t="s">
        <v>41</v>
      </c>
      <c r="I450" s="1" t="s">
        <v>2809</v>
      </c>
      <c r="J450" s="1" t="s">
        <v>1825</v>
      </c>
      <c r="K450" s="1">
        <v>38237090</v>
      </c>
      <c r="L450" s="6">
        <v>12</v>
      </c>
      <c r="M450" s="1" t="s">
        <v>70</v>
      </c>
      <c r="N450" s="7" t="s">
        <v>52</v>
      </c>
      <c r="O450" s="1" t="s">
        <v>53</v>
      </c>
      <c r="P450" s="8">
        <v>1840</v>
      </c>
      <c r="Q450" s="17">
        <f t="shared" si="51"/>
        <v>22080</v>
      </c>
      <c r="R450" s="9">
        <v>950</v>
      </c>
      <c r="S450" s="9">
        <v>0</v>
      </c>
      <c r="T450" s="9">
        <v>0</v>
      </c>
      <c r="U450" s="10">
        <v>0</v>
      </c>
      <c r="V450" s="1" t="s">
        <v>46</v>
      </c>
      <c r="W450" s="1" t="s">
        <v>1826</v>
      </c>
      <c r="X450" s="1">
        <v>3239173</v>
      </c>
      <c r="Y450" s="11">
        <v>41801</v>
      </c>
      <c r="Z450" s="11">
        <v>41802</v>
      </c>
      <c r="AA450" s="9">
        <f t="shared" si="54"/>
        <v>21130</v>
      </c>
      <c r="AB450" s="12">
        <v>58.85</v>
      </c>
      <c r="AC450" s="9">
        <f t="shared" si="52"/>
        <v>1299408</v>
      </c>
      <c r="AD450" s="9">
        <f t="shared" si="53"/>
        <v>1243500.5</v>
      </c>
      <c r="AE450" s="1" t="s">
        <v>48</v>
      </c>
      <c r="AF450" s="1" t="s">
        <v>53</v>
      </c>
      <c r="AG450" s="4">
        <f t="shared" ref="AG450:AG513" si="55">Q450</f>
        <v>22080</v>
      </c>
      <c r="AH450" s="10">
        <v>22080</v>
      </c>
      <c r="AI450" s="10">
        <v>937</v>
      </c>
      <c r="AJ450" s="10">
        <v>0</v>
      </c>
      <c r="AK450" s="10">
        <v>0</v>
      </c>
      <c r="AL450" s="9">
        <f t="shared" ref="AL450:AL513" si="56">AH450-(AI450+AJ450+AK450)</f>
        <v>21143</v>
      </c>
      <c r="AM450" s="1"/>
      <c r="AN450" s="1"/>
      <c r="AO450" s="12" t="e">
        <f>AB450/#REF!</f>
        <v>#REF!</v>
      </c>
      <c r="AP450" s="1" t="s">
        <v>1827</v>
      </c>
      <c r="AQ450" s="11">
        <v>41843</v>
      </c>
      <c r="AR450" s="1" t="s">
        <v>1828</v>
      </c>
      <c r="AS450" s="11">
        <v>41844</v>
      </c>
      <c r="AT450" s="1" t="s">
        <v>49</v>
      </c>
      <c r="AU450" s="1" t="s">
        <v>4171</v>
      </c>
    </row>
    <row r="451" spans="1:47" ht="15" customHeight="1" x14ac:dyDescent="0.25">
      <c r="A451" s="1">
        <v>450</v>
      </c>
      <c r="B451" s="1" t="s">
        <v>1258</v>
      </c>
      <c r="C451" s="1" t="s">
        <v>38</v>
      </c>
      <c r="D451" s="1">
        <v>9103550293</v>
      </c>
      <c r="E451" s="5">
        <v>41807</v>
      </c>
      <c r="F451" s="1" t="s">
        <v>420</v>
      </c>
      <c r="G451" s="1" t="s">
        <v>40</v>
      </c>
      <c r="H451" s="1" t="s">
        <v>41</v>
      </c>
      <c r="I451" s="1" t="s">
        <v>2809</v>
      </c>
      <c r="J451" s="1" t="s">
        <v>349</v>
      </c>
      <c r="K451" s="1">
        <v>29051700</v>
      </c>
      <c r="L451" s="6">
        <v>5.4</v>
      </c>
      <c r="M451" s="1" t="s">
        <v>70</v>
      </c>
      <c r="N451" s="7" t="s">
        <v>44</v>
      </c>
      <c r="O451" s="1" t="s">
        <v>53</v>
      </c>
      <c r="P451" s="8">
        <v>1980</v>
      </c>
      <c r="Q451" s="17">
        <f t="shared" si="51"/>
        <v>10692</v>
      </c>
      <c r="R451" s="9">
        <v>528.75</v>
      </c>
      <c r="S451" s="9">
        <v>1.53</v>
      </c>
      <c r="T451" s="9">
        <v>0</v>
      </c>
      <c r="U451" s="10">
        <v>0</v>
      </c>
      <c r="V451" s="1" t="s">
        <v>46</v>
      </c>
      <c r="W451" s="1" t="s">
        <v>294</v>
      </c>
      <c r="X451" s="1">
        <v>3238259</v>
      </c>
      <c r="Y451" s="11">
        <v>41801</v>
      </c>
      <c r="Z451" s="11">
        <v>41803</v>
      </c>
      <c r="AA451" s="9">
        <f>Q451-R451-S451</f>
        <v>10161.719999999999</v>
      </c>
      <c r="AB451" s="12">
        <v>58.85</v>
      </c>
      <c r="AC451" s="9">
        <f>+Q451*AB451</f>
        <v>629224.20000000007</v>
      </c>
      <c r="AD451" s="9">
        <f>+AA451*AB451</f>
        <v>598017.22199999995</v>
      </c>
      <c r="AE451" s="1" t="s">
        <v>48</v>
      </c>
      <c r="AF451" s="1" t="s">
        <v>53</v>
      </c>
      <c r="AG451" s="4">
        <f t="shared" si="55"/>
        <v>10692</v>
      </c>
      <c r="AH451" s="10">
        <v>10692</v>
      </c>
      <c r="AI451" s="10">
        <v>515.09</v>
      </c>
      <c r="AJ451" s="10">
        <v>1.53</v>
      </c>
      <c r="AK451" s="10">
        <v>0</v>
      </c>
      <c r="AL451" s="9">
        <f t="shared" si="56"/>
        <v>10175.379999999999</v>
      </c>
      <c r="AM451" s="1"/>
      <c r="AN451" s="1"/>
      <c r="AO451" s="12" t="e">
        <f>AB451/#REF!</f>
        <v>#REF!</v>
      </c>
      <c r="AP451" s="1" t="s">
        <v>1829</v>
      </c>
      <c r="AQ451" s="11">
        <v>41870</v>
      </c>
      <c r="AR451" s="1" t="s">
        <v>1830</v>
      </c>
      <c r="AS451" s="11">
        <v>41871</v>
      </c>
      <c r="AT451" s="1" t="s">
        <v>49</v>
      </c>
      <c r="AU451" s="1" t="s">
        <v>4171</v>
      </c>
    </row>
    <row r="452" spans="1:47" ht="15" customHeight="1" x14ac:dyDescent="0.25">
      <c r="A452" s="1">
        <v>451</v>
      </c>
      <c r="B452" s="1" t="s">
        <v>1258</v>
      </c>
      <c r="C452" s="1" t="s">
        <v>38</v>
      </c>
      <c r="D452" s="1">
        <v>9103550293</v>
      </c>
      <c r="E452" s="5">
        <v>41807</v>
      </c>
      <c r="F452" s="1" t="s">
        <v>420</v>
      </c>
      <c r="G452" s="1" t="s">
        <v>40</v>
      </c>
      <c r="H452" s="1" t="s">
        <v>41</v>
      </c>
      <c r="I452" s="1" t="s">
        <v>2809</v>
      </c>
      <c r="J452" s="1" t="s">
        <v>349</v>
      </c>
      <c r="K452" s="1">
        <v>29051700</v>
      </c>
      <c r="L452" s="6">
        <v>2.4</v>
      </c>
      <c r="M452" s="1" t="s">
        <v>70</v>
      </c>
      <c r="N452" s="7" t="s">
        <v>44</v>
      </c>
      <c r="O452" s="1" t="s">
        <v>53</v>
      </c>
      <c r="P452" s="8">
        <v>1880</v>
      </c>
      <c r="Q452" s="17">
        <f t="shared" si="51"/>
        <v>4512</v>
      </c>
      <c r="R452" s="9">
        <v>235</v>
      </c>
      <c r="S452" s="9">
        <v>0.64</v>
      </c>
      <c r="T452" s="9">
        <v>0</v>
      </c>
      <c r="U452" s="10">
        <v>0</v>
      </c>
      <c r="V452" s="1" t="s">
        <v>46</v>
      </c>
      <c r="W452" s="1" t="s">
        <v>294</v>
      </c>
      <c r="X452" s="1">
        <v>3238259</v>
      </c>
      <c r="Y452" s="11">
        <v>41801</v>
      </c>
      <c r="Z452" s="11">
        <v>41803</v>
      </c>
      <c r="AA452" s="9">
        <f>Q452-R452-S452</f>
        <v>4276.3599999999997</v>
      </c>
      <c r="AB452" s="12">
        <v>58.85</v>
      </c>
      <c r="AC452" s="9">
        <f>+Q452*AB452</f>
        <v>265531.2</v>
      </c>
      <c r="AD452" s="9">
        <f>+AA452*AB452</f>
        <v>251663.78599999999</v>
      </c>
      <c r="AE452" s="1" t="s">
        <v>48</v>
      </c>
      <c r="AF452" s="1" t="s">
        <v>53</v>
      </c>
      <c r="AG452" s="4">
        <f t="shared" si="55"/>
        <v>4512</v>
      </c>
      <c r="AH452" s="10">
        <v>4512</v>
      </c>
      <c r="AI452" s="10">
        <v>217.37</v>
      </c>
      <c r="AJ452" s="10">
        <v>0.64</v>
      </c>
      <c r="AK452" s="10">
        <v>0</v>
      </c>
      <c r="AL452" s="9">
        <f t="shared" si="56"/>
        <v>4293.99</v>
      </c>
      <c r="AM452" s="1"/>
      <c r="AN452" s="1"/>
      <c r="AO452" s="12" t="e">
        <f>AB452/#REF!</f>
        <v>#REF!</v>
      </c>
      <c r="AP452" s="1" t="s">
        <v>1829</v>
      </c>
      <c r="AQ452" s="11">
        <v>41870</v>
      </c>
      <c r="AR452" s="1" t="s">
        <v>1830</v>
      </c>
      <c r="AS452" s="11">
        <v>41871</v>
      </c>
      <c r="AT452" s="1" t="s">
        <v>49</v>
      </c>
      <c r="AU452" s="1" t="s">
        <v>4171</v>
      </c>
    </row>
    <row r="453" spans="1:47" ht="15" customHeight="1" x14ac:dyDescent="0.25">
      <c r="A453" s="1">
        <v>452</v>
      </c>
      <c r="B453" s="1" t="s">
        <v>1258</v>
      </c>
      <c r="C453" s="1" t="s">
        <v>38</v>
      </c>
      <c r="D453" s="1">
        <v>9103550293</v>
      </c>
      <c r="E453" s="5">
        <v>41807</v>
      </c>
      <c r="F453" s="1" t="s">
        <v>420</v>
      </c>
      <c r="G453" s="1" t="s">
        <v>40</v>
      </c>
      <c r="H453" s="1" t="s">
        <v>41</v>
      </c>
      <c r="I453" s="1" t="s">
        <v>2809</v>
      </c>
      <c r="J453" s="1" t="s">
        <v>349</v>
      </c>
      <c r="K453" s="1">
        <v>29159090</v>
      </c>
      <c r="L453" s="6">
        <v>1.8</v>
      </c>
      <c r="M453" s="1" t="s">
        <v>70</v>
      </c>
      <c r="N453" s="7" t="s">
        <v>44</v>
      </c>
      <c r="O453" s="1" t="s">
        <v>53</v>
      </c>
      <c r="P453" s="8">
        <v>2830</v>
      </c>
      <c r="Q453" s="17">
        <f t="shared" si="51"/>
        <v>5094</v>
      </c>
      <c r="R453" s="9">
        <v>176.25</v>
      </c>
      <c r="S453" s="9">
        <v>0.73</v>
      </c>
      <c r="T453" s="9">
        <v>0</v>
      </c>
      <c r="U453" s="10">
        <v>0</v>
      </c>
      <c r="V453" s="1" t="s">
        <v>46</v>
      </c>
      <c r="W453" s="1" t="s">
        <v>294</v>
      </c>
      <c r="X453" s="1">
        <v>3238259</v>
      </c>
      <c r="Y453" s="11">
        <v>41801</v>
      </c>
      <c r="Z453" s="11">
        <v>41803</v>
      </c>
      <c r="AA453" s="9">
        <f>Q453-R453-S453</f>
        <v>4917.0200000000004</v>
      </c>
      <c r="AB453" s="12">
        <v>58.85</v>
      </c>
      <c r="AC453" s="9">
        <f>+Q453*AB453</f>
        <v>299781.90000000002</v>
      </c>
      <c r="AD453" s="9">
        <f>+AA453*AB453</f>
        <v>289366.62700000004</v>
      </c>
      <c r="AE453" s="1" t="s">
        <v>48</v>
      </c>
      <c r="AF453" s="1" t="s">
        <v>53</v>
      </c>
      <c r="AG453" s="4">
        <f t="shared" si="55"/>
        <v>5094</v>
      </c>
      <c r="AH453" s="10">
        <v>5094</v>
      </c>
      <c r="AI453" s="10">
        <v>245.4</v>
      </c>
      <c r="AJ453" s="10">
        <v>0.73</v>
      </c>
      <c r="AK453" s="10">
        <v>0</v>
      </c>
      <c r="AL453" s="9">
        <f t="shared" si="56"/>
        <v>4847.87</v>
      </c>
      <c r="AM453" s="1"/>
      <c r="AN453" s="1"/>
      <c r="AO453" s="12" t="e">
        <f>AB453/#REF!</f>
        <v>#REF!</v>
      </c>
      <c r="AP453" s="1" t="s">
        <v>1829</v>
      </c>
      <c r="AQ453" s="11">
        <v>41870</v>
      </c>
      <c r="AR453" s="1" t="s">
        <v>1830</v>
      </c>
      <c r="AS453" s="11">
        <v>41871</v>
      </c>
      <c r="AT453" s="1" t="s">
        <v>49</v>
      </c>
      <c r="AU453" s="1" t="s">
        <v>4171</v>
      </c>
    </row>
    <row r="454" spans="1:47" ht="15" customHeight="1" x14ac:dyDescent="0.25">
      <c r="A454" s="1">
        <v>453</v>
      </c>
      <c r="B454" s="1" t="s">
        <v>1258</v>
      </c>
      <c r="C454" s="1" t="s">
        <v>38</v>
      </c>
      <c r="D454" s="1">
        <v>9103550293</v>
      </c>
      <c r="E454" s="5">
        <v>41807</v>
      </c>
      <c r="F454" s="1" t="s">
        <v>420</v>
      </c>
      <c r="G454" s="1" t="s">
        <v>40</v>
      </c>
      <c r="H454" s="1" t="s">
        <v>41</v>
      </c>
      <c r="I454" s="1" t="s">
        <v>2809</v>
      </c>
      <c r="J454" s="1" t="s">
        <v>349</v>
      </c>
      <c r="K454" s="1">
        <v>38237090</v>
      </c>
      <c r="L454" s="6">
        <v>2.4</v>
      </c>
      <c r="M454" s="1" t="s">
        <v>70</v>
      </c>
      <c r="N454" s="7" t="s">
        <v>44</v>
      </c>
      <c r="O454" s="1" t="s">
        <v>53</v>
      </c>
      <c r="P454" s="8">
        <v>1930</v>
      </c>
      <c r="Q454" s="17">
        <f t="shared" si="51"/>
        <v>4632</v>
      </c>
      <c r="R454" s="9">
        <v>235</v>
      </c>
      <c r="S454" s="9">
        <v>0.66</v>
      </c>
      <c r="T454" s="9">
        <v>0</v>
      </c>
      <c r="U454" s="10">
        <v>0</v>
      </c>
      <c r="V454" s="1" t="s">
        <v>46</v>
      </c>
      <c r="W454" s="1" t="s">
        <v>294</v>
      </c>
      <c r="X454" s="1">
        <v>3238259</v>
      </c>
      <c r="Y454" s="11">
        <v>41801</v>
      </c>
      <c r="Z454" s="11">
        <v>41803</v>
      </c>
      <c r="AA454" s="9">
        <f>Q454-R454-S454</f>
        <v>4396.34</v>
      </c>
      <c r="AB454" s="12">
        <v>58.85</v>
      </c>
      <c r="AC454" s="9">
        <f>+Q454*AB454</f>
        <v>272593.2</v>
      </c>
      <c r="AD454" s="9">
        <f>+AA454*AB454</f>
        <v>258724.60900000003</v>
      </c>
      <c r="AE454" s="1" t="s">
        <v>48</v>
      </c>
      <c r="AF454" s="1" t="s">
        <v>53</v>
      </c>
      <c r="AG454" s="4">
        <f t="shared" si="55"/>
        <v>4632</v>
      </c>
      <c r="AH454" s="10">
        <v>4611</v>
      </c>
      <c r="AI454" s="10">
        <v>222.14</v>
      </c>
      <c r="AJ454" s="10">
        <v>0.66</v>
      </c>
      <c r="AK454" s="10">
        <v>0</v>
      </c>
      <c r="AL454" s="9">
        <f t="shared" si="56"/>
        <v>4388.2</v>
      </c>
      <c r="AM454" s="1"/>
      <c r="AN454" s="1"/>
      <c r="AO454" s="12" t="e">
        <f>AB454/#REF!</f>
        <v>#REF!</v>
      </c>
      <c r="AP454" s="1" t="s">
        <v>1829</v>
      </c>
      <c r="AQ454" s="11">
        <v>41870</v>
      </c>
      <c r="AR454" s="1" t="s">
        <v>1830</v>
      </c>
      <c r="AS454" s="11">
        <v>41871</v>
      </c>
      <c r="AT454" s="1" t="s">
        <v>49</v>
      </c>
      <c r="AU454" s="1" t="s">
        <v>4171</v>
      </c>
    </row>
    <row r="455" spans="1:47" ht="15" customHeight="1" x14ac:dyDescent="0.25">
      <c r="A455" s="1">
        <v>454</v>
      </c>
      <c r="B455" s="1" t="s">
        <v>1258</v>
      </c>
      <c r="C455" s="1" t="s">
        <v>38</v>
      </c>
      <c r="D455" s="1">
        <v>9103550294</v>
      </c>
      <c r="E455" s="5">
        <v>41808</v>
      </c>
      <c r="F455" s="1" t="s">
        <v>419</v>
      </c>
      <c r="G455" s="1" t="s">
        <v>40</v>
      </c>
      <c r="H455" s="1" t="s">
        <v>41</v>
      </c>
      <c r="I455" s="1" t="s">
        <v>2809</v>
      </c>
      <c r="J455" s="1" t="s">
        <v>50</v>
      </c>
      <c r="K455" s="1">
        <v>38237090</v>
      </c>
      <c r="L455" s="6">
        <v>13</v>
      </c>
      <c r="M455" s="1" t="s">
        <v>70</v>
      </c>
      <c r="N455" s="7" t="s">
        <v>52</v>
      </c>
      <c r="O455" s="1" t="s">
        <v>53</v>
      </c>
      <c r="P455" s="8">
        <v>1750</v>
      </c>
      <c r="Q455" s="17">
        <f t="shared" si="51"/>
        <v>22750</v>
      </c>
      <c r="R455" s="9">
        <v>1000</v>
      </c>
      <c r="S455" s="9">
        <v>0</v>
      </c>
      <c r="T455" s="9">
        <v>0</v>
      </c>
      <c r="U455" s="10">
        <v>0</v>
      </c>
      <c r="V455" s="1" t="s">
        <v>46</v>
      </c>
      <c r="W455" s="1" t="s">
        <v>2657</v>
      </c>
      <c r="X455" s="1">
        <v>3239999</v>
      </c>
      <c r="Y455" s="11">
        <v>41801</v>
      </c>
      <c r="Z455" s="11">
        <v>41802</v>
      </c>
      <c r="AA455" s="9">
        <f t="shared" si="54"/>
        <v>21750</v>
      </c>
      <c r="AB455" s="12">
        <v>58.85</v>
      </c>
      <c r="AC455" s="9">
        <f t="shared" si="52"/>
        <v>1338837.5</v>
      </c>
      <c r="AD455" s="9">
        <f t="shared" si="53"/>
        <v>1279987.5</v>
      </c>
      <c r="AE455" s="1" t="s">
        <v>48</v>
      </c>
      <c r="AF455" s="1" t="s">
        <v>53</v>
      </c>
      <c r="AG455" s="4">
        <f t="shared" si="55"/>
        <v>22750</v>
      </c>
      <c r="AH455" s="10">
        <v>22575.81</v>
      </c>
      <c r="AI455" s="10">
        <v>990</v>
      </c>
      <c r="AJ455" s="10">
        <v>0</v>
      </c>
      <c r="AK455" s="10">
        <v>0</v>
      </c>
      <c r="AL455" s="9">
        <f t="shared" si="56"/>
        <v>21585.81</v>
      </c>
      <c r="AM455" s="1"/>
      <c r="AN455" s="1"/>
      <c r="AO455" s="12" t="e">
        <f>AB455/#REF!</f>
        <v>#REF!</v>
      </c>
      <c r="AP455" s="1" t="s">
        <v>1831</v>
      </c>
      <c r="AQ455" s="11">
        <v>41871</v>
      </c>
      <c r="AR455" s="1" t="s">
        <v>1832</v>
      </c>
      <c r="AS455" s="11">
        <v>41872</v>
      </c>
      <c r="AT455" s="1" t="s">
        <v>49</v>
      </c>
      <c r="AU455" s="1" t="s">
        <v>4171</v>
      </c>
    </row>
    <row r="456" spans="1:47" ht="15" customHeight="1" x14ac:dyDescent="0.25">
      <c r="A456" s="1">
        <v>455</v>
      </c>
      <c r="B456" s="1" t="s">
        <v>1258</v>
      </c>
      <c r="C456" s="1" t="s">
        <v>38</v>
      </c>
      <c r="D456" s="1">
        <v>9103550295</v>
      </c>
      <c r="E456" s="5">
        <v>41807</v>
      </c>
      <c r="F456" s="1" t="s">
        <v>421</v>
      </c>
      <c r="G456" s="1" t="s">
        <v>40</v>
      </c>
      <c r="H456" s="1" t="s">
        <v>41</v>
      </c>
      <c r="I456" s="1" t="s">
        <v>2809</v>
      </c>
      <c r="J456" s="1" t="s">
        <v>267</v>
      </c>
      <c r="K456" s="1">
        <v>29051700</v>
      </c>
      <c r="L456" s="6">
        <v>6</v>
      </c>
      <c r="M456" s="1" t="s">
        <v>70</v>
      </c>
      <c r="N456" s="7" t="s">
        <v>52</v>
      </c>
      <c r="O456" s="1" t="s">
        <v>53</v>
      </c>
      <c r="P456" s="8">
        <v>2150</v>
      </c>
      <c r="Q456" s="17">
        <f t="shared" si="51"/>
        <v>12900</v>
      </c>
      <c r="R456" s="9">
        <v>587.5</v>
      </c>
      <c r="S456" s="9">
        <v>0</v>
      </c>
      <c r="T456" s="9">
        <v>0</v>
      </c>
      <c r="U456" s="10">
        <v>0</v>
      </c>
      <c r="V456" s="1" t="s">
        <v>46</v>
      </c>
      <c r="W456" s="1" t="s">
        <v>329</v>
      </c>
      <c r="X456" s="1">
        <v>3239994</v>
      </c>
      <c r="Y456" s="11">
        <v>41801</v>
      </c>
      <c r="Z456" s="11">
        <v>41803</v>
      </c>
      <c r="AA456" s="9">
        <f t="shared" si="54"/>
        <v>12312.5</v>
      </c>
      <c r="AB456" s="12">
        <v>58.85</v>
      </c>
      <c r="AC456" s="9">
        <f t="shared" si="52"/>
        <v>759165</v>
      </c>
      <c r="AD456" s="9">
        <f t="shared" si="53"/>
        <v>724590.625</v>
      </c>
      <c r="AE456" s="1" t="s">
        <v>48</v>
      </c>
      <c r="AF456" s="1" t="s">
        <v>53</v>
      </c>
      <c r="AG456" s="4">
        <f t="shared" si="55"/>
        <v>12900</v>
      </c>
      <c r="AH456" s="10">
        <v>12900</v>
      </c>
      <c r="AI456" s="10">
        <v>636.38</v>
      </c>
      <c r="AJ456" s="10">
        <v>0</v>
      </c>
      <c r="AK456" s="10">
        <v>0</v>
      </c>
      <c r="AL456" s="9">
        <f t="shared" si="56"/>
        <v>12263.62</v>
      </c>
      <c r="AM456" s="1"/>
      <c r="AN456" s="1"/>
      <c r="AO456" s="12" t="e">
        <f>AB456/#REF!</f>
        <v>#REF!</v>
      </c>
      <c r="AP456" s="1" t="s">
        <v>1833</v>
      </c>
      <c r="AQ456" s="11">
        <v>41870</v>
      </c>
      <c r="AR456" s="1" t="s">
        <v>1834</v>
      </c>
      <c r="AS456" s="11">
        <v>41871</v>
      </c>
      <c r="AT456" s="1" t="s">
        <v>49</v>
      </c>
      <c r="AU456" s="1" t="s">
        <v>4171</v>
      </c>
    </row>
    <row r="457" spans="1:47" ht="15" customHeight="1" x14ac:dyDescent="0.25">
      <c r="A457" s="1">
        <v>456</v>
      </c>
      <c r="B457" s="1" t="s">
        <v>1258</v>
      </c>
      <c r="C457" s="1" t="s">
        <v>38</v>
      </c>
      <c r="D457" s="1">
        <v>9103550295</v>
      </c>
      <c r="E457" s="5">
        <v>41807</v>
      </c>
      <c r="F457" s="1" t="s">
        <v>421</v>
      </c>
      <c r="G457" s="1" t="s">
        <v>40</v>
      </c>
      <c r="H457" s="1" t="s">
        <v>41</v>
      </c>
      <c r="I457" s="1" t="s">
        <v>2809</v>
      </c>
      <c r="J457" s="1" t="s">
        <v>267</v>
      </c>
      <c r="K457" s="1">
        <v>38237090</v>
      </c>
      <c r="L457" s="6">
        <v>6</v>
      </c>
      <c r="M457" s="1" t="s">
        <v>70</v>
      </c>
      <c r="N457" s="7" t="s">
        <v>52</v>
      </c>
      <c r="O457" s="1" t="s">
        <v>53</v>
      </c>
      <c r="P457" s="8">
        <v>1950</v>
      </c>
      <c r="Q457" s="17">
        <f t="shared" si="51"/>
        <v>11700</v>
      </c>
      <c r="R457" s="9">
        <v>587.5</v>
      </c>
      <c r="S457" s="9">
        <v>0</v>
      </c>
      <c r="T457" s="9">
        <v>0</v>
      </c>
      <c r="U457" s="10">
        <v>0</v>
      </c>
      <c r="V457" s="1" t="s">
        <v>46</v>
      </c>
      <c r="W457" s="1" t="s">
        <v>329</v>
      </c>
      <c r="X457" s="1">
        <v>3239994</v>
      </c>
      <c r="Y457" s="11">
        <v>41801</v>
      </c>
      <c r="Z457" s="11">
        <v>41803</v>
      </c>
      <c r="AA457" s="9">
        <f t="shared" si="54"/>
        <v>11112.5</v>
      </c>
      <c r="AB457" s="12">
        <v>58.85</v>
      </c>
      <c r="AC457" s="9">
        <f t="shared" si="52"/>
        <v>688545</v>
      </c>
      <c r="AD457" s="9">
        <f t="shared" si="53"/>
        <v>653970.625</v>
      </c>
      <c r="AE457" s="1" t="s">
        <v>48</v>
      </c>
      <c r="AF457" s="1" t="s">
        <v>53</v>
      </c>
      <c r="AG457" s="4">
        <f t="shared" si="55"/>
        <v>11700</v>
      </c>
      <c r="AH457" s="10">
        <v>11425</v>
      </c>
      <c r="AI457" s="10">
        <v>563.62</v>
      </c>
      <c r="AJ457" s="10">
        <v>0</v>
      </c>
      <c r="AK457" s="10">
        <v>0</v>
      </c>
      <c r="AL457" s="9">
        <f t="shared" si="56"/>
        <v>10861.38</v>
      </c>
      <c r="AM457" s="1"/>
      <c r="AN457" s="1"/>
      <c r="AO457" s="12" t="e">
        <f>AB457/#REF!</f>
        <v>#REF!</v>
      </c>
      <c r="AP457" s="1" t="s">
        <v>1833</v>
      </c>
      <c r="AQ457" s="11">
        <v>41870</v>
      </c>
      <c r="AR457" s="1" t="s">
        <v>1834</v>
      </c>
      <c r="AS457" s="11">
        <v>41871</v>
      </c>
      <c r="AT457" s="1" t="s">
        <v>49</v>
      </c>
      <c r="AU457" s="1" t="s">
        <v>4171</v>
      </c>
    </row>
    <row r="458" spans="1:47" ht="15" customHeight="1" x14ac:dyDescent="0.25">
      <c r="A458" s="1">
        <v>457</v>
      </c>
      <c r="B458" s="1" t="s">
        <v>1258</v>
      </c>
      <c r="C458" s="1" t="s">
        <v>38</v>
      </c>
      <c r="D458" s="1" t="s">
        <v>1835</v>
      </c>
      <c r="E458" s="5">
        <v>41805</v>
      </c>
      <c r="F458" s="1" t="s">
        <v>405</v>
      </c>
      <c r="G458" s="1" t="s">
        <v>40</v>
      </c>
      <c r="H458" s="1" t="s">
        <v>41</v>
      </c>
      <c r="I458" s="1" t="s">
        <v>2809</v>
      </c>
      <c r="J458" s="1" t="s">
        <v>200</v>
      </c>
      <c r="K458" s="1">
        <v>38231900</v>
      </c>
      <c r="L458" s="6">
        <v>78.56</v>
      </c>
      <c r="M458" s="1" t="s">
        <v>70</v>
      </c>
      <c r="N458" s="7" t="s">
        <v>44</v>
      </c>
      <c r="O458" s="1" t="s">
        <v>53</v>
      </c>
      <c r="P458" s="8">
        <v>1730</v>
      </c>
      <c r="Q458" s="17">
        <f t="shared" si="51"/>
        <v>135908.80000000002</v>
      </c>
      <c r="R458" s="9">
        <v>4800</v>
      </c>
      <c r="S458" s="9">
        <v>19.43</v>
      </c>
      <c r="T458" s="9">
        <v>2576.77</v>
      </c>
      <c r="U458" s="10">
        <v>0</v>
      </c>
      <c r="V458" s="1" t="s">
        <v>46</v>
      </c>
      <c r="W458" s="1" t="s">
        <v>59</v>
      </c>
      <c r="X458" s="1">
        <v>3220283</v>
      </c>
      <c r="Y458" s="11">
        <v>41800</v>
      </c>
      <c r="Z458" s="11">
        <v>41801</v>
      </c>
      <c r="AA458" s="9">
        <f t="shared" si="54"/>
        <v>131089.37000000002</v>
      </c>
      <c r="AB458" s="12">
        <v>58.85</v>
      </c>
      <c r="AC458" s="9">
        <f t="shared" si="52"/>
        <v>7998232.8800000008</v>
      </c>
      <c r="AD458" s="9">
        <f t="shared" si="53"/>
        <v>7714609.4245000016</v>
      </c>
      <c r="AE458" s="1" t="s">
        <v>51</v>
      </c>
      <c r="AF458" s="1" t="s">
        <v>53</v>
      </c>
      <c r="AG458" s="4">
        <f t="shared" si="55"/>
        <v>135908.80000000002</v>
      </c>
      <c r="AH458" s="10">
        <v>135909</v>
      </c>
      <c r="AI458" s="10">
        <v>4400</v>
      </c>
      <c r="AJ458" s="10">
        <v>19.43</v>
      </c>
      <c r="AK458" s="10">
        <v>0</v>
      </c>
      <c r="AL458" s="9">
        <f t="shared" si="56"/>
        <v>131489.57</v>
      </c>
      <c r="AM458" s="1"/>
      <c r="AN458" s="1"/>
      <c r="AO458" s="12" t="e">
        <f>AB458/#REF!</f>
        <v>#REF!</v>
      </c>
      <c r="AP458" s="1" t="s">
        <v>1836</v>
      </c>
      <c r="AQ458" s="11">
        <v>41836</v>
      </c>
      <c r="AR458" s="1" t="s">
        <v>1837</v>
      </c>
      <c r="AS458" s="11">
        <v>41905</v>
      </c>
      <c r="AT458" s="1" t="s">
        <v>49</v>
      </c>
      <c r="AU458" s="1" t="s">
        <v>4171</v>
      </c>
    </row>
    <row r="459" spans="1:47" ht="15" customHeight="1" x14ac:dyDescent="0.25">
      <c r="A459" s="1">
        <v>458</v>
      </c>
      <c r="B459" s="1" t="s">
        <v>1258</v>
      </c>
      <c r="C459" s="1" t="s">
        <v>38</v>
      </c>
      <c r="D459" s="1" t="s">
        <v>1835</v>
      </c>
      <c r="E459" s="5">
        <v>41805</v>
      </c>
      <c r="F459" s="1" t="s">
        <v>423</v>
      </c>
      <c r="G459" s="1" t="s">
        <v>40</v>
      </c>
      <c r="H459" s="1" t="s">
        <v>41</v>
      </c>
      <c r="I459" s="1" t="s">
        <v>2809</v>
      </c>
      <c r="J459" s="1" t="s">
        <v>200</v>
      </c>
      <c r="K459" s="1">
        <v>38231900</v>
      </c>
      <c r="L459" s="6">
        <v>39.18</v>
      </c>
      <c r="M459" s="1" t="s">
        <v>70</v>
      </c>
      <c r="N459" s="7" t="s">
        <v>44</v>
      </c>
      <c r="O459" s="1" t="s">
        <v>53</v>
      </c>
      <c r="P459" s="8">
        <v>1730</v>
      </c>
      <c r="Q459" s="17">
        <f t="shared" si="51"/>
        <v>67781.399999999994</v>
      </c>
      <c r="R459" s="9">
        <v>2300</v>
      </c>
      <c r="S459" s="9">
        <v>9.69</v>
      </c>
      <c r="T459" s="9">
        <v>1285.0999999999999</v>
      </c>
      <c r="U459" s="10">
        <v>0</v>
      </c>
      <c r="V459" s="1" t="s">
        <v>46</v>
      </c>
      <c r="W459" s="1" t="s">
        <v>59</v>
      </c>
      <c r="X459" s="1">
        <v>3243495</v>
      </c>
      <c r="Y459" s="11">
        <v>41801</v>
      </c>
      <c r="Z459" s="11">
        <v>41802</v>
      </c>
      <c r="AA459" s="9">
        <f t="shared" si="54"/>
        <v>65471.709999999992</v>
      </c>
      <c r="AB459" s="12">
        <v>58.85</v>
      </c>
      <c r="AC459" s="9">
        <f t="shared" si="52"/>
        <v>3988935.3899999997</v>
      </c>
      <c r="AD459" s="9">
        <f t="shared" si="53"/>
        <v>3853010.1334999995</v>
      </c>
      <c r="AE459" s="1" t="s">
        <v>51</v>
      </c>
      <c r="AF459" s="1" t="s">
        <v>53</v>
      </c>
      <c r="AG459" s="4">
        <f t="shared" si="55"/>
        <v>67781.399999999994</v>
      </c>
      <c r="AH459" s="10">
        <v>67781</v>
      </c>
      <c r="AI459" s="10">
        <v>2200</v>
      </c>
      <c r="AJ459" s="10">
        <v>9.69</v>
      </c>
      <c r="AK459" s="10">
        <v>0</v>
      </c>
      <c r="AL459" s="9">
        <f t="shared" si="56"/>
        <v>65571.31</v>
      </c>
      <c r="AM459" s="1"/>
      <c r="AN459" s="1"/>
      <c r="AO459" s="12" t="e">
        <f>AB459/#REF!</f>
        <v>#REF!</v>
      </c>
      <c r="AP459" s="1" t="s">
        <v>1836</v>
      </c>
      <c r="AQ459" s="11">
        <v>41836</v>
      </c>
      <c r="AR459" s="1" t="s">
        <v>1838</v>
      </c>
      <c r="AS459" s="11">
        <v>41905</v>
      </c>
      <c r="AT459" s="1" t="s">
        <v>49</v>
      </c>
      <c r="AU459" s="1" t="s">
        <v>4171</v>
      </c>
    </row>
    <row r="460" spans="1:47" ht="15" customHeight="1" x14ac:dyDescent="0.25">
      <c r="A460" s="1">
        <v>459</v>
      </c>
      <c r="B460" s="1" t="s">
        <v>1258</v>
      </c>
      <c r="C460" s="1" t="s">
        <v>38</v>
      </c>
      <c r="D460" s="1">
        <v>9103550298</v>
      </c>
      <c r="E460" s="5">
        <v>41805</v>
      </c>
      <c r="F460" s="1" t="s">
        <v>424</v>
      </c>
      <c r="G460" s="1" t="s">
        <v>40</v>
      </c>
      <c r="H460" s="1" t="s">
        <v>41</v>
      </c>
      <c r="I460" s="1" t="s">
        <v>2809</v>
      </c>
      <c r="J460" s="1" t="s">
        <v>1092</v>
      </c>
      <c r="K460" s="1">
        <v>38237090</v>
      </c>
      <c r="L460" s="6">
        <v>12.6</v>
      </c>
      <c r="M460" s="1" t="s">
        <v>70</v>
      </c>
      <c r="N460" s="7" t="s">
        <v>44</v>
      </c>
      <c r="O460" s="1" t="s">
        <v>53</v>
      </c>
      <c r="P460" s="8">
        <v>1715</v>
      </c>
      <c r="Q460" s="17">
        <f t="shared" si="51"/>
        <v>21609</v>
      </c>
      <c r="R460" s="9">
        <v>572.04</v>
      </c>
      <c r="S460" s="9">
        <v>3.09</v>
      </c>
      <c r="T460" s="9">
        <v>0</v>
      </c>
      <c r="U460" s="10">
        <v>0</v>
      </c>
      <c r="V460" s="1" t="s">
        <v>46</v>
      </c>
      <c r="W460" s="1" t="s">
        <v>143</v>
      </c>
      <c r="X460" s="1">
        <v>3244781</v>
      </c>
      <c r="Y460" s="11">
        <v>41801</v>
      </c>
      <c r="Z460" s="11">
        <v>41802</v>
      </c>
      <c r="AA460" s="9">
        <f t="shared" si="54"/>
        <v>21033.87</v>
      </c>
      <c r="AB460" s="12">
        <v>58.85</v>
      </c>
      <c r="AC460" s="9">
        <f t="shared" si="52"/>
        <v>1271689.6500000001</v>
      </c>
      <c r="AD460" s="9">
        <f t="shared" si="53"/>
        <v>1237843.2494999999</v>
      </c>
      <c r="AE460" s="1" t="s">
        <v>48</v>
      </c>
      <c r="AF460" s="1" t="s">
        <v>53</v>
      </c>
      <c r="AG460" s="4">
        <f t="shared" si="55"/>
        <v>21609</v>
      </c>
      <c r="AH460" s="10">
        <v>21609</v>
      </c>
      <c r="AI460" s="10">
        <v>277.2</v>
      </c>
      <c r="AJ460" s="9">
        <v>3.09</v>
      </c>
      <c r="AK460" s="10">
        <v>0</v>
      </c>
      <c r="AL460" s="9">
        <f t="shared" si="56"/>
        <v>21328.71</v>
      </c>
      <c r="AM460" s="1"/>
      <c r="AN460" s="1"/>
      <c r="AO460" s="12" t="e">
        <f>AB460/#REF!</f>
        <v>#REF!</v>
      </c>
      <c r="AP460" s="1" t="s">
        <v>1839</v>
      </c>
      <c r="AQ460" s="11">
        <v>41858</v>
      </c>
      <c r="AR460" s="1" t="s">
        <v>1840</v>
      </c>
      <c r="AS460" s="11">
        <v>41859</v>
      </c>
      <c r="AT460" s="1" t="s">
        <v>49</v>
      </c>
      <c r="AU460" s="1" t="s">
        <v>4171</v>
      </c>
    </row>
    <row r="461" spans="1:47" ht="15" customHeight="1" x14ac:dyDescent="0.25">
      <c r="A461" s="1">
        <v>460</v>
      </c>
      <c r="B461" s="1" t="s">
        <v>1258</v>
      </c>
      <c r="C461" s="1" t="s">
        <v>38</v>
      </c>
      <c r="D461" s="1">
        <v>9103550298</v>
      </c>
      <c r="E461" s="5">
        <v>41805</v>
      </c>
      <c r="F461" s="1" t="s">
        <v>424</v>
      </c>
      <c r="G461" s="1" t="s">
        <v>40</v>
      </c>
      <c r="H461" s="1" t="s">
        <v>41</v>
      </c>
      <c r="I461" s="1" t="s">
        <v>2809</v>
      </c>
      <c r="J461" s="1" t="s">
        <v>1092</v>
      </c>
      <c r="K461" s="1">
        <v>38237090</v>
      </c>
      <c r="L461" s="6">
        <v>2.4</v>
      </c>
      <c r="M461" s="1" t="s">
        <v>70</v>
      </c>
      <c r="N461" s="7" t="s">
        <v>44</v>
      </c>
      <c r="O461" s="1" t="s">
        <v>53</v>
      </c>
      <c r="P461" s="8">
        <v>1810</v>
      </c>
      <c r="Q461" s="17">
        <f t="shared" si="51"/>
        <v>4344</v>
      </c>
      <c r="R461" s="9">
        <v>108.96</v>
      </c>
      <c r="S461" s="9">
        <v>0.62</v>
      </c>
      <c r="T461" s="9">
        <v>0</v>
      </c>
      <c r="U461" s="10">
        <v>0</v>
      </c>
      <c r="V461" s="1" t="s">
        <v>46</v>
      </c>
      <c r="W461" s="1" t="s">
        <v>143</v>
      </c>
      <c r="X461" s="1">
        <v>3244781</v>
      </c>
      <c r="Y461" s="11">
        <v>41801</v>
      </c>
      <c r="Z461" s="11">
        <v>41802</v>
      </c>
      <c r="AA461" s="9">
        <f t="shared" si="54"/>
        <v>4234.42</v>
      </c>
      <c r="AB461" s="12">
        <v>58.85</v>
      </c>
      <c r="AC461" s="9">
        <f t="shared" si="52"/>
        <v>255644.4</v>
      </c>
      <c r="AD461" s="9">
        <f t="shared" si="53"/>
        <v>249195.617</v>
      </c>
      <c r="AE461" s="1" t="s">
        <v>48</v>
      </c>
      <c r="AF461" s="1" t="s">
        <v>53</v>
      </c>
      <c r="AG461" s="4">
        <f t="shared" si="55"/>
        <v>4344</v>
      </c>
      <c r="AH461" s="10">
        <v>4344</v>
      </c>
      <c r="AI461" s="10">
        <v>54.33</v>
      </c>
      <c r="AJ461" s="9">
        <v>0.62</v>
      </c>
      <c r="AK461" s="10"/>
      <c r="AL461" s="9">
        <f t="shared" si="56"/>
        <v>4289.05</v>
      </c>
      <c r="AM461" s="1"/>
      <c r="AN461" s="1"/>
      <c r="AO461" s="12" t="e">
        <f>AB461/#REF!</f>
        <v>#REF!</v>
      </c>
      <c r="AP461" s="1" t="s">
        <v>1839</v>
      </c>
      <c r="AQ461" s="11">
        <v>41858</v>
      </c>
      <c r="AR461" s="1" t="s">
        <v>1840</v>
      </c>
      <c r="AS461" s="11">
        <v>41859</v>
      </c>
      <c r="AT461" s="1" t="s">
        <v>49</v>
      </c>
      <c r="AU461" s="1" t="s">
        <v>4171</v>
      </c>
    </row>
    <row r="462" spans="1:47" ht="15" customHeight="1" x14ac:dyDescent="0.25">
      <c r="A462" s="1">
        <v>461</v>
      </c>
      <c r="B462" s="1" t="s">
        <v>1258</v>
      </c>
      <c r="C462" s="1" t="s">
        <v>38</v>
      </c>
      <c r="D462" s="1" t="s">
        <v>1841</v>
      </c>
      <c r="E462" s="5">
        <v>41806</v>
      </c>
      <c r="F462" s="1" t="s">
        <v>441</v>
      </c>
      <c r="G462" s="1" t="s">
        <v>40</v>
      </c>
      <c r="H462" s="1" t="s">
        <v>41</v>
      </c>
      <c r="I462" s="1" t="s">
        <v>2809</v>
      </c>
      <c r="J462" s="1" t="s">
        <v>837</v>
      </c>
      <c r="K462" s="1">
        <v>38231900</v>
      </c>
      <c r="L462" s="6">
        <v>19.88</v>
      </c>
      <c r="M462" s="1" t="s">
        <v>70</v>
      </c>
      <c r="N462" s="7" t="s">
        <v>44</v>
      </c>
      <c r="O462" s="1" t="s">
        <v>53</v>
      </c>
      <c r="P462" s="8">
        <v>3600</v>
      </c>
      <c r="Q462" s="17">
        <f t="shared" si="51"/>
        <v>71568</v>
      </c>
      <c r="R462" s="9">
        <v>6650</v>
      </c>
      <c r="S462" s="9">
        <v>10.23</v>
      </c>
      <c r="T462" s="9">
        <v>0</v>
      </c>
      <c r="U462" s="10">
        <v>0</v>
      </c>
      <c r="V462" s="1" t="s">
        <v>46</v>
      </c>
      <c r="W462" s="1" t="s">
        <v>56</v>
      </c>
      <c r="X462" s="1">
        <v>3244131</v>
      </c>
      <c r="Y462" s="11">
        <v>41801</v>
      </c>
      <c r="Z462" s="11">
        <v>41802</v>
      </c>
      <c r="AA462" s="9">
        <f t="shared" si="54"/>
        <v>64907.77</v>
      </c>
      <c r="AB462" s="12">
        <v>58.85</v>
      </c>
      <c r="AC462" s="9">
        <f t="shared" si="52"/>
        <v>4211776.8</v>
      </c>
      <c r="AD462" s="9">
        <f t="shared" si="53"/>
        <v>3819822.2645</v>
      </c>
      <c r="AE462" s="1" t="s">
        <v>57</v>
      </c>
      <c r="AF462" s="1" t="s">
        <v>53</v>
      </c>
      <c r="AG462" s="4">
        <f t="shared" si="55"/>
        <v>71568</v>
      </c>
      <c r="AH462" s="10">
        <v>71568</v>
      </c>
      <c r="AI462" s="10">
        <v>6250</v>
      </c>
      <c r="AJ462" s="10">
        <v>10.23</v>
      </c>
      <c r="AK462" s="10">
        <v>0</v>
      </c>
      <c r="AL462" s="9">
        <f t="shared" si="56"/>
        <v>65307.770000000004</v>
      </c>
      <c r="AM462" s="1"/>
      <c r="AN462" s="1"/>
      <c r="AO462" s="12" t="e">
        <f>AB462/#REF!</f>
        <v>#REF!</v>
      </c>
      <c r="AP462" s="1" t="s">
        <v>1842</v>
      </c>
      <c r="AQ462" s="11">
        <v>41921</v>
      </c>
      <c r="AR462" s="1" t="s">
        <v>1843</v>
      </c>
      <c r="AS462" s="11">
        <v>41926</v>
      </c>
      <c r="AT462" s="1" t="s">
        <v>49</v>
      </c>
      <c r="AU462" s="1" t="s">
        <v>4171</v>
      </c>
    </row>
    <row r="463" spans="1:47" ht="15" customHeight="1" x14ac:dyDescent="0.25">
      <c r="A463" s="1">
        <v>462</v>
      </c>
      <c r="B463" s="1" t="s">
        <v>1258</v>
      </c>
      <c r="C463" s="1" t="s">
        <v>38</v>
      </c>
      <c r="D463" s="1" t="s">
        <v>1841</v>
      </c>
      <c r="E463" s="5">
        <v>41806</v>
      </c>
      <c r="F463" s="1" t="s">
        <v>428</v>
      </c>
      <c r="G463" s="1" t="s">
        <v>40</v>
      </c>
      <c r="H463" s="1" t="s">
        <v>41</v>
      </c>
      <c r="I463" s="1" t="s">
        <v>2809</v>
      </c>
      <c r="J463" s="1" t="s">
        <v>837</v>
      </c>
      <c r="K463" s="1">
        <v>38231900</v>
      </c>
      <c r="L463" s="6">
        <v>20.010000000000002</v>
      </c>
      <c r="M463" s="1" t="s">
        <v>70</v>
      </c>
      <c r="N463" s="7" t="s">
        <v>44</v>
      </c>
      <c r="O463" s="1" t="s">
        <v>53</v>
      </c>
      <c r="P463" s="8">
        <v>3600</v>
      </c>
      <c r="Q463" s="17">
        <f t="shared" si="51"/>
        <v>72036</v>
      </c>
      <c r="R463" s="9">
        <v>6650</v>
      </c>
      <c r="S463" s="9">
        <v>10.3</v>
      </c>
      <c r="T463" s="9">
        <v>0</v>
      </c>
      <c r="U463" s="10">
        <v>0</v>
      </c>
      <c r="V463" s="1" t="s">
        <v>46</v>
      </c>
      <c r="W463" s="1" t="s">
        <v>56</v>
      </c>
      <c r="X463" s="1">
        <v>3257530</v>
      </c>
      <c r="Y463" s="11">
        <v>41802</v>
      </c>
      <c r="Z463" s="11">
        <v>41803</v>
      </c>
      <c r="AA463" s="9">
        <f t="shared" si="54"/>
        <v>65375.7</v>
      </c>
      <c r="AB463" s="12">
        <v>58.85</v>
      </c>
      <c r="AC463" s="9">
        <f t="shared" si="52"/>
        <v>4239318.6000000006</v>
      </c>
      <c r="AD463" s="9">
        <f t="shared" si="53"/>
        <v>3847359.9449999998</v>
      </c>
      <c r="AE463" s="1" t="s">
        <v>57</v>
      </c>
      <c r="AF463" s="1" t="s">
        <v>53</v>
      </c>
      <c r="AG463" s="4">
        <f t="shared" si="55"/>
        <v>72036</v>
      </c>
      <c r="AH463" s="10">
        <v>72036</v>
      </c>
      <c r="AI463" s="10">
        <v>6250</v>
      </c>
      <c r="AJ463" s="10">
        <v>10.3</v>
      </c>
      <c r="AK463" s="10"/>
      <c r="AL463" s="9">
        <f t="shared" si="56"/>
        <v>65775.7</v>
      </c>
      <c r="AM463" s="1"/>
      <c r="AN463" s="1"/>
      <c r="AO463" s="12" t="e">
        <f>AB463/#REF!</f>
        <v>#REF!</v>
      </c>
      <c r="AP463" s="1" t="s">
        <v>1842</v>
      </c>
      <c r="AQ463" s="11">
        <v>41921</v>
      </c>
      <c r="AR463" s="1" t="s">
        <v>1844</v>
      </c>
      <c r="AS463" s="11">
        <v>41926</v>
      </c>
      <c r="AT463" s="1" t="s">
        <v>49</v>
      </c>
      <c r="AU463" s="1" t="s">
        <v>4171</v>
      </c>
    </row>
    <row r="464" spans="1:47" ht="15" customHeight="1" x14ac:dyDescent="0.25">
      <c r="A464" s="1">
        <v>463</v>
      </c>
      <c r="B464" s="1" t="s">
        <v>1258</v>
      </c>
      <c r="C464" s="1" t="s">
        <v>38</v>
      </c>
      <c r="D464" s="1" t="s">
        <v>1845</v>
      </c>
      <c r="E464" s="5">
        <v>41808</v>
      </c>
      <c r="F464" s="1" t="s">
        <v>422</v>
      </c>
      <c r="G464" s="1" t="s">
        <v>40</v>
      </c>
      <c r="H464" s="1" t="s">
        <v>41</v>
      </c>
      <c r="I464" s="1" t="s">
        <v>2809</v>
      </c>
      <c r="J464" s="1" t="s">
        <v>2716</v>
      </c>
      <c r="K464" s="1">
        <v>38231900</v>
      </c>
      <c r="L464" s="6">
        <v>19.87</v>
      </c>
      <c r="M464" s="1" t="s">
        <v>70</v>
      </c>
      <c r="N464" s="7" t="s">
        <v>67</v>
      </c>
      <c r="O464" s="1" t="s">
        <v>45</v>
      </c>
      <c r="P464" s="8">
        <v>2650.64</v>
      </c>
      <c r="Q464" s="17">
        <f t="shared" si="51"/>
        <v>52668.216800000002</v>
      </c>
      <c r="R464" s="9">
        <v>0</v>
      </c>
      <c r="S464" s="9">
        <v>0</v>
      </c>
      <c r="T464" s="9">
        <v>0</v>
      </c>
      <c r="U464" s="10">
        <v>0</v>
      </c>
      <c r="V464" s="1" t="s">
        <v>46</v>
      </c>
      <c r="W464" s="1" t="s">
        <v>47</v>
      </c>
      <c r="X464" s="1">
        <v>3250413</v>
      </c>
      <c r="Y464" s="11">
        <v>41802</v>
      </c>
      <c r="Z464" s="11">
        <v>41802</v>
      </c>
      <c r="AA464" s="9">
        <f t="shared" si="54"/>
        <v>52668.216800000002</v>
      </c>
      <c r="AB464" s="12">
        <v>79.75</v>
      </c>
      <c r="AC464" s="9">
        <f t="shared" si="52"/>
        <v>4200290.2898000004</v>
      </c>
      <c r="AD464" s="9">
        <f t="shared" si="53"/>
        <v>4200290.2898000004</v>
      </c>
      <c r="AE464" s="1" t="s">
        <v>48</v>
      </c>
      <c r="AF464" s="1" t="s">
        <v>45</v>
      </c>
      <c r="AG464" s="4">
        <f t="shared" si="55"/>
        <v>52668.216800000002</v>
      </c>
      <c r="AH464" s="10">
        <v>52668.22</v>
      </c>
      <c r="AI464" s="9">
        <v>0</v>
      </c>
      <c r="AJ464" s="9">
        <v>0</v>
      </c>
      <c r="AK464" s="9">
        <v>0</v>
      </c>
      <c r="AL464" s="9">
        <f t="shared" si="56"/>
        <v>52668.22</v>
      </c>
      <c r="AM464" s="1"/>
      <c r="AN464" s="1"/>
      <c r="AO464" s="12" t="e">
        <f>AB464/#REF!</f>
        <v>#REF!</v>
      </c>
      <c r="AP464" s="1" t="s">
        <v>1846</v>
      </c>
      <c r="AQ464" s="11">
        <v>41851</v>
      </c>
      <c r="AR464" s="1" t="s">
        <v>1847</v>
      </c>
      <c r="AS464" s="11">
        <v>41852</v>
      </c>
      <c r="AT464" s="1" t="s">
        <v>49</v>
      </c>
      <c r="AU464" s="1" t="s">
        <v>4171</v>
      </c>
    </row>
    <row r="465" spans="1:47" ht="15" customHeight="1" x14ac:dyDescent="0.25">
      <c r="A465" s="1">
        <v>464</v>
      </c>
      <c r="B465" s="1" t="s">
        <v>1258</v>
      </c>
      <c r="C465" s="1" t="s">
        <v>38</v>
      </c>
      <c r="D465" s="1" t="s">
        <v>1845</v>
      </c>
      <c r="E465" s="5">
        <v>41808</v>
      </c>
      <c r="F465" s="1" t="s">
        <v>427</v>
      </c>
      <c r="G465" s="1" t="s">
        <v>40</v>
      </c>
      <c r="H465" s="1" t="s">
        <v>41</v>
      </c>
      <c r="I465" s="1" t="s">
        <v>2809</v>
      </c>
      <c r="J465" s="1" t="s">
        <v>2716</v>
      </c>
      <c r="K465" s="1">
        <v>38231900</v>
      </c>
      <c r="L465" s="6">
        <v>20</v>
      </c>
      <c r="M465" s="1" t="s">
        <v>70</v>
      </c>
      <c r="N465" s="7" t="s">
        <v>67</v>
      </c>
      <c r="O465" s="1" t="s">
        <v>45</v>
      </c>
      <c r="P465" s="8">
        <v>2650.64</v>
      </c>
      <c r="Q465" s="17">
        <f t="shared" si="51"/>
        <v>53012.799999999996</v>
      </c>
      <c r="R465" s="9">
        <v>0</v>
      </c>
      <c r="S465" s="9">
        <v>0</v>
      </c>
      <c r="T465" s="9">
        <v>0</v>
      </c>
      <c r="U465" s="10">
        <v>0</v>
      </c>
      <c r="V465" s="1" t="s">
        <v>46</v>
      </c>
      <c r="W465" s="1" t="s">
        <v>47</v>
      </c>
      <c r="X465" s="1">
        <v>3257438</v>
      </c>
      <c r="Y465" s="11">
        <v>41802</v>
      </c>
      <c r="Z465" s="11">
        <v>41803</v>
      </c>
      <c r="AA465" s="9">
        <f t="shared" si="54"/>
        <v>53012.799999999996</v>
      </c>
      <c r="AB465" s="12">
        <v>79.75</v>
      </c>
      <c r="AC465" s="9">
        <f t="shared" si="52"/>
        <v>4227770.8</v>
      </c>
      <c r="AD465" s="9">
        <f t="shared" si="53"/>
        <v>4227770.8</v>
      </c>
      <c r="AE465" s="1" t="s">
        <v>48</v>
      </c>
      <c r="AF465" s="1" t="s">
        <v>45</v>
      </c>
      <c r="AG465" s="4">
        <f t="shared" si="55"/>
        <v>53012.799999999996</v>
      </c>
      <c r="AH465" s="10">
        <v>53012.800000000003</v>
      </c>
      <c r="AI465" s="9">
        <v>0</v>
      </c>
      <c r="AJ465" s="9">
        <v>0</v>
      </c>
      <c r="AK465" s="9">
        <v>0</v>
      </c>
      <c r="AL465" s="9">
        <f t="shared" si="56"/>
        <v>53012.800000000003</v>
      </c>
      <c r="AM465" s="1"/>
      <c r="AN465" s="1"/>
      <c r="AO465" s="12" t="e">
        <f>AB465/#REF!</f>
        <v>#REF!</v>
      </c>
      <c r="AP465" s="1" t="s">
        <v>1846</v>
      </c>
      <c r="AQ465" s="11">
        <v>41851</v>
      </c>
      <c r="AR465" s="1" t="s">
        <v>1848</v>
      </c>
      <c r="AS465" s="11">
        <v>41852</v>
      </c>
      <c r="AT465" s="1" t="s">
        <v>49</v>
      </c>
      <c r="AU465" s="1" t="s">
        <v>4171</v>
      </c>
    </row>
    <row r="466" spans="1:47" ht="15" customHeight="1" x14ac:dyDescent="0.25">
      <c r="A466" s="1">
        <v>465</v>
      </c>
      <c r="B466" s="1" t="s">
        <v>1258</v>
      </c>
      <c r="C466" s="1" t="s">
        <v>38</v>
      </c>
      <c r="D466" s="1">
        <v>9103550303</v>
      </c>
      <c r="E466" s="5">
        <v>41809</v>
      </c>
      <c r="F466" s="1" t="s">
        <v>453</v>
      </c>
      <c r="G466" s="1" t="s">
        <v>40</v>
      </c>
      <c r="H466" s="1" t="s">
        <v>41</v>
      </c>
      <c r="I466" s="1" t="s">
        <v>2809</v>
      </c>
      <c r="J466" s="1" t="s">
        <v>63</v>
      </c>
      <c r="K466" s="1">
        <v>29161990</v>
      </c>
      <c r="L466" s="6">
        <v>38.950000000000003</v>
      </c>
      <c r="M466" s="1" t="s">
        <v>70</v>
      </c>
      <c r="N466" s="7" t="s">
        <v>44</v>
      </c>
      <c r="O466" s="1" t="s">
        <v>53</v>
      </c>
      <c r="P466" s="8">
        <v>2570</v>
      </c>
      <c r="Q466" s="17">
        <f t="shared" si="51"/>
        <v>100101.50000000001</v>
      </c>
      <c r="R466" s="9">
        <v>1120</v>
      </c>
      <c r="S466" s="9">
        <v>14.31</v>
      </c>
      <c r="T466" s="9">
        <v>0</v>
      </c>
      <c r="U466" s="10">
        <v>0</v>
      </c>
      <c r="V466" s="1" t="s">
        <v>46</v>
      </c>
      <c r="W466" s="1" t="s">
        <v>64</v>
      </c>
      <c r="X466" s="1">
        <v>3260155</v>
      </c>
      <c r="Y466" s="11">
        <v>41802</v>
      </c>
      <c r="Z466" s="11">
        <v>41803</v>
      </c>
      <c r="AA466" s="9">
        <f t="shared" si="54"/>
        <v>98967.190000000017</v>
      </c>
      <c r="AB466" s="12">
        <v>58.85</v>
      </c>
      <c r="AC466" s="9">
        <f t="shared" si="52"/>
        <v>5890973.2750000013</v>
      </c>
      <c r="AD466" s="9">
        <f t="shared" si="53"/>
        <v>5824219.1315000011</v>
      </c>
      <c r="AE466" s="1" t="s">
        <v>51</v>
      </c>
      <c r="AF466" s="1" t="s">
        <v>53</v>
      </c>
      <c r="AG466" s="4">
        <f t="shared" si="55"/>
        <v>100101.50000000001</v>
      </c>
      <c r="AH466" s="10">
        <v>100073</v>
      </c>
      <c r="AI466" s="10">
        <v>1000</v>
      </c>
      <c r="AJ466" s="10">
        <v>14.31</v>
      </c>
      <c r="AK466" s="10">
        <v>0</v>
      </c>
      <c r="AL466" s="9">
        <f t="shared" si="56"/>
        <v>99058.69</v>
      </c>
      <c r="AM466" s="1"/>
      <c r="AN466" s="1"/>
      <c r="AO466" s="12" t="e">
        <f>AB466/#REF!</f>
        <v>#REF!</v>
      </c>
      <c r="AP466" s="1" t="s">
        <v>1849</v>
      </c>
      <c r="AQ466" s="11">
        <v>41828</v>
      </c>
      <c r="AR466" s="1" t="s">
        <v>1850</v>
      </c>
      <c r="AS466" s="11">
        <v>41864</v>
      </c>
      <c r="AT466" s="1" t="s">
        <v>49</v>
      </c>
      <c r="AU466" s="1" t="s">
        <v>4171</v>
      </c>
    </row>
    <row r="467" spans="1:47" ht="15" customHeight="1" x14ac:dyDescent="0.25">
      <c r="A467" s="1">
        <v>466</v>
      </c>
      <c r="B467" s="1" t="s">
        <v>1258</v>
      </c>
      <c r="C467" s="1" t="s">
        <v>38</v>
      </c>
      <c r="D467" s="1">
        <v>9103550304</v>
      </c>
      <c r="E467" s="5">
        <v>41805</v>
      </c>
      <c r="F467" s="1" t="s">
        <v>444</v>
      </c>
      <c r="G467" s="1" t="s">
        <v>40</v>
      </c>
      <c r="H467" s="1" t="s">
        <v>41</v>
      </c>
      <c r="I467" s="1" t="s">
        <v>2809</v>
      </c>
      <c r="J467" s="1" t="s">
        <v>76</v>
      </c>
      <c r="K467" s="1">
        <v>38237090</v>
      </c>
      <c r="L467" s="6">
        <v>15</v>
      </c>
      <c r="M467" s="1" t="s">
        <v>70</v>
      </c>
      <c r="N467" s="7" t="s">
        <v>44</v>
      </c>
      <c r="O467" s="1" t="s">
        <v>53</v>
      </c>
      <c r="P467" s="8">
        <v>1715</v>
      </c>
      <c r="Q467" s="17">
        <f t="shared" si="51"/>
        <v>25725</v>
      </c>
      <c r="R467" s="9">
        <v>950</v>
      </c>
      <c r="S467" s="9">
        <v>3.68</v>
      </c>
      <c r="T467" s="9">
        <v>0</v>
      </c>
      <c r="U467" s="10">
        <v>0</v>
      </c>
      <c r="V467" s="1" t="s">
        <v>46</v>
      </c>
      <c r="W467" s="1" t="s">
        <v>77</v>
      </c>
      <c r="X467" s="1">
        <v>3260143</v>
      </c>
      <c r="Y467" s="11">
        <v>41802</v>
      </c>
      <c r="Z467" s="11">
        <v>41803</v>
      </c>
      <c r="AA467" s="9">
        <f t="shared" si="54"/>
        <v>24771.32</v>
      </c>
      <c r="AB467" s="12">
        <v>58.85</v>
      </c>
      <c r="AC467" s="9">
        <f t="shared" si="52"/>
        <v>1513916.25</v>
      </c>
      <c r="AD467" s="9">
        <f t="shared" si="53"/>
        <v>1457792.182</v>
      </c>
      <c r="AE467" s="1" t="s">
        <v>48</v>
      </c>
      <c r="AF467" s="1" t="s">
        <v>53</v>
      </c>
      <c r="AG467" s="4">
        <f t="shared" si="55"/>
        <v>25725</v>
      </c>
      <c r="AH467" s="10">
        <v>25725</v>
      </c>
      <c r="AI467" s="10">
        <v>950</v>
      </c>
      <c r="AJ467" s="10">
        <v>3.67</v>
      </c>
      <c r="AK467" s="10">
        <v>0</v>
      </c>
      <c r="AL467" s="9">
        <f t="shared" si="56"/>
        <v>24771.33</v>
      </c>
      <c r="AM467" s="1"/>
      <c r="AN467" s="1"/>
      <c r="AO467" s="12" t="e">
        <f>AB467/#REF!</f>
        <v>#REF!</v>
      </c>
      <c r="AP467" s="1" t="s">
        <v>1851</v>
      </c>
      <c r="AQ467" s="11">
        <v>41970</v>
      </c>
      <c r="AR467" s="1" t="s">
        <v>1852</v>
      </c>
      <c r="AS467" s="11">
        <v>41971</v>
      </c>
      <c r="AT467" s="1" t="s">
        <v>49</v>
      </c>
      <c r="AU467" s="1" t="s">
        <v>4171</v>
      </c>
    </row>
    <row r="468" spans="1:47" ht="15" customHeight="1" x14ac:dyDescent="0.25">
      <c r="A468" s="1">
        <v>467</v>
      </c>
      <c r="B468" s="1" t="s">
        <v>1258</v>
      </c>
      <c r="C468" s="1" t="s">
        <v>38</v>
      </c>
      <c r="D468" s="1">
        <v>9103550305</v>
      </c>
      <c r="E468" s="5">
        <v>41806</v>
      </c>
      <c r="F468" s="1" t="s">
        <v>445</v>
      </c>
      <c r="G468" s="1" t="s">
        <v>40</v>
      </c>
      <c r="H468" s="1" t="s">
        <v>41</v>
      </c>
      <c r="I468" s="1" t="s">
        <v>2809</v>
      </c>
      <c r="J468" s="1" t="s">
        <v>126</v>
      </c>
      <c r="K468" s="1">
        <v>38237090</v>
      </c>
      <c r="L468" s="6">
        <v>7</v>
      </c>
      <c r="M468" s="1" t="s">
        <v>70</v>
      </c>
      <c r="N468" s="7" t="s">
        <v>52</v>
      </c>
      <c r="O468" s="1" t="s">
        <v>53</v>
      </c>
      <c r="P468" s="8">
        <v>4440</v>
      </c>
      <c r="Q468" s="17">
        <f t="shared" si="51"/>
        <v>31080</v>
      </c>
      <c r="R468" s="9">
        <v>190</v>
      </c>
      <c r="S468" s="9">
        <v>0</v>
      </c>
      <c r="T468" s="9">
        <v>0</v>
      </c>
      <c r="U468" s="10">
        <v>0</v>
      </c>
      <c r="V468" s="1" t="s">
        <v>46</v>
      </c>
      <c r="W468" s="1" t="s">
        <v>127</v>
      </c>
      <c r="X468" s="1">
        <v>3260147</v>
      </c>
      <c r="Y468" s="11">
        <v>41802</v>
      </c>
      <c r="Z468" s="11">
        <v>41803</v>
      </c>
      <c r="AA468" s="9">
        <f t="shared" si="54"/>
        <v>30890</v>
      </c>
      <c r="AB468" s="12">
        <v>58.85</v>
      </c>
      <c r="AC468" s="9">
        <f t="shared" si="52"/>
        <v>1829058</v>
      </c>
      <c r="AD468" s="9">
        <f t="shared" si="53"/>
        <v>1817876.5</v>
      </c>
      <c r="AE468" s="1" t="s">
        <v>48</v>
      </c>
      <c r="AF468" s="1" t="s">
        <v>53</v>
      </c>
      <c r="AG468" s="4">
        <f t="shared" si="55"/>
        <v>31080</v>
      </c>
      <c r="AH468" s="10">
        <v>31033</v>
      </c>
      <c r="AI468" s="10">
        <v>60.71</v>
      </c>
      <c r="AJ468" s="10">
        <v>0</v>
      </c>
      <c r="AK468" s="10">
        <v>0</v>
      </c>
      <c r="AL468" s="9">
        <f t="shared" si="56"/>
        <v>30972.29</v>
      </c>
      <c r="AM468" s="1"/>
      <c r="AN468" s="1"/>
      <c r="AO468" s="12" t="e">
        <f>AB468/#REF!</f>
        <v>#REF!</v>
      </c>
      <c r="AP468" s="1" t="s">
        <v>1853</v>
      </c>
      <c r="AQ468" s="11">
        <v>41878</v>
      </c>
      <c r="AR468" s="1" t="s">
        <v>1854</v>
      </c>
      <c r="AS468" s="11">
        <v>41879</v>
      </c>
      <c r="AT468" s="1" t="s">
        <v>49</v>
      </c>
      <c r="AU468" s="1" t="s">
        <v>4171</v>
      </c>
    </row>
    <row r="469" spans="1:47" ht="15" customHeight="1" x14ac:dyDescent="0.25">
      <c r="A469" s="1">
        <v>468</v>
      </c>
      <c r="B469" s="1" t="s">
        <v>1258</v>
      </c>
      <c r="C469" s="1" t="s">
        <v>38</v>
      </c>
      <c r="D469" s="1">
        <v>9103550306</v>
      </c>
      <c r="E469" s="5">
        <v>41809</v>
      </c>
      <c r="F469" s="1" t="s">
        <v>430</v>
      </c>
      <c r="G469" s="1" t="s">
        <v>40</v>
      </c>
      <c r="H469" s="1" t="s">
        <v>41</v>
      </c>
      <c r="I469" s="1" t="s">
        <v>2809</v>
      </c>
      <c r="J469" s="1" t="s">
        <v>63</v>
      </c>
      <c r="K469" s="1">
        <v>29161990</v>
      </c>
      <c r="L469" s="6">
        <v>39.020000000000003</v>
      </c>
      <c r="M469" s="1" t="s">
        <v>70</v>
      </c>
      <c r="N469" s="7" t="s">
        <v>44</v>
      </c>
      <c r="O469" s="1" t="s">
        <v>53</v>
      </c>
      <c r="P469" s="8">
        <v>2570</v>
      </c>
      <c r="Q469" s="17">
        <f t="shared" si="51"/>
        <v>100281.40000000001</v>
      </c>
      <c r="R469" s="9">
        <v>1120</v>
      </c>
      <c r="S469" s="9">
        <v>14.34</v>
      </c>
      <c r="T469" s="9">
        <v>0</v>
      </c>
      <c r="U469" s="10">
        <v>0</v>
      </c>
      <c r="V469" s="1" t="s">
        <v>46</v>
      </c>
      <c r="W469" s="1" t="s">
        <v>64</v>
      </c>
      <c r="X469" s="1">
        <v>3263306</v>
      </c>
      <c r="Y469" s="11">
        <v>41802</v>
      </c>
      <c r="Z469" s="11">
        <v>41803</v>
      </c>
      <c r="AA469" s="9">
        <f t="shared" si="54"/>
        <v>99147.060000000012</v>
      </c>
      <c r="AB469" s="12">
        <v>58.85</v>
      </c>
      <c r="AC469" s="9">
        <f t="shared" si="52"/>
        <v>5901560.3900000006</v>
      </c>
      <c r="AD469" s="9">
        <f t="shared" si="53"/>
        <v>5834804.4810000006</v>
      </c>
      <c r="AE469" s="1" t="s">
        <v>51</v>
      </c>
      <c r="AF469" s="1" t="s">
        <v>53</v>
      </c>
      <c r="AG469" s="4">
        <f t="shared" si="55"/>
        <v>100281.40000000001</v>
      </c>
      <c r="AH469" s="10">
        <v>100281</v>
      </c>
      <c r="AI469" s="10">
        <v>1120</v>
      </c>
      <c r="AJ469" s="10">
        <v>14.34</v>
      </c>
      <c r="AK469" s="10">
        <v>0</v>
      </c>
      <c r="AL469" s="9">
        <f t="shared" si="56"/>
        <v>99146.66</v>
      </c>
      <c r="AM469" s="1"/>
      <c r="AN469" s="1"/>
      <c r="AO469" s="12" t="e">
        <f>AB469/#REF!</f>
        <v>#REF!</v>
      </c>
      <c r="AP469" s="1" t="s">
        <v>1855</v>
      </c>
      <c r="AQ469" s="11">
        <v>41828</v>
      </c>
      <c r="AR469" s="1" t="s">
        <v>1856</v>
      </c>
      <c r="AS469" s="11">
        <v>41864</v>
      </c>
      <c r="AT469" s="1" t="s">
        <v>49</v>
      </c>
      <c r="AU469" s="1" t="s">
        <v>4171</v>
      </c>
    </row>
    <row r="470" spans="1:47" ht="15" customHeight="1" x14ac:dyDescent="0.25">
      <c r="A470" s="1">
        <v>469</v>
      </c>
      <c r="B470" s="1" t="s">
        <v>1258</v>
      </c>
      <c r="C470" s="1" t="s">
        <v>38</v>
      </c>
      <c r="D470" s="1">
        <v>9103550307</v>
      </c>
      <c r="E470" s="5">
        <v>41810</v>
      </c>
      <c r="F470" s="1" t="s">
        <v>431</v>
      </c>
      <c r="G470" s="1" t="s">
        <v>40</v>
      </c>
      <c r="H470" s="1" t="s">
        <v>41</v>
      </c>
      <c r="I470" s="1" t="s">
        <v>2809</v>
      </c>
      <c r="J470" s="1" t="s">
        <v>2740</v>
      </c>
      <c r="K470" s="1">
        <v>38237090</v>
      </c>
      <c r="L470" s="6">
        <v>12</v>
      </c>
      <c r="M470" s="1" t="s">
        <v>70</v>
      </c>
      <c r="N470" s="7" t="s">
        <v>44</v>
      </c>
      <c r="O470" s="1" t="s">
        <v>53</v>
      </c>
      <c r="P470" s="8">
        <v>1680</v>
      </c>
      <c r="Q470" s="17">
        <f t="shared" si="51"/>
        <v>20160</v>
      </c>
      <c r="R470" s="9">
        <v>1100</v>
      </c>
      <c r="S470" s="9">
        <v>2.88</v>
      </c>
      <c r="T470" s="9">
        <v>0</v>
      </c>
      <c r="U470" s="10">
        <v>0</v>
      </c>
      <c r="V470" s="1" t="s">
        <v>46</v>
      </c>
      <c r="W470" s="1" t="s">
        <v>205</v>
      </c>
      <c r="X470" s="1">
        <v>3263300</v>
      </c>
      <c r="Y470" s="11">
        <v>41802</v>
      </c>
      <c r="Z470" s="11">
        <v>41803</v>
      </c>
      <c r="AA470" s="9">
        <f t="shared" si="54"/>
        <v>19057.12</v>
      </c>
      <c r="AB470" s="12">
        <v>58.85</v>
      </c>
      <c r="AC470" s="9">
        <f t="shared" si="52"/>
        <v>1186416</v>
      </c>
      <c r="AD470" s="9">
        <f t="shared" si="53"/>
        <v>1121511.5119999999</v>
      </c>
      <c r="AE470" s="1" t="s">
        <v>284</v>
      </c>
      <c r="AF470" s="1" t="s">
        <v>53</v>
      </c>
      <c r="AG470" s="4">
        <f t="shared" si="55"/>
        <v>20160</v>
      </c>
      <c r="AH470" s="10">
        <v>20097</v>
      </c>
      <c r="AI470" s="10">
        <v>1055</v>
      </c>
      <c r="AJ470" s="10">
        <v>2.88</v>
      </c>
      <c r="AK470" s="10">
        <v>0</v>
      </c>
      <c r="AL470" s="9">
        <f t="shared" si="56"/>
        <v>19039.12</v>
      </c>
      <c r="AM470" s="1"/>
      <c r="AN470" s="1"/>
      <c r="AO470" s="12" t="e">
        <f>AB470/#REF!</f>
        <v>#REF!</v>
      </c>
      <c r="AP470" s="1" t="s">
        <v>1857</v>
      </c>
      <c r="AQ470" s="11">
        <v>41838</v>
      </c>
      <c r="AR470" s="1" t="s">
        <v>1858</v>
      </c>
      <c r="AS470" s="11">
        <v>41838</v>
      </c>
      <c r="AT470" s="1" t="s">
        <v>49</v>
      </c>
      <c r="AU470" s="1" t="s">
        <v>4171</v>
      </c>
    </row>
    <row r="471" spans="1:47" ht="15" customHeight="1" x14ac:dyDescent="0.25">
      <c r="A471" s="1">
        <v>470</v>
      </c>
      <c r="B471" s="1" t="s">
        <v>1258</v>
      </c>
      <c r="C471" s="1" t="s">
        <v>38</v>
      </c>
      <c r="D471" s="1">
        <v>9103550308</v>
      </c>
      <c r="E471" s="5">
        <v>41810</v>
      </c>
      <c r="F471" s="1" t="s">
        <v>432</v>
      </c>
      <c r="G471" s="1" t="s">
        <v>40</v>
      </c>
      <c r="H471" s="1" t="s">
        <v>41</v>
      </c>
      <c r="I471" s="1" t="s">
        <v>2809</v>
      </c>
      <c r="J471" s="1" t="s">
        <v>1859</v>
      </c>
      <c r="K471" s="1">
        <v>38237090</v>
      </c>
      <c r="L471" s="6">
        <v>24</v>
      </c>
      <c r="M471" s="1" t="s">
        <v>70</v>
      </c>
      <c r="N471" s="7" t="s">
        <v>44</v>
      </c>
      <c r="O471" s="1" t="s">
        <v>53</v>
      </c>
      <c r="P471" s="8">
        <v>1755</v>
      </c>
      <c r="Q471" s="17">
        <f t="shared" si="51"/>
        <v>42120</v>
      </c>
      <c r="R471" s="9">
        <v>2100</v>
      </c>
      <c r="S471" s="9">
        <v>6.02</v>
      </c>
      <c r="T471" s="9">
        <v>0</v>
      </c>
      <c r="U471" s="10">
        <v>0</v>
      </c>
      <c r="V471" s="1" t="s">
        <v>46</v>
      </c>
      <c r="W471" s="1" t="s">
        <v>123</v>
      </c>
      <c r="X471" s="1">
        <v>3263886</v>
      </c>
      <c r="Y471" s="11">
        <v>41802</v>
      </c>
      <c r="Z471" s="11">
        <v>41803</v>
      </c>
      <c r="AA471" s="9">
        <f t="shared" si="54"/>
        <v>40013.980000000003</v>
      </c>
      <c r="AB471" s="12">
        <v>58.85</v>
      </c>
      <c r="AC471" s="9">
        <f t="shared" si="52"/>
        <v>2478762</v>
      </c>
      <c r="AD471" s="9">
        <f t="shared" si="53"/>
        <v>2354822.7230000002</v>
      </c>
      <c r="AE471" s="1" t="s">
        <v>48</v>
      </c>
      <c r="AF471" s="1" t="s">
        <v>53</v>
      </c>
      <c r="AG471" s="4">
        <f t="shared" si="55"/>
        <v>42120</v>
      </c>
      <c r="AH471" s="10">
        <v>42063</v>
      </c>
      <c r="AI471" s="10">
        <v>1963</v>
      </c>
      <c r="AJ471" s="10">
        <v>6.02</v>
      </c>
      <c r="AK471" s="10">
        <v>0</v>
      </c>
      <c r="AL471" s="9">
        <f t="shared" si="56"/>
        <v>40093.980000000003</v>
      </c>
      <c r="AM471" s="1"/>
      <c r="AN471" s="1"/>
      <c r="AO471" s="12" t="e">
        <f>AB471/#REF!</f>
        <v>#REF!</v>
      </c>
      <c r="AP471" s="1" t="s">
        <v>1860</v>
      </c>
      <c r="AQ471" s="11">
        <v>41843</v>
      </c>
      <c r="AR471" s="1" t="s">
        <v>1861</v>
      </c>
      <c r="AS471" s="11">
        <v>41844</v>
      </c>
      <c r="AT471" s="1" t="s">
        <v>49</v>
      </c>
      <c r="AU471" s="1" t="s">
        <v>4171</v>
      </c>
    </row>
    <row r="472" spans="1:47" ht="15" customHeight="1" x14ac:dyDescent="0.25">
      <c r="A472" s="1">
        <v>471</v>
      </c>
      <c r="B472" s="1" t="s">
        <v>1258</v>
      </c>
      <c r="C472" s="1" t="s">
        <v>38</v>
      </c>
      <c r="D472" s="1">
        <v>9103550309</v>
      </c>
      <c r="E472" s="5">
        <v>41809</v>
      </c>
      <c r="F472" s="1" t="s">
        <v>433</v>
      </c>
      <c r="G472" s="1" t="s">
        <v>40</v>
      </c>
      <c r="H472" s="1" t="s">
        <v>41</v>
      </c>
      <c r="I472" s="1" t="s">
        <v>2809</v>
      </c>
      <c r="J472" s="1" t="s">
        <v>2731</v>
      </c>
      <c r="K472" s="1">
        <v>38231900</v>
      </c>
      <c r="L472" s="6">
        <v>14.4</v>
      </c>
      <c r="M472" s="1" t="s">
        <v>70</v>
      </c>
      <c r="N472" s="7" t="s">
        <v>44</v>
      </c>
      <c r="O472" s="1" t="s">
        <v>53</v>
      </c>
      <c r="P472" s="8">
        <v>1305</v>
      </c>
      <c r="Q472" s="17">
        <f t="shared" si="51"/>
        <v>18792</v>
      </c>
      <c r="R472" s="9">
        <v>450</v>
      </c>
      <c r="S472" s="9">
        <v>2.69</v>
      </c>
      <c r="T472" s="9">
        <v>0</v>
      </c>
      <c r="U472" s="10">
        <v>0</v>
      </c>
      <c r="V472" s="1" t="s">
        <v>46</v>
      </c>
      <c r="W472" s="1" t="s">
        <v>54</v>
      </c>
      <c r="X472" s="1">
        <v>3265752</v>
      </c>
      <c r="Y472" s="11">
        <v>41802</v>
      </c>
      <c r="Z472" s="11">
        <v>41803</v>
      </c>
      <c r="AA472" s="9">
        <f t="shared" si="54"/>
        <v>18339.310000000001</v>
      </c>
      <c r="AB472" s="12">
        <v>58.85</v>
      </c>
      <c r="AC472" s="9">
        <f t="shared" si="52"/>
        <v>1105909.2</v>
      </c>
      <c r="AD472" s="9">
        <f t="shared" si="53"/>
        <v>1079268.3935</v>
      </c>
      <c r="AE472" s="1" t="s">
        <v>48</v>
      </c>
      <c r="AF472" s="1" t="s">
        <v>53</v>
      </c>
      <c r="AG472" s="4">
        <f t="shared" si="55"/>
        <v>18792</v>
      </c>
      <c r="AH472" s="10">
        <v>18586</v>
      </c>
      <c r="AI472" s="10">
        <v>430</v>
      </c>
      <c r="AJ472" s="10">
        <v>2.69</v>
      </c>
      <c r="AK472" s="10">
        <v>0</v>
      </c>
      <c r="AL472" s="9">
        <f t="shared" si="56"/>
        <v>18153.310000000001</v>
      </c>
      <c r="AM472" s="1"/>
      <c r="AN472" s="1"/>
      <c r="AO472" s="12" t="e">
        <f>AB472/#REF!</f>
        <v>#REF!</v>
      </c>
      <c r="AP472" s="1" t="s">
        <v>1862</v>
      </c>
      <c r="AQ472" s="11">
        <v>41828</v>
      </c>
      <c r="AR472" s="1" t="s">
        <v>1863</v>
      </c>
      <c r="AS472" s="11">
        <v>41830</v>
      </c>
      <c r="AT472" s="1" t="s">
        <v>49</v>
      </c>
      <c r="AU472" s="1" t="s">
        <v>4171</v>
      </c>
    </row>
    <row r="473" spans="1:47" ht="15" customHeight="1" x14ac:dyDescent="0.25">
      <c r="A473" s="1">
        <v>472</v>
      </c>
      <c r="B473" s="1" t="s">
        <v>1258</v>
      </c>
      <c r="C473" s="1" t="s">
        <v>38</v>
      </c>
      <c r="D473" s="1">
        <v>9103550310</v>
      </c>
      <c r="E473" s="5">
        <v>41809</v>
      </c>
      <c r="F473" s="1" t="s">
        <v>435</v>
      </c>
      <c r="G473" s="1" t="s">
        <v>40</v>
      </c>
      <c r="H473" s="1" t="s">
        <v>41</v>
      </c>
      <c r="I473" s="1" t="s">
        <v>2809</v>
      </c>
      <c r="J473" s="1" t="s">
        <v>63</v>
      </c>
      <c r="K473" s="1">
        <v>29161990</v>
      </c>
      <c r="L473" s="6">
        <v>39.090000000000003</v>
      </c>
      <c r="M473" s="1" t="s">
        <v>70</v>
      </c>
      <c r="N473" s="7" t="s">
        <v>44</v>
      </c>
      <c r="O473" s="1" t="s">
        <v>53</v>
      </c>
      <c r="P473" s="8">
        <v>2570</v>
      </c>
      <c r="Q473" s="17">
        <f t="shared" si="51"/>
        <v>100461.3</v>
      </c>
      <c r="R473" s="9">
        <v>1120</v>
      </c>
      <c r="S473" s="9">
        <v>14.37</v>
      </c>
      <c r="T473" s="9">
        <v>0</v>
      </c>
      <c r="U473" s="10">
        <v>0</v>
      </c>
      <c r="V473" s="1" t="s">
        <v>46</v>
      </c>
      <c r="W473" s="1" t="s">
        <v>64</v>
      </c>
      <c r="X473" s="1">
        <v>3275541</v>
      </c>
      <c r="Y473" s="11">
        <v>41803</v>
      </c>
      <c r="Z473" s="11">
        <v>41804</v>
      </c>
      <c r="AA473" s="9">
        <f t="shared" si="54"/>
        <v>99326.930000000008</v>
      </c>
      <c r="AB473" s="12">
        <v>58.85</v>
      </c>
      <c r="AC473" s="9">
        <f t="shared" si="52"/>
        <v>5912147.5049999999</v>
      </c>
      <c r="AD473" s="9">
        <f t="shared" si="53"/>
        <v>5845389.8305000002</v>
      </c>
      <c r="AE473" s="1" t="s">
        <v>51</v>
      </c>
      <c r="AF473" s="1" t="s">
        <v>53</v>
      </c>
      <c r="AG473" s="4">
        <f t="shared" si="55"/>
        <v>100461.3</v>
      </c>
      <c r="AH473" s="10">
        <v>100420</v>
      </c>
      <c r="AI473" s="10">
        <v>1000</v>
      </c>
      <c r="AJ473" s="10">
        <v>14.37</v>
      </c>
      <c r="AK473" s="10">
        <v>0</v>
      </c>
      <c r="AL473" s="9">
        <f t="shared" si="56"/>
        <v>99405.63</v>
      </c>
      <c r="AM473" s="1"/>
      <c r="AN473" s="1"/>
      <c r="AO473" s="12" t="e">
        <f>AB473/#REF!</f>
        <v>#REF!</v>
      </c>
      <c r="AP473" s="1" t="s">
        <v>1864</v>
      </c>
      <c r="AQ473" s="11">
        <v>41828</v>
      </c>
      <c r="AR473" s="1" t="s">
        <v>1865</v>
      </c>
      <c r="AS473" s="11">
        <v>41867</v>
      </c>
      <c r="AT473" s="1" t="s">
        <v>49</v>
      </c>
      <c r="AU473" s="1" t="s">
        <v>4171</v>
      </c>
    </row>
    <row r="474" spans="1:47" ht="15" customHeight="1" x14ac:dyDescent="0.25">
      <c r="A474" s="1">
        <v>473</v>
      </c>
      <c r="B474" s="1" t="s">
        <v>1258</v>
      </c>
      <c r="C474" s="1" t="s">
        <v>38</v>
      </c>
      <c r="D474" s="1" t="s">
        <v>1866</v>
      </c>
      <c r="E474" s="5">
        <v>41810</v>
      </c>
      <c r="F474" s="1" t="s">
        <v>434</v>
      </c>
      <c r="G474" s="1" t="s">
        <v>40</v>
      </c>
      <c r="H474" s="1" t="s">
        <v>41</v>
      </c>
      <c r="I474" s="1" t="s">
        <v>2809</v>
      </c>
      <c r="J474" s="1" t="s">
        <v>2740</v>
      </c>
      <c r="K474" s="1">
        <v>38237090</v>
      </c>
      <c r="L474" s="6">
        <v>12</v>
      </c>
      <c r="M474" s="1" t="s">
        <v>70</v>
      </c>
      <c r="N474" s="7" t="s">
        <v>44</v>
      </c>
      <c r="O474" s="1" t="s">
        <v>53</v>
      </c>
      <c r="P474" s="8">
        <v>1680</v>
      </c>
      <c r="Q474" s="17">
        <f t="shared" si="51"/>
        <v>20160</v>
      </c>
      <c r="R474" s="9">
        <v>1100</v>
      </c>
      <c r="S474" s="9">
        <v>2.88</v>
      </c>
      <c r="T474" s="9">
        <v>0</v>
      </c>
      <c r="U474" s="10">
        <v>0</v>
      </c>
      <c r="V474" s="1" t="s">
        <v>46</v>
      </c>
      <c r="W474" s="1" t="s">
        <v>205</v>
      </c>
      <c r="X474" s="1">
        <v>3265515</v>
      </c>
      <c r="Y474" s="11">
        <v>41802</v>
      </c>
      <c r="Z474" s="11">
        <v>41804</v>
      </c>
      <c r="AA474" s="9">
        <f t="shared" si="54"/>
        <v>19057.12</v>
      </c>
      <c r="AB474" s="12">
        <v>58.85</v>
      </c>
      <c r="AC474" s="9">
        <f t="shared" si="52"/>
        <v>1186416</v>
      </c>
      <c r="AD474" s="9">
        <f t="shared" si="53"/>
        <v>1121511.5119999999</v>
      </c>
      <c r="AE474" s="1" t="s">
        <v>284</v>
      </c>
      <c r="AF474" s="1" t="s">
        <v>53</v>
      </c>
      <c r="AG474" s="4">
        <f t="shared" si="55"/>
        <v>20160</v>
      </c>
      <c r="AH474" s="10">
        <v>20097</v>
      </c>
      <c r="AI474" s="10">
        <v>1040</v>
      </c>
      <c r="AJ474" s="10">
        <f>5.77-AJ475</f>
        <v>2.8699999999999997</v>
      </c>
      <c r="AK474" s="10">
        <v>0</v>
      </c>
      <c r="AL474" s="9">
        <f t="shared" si="56"/>
        <v>19054.13</v>
      </c>
      <c r="AM474" s="1"/>
      <c r="AN474" s="1"/>
      <c r="AO474" s="12" t="e">
        <f>AB474/#REF!</f>
        <v>#REF!</v>
      </c>
      <c r="AP474" s="1" t="s">
        <v>1867</v>
      </c>
      <c r="AQ474" s="11">
        <v>41830</v>
      </c>
      <c r="AR474" s="1" t="s">
        <v>1868</v>
      </c>
      <c r="AS474" s="11">
        <v>41830</v>
      </c>
      <c r="AT474" s="1" t="s">
        <v>49</v>
      </c>
      <c r="AU474" s="1" t="s">
        <v>4171</v>
      </c>
    </row>
    <row r="475" spans="1:47" ht="15" customHeight="1" x14ac:dyDescent="0.25">
      <c r="A475" s="1">
        <v>474</v>
      </c>
      <c r="B475" s="1" t="s">
        <v>1258</v>
      </c>
      <c r="C475" s="1" t="s">
        <v>38</v>
      </c>
      <c r="D475" s="1" t="s">
        <v>1866</v>
      </c>
      <c r="E475" s="5">
        <v>41810</v>
      </c>
      <c r="F475" s="1" t="s">
        <v>436</v>
      </c>
      <c r="G475" s="1" t="s">
        <v>40</v>
      </c>
      <c r="H475" s="1" t="s">
        <v>41</v>
      </c>
      <c r="I475" s="1" t="s">
        <v>2809</v>
      </c>
      <c r="J475" s="1" t="s">
        <v>2740</v>
      </c>
      <c r="K475" s="1">
        <v>38237090</v>
      </c>
      <c r="L475" s="6">
        <v>12</v>
      </c>
      <c r="M475" s="1" t="s">
        <v>70</v>
      </c>
      <c r="N475" s="7" t="s">
        <v>44</v>
      </c>
      <c r="O475" s="1" t="s">
        <v>53</v>
      </c>
      <c r="P475" s="8">
        <v>1680</v>
      </c>
      <c r="Q475" s="17">
        <f t="shared" si="51"/>
        <v>20160</v>
      </c>
      <c r="R475" s="9">
        <v>1100</v>
      </c>
      <c r="S475" s="9">
        <v>2.88</v>
      </c>
      <c r="T475" s="9">
        <v>0</v>
      </c>
      <c r="U475" s="10">
        <v>0</v>
      </c>
      <c r="V475" s="1" t="s">
        <v>46</v>
      </c>
      <c r="W475" s="1" t="s">
        <v>205</v>
      </c>
      <c r="X475" s="1">
        <v>3275886</v>
      </c>
      <c r="Y475" s="11">
        <v>41803</v>
      </c>
      <c r="Z475" s="11">
        <v>41804</v>
      </c>
      <c r="AA475" s="9">
        <f t="shared" si="54"/>
        <v>19057.12</v>
      </c>
      <c r="AB475" s="12">
        <v>58.85</v>
      </c>
      <c r="AC475" s="9">
        <f t="shared" si="52"/>
        <v>1186416</v>
      </c>
      <c r="AD475" s="9">
        <f t="shared" si="53"/>
        <v>1121511.5119999999</v>
      </c>
      <c r="AE475" s="1" t="s">
        <v>284</v>
      </c>
      <c r="AF475" s="1" t="s">
        <v>53</v>
      </c>
      <c r="AG475" s="4">
        <f t="shared" si="55"/>
        <v>20160</v>
      </c>
      <c r="AH475" s="10">
        <v>20160</v>
      </c>
      <c r="AI475" s="10">
        <v>1060</v>
      </c>
      <c r="AJ475" s="10">
        <v>2.9</v>
      </c>
      <c r="AK475" s="10">
        <v>0</v>
      </c>
      <c r="AL475" s="9">
        <f t="shared" si="56"/>
        <v>19097.099999999999</v>
      </c>
      <c r="AM475" s="1"/>
      <c r="AN475" s="1"/>
      <c r="AO475" s="12" t="e">
        <f>AB475/#REF!</f>
        <v>#REF!</v>
      </c>
      <c r="AP475" s="1" t="s">
        <v>1867</v>
      </c>
      <c r="AQ475" s="11">
        <v>41830</v>
      </c>
      <c r="AR475" s="1" t="s">
        <v>1869</v>
      </c>
      <c r="AS475" s="11">
        <v>41830</v>
      </c>
      <c r="AT475" s="1" t="s">
        <v>49</v>
      </c>
      <c r="AU475" s="1" t="s">
        <v>4171</v>
      </c>
    </row>
    <row r="476" spans="1:47" ht="15" customHeight="1" x14ac:dyDescent="0.25">
      <c r="A476" s="1">
        <v>475</v>
      </c>
      <c r="B476" s="1" t="s">
        <v>1258</v>
      </c>
      <c r="C476" s="1" t="s">
        <v>38</v>
      </c>
      <c r="D476" s="1">
        <v>9103550313</v>
      </c>
      <c r="E476" s="5">
        <v>41809</v>
      </c>
      <c r="F476" s="1" t="s">
        <v>438</v>
      </c>
      <c r="G476" s="1" t="s">
        <v>40</v>
      </c>
      <c r="H476" s="1" t="s">
        <v>41</v>
      </c>
      <c r="I476" s="1" t="s">
        <v>2809</v>
      </c>
      <c r="J476" s="1" t="s">
        <v>487</v>
      </c>
      <c r="K476" s="1">
        <v>29051700</v>
      </c>
      <c r="L476" s="6">
        <v>12</v>
      </c>
      <c r="M476" s="1" t="s">
        <v>70</v>
      </c>
      <c r="N476" s="7" t="s">
        <v>44</v>
      </c>
      <c r="O476" s="1" t="s">
        <v>53</v>
      </c>
      <c r="P476" s="8">
        <v>1820</v>
      </c>
      <c r="Q476" s="17">
        <f t="shared" si="51"/>
        <v>21840</v>
      </c>
      <c r="R476" s="9">
        <v>920</v>
      </c>
      <c r="S476" s="9">
        <v>3.12</v>
      </c>
      <c r="T476" s="198">
        <v>510</v>
      </c>
      <c r="U476" s="10">
        <v>0</v>
      </c>
      <c r="V476" s="1" t="s">
        <v>46</v>
      </c>
      <c r="W476" s="1" t="s">
        <v>90</v>
      </c>
      <c r="X476" s="1">
        <v>3279598</v>
      </c>
      <c r="Y476" s="11">
        <v>41803</v>
      </c>
      <c r="Z476" s="11">
        <v>41804</v>
      </c>
      <c r="AA476" s="9">
        <f t="shared" si="54"/>
        <v>20916.88</v>
      </c>
      <c r="AB476" s="12">
        <v>58.85</v>
      </c>
      <c r="AC476" s="9">
        <f t="shared" si="52"/>
        <v>1285284</v>
      </c>
      <c r="AD476" s="9">
        <f t="shared" si="53"/>
        <v>1230958.388</v>
      </c>
      <c r="AE476" s="1" t="s">
        <v>48</v>
      </c>
      <c r="AF476" s="1" t="s">
        <v>53</v>
      </c>
      <c r="AG476" s="4">
        <f t="shared" si="55"/>
        <v>21840</v>
      </c>
      <c r="AH476" s="10">
        <v>21840</v>
      </c>
      <c r="AI476" s="10">
        <v>913.01</v>
      </c>
      <c r="AJ476" s="10">
        <v>3.13</v>
      </c>
      <c r="AK476" s="10">
        <v>410.25</v>
      </c>
      <c r="AL476" s="9">
        <f t="shared" si="56"/>
        <v>20513.61</v>
      </c>
      <c r="AM476" s="1"/>
      <c r="AN476" s="1"/>
      <c r="AO476" s="12" t="e">
        <f>AB476/#REF!</f>
        <v>#REF!</v>
      </c>
      <c r="AP476" s="1" t="s">
        <v>1870</v>
      </c>
      <c r="AQ476" s="11">
        <v>41851</v>
      </c>
      <c r="AR476" s="1" t="s">
        <v>1871</v>
      </c>
      <c r="AS476" s="11">
        <v>41852</v>
      </c>
      <c r="AT476" s="1" t="s">
        <v>49</v>
      </c>
      <c r="AU476" s="1" t="s">
        <v>4171</v>
      </c>
    </row>
    <row r="477" spans="1:47" ht="15" customHeight="1" x14ac:dyDescent="0.25">
      <c r="A477" s="1">
        <v>476</v>
      </c>
      <c r="B477" s="1" t="s">
        <v>1258</v>
      </c>
      <c r="C477" s="1" t="s">
        <v>38</v>
      </c>
      <c r="D477" s="1">
        <v>9103550313</v>
      </c>
      <c r="E477" s="5">
        <v>41809</v>
      </c>
      <c r="F477" s="1" t="s">
        <v>438</v>
      </c>
      <c r="G477" s="1" t="s">
        <v>40</v>
      </c>
      <c r="H477" s="1" t="s">
        <v>41</v>
      </c>
      <c r="I477" s="1" t="s">
        <v>2809</v>
      </c>
      <c r="J477" s="1" t="s">
        <v>487</v>
      </c>
      <c r="K477" s="1">
        <v>38237090</v>
      </c>
      <c r="L477" s="6">
        <v>3</v>
      </c>
      <c r="M477" s="1" t="s">
        <v>70</v>
      </c>
      <c r="N477" s="7" t="s">
        <v>44</v>
      </c>
      <c r="O477" s="1" t="s">
        <v>53</v>
      </c>
      <c r="P477" s="8">
        <v>1790</v>
      </c>
      <c r="Q477" s="17">
        <f t="shared" si="51"/>
        <v>5370</v>
      </c>
      <c r="R477" s="9">
        <v>230</v>
      </c>
      <c r="S477" s="9">
        <v>0.77</v>
      </c>
      <c r="T477" s="198"/>
      <c r="U477" s="10">
        <v>0</v>
      </c>
      <c r="V477" s="1" t="s">
        <v>46</v>
      </c>
      <c r="W477" s="1" t="s">
        <v>90</v>
      </c>
      <c r="X477" s="1">
        <v>3279598</v>
      </c>
      <c r="Y477" s="11">
        <v>41803</v>
      </c>
      <c r="Z477" s="11">
        <v>41804</v>
      </c>
      <c r="AA477" s="9">
        <f t="shared" si="54"/>
        <v>5139.2299999999996</v>
      </c>
      <c r="AB477" s="12">
        <v>58.85</v>
      </c>
      <c r="AC477" s="9">
        <f t="shared" si="52"/>
        <v>316024.5</v>
      </c>
      <c r="AD477" s="9">
        <f t="shared" si="53"/>
        <v>302443.68549999996</v>
      </c>
      <c r="AE477" s="1" t="s">
        <v>48</v>
      </c>
      <c r="AF477" s="1" t="s">
        <v>53</v>
      </c>
      <c r="AG477" s="4">
        <f t="shared" si="55"/>
        <v>5370</v>
      </c>
      <c r="AH477" s="10">
        <v>5310</v>
      </c>
      <c r="AI477" s="10">
        <v>221.98</v>
      </c>
      <c r="AJ477" s="10">
        <v>0.76</v>
      </c>
      <c r="AK477" s="10">
        <v>99.75</v>
      </c>
      <c r="AL477" s="9">
        <f t="shared" si="56"/>
        <v>4987.51</v>
      </c>
      <c r="AM477" s="1"/>
      <c r="AN477" s="1"/>
      <c r="AO477" s="12" t="e">
        <f>AB477/#REF!</f>
        <v>#REF!</v>
      </c>
      <c r="AP477" s="1" t="s">
        <v>1870</v>
      </c>
      <c r="AQ477" s="11">
        <v>41851</v>
      </c>
      <c r="AR477" s="1" t="s">
        <v>1871</v>
      </c>
      <c r="AS477" s="11">
        <v>41852</v>
      </c>
      <c r="AT477" s="1" t="s">
        <v>49</v>
      </c>
      <c r="AU477" s="1" t="s">
        <v>4171</v>
      </c>
    </row>
    <row r="478" spans="1:47" ht="15" customHeight="1" x14ac:dyDescent="0.25">
      <c r="A478" s="1">
        <v>477</v>
      </c>
      <c r="B478" s="1" t="s">
        <v>1258</v>
      </c>
      <c r="C478" s="1" t="s">
        <v>38</v>
      </c>
      <c r="D478" s="1">
        <v>9103550314</v>
      </c>
      <c r="E478" s="5">
        <v>41803</v>
      </c>
      <c r="F478" s="1" t="s">
        <v>439</v>
      </c>
      <c r="G478" s="1" t="s">
        <v>40</v>
      </c>
      <c r="H478" s="1" t="s">
        <v>41</v>
      </c>
      <c r="I478" s="1" t="s">
        <v>2809</v>
      </c>
      <c r="J478" s="1" t="s">
        <v>1872</v>
      </c>
      <c r="K478" s="1">
        <v>38231190</v>
      </c>
      <c r="L478" s="6">
        <v>13.75</v>
      </c>
      <c r="M478" s="1" t="s">
        <v>70</v>
      </c>
      <c r="N478" s="7" t="s">
        <v>44</v>
      </c>
      <c r="O478" s="1" t="s">
        <v>53</v>
      </c>
      <c r="P478" s="8">
        <v>1180</v>
      </c>
      <c r="Q478" s="17">
        <f t="shared" si="51"/>
        <v>16225</v>
      </c>
      <c r="R478" s="9">
        <v>1200</v>
      </c>
      <c r="S478" s="9">
        <v>2.3199999999999998</v>
      </c>
      <c r="T478" s="9">
        <v>0</v>
      </c>
      <c r="U478" s="10">
        <v>0</v>
      </c>
      <c r="V478" s="1" t="s">
        <v>46</v>
      </c>
      <c r="W478" s="1" t="s">
        <v>1873</v>
      </c>
      <c r="X478" s="1">
        <v>3279592</v>
      </c>
      <c r="Y478" s="11">
        <v>41803</v>
      </c>
      <c r="Z478" s="11">
        <v>41804</v>
      </c>
      <c r="AA478" s="9">
        <f t="shared" si="54"/>
        <v>15022.68</v>
      </c>
      <c r="AB478" s="12">
        <v>58.85</v>
      </c>
      <c r="AC478" s="9">
        <f t="shared" si="52"/>
        <v>954841.25</v>
      </c>
      <c r="AD478" s="9">
        <f t="shared" si="53"/>
        <v>884084.71799999999</v>
      </c>
      <c r="AE478" s="1" t="s">
        <v>48</v>
      </c>
      <c r="AF478" s="1" t="s">
        <v>53</v>
      </c>
      <c r="AG478" s="4">
        <f t="shared" si="55"/>
        <v>16225</v>
      </c>
      <c r="AH478" s="10">
        <v>16175</v>
      </c>
      <c r="AI478" s="10">
        <v>1145</v>
      </c>
      <c r="AJ478" s="10">
        <v>2.3199999999999998</v>
      </c>
      <c r="AK478" s="10">
        <v>0</v>
      </c>
      <c r="AL478" s="9">
        <f t="shared" si="56"/>
        <v>15027.68</v>
      </c>
      <c r="AM478" s="1"/>
      <c r="AN478" s="1"/>
      <c r="AO478" s="12" t="e">
        <f>AB478/#REF!</f>
        <v>#REF!</v>
      </c>
      <c r="AP478" s="1" t="s">
        <v>1874</v>
      </c>
      <c r="AQ478" s="11">
        <v>41843</v>
      </c>
      <c r="AR478" s="1" t="s">
        <v>1875</v>
      </c>
      <c r="AS478" s="11">
        <v>41844</v>
      </c>
      <c r="AT478" s="1" t="s">
        <v>49</v>
      </c>
      <c r="AU478" s="1" t="s">
        <v>4171</v>
      </c>
    </row>
    <row r="479" spans="1:47" ht="15" customHeight="1" x14ac:dyDescent="0.25">
      <c r="A479" s="1">
        <v>478</v>
      </c>
      <c r="B479" s="1" t="s">
        <v>1258</v>
      </c>
      <c r="C479" s="1" t="s">
        <v>38</v>
      </c>
      <c r="D479" s="1">
        <v>9103550315</v>
      </c>
      <c r="E479" s="5">
        <v>41809</v>
      </c>
      <c r="F479" s="1" t="s">
        <v>442</v>
      </c>
      <c r="G479" s="1" t="s">
        <v>40</v>
      </c>
      <c r="H479" s="1" t="s">
        <v>41</v>
      </c>
      <c r="I479" s="1" t="s">
        <v>2809</v>
      </c>
      <c r="J479" s="1" t="s">
        <v>2759</v>
      </c>
      <c r="K479" s="1">
        <v>29051700</v>
      </c>
      <c r="L479" s="6">
        <v>3</v>
      </c>
      <c r="M479" s="1" t="s">
        <v>70</v>
      </c>
      <c r="N479" s="7" t="s">
        <v>44</v>
      </c>
      <c r="O479" s="1" t="s">
        <v>53</v>
      </c>
      <c r="P479" s="8">
        <v>1760</v>
      </c>
      <c r="Q479" s="17">
        <f t="shared" si="51"/>
        <v>5280</v>
      </c>
      <c r="R479" s="9">
        <v>33</v>
      </c>
      <c r="S479" s="9">
        <v>0.76</v>
      </c>
      <c r="T479" s="9">
        <v>0</v>
      </c>
      <c r="U479" s="10">
        <v>0</v>
      </c>
      <c r="V479" s="1" t="s">
        <v>46</v>
      </c>
      <c r="W479" s="1" t="s">
        <v>72</v>
      </c>
      <c r="X479" s="1">
        <v>3279593</v>
      </c>
      <c r="Y479" s="11">
        <v>41803</v>
      </c>
      <c r="Z479" s="11">
        <v>41804</v>
      </c>
      <c r="AA479" s="9">
        <f t="shared" si="54"/>
        <v>5246.24</v>
      </c>
      <c r="AB479" s="12">
        <v>58.85</v>
      </c>
      <c r="AC479" s="9">
        <f t="shared" si="52"/>
        <v>310728</v>
      </c>
      <c r="AD479" s="9">
        <f t="shared" si="53"/>
        <v>308741.22399999999</v>
      </c>
      <c r="AE479" s="1" t="s">
        <v>48</v>
      </c>
      <c r="AF479" s="1" t="s">
        <v>53</v>
      </c>
      <c r="AG479" s="4">
        <f t="shared" si="55"/>
        <v>5280</v>
      </c>
      <c r="AH479" s="10">
        <v>5280</v>
      </c>
      <c r="AI479" s="9">
        <v>33</v>
      </c>
      <c r="AJ479" s="9">
        <v>0.76</v>
      </c>
      <c r="AK479" s="10">
        <v>0</v>
      </c>
      <c r="AL479" s="9">
        <f t="shared" si="56"/>
        <v>5246.24</v>
      </c>
      <c r="AM479" s="1"/>
      <c r="AN479" s="1"/>
      <c r="AO479" s="12" t="e">
        <f>AB479/#REF!</f>
        <v>#REF!</v>
      </c>
      <c r="AP479" s="1" t="s">
        <v>1876</v>
      </c>
      <c r="AQ479" s="11">
        <v>41843</v>
      </c>
      <c r="AR479" s="1" t="s">
        <v>1877</v>
      </c>
      <c r="AS479" s="11">
        <v>41844</v>
      </c>
      <c r="AT479" s="1" t="s">
        <v>49</v>
      </c>
      <c r="AU479" s="1" t="s">
        <v>4171</v>
      </c>
    </row>
    <row r="480" spans="1:47" ht="15" customHeight="1" x14ac:dyDescent="0.25">
      <c r="A480" s="1">
        <v>479</v>
      </c>
      <c r="B480" s="1" t="s">
        <v>1258</v>
      </c>
      <c r="C480" s="1" t="s">
        <v>38</v>
      </c>
      <c r="D480" s="1">
        <v>9103550315</v>
      </c>
      <c r="E480" s="5">
        <v>41809</v>
      </c>
      <c r="F480" s="1" t="s">
        <v>442</v>
      </c>
      <c r="G480" s="1" t="s">
        <v>40</v>
      </c>
      <c r="H480" s="1" t="s">
        <v>41</v>
      </c>
      <c r="I480" s="1" t="s">
        <v>2809</v>
      </c>
      <c r="J480" s="1" t="s">
        <v>2759</v>
      </c>
      <c r="K480" s="1">
        <v>38237090</v>
      </c>
      <c r="L480" s="6">
        <v>12</v>
      </c>
      <c r="M480" s="1" t="s">
        <v>70</v>
      </c>
      <c r="N480" s="7" t="s">
        <v>44</v>
      </c>
      <c r="O480" s="1" t="s">
        <v>53</v>
      </c>
      <c r="P480" s="8">
        <v>1640</v>
      </c>
      <c r="Q480" s="17">
        <f t="shared" si="51"/>
        <v>19680</v>
      </c>
      <c r="R480" s="9">
        <v>132</v>
      </c>
      <c r="S480" s="9">
        <v>2.81</v>
      </c>
      <c r="T480" s="9">
        <v>0</v>
      </c>
      <c r="U480" s="10">
        <v>0</v>
      </c>
      <c r="V480" s="1" t="s">
        <v>46</v>
      </c>
      <c r="W480" s="1" t="s">
        <v>72</v>
      </c>
      <c r="X480" s="1">
        <v>3279593</v>
      </c>
      <c r="Y480" s="11">
        <v>41803</v>
      </c>
      <c r="Z480" s="11">
        <v>41804</v>
      </c>
      <c r="AA480" s="9">
        <f t="shared" si="54"/>
        <v>19545.189999999999</v>
      </c>
      <c r="AB480" s="12">
        <v>58.85</v>
      </c>
      <c r="AC480" s="9">
        <f t="shared" si="52"/>
        <v>1158168</v>
      </c>
      <c r="AD480" s="9">
        <f t="shared" si="53"/>
        <v>1150234.4314999999</v>
      </c>
      <c r="AE480" s="1" t="s">
        <v>48</v>
      </c>
      <c r="AF480" s="1" t="s">
        <v>53</v>
      </c>
      <c r="AG480" s="4">
        <f t="shared" si="55"/>
        <v>19680</v>
      </c>
      <c r="AH480" s="10">
        <v>19680</v>
      </c>
      <c r="AI480" s="9">
        <v>132</v>
      </c>
      <c r="AJ480" s="9">
        <v>2.81</v>
      </c>
      <c r="AK480" s="10">
        <v>0</v>
      </c>
      <c r="AL480" s="9">
        <f t="shared" si="56"/>
        <v>19545.189999999999</v>
      </c>
      <c r="AM480" s="1"/>
      <c r="AN480" s="1"/>
      <c r="AO480" s="12" t="e">
        <f>AB480/#REF!</f>
        <v>#REF!</v>
      </c>
      <c r="AP480" s="1" t="s">
        <v>1876</v>
      </c>
      <c r="AQ480" s="11">
        <v>41843</v>
      </c>
      <c r="AR480" s="1" t="s">
        <v>1877</v>
      </c>
      <c r="AS480" s="11">
        <v>41844</v>
      </c>
      <c r="AT480" s="1" t="s">
        <v>49</v>
      </c>
      <c r="AU480" s="1" t="s">
        <v>4171</v>
      </c>
    </row>
    <row r="481" spans="1:47" ht="15" customHeight="1" x14ac:dyDescent="0.25">
      <c r="A481" s="1">
        <v>480</v>
      </c>
      <c r="B481" s="1" t="s">
        <v>1258</v>
      </c>
      <c r="C481" s="1" t="s">
        <v>38</v>
      </c>
      <c r="D481" s="1">
        <v>9103550316</v>
      </c>
      <c r="E481" s="5">
        <v>41809</v>
      </c>
      <c r="F481" s="1" t="s">
        <v>443</v>
      </c>
      <c r="G481" s="1" t="s">
        <v>40</v>
      </c>
      <c r="H481" s="1" t="s">
        <v>41</v>
      </c>
      <c r="I481" s="1" t="s">
        <v>2809</v>
      </c>
      <c r="J481" s="1" t="s">
        <v>2740</v>
      </c>
      <c r="K481" s="1">
        <v>38237090</v>
      </c>
      <c r="L481" s="6">
        <v>12</v>
      </c>
      <c r="M481" s="1" t="s">
        <v>70</v>
      </c>
      <c r="N481" s="7" t="s">
        <v>44</v>
      </c>
      <c r="O481" s="1" t="s">
        <v>53</v>
      </c>
      <c r="P481" s="8">
        <v>1680</v>
      </c>
      <c r="Q481" s="17">
        <f t="shared" si="51"/>
        <v>20160</v>
      </c>
      <c r="R481" s="9">
        <v>1065</v>
      </c>
      <c r="S481" s="9">
        <v>2.88</v>
      </c>
      <c r="T481" s="9">
        <v>0</v>
      </c>
      <c r="U481" s="10">
        <v>0</v>
      </c>
      <c r="V481" s="1" t="s">
        <v>46</v>
      </c>
      <c r="W481" s="1" t="s">
        <v>205</v>
      </c>
      <c r="X481" s="1">
        <v>3286725</v>
      </c>
      <c r="Y481" s="11">
        <v>41803</v>
      </c>
      <c r="Z481" s="11">
        <v>41804</v>
      </c>
      <c r="AA481" s="9">
        <f t="shared" si="54"/>
        <v>19092.12</v>
      </c>
      <c r="AB481" s="12">
        <v>58.85</v>
      </c>
      <c r="AC481" s="9">
        <f t="shared" si="52"/>
        <v>1186416</v>
      </c>
      <c r="AD481" s="9">
        <f t="shared" si="53"/>
        <v>1123571.2619999999</v>
      </c>
      <c r="AE481" s="1" t="s">
        <v>284</v>
      </c>
      <c r="AF481" s="1" t="s">
        <v>53</v>
      </c>
      <c r="AG481" s="4">
        <f t="shared" si="55"/>
        <v>20160</v>
      </c>
      <c r="AH481" s="10">
        <v>20097</v>
      </c>
      <c r="AI481" s="10">
        <v>1095</v>
      </c>
      <c r="AJ481" s="10">
        <v>2.88</v>
      </c>
      <c r="AK481" s="10">
        <v>0</v>
      </c>
      <c r="AL481" s="9">
        <f t="shared" si="56"/>
        <v>18999.12</v>
      </c>
      <c r="AM481" s="1"/>
      <c r="AN481" s="1"/>
      <c r="AO481" s="12" t="e">
        <f>AB481/#REF!</f>
        <v>#REF!</v>
      </c>
      <c r="AP481" s="1" t="s">
        <v>1878</v>
      </c>
      <c r="AQ481" s="11">
        <v>41827</v>
      </c>
      <c r="AR481" s="1" t="s">
        <v>1879</v>
      </c>
      <c r="AS481" s="11">
        <v>41827</v>
      </c>
      <c r="AT481" s="1" t="s">
        <v>49</v>
      </c>
      <c r="AU481" s="1" t="s">
        <v>4171</v>
      </c>
    </row>
    <row r="482" spans="1:47" ht="15" customHeight="1" x14ac:dyDescent="0.25">
      <c r="A482" s="1">
        <v>481</v>
      </c>
      <c r="B482" s="1" t="s">
        <v>1258</v>
      </c>
      <c r="C482" s="1" t="s">
        <v>38</v>
      </c>
      <c r="D482" s="1">
        <v>9103550317</v>
      </c>
      <c r="E482" s="5">
        <v>41809</v>
      </c>
      <c r="F482" s="1" t="s">
        <v>450</v>
      </c>
      <c r="G482" s="1" t="s">
        <v>40</v>
      </c>
      <c r="H482" s="1" t="s">
        <v>41</v>
      </c>
      <c r="I482" s="1" t="s">
        <v>2809</v>
      </c>
      <c r="J482" s="45" t="s">
        <v>2631</v>
      </c>
      <c r="K482" s="1">
        <v>38237090</v>
      </c>
      <c r="L482" s="6">
        <v>23.4</v>
      </c>
      <c r="M482" s="1" t="s">
        <v>70</v>
      </c>
      <c r="N482" s="7" t="s">
        <v>44</v>
      </c>
      <c r="O482" s="1" t="s">
        <v>53</v>
      </c>
      <c r="P482" s="8">
        <v>3530</v>
      </c>
      <c r="Q482" s="17">
        <f t="shared" si="51"/>
        <v>82602</v>
      </c>
      <c r="R482" s="9">
        <v>125</v>
      </c>
      <c r="S482" s="9">
        <v>11.81</v>
      </c>
      <c r="T482" s="9">
        <v>702</v>
      </c>
      <c r="U482" s="10">
        <v>0</v>
      </c>
      <c r="V482" s="1" t="s">
        <v>46</v>
      </c>
      <c r="W482" s="1" t="s">
        <v>64</v>
      </c>
      <c r="X482" s="1">
        <v>3281685</v>
      </c>
      <c r="Y482" s="11">
        <v>41803</v>
      </c>
      <c r="Z482" s="11">
        <v>41804</v>
      </c>
      <c r="AA482" s="9">
        <f t="shared" si="54"/>
        <v>82465.19</v>
      </c>
      <c r="AB482" s="12">
        <v>58.85</v>
      </c>
      <c r="AC482" s="9">
        <f t="shared" si="52"/>
        <v>4861127.7</v>
      </c>
      <c r="AD482" s="9">
        <f t="shared" si="53"/>
        <v>4853076.4314999999</v>
      </c>
      <c r="AE482" s="1" t="s">
        <v>48</v>
      </c>
      <c r="AF482" s="1" t="s">
        <v>53</v>
      </c>
      <c r="AG482" s="4">
        <f t="shared" si="55"/>
        <v>82602</v>
      </c>
      <c r="AH482" s="10">
        <v>82567.5</v>
      </c>
      <c r="AI482" s="10">
        <v>75</v>
      </c>
      <c r="AJ482" s="10">
        <v>11.81</v>
      </c>
      <c r="AK482" s="10">
        <v>702</v>
      </c>
      <c r="AL482" s="9">
        <f t="shared" si="56"/>
        <v>81778.69</v>
      </c>
      <c r="AM482" s="1"/>
      <c r="AN482" s="1"/>
      <c r="AO482" s="12" t="e">
        <f>AB482/#REF!</f>
        <v>#REF!</v>
      </c>
      <c r="AP482" s="1" t="s">
        <v>1880</v>
      </c>
      <c r="AQ482" s="11">
        <v>41888</v>
      </c>
      <c r="AR482" s="1" t="s">
        <v>1881</v>
      </c>
      <c r="AS482" s="11">
        <v>41890</v>
      </c>
      <c r="AT482" s="1" t="s">
        <v>49</v>
      </c>
      <c r="AU482" s="1" t="s">
        <v>4171</v>
      </c>
    </row>
    <row r="483" spans="1:47" ht="15" customHeight="1" x14ac:dyDescent="0.25">
      <c r="A483" s="1">
        <v>482</v>
      </c>
      <c r="B483" s="1" t="s">
        <v>1258</v>
      </c>
      <c r="C483" s="1" t="s">
        <v>38</v>
      </c>
      <c r="D483" s="1">
        <v>9103550318</v>
      </c>
      <c r="E483" s="5">
        <v>41809</v>
      </c>
      <c r="F483" s="1" t="s">
        <v>440</v>
      </c>
      <c r="G483" s="1" t="s">
        <v>40</v>
      </c>
      <c r="H483" s="1" t="s">
        <v>41</v>
      </c>
      <c r="I483" s="1" t="s">
        <v>2809</v>
      </c>
      <c r="J483" s="1" t="s">
        <v>76</v>
      </c>
      <c r="K483" s="1">
        <v>38237090</v>
      </c>
      <c r="L483" s="6">
        <v>15</v>
      </c>
      <c r="M483" s="1" t="s">
        <v>70</v>
      </c>
      <c r="N483" s="7" t="s">
        <v>44</v>
      </c>
      <c r="O483" s="1" t="s">
        <v>53</v>
      </c>
      <c r="P483" s="8">
        <v>1766</v>
      </c>
      <c r="Q483" s="17">
        <f t="shared" si="51"/>
        <v>26490</v>
      </c>
      <c r="R483" s="9">
        <v>1150</v>
      </c>
      <c r="S483" s="9">
        <v>3.79</v>
      </c>
      <c r="T483" s="9">
        <v>0</v>
      </c>
      <c r="U483" s="10">
        <v>0</v>
      </c>
      <c r="V483" s="1" t="s">
        <v>46</v>
      </c>
      <c r="W483" s="1" t="s">
        <v>690</v>
      </c>
      <c r="X483" s="1">
        <v>3286701</v>
      </c>
      <c r="Y483" s="11">
        <v>41803</v>
      </c>
      <c r="Z483" s="11">
        <v>41804</v>
      </c>
      <c r="AA483" s="9">
        <f t="shared" si="54"/>
        <v>25336.21</v>
      </c>
      <c r="AB483" s="12">
        <v>58.85</v>
      </c>
      <c r="AC483" s="9">
        <f t="shared" si="52"/>
        <v>1558936.5</v>
      </c>
      <c r="AD483" s="9">
        <f t="shared" si="53"/>
        <v>1491035.9584999999</v>
      </c>
      <c r="AE483" s="1" t="s">
        <v>48</v>
      </c>
      <c r="AF483" s="1" t="s">
        <v>53</v>
      </c>
      <c r="AG483" s="4">
        <f t="shared" si="55"/>
        <v>26490</v>
      </c>
      <c r="AH483" s="10">
        <v>26490</v>
      </c>
      <c r="AI483" s="10">
        <v>1112</v>
      </c>
      <c r="AJ483" s="10">
        <v>3.79</v>
      </c>
      <c r="AK483" s="10">
        <v>0</v>
      </c>
      <c r="AL483" s="9">
        <f t="shared" si="56"/>
        <v>25374.21</v>
      </c>
      <c r="AM483" s="1"/>
      <c r="AN483" s="1"/>
      <c r="AO483" s="12" t="e">
        <f>AB483/#REF!</f>
        <v>#REF!</v>
      </c>
      <c r="AP483" s="1" t="s">
        <v>1882</v>
      </c>
      <c r="AQ483" s="11">
        <v>41981</v>
      </c>
      <c r="AR483" s="1" t="s">
        <v>1883</v>
      </c>
      <c r="AS483" s="11">
        <v>41982</v>
      </c>
      <c r="AT483" s="1" t="s">
        <v>49</v>
      </c>
      <c r="AU483" s="1" t="s">
        <v>4171</v>
      </c>
    </row>
    <row r="484" spans="1:47" ht="15" customHeight="1" x14ac:dyDescent="0.25">
      <c r="A484" s="1">
        <v>483</v>
      </c>
      <c r="B484" s="1" t="s">
        <v>1258</v>
      </c>
      <c r="C484" s="1" t="s">
        <v>38</v>
      </c>
      <c r="D484" s="1">
        <v>9103550319</v>
      </c>
      <c r="E484" s="5">
        <v>41809</v>
      </c>
      <c r="F484" s="1" t="s">
        <v>452</v>
      </c>
      <c r="G484" s="1" t="s">
        <v>40</v>
      </c>
      <c r="H484" s="1" t="s">
        <v>41</v>
      </c>
      <c r="I484" s="1" t="s">
        <v>2809</v>
      </c>
      <c r="J484" s="1" t="s">
        <v>63</v>
      </c>
      <c r="K484" s="1">
        <v>29054500</v>
      </c>
      <c r="L484" s="6">
        <v>40</v>
      </c>
      <c r="M484" s="1" t="s">
        <v>70</v>
      </c>
      <c r="N484" s="7" t="s">
        <v>52</v>
      </c>
      <c r="O484" s="1" t="s">
        <v>53</v>
      </c>
      <c r="P484" s="8">
        <v>1275</v>
      </c>
      <c r="Q484" s="17">
        <f t="shared" si="51"/>
        <v>51000</v>
      </c>
      <c r="R484" s="9">
        <v>370</v>
      </c>
      <c r="S484" s="9">
        <v>0</v>
      </c>
      <c r="T484" s="9">
        <v>0</v>
      </c>
      <c r="U484" s="10">
        <v>0</v>
      </c>
      <c r="V484" s="1" t="s">
        <v>46</v>
      </c>
      <c r="W484" s="1" t="s">
        <v>75</v>
      </c>
      <c r="X484" s="1">
        <v>3285522</v>
      </c>
      <c r="Y484" s="11">
        <v>41803</v>
      </c>
      <c r="Z484" s="11">
        <v>41804</v>
      </c>
      <c r="AA484" s="9">
        <f t="shared" si="54"/>
        <v>50630</v>
      </c>
      <c r="AB484" s="12">
        <v>58.85</v>
      </c>
      <c r="AC484" s="9">
        <f t="shared" si="52"/>
        <v>3001350</v>
      </c>
      <c r="AD484" s="9">
        <f t="shared" si="53"/>
        <v>2979575.5</v>
      </c>
      <c r="AE484" s="1" t="s">
        <v>51</v>
      </c>
      <c r="AF484" s="1" t="s">
        <v>53</v>
      </c>
      <c r="AG484" s="4">
        <f t="shared" si="55"/>
        <v>51000</v>
      </c>
      <c r="AH484" s="10">
        <v>51000</v>
      </c>
      <c r="AI484" s="10">
        <v>370</v>
      </c>
      <c r="AJ484" s="10">
        <v>0</v>
      </c>
      <c r="AK484" s="10">
        <v>0</v>
      </c>
      <c r="AL484" s="9">
        <f t="shared" si="56"/>
        <v>50630</v>
      </c>
      <c r="AM484" s="1"/>
      <c r="AN484" s="1"/>
      <c r="AO484" s="12" t="e">
        <f>AB484/#REF!</f>
        <v>#REF!</v>
      </c>
      <c r="AP484" s="1" t="s">
        <v>1884</v>
      </c>
      <c r="AQ484" s="11">
        <v>41843</v>
      </c>
      <c r="AR484" s="1" t="s">
        <v>1885</v>
      </c>
      <c r="AS484" s="11">
        <v>41906</v>
      </c>
      <c r="AT484" s="1" t="s">
        <v>49</v>
      </c>
      <c r="AU484" s="1" t="s">
        <v>4171</v>
      </c>
    </row>
    <row r="485" spans="1:47" ht="15" customHeight="1" x14ac:dyDescent="0.25">
      <c r="A485" s="1">
        <v>484</v>
      </c>
      <c r="B485" s="1" t="s">
        <v>1258</v>
      </c>
      <c r="C485" s="1" t="s">
        <v>38</v>
      </c>
      <c r="D485" s="1">
        <v>9103550320</v>
      </c>
      <c r="E485" s="5">
        <v>41809</v>
      </c>
      <c r="F485" s="1" t="s">
        <v>451</v>
      </c>
      <c r="G485" s="1" t="s">
        <v>40</v>
      </c>
      <c r="H485" s="1" t="s">
        <v>41</v>
      </c>
      <c r="I485" s="1" t="s">
        <v>2809</v>
      </c>
      <c r="J485" s="1" t="s">
        <v>63</v>
      </c>
      <c r="K485" s="1">
        <v>38231200</v>
      </c>
      <c r="L485" s="6">
        <v>59.03</v>
      </c>
      <c r="M485" s="1" t="s">
        <v>70</v>
      </c>
      <c r="N485" s="7" t="s">
        <v>52</v>
      </c>
      <c r="O485" s="1" t="s">
        <v>53</v>
      </c>
      <c r="P485" s="8">
        <v>1335</v>
      </c>
      <c r="Q485" s="17">
        <f t="shared" si="51"/>
        <v>78805.05</v>
      </c>
      <c r="R485" s="9">
        <v>1500</v>
      </c>
      <c r="S485" s="9">
        <v>0</v>
      </c>
      <c r="T485" s="9">
        <v>0</v>
      </c>
      <c r="U485" s="10">
        <v>0</v>
      </c>
      <c r="V485" s="1" t="s">
        <v>46</v>
      </c>
      <c r="W485" s="1" t="s">
        <v>64</v>
      </c>
      <c r="X485" s="1">
        <v>3285619</v>
      </c>
      <c r="Y485" s="11">
        <v>41803</v>
      </c>
      <c r="Z485" s="11">
        <v>41804</v>
      </c>
      <c r="AA485" s="9">
        <f t="shared" si="54"/>
        <v>77305.05</v>
      </c>
      <c r="AB485" s="12">
        <v>58.85</v>
      </c>
      <c r="AC485" s="9">
        <f t="shared" si="52"/>
        <v>4637677.1924999999</v>
      </c>
      <c r="AD485" s="9">
        <f t="shared" si="53"/>
        <v>4549402.1924999999</v>
      </c>
      <c r="AE485" s="1" t="s">
        <v>51</v>
      </c>
      <c r="AF485" s="1" t="s">
        <v>53</v>
      </c>
      <c r="AG485" s="4">
        <f t="shared" si="55"/>
        <v>78805.05</v>
      </c>
      <c r="AH485" s="10">
        <v>78805</v>
      </c>
      <c r="AI485" s="10">
        <v>1350</v>
      </c>
      <c r="AJ485" s="10">
        <v>0</v>
      </c>
      <c r="AK485" s="10">
        <v>0</v>
      </c>
      <c r="AL485" s="9">
        <f t="shared" si="56"/>
        <v>77455</v>
      </c>
      <c r="AM485" s="1"/>
      <c r="AN485" s="1"/>
      <c r="AO485" s="12" t="e">
        <f>AB485/#REF!</f>
        <v>#REF!</v>
      </c>
      <c r="AP485" s="1" t="s">
        <v>1886</v>
      </c>
      <c r="AQ485" s="11">
        <v>41843</v>
      </c>
      <c r="AR485" s="1" t="s">
        <v>1887</v>
      </c>
      <c r="AS485" s="11">
        <v>41864</v>
      </c>
      <c r="AT485" s="1" t="s">
        <v>49</v>
      </c>
      <c r="AU485" s="1" t="s">
        <v>4171</v>
      </c>
    </row>
    <row r="486" spans="1:47" ht="15" customHeight="1" x14ac:dyDescent="0.25">
      <c r="A486" s="1">
        <v>485</v>
      </c>
      <c r="B486" s="1" t="s">
        <v>1258</v>
      </c>
      <c r="C486" s="1" t="s">
        <v>38</v>
      </c>
      <c r="D486" s="1" t="s">
        <v>1888</v>
      </c>
      <c r="E486" s="5">
        <v>41810</v>
      </c>
      <c r="F486" s="1" t="s">
        <v>437</v>
      </c>
      <c r="G486" s="1" t="s">
        <v>40</v>
      </c>
      <c r="H486" s="1" t="s">
        <v>41</v>
      </c>
      <c r="I486" s="1" t="s">
        <v>2809</v>
      </c>
      <c r="J486" s="1" t="s">
        <v>2955</v>
      </c>
      <c r="K486" s="1">
        <v>38231900</v>
      </c>
      <c r="L486" s="6">
        <v>19.93</v>
      </c>
      <c r="M486" s="1" t="s">
        <v>70</v>
      </c>
      <c r="N486" s="7" t="s">
        <v>44</v>
      </c>
      <c r="O486" s="1" t="s">
        <v>53</v>
      </c>
      <c r="P486" s="8">
        <v>3975</v>
      </c>
      <c r="Q486" s="17">
        <f t="shared" si="51"/>
        <v>79221.75</v>
      </c>
      <c r="R486" s="9">
        <v>1150</v>
      </c>
      <c r="S486" s="9">
        <v>11.33</v>
      </c>
      <c r="T486" s="9">
        <v>1514.68</v>
      </c>
      <c r="U486" s="10">
        <v>0</v>
      </c>
      <c r="V486" s="1" t="s">
        <v>46</v>
      </c>
      <c r="W486" s="1" t="s">
        <v>2657</v>
      </c>
      <c r="X486" s="1">
        <v>3264453</v>
      </c>
      <c r="Y486" s="11">
        <v>41802</v>
      </c>
      <c r="Z486" s="11">
        <v>41803</v>
      </c>
      <c r="AA486" s="9">
        <f t="shared" si="54"/>
        <v>78060.42</v>
      </c>
      <c r="AB486" s="12">
        <v>58.85</v>
      </c>
      <c r="AC486" s="9">
        <f t="shared" si="52"/>
        <v>4662199.9874999998</v>
      </c>
      <c r="AD486" s="9">
        <f t="shared" si="53"/>
        <v>4593855.7170000002</v>
      </c>
      <c r="AE486" s="1" t="s">
        <v>57</v>
      </c>
      <c r="AF486" s="1" t="s">
        <v>53</v>
      </c>
      <c r="AG486" s="4">
        <f t="shared" si="55"/>
        <v>79221.75</v>
      </c>
      <c r="AH486" s="10">
        <v>79221.75</v>
      </c>
      <c r="AI486" s="10">
        <v>1200</v>
      </c>
      <c r="AJ486" s="10">
        <v>11.33</v>
      </c>
      <c r="AK486" s="10">
        <v>1514.68</v>
      </c>
      <c r="AL486" s="9">
        <f t="shared" si="56"/>
        <v>76495.740000000005</v>
      </c>
      <c r="AM486" s="1"/>
      <c r="AN486" s="1"/>
      <c r="AO486" s="12" t="e">
        <f>AB486/#REF!</f>
        <v>#REF!</v>
      </c>
      <c r="AP486" s="1" t="s">
        <v>1889</v>
      </c>
      <c r="AQ486" s="11">
        <v>41904</v>
      </c>
      <c r="AR486" s="1" t="s">
        <v>1890</v>
      </c>
      <c r="AS486" s="11">
        <v>42046</v>
      </c>
      <c r="AT486" s="1" t="s">
        <v>49</v>
      </c>
      <c r="AU486" s="1" t="s">
        <v>4171</v>
      </c>
    </row>
    <row r="487" spans="1:47" ht="15" customHeight="1" x14ac:dyDescent="0.25">
      <c r="A487" s="1">
        <v>486</v>
      </c>
      <c r="B487" s="1" t="s">
        <v>1258</v>
      </c>
      <c r="C487" s="1" t="s">
        <v>38</v>
      </c>
      <c r="D487" s="1" t="s">
        <v>1888</v>
      </c>
      <c r="E487" s="5">
        <v>41810</v>
      </c>
      <c r="F487" s="1" t="s">
        <v>449</v>
      </c>
      <c r="G487" s="1" t="s">
        <v>40</v>
      </c>
      <c r="H487" s="1" t="s">
        <v>41</v>
      </c>
      <c r="I487" s="1" t="s">
        <v>2809</v>
      </c>
      <c r="J487" s="1" t="s">
        <v>2955</v>
      </c>
      <c r="K487" s="1">
        <v>38231900</v>
      </c>
      <c r="L487" s="6">
        <v>40.1</v>
      </c>
      <c r="M487" s="1" t="s">
        <v>70</v>
      </c>
      <c r="N487" s="7" t="s">
        <v>44</v>
      </c>
      <c r="O487" s="1" t="s">
        <v>53</v>
      </c>
      <c r="P487" s="8">
        <v>3975</v>
      </c>
      <c r="Q487" s="17">
        <f t="shared" si="51"/>
        <v>159397.5</v>
      </c>
      <c r="R487" s="9">
        <v>2300</v>
      </c>
      <c r="S487" s="9">
        <v>22.79</v>
      </c>
      <c r="T487" s="9">
        <v>3047.6</v>
      </c>
      <c r="U487" s="10">
        <v>0</v>
      </c>
      <c r="V487" s="1" t="s">
        <v>46</v>
      </c>
      <c r="W487" s="1" t="s">
        <v>2657</v>
      </c>
      <c r="X487" s="1">
        <v>3285596</v>
      </c>
      <c r="Y487" s="11">
        <v>41803</v>
      </c>
      <c r="Z487" s="11">
        <v>41804</v>
      </c>
      <c r="AA487" s="9">
        <f t="shared" si="54"/>
        <v>157074.71</v>
      </c>
      <c r="AB487" s="12">
        <v>58.85</v>
      </c>
      <c r="AC487" s="9">
        <f t="shared" si="52"/>
        <v>9380542.875</v>
      </c>
      <c r="AD487" s="9">
        <f t="shared" si="53"/>
        <v>9243846.6834999993</v>
      </c>
      <c r="AE487" s="1" t="s">
        <v>57</v>
      </c>
      <c r="AF487" s="1" t="s">
        <v>53</v>
      </c>
      <c r="AG487" s="4">
        <f t="shared" si="55"/>
        <v>159397.5</v>
      </c>
      <c r="AH487" s="10">
        <v>159397.5</v>
      </c>
      <c r="AI487" s="10">
        <v>2400</v>
      </c>
      <c r="AJ487" s="10">
        <v>22.79</v>
      </c>
      <c r="AK487" s="10">
        <v>3047.6</v>
      </c>
      <c r="AL487" s="9">
        <f t="shared" si="56"/>
        <v>153927.10999999999</v>
      </c>
      <c r="AM487" s="1"/>
      <c r="AN487" s="1"/>
      <c r="AO487" s="12" t="e">
        <f>AB487/#REF!</f>
        <v>#REF!</v>
      </c>
      <c r="AP487" s="1" t="s">
        <v>1889</v>
      </c>
      <c r="AQ487" s="11">
        <v>41904</v>
      </c>
      <c r="AR487" s="1" t="s">
        <v>1891</v>
      </c>
      <c r="AS487" s="11">
        <v>42046</v>
      </c>
      <c r="AT487" s="1" t="s">
        <v>49</v>
      </c>
      <c r="AU487" s="1" t="s">
        <v>4171</v>
      </c>
    </row>
    <row r="488" spans="1:47" ht="15" customHeight="1" x14ac:dyDescent="0.25">
      <c r="A488" s="1">
        <v>487</v>
      </c>
      <c r="B488" s="1" t="s">
        <v>1258</v>
      </c>
      <c r="C488" s="1" t="s">
        <v>38</v>
      </c>
      <c r="D488" s="1">
        <v>9103550323</v>
      </c>
      <c r="E488" s="5">
        <v>41811</v>
      </c>
      <c r="F488" s="1" t="s">
        <v>455</v>
      </c>
      <c r="G488" s="1" t="s">
        <v>40</v>
      </c>
      <c r="H488" s="1" t="s">
        <v>41</v>
      </c>
      <c r="I488" s="1" t="s">
        <v>2809</v>
      </c>
      <c r="J488" s="1" t="s">
        <v>2716</v>
      </c>
      <c r="K488" s="1">
        <v>38237090</v>
      </c>
      <c r="L488" s="6">
        <v>12</v>
      </c>
      <c r="M488" s="1" t="s">
        <v>70</v>
      </c>
      <c r="N488" s="7" t="s">
        <v>44</v>
      </c>
      <c r="O488" s="1" t="s">
        <v>53</v>
      </c>
      <c r="P488" s="8">
        <v>1790</v>
      </c>
      <c r="Q488" s="17">
        <f t="shared" si="51"/>
        <v>21480</v>
      </c>
      <c r="R488" s="9">
        <v>1000</v>
      </c>
      <c r="S488" s="9">
        <v>3.07</v>
      </c>
      <c r="T488" s="9">
        <v>0</v>
      </c>
      <c r="U488" s="10">
        <v>0</v>
      </c>
      <c r="V488" s="1" t="s">
        <v>46</v>
      </c>
      <c r="W488" s="1" t="s">
        <v>47</v>
      </c>
      <c r="X488" s="1">
        <v>3294229</v>
      </c>
      <c r="Y488" s="11">
        <v>41804</v>
      </c>
      <c r="Z488" s="11">
        <v>41806</v>
      </c>
      <c r="AA488" s="9">
        <f t="shared" si="54"/>
        <v>20476.93</v>
      </c>
      <c r="AB488" s="12">
        <v>58.85</v>
      </c>
      <c r="AC488" s="9">
        <f t="shared" si="52"/>
        <v>1264098</v>
      </c>
      <c r="AD488" s="9">
        <f t="shared" si="53"/>
        <v>1205067.3305000002</v>
      </c>
      <c r="AE488" s="1" t="s">
        <v>48</v>
      </c>
      <c r="AF488" s="1" t="s">
        <v>53</v>
      </c>
      <c r="AG488" s="4">
        <f t="shared" si="55"/>
        <v>21480</v>
      </c>
      <c r="AH488" s="10">
        <v>21470</v>
      </c>
      <c r="AI488" s="10">
        <v>1000</v>
      </c>
      <c r="AJ488" s="10">
        <v>3.12</v>
      </c>
      <c r="AK488" s="10">
        <v>0</v>
      </c>
      <c r="AL488" s="9">
        <f t="shared" si="56"/>
        <v>20466.88</v>
      </c>
      <c r="AM488" s="1"/>
      <c r="AN488" s="1"/>
      <c r="AO488" s="12" t="e">
        <f>AB488/#REF!</f>
        <v>#REF!</v>
      </c>
      <c r="AP488" s="1" t="s">
        <v>1892</v>
      </c>
      <c r="AQ488" s="11">
        <v>41850</v>
      </c>
      <c r="AR488" s="1" t="s">
        <v>1893</v>
      </c>
      <c r="AS488" s="11">
        <v>41851</v>
      </c>
      <c r="AT488" s="1" t="s">
        <v>49</v>
      </c>
      <c r="AU488" s="1" t="s">
        <v>4171</v>
      </c>
    </row>
    <row r="489" spans="1:47" ht="15" customHeight="1" x14ac:dyDescent="0.25">
      <c r="A489" s="1">
        <v>488</v>
      </c>
      <c r="B489" s="1" t="s">
        <v>1258</v>
      </c>
      <c r="C489" s="1" t="s">
        <v>38</v>
      </c>
      <c r="D489" s="1">
        <v>9103550324</v>
      </c>
      <c r="E489" s="5">
        <v>41811</v>
      </c>
      <c r="F489" s="1" t="s">
        <v>456</v>
      </c>
      <c r="G489" s="1" t="s">
        <v>40</v>
      </c>
      <c r="H489" s="1" t="s">
        <v>41</v>
      </c>
      <c r="I489" s="1" t="s">
        <v>2809</v>
      </c>
      <c r="J489" s="1" t="s">
        <v>2955</v>
      </c>
      <c r="K489" s="1">
        <v>38231900</v>
      </c>
      <c r="L489" s="6">
        <v>59.61</v>
      </c>
      <c r="M489" s="1" t="s">
        <v>70</v>
      </c>
      <c r="N489" s="7" t="s">
        <v>44</v>
      </c>
      <c r="O489" s="1" t="s">
        <v>53</v>
      </c>
      <c r="P489" s="8">
        <v>3995</v>
      </c>
      <c r="Q489" s="17">
        <f t="shared" si="51"/>
        <v>238141.95</v>
      </c>
      <c r="R489" s="9">
        <v>5250</v>
      </c>
      <c r="S489" s="9">
        <v>34.049999999999997</v>
      </c>
      <c r="T489" s="9">
        <v>4530.3599999999997</v>
      </c>
      <c r="U489" s="10">
        <v>0</v>
      </c>
      <c r="V489" s="1" t="s">
        <v>46</v>
      </c>
      <c r="W489" s="1" t="s">
        <v>47</v>
      </c>
      <c r="X489" s="1">
        <v>3295131</v>
      </c>
      <c r="Y489" s="11">
        <v>41804</v>
      </c>
      <c r="Z489" s="11">
        <v>41806</v>
      </c>
      <c r="AA489" s="9">
        <f t="shared" si="54"/>
        <v>232857.90000000002</v>
      </c>
      <c r="AB489" s="12">
        <v>58.85</v>
      </c>
      <c r="AC489" s="9">
        <f t="shared" si="52"/>
        <v>14014653.7575</v>
      </c>
      <c r="AD489" s="9">
        <f t="shared" si="53"/>
        <v>13703687.415000001</v>
      </c>
      <c r="AE489" s="1" t="s">
        <v>57</v>
      </c>
      <c r="AF489" s="1" t="s">
        <v>53</v>
      </c>
      <c r="AG489" s="4">
        <f t="shared" si="55"/>
        <v>238141.95</v>
      </c>
      <c r="AH489" s="10">
        <v>238137.02</v>
      </c>
      <c r="AI489" s="10">
        <v>5130</v>
      </c>
      <c r="AJ489" s="10">
        <v>34.049999999999997</v>
      </c>
      <c r="AK489" s="10">
        <v>4530.3599999999997</v>
      </c>
      <c r="AL489" s="9">
        <f t="shared" si="56"/>
        <v>228442.61</v>
      </c>
      <c r="AM489" s="1"/>
      <c r="AN489" s="1"/>
      <c r="AO489" s="12" t="e">
        <f>AB489/#REF!</f>
        <v>#REF!</v>
      </c>
      <c r="AP489" s="1" t="s">
        <v>1894</v>
      </c>
      <c r="AQ489" s="11">
        <v>41904</v>
      </c>
      <c r="AR489" s="1" t="s">
        <v>1895</v>
      </c>
      <c r="AS489" s="11">
        <v>42046</v>
      </c>
      <c r="AT489" s="1" t="s">
        <v>49</v>
      </c>
      <c r="AU489" s="1" t="s">
        <v>4171</v>
      </c>
    </row>
    <row r="490" spans="1:47" ht="15" customHeight="1" x14ac:dyDescent="0.25">
      <c r="A490" s="1">
        <v>489</v>
      </c>
      <c r="B490" s="1" t="s">
        <v>1258</v>
      </c>
      <c r="C490" s="1" t="s">
        <v>38</v>
      </c>
      <c r="D490" s="1">
        <v>9103550325</v>
      </c>
      <c r="E490" s="5">
        <v>41811</v>
      </c>
      <c r="F490" s="1" t="s">
        <v>463</v>
      </c>
      <c r="G490" s="1" t="s">
        <v>40</v>
      </c>
      <c r="H490" s="1" t="s">
        <v>41</v>
      </c>
      <c r="I490" s="1" t="s">
        <v>2809</v>
      </c>
      <c r="J490" s="1" t="s">
        <v>917</v>
      </c>
      <c r="K490" s="1">
        <v>38237090</v>
      </c>
      <c r="L490" s="6">
        <v>24</v>
      </c>
      <c r="M490" s="1" t="s">
        <v>70</v>
      </c>
      <c r="N490" s="7" t="s">
        <v>44</v>
      </c>
      <c r="O490" s="1" t="s">
        <v>53</v>
      </c>
      <c r="P490" s="8">
        <v>1735</v>
      </c>
      <c r="Q490" s="17">
        <f t="shared" si="51"/>
        <v>41640</v>
      </c>
      <c r="R490" s="9">
        <v>2100</v>
      </c>
      <c r="S490" s="9">
        <v>5.95</v>
      </c>
      <c r="T490" s="9">
        <v>772.8</v>
      </c>
      <c r="U490" s="10">
        <v>0</v>
      </c>
      <c r="V490" s="1" t="s">
        <v>46</v>
      </c>
      <c r="W490" s="1" t="s">
        <v>90</v>
      </c>
      <c r="X490" s="1">
        <v>3297042</v>
      </c>
      <c r="Y490" s="11">
        <v>41804</v>
      </c>
      <c r="Z490" s="11">
        <v>41806</v>
      </c>
      <c r="AA490" s="9">
        <f t="shared" si="54"/>
        <v>39534.050000000003</v>
      </c>
      <c r="AB490" s="12">
        <v>58.85</v>
      </c>
      <c r="AC490" s="9">
        <f t="shared" si="52"/>
        <v>2450514</v>
      </c>
      <c r="AD490" s="9">
        <f t="shared" si="53"/>
        <v>2326578.8425000003</v>
      </c>
      <c r="AE490" s="1" t="s">
        <v>48</v>
      </c>
      <c r="AF490" s="1" t="s">
        <v>53</v>
      </c>
      <c r="AG490" s="4">
        <f t="shared" si="55"/>
        <v>41640</v>
      </c>
      <c r="AH490" s="10">
        <v>41474</v>
      </c>
      <c r="AI490" s="10">
        <v>2100</v>
      </c>
      <c r="AJ490" s="10">
        <v>5.95</v>
      </c>
      <c r="AK490" s="10">
        <v>772.8</v>
      </c>
      <c r="AL490" s="9">
        <f t="shared" si="56"/>
        <v>38595.25</v>
      </c>
      <c r="AM490" s="1"/>
      <c r="AN490" s="1"/>
      <c r="AO490" s="12" t="e">
        <f>AB490/#REF!</f>
        <v>#REF!</v>
      </c>
      <c r="AP490" s="1" t="s">
        <v>1896</v>
      </c>
      <c r="AQ490" s="11">
        <v>41872</v>
      </c>
      <c r="AR490" s="1" t="s">
        <v>1897</v>
      </c>
      <c r="AS490" s="11">
        <v>41873</v>
      </c>
      <c r="AT490" s="1" t="s">
        <v>49</v>
      </c>
      <c r="AU490" s="1" t="s">
        <v>4171</v>
      </c>
    </row>
    <row r="491" spans="1:47" ht="15" customHeight="1" x14ac:dyDescent="0.25">
      <c r="A491" s="1">
        <v>490</v>
      </c>
      <c r="B491" s="1" t="s">
        <v>1258</v>
      </c>
      <c r="C491" s="1" t="s">
        <v>38</v>
      </c>
      <c r="D491" s="1">
        <v>9103550326</v>
      </c>
      <c r="E491" s="5">
        <v>41812</v>
      </c>
      <c r="F491" s="1" t="s">
        <v>461</v>
      </c>
      <c r="G491" s="1" t="s">
        <v>40</v>
      </c>
      <c r="H491" s="1" t="s">
        <v>41</v>
      </c>
      <c r="I491" s="1" t="s">
        <v>2809</v>
      </c>
      <c r="J491" s="1" t="s">
        <v>76</v>
      </c>
      <c r="K491" s="1">
        <v>38237090</v>
      </c>
      <c r="L491" s="6">
        <v>15</v>
      </c>
      <c r="M491" s="1" t="s">
        <v>70</v>
      </c>
      <c r="N491" s="7" t="s">
        <v>67</v>
      </c>
      <c r="O491" s="1" t="s">
        <v>53</v>
      </c>
      <c r="P491" s="8">
        <v>1575</v>
      </c>
      <c r="Q491" s="17">
        <f t="shared" si="51"/>
        <v>23625</v>
      </c>
      <c r="R491" s="9">
        <v>0</v>
      </c>
      <c r="S491" s="9">
        <v>0</v>
      </c>
      <c r="T491" s="9">
        <v>0</v>
      </c>
      <c r="U491" s="10">
        <v>0</v>
      </c>
      <c r="V491" s="1" t="s">
        <v>46</v>
      </c>
      <c r="W491" s="1" t="s">
        <v>77</v>
      </c>
      <c r="X491" s="1">
        <v>3297263</v>
      </c>
      <c r="Y491" s="11">
        <v>41804</v>
      </c>
      <c r="Z491" s="11">
        <v>41806</v>
      </c>
      <c r="AA491" s="9">
        <f t="shared" si="54"/>
        <v>23625</v>
      </c>
      <c r="AB491" s="12">
        <v>58.85</v>
      </c>
      <c r="AC491" s="9">
        <f t="shared" si="52"/>
        <v>1390331.25</v>
      </c>
      <c r="AD491" s="9">
        <f t="shared" si="53"/>
        <v>1390331.25</v>
      </c>
      <c r="AE491" s="1" t="s">
        <v>48</v>
      </c>
      <c r="AF491" s="1" t="s">
        <v>53</v>
      </c>
      <c r="AG491" s="4">
        <f t="shared" si="55"/>
        <v>23625</v>
      </c>
      <c r="AH491" s="10">
        <v>23610</v>
      </c>
      <c r="AI491" s="9">
        <v>0</v>
      </c>
      <c r="AJ491" s="9">
        <v>0</v>
      </c>
      <c r="AK491" s="9">
        <v>0</v>
      </c>
      <c r="AL491" s="9">
        <f t="shared" si="56"/>
        <v>23610</v>
      </c>
      <c r="AM491" s="1"/>
      <c r="AN491" s="1"/>
      <c r="AO491" s="12" t="e">
        <f>AB491/#REF!</f>
        <v>#REF!</v>
      </c>
      <c r="AP491" s="1" t="s">
        <v>1898</v>
      </c>
      <c r="AQ491" s="11">
        <v>41981</v>
      </c>
      <c r="AR491" s="1" t="s">
        <v>1899</v>
      </c>
      <c r="AS491" s="11">
        <v>41982</v>
      </c>
      <c r="AT491" s="1" t="s">
        <v>49</v>
      </c>
      <c r="AU491" s="1" t="s">
        <v>4171</v>
      </c>
    </row>
    <row r="492" spans="1:47" ht="15" customHeight="1" x14ac:dyDescent="0.25">
      <c r="A492" s="1">
        <v>491</v>
      </c>
      <c r="B492" s="1" t="s">
        <v>1258</v>
      </c>
      <c r="C492" s="1" t="s">
        <v>38</v>
      </c>
      <c r="D492" s="1">
        <v>9103550327</v>
      </c>
      <c r="E492" s="5">
        <v>41811</v>
      </c>
      <c r="F492" s="1" t="s">
        <v>448</v>
      </c>
      <c r="G492" s="1" t="s">
        <v>40</v>
      </c>
      <c r="H492" s="1" t="s">
        <v>41</v>
      </c>
      <c r="I492" s="1" t="s">
        <v>2809</v>
      </c>
      <c r="J492" s="1" t="s">
        <v>55</v>
      </c>
      <c r="K492" s="1">
        <v>38237090</v>
      </c>
      <c r="L492" s="6">
        <v>18.14</v>
      </c>
      <c r="M492" s="1" t="s">
        <v>70</v>
      </c>
      <c r="N492" s="7" t="s">
        <v>44</v>
      </c>
      <c r="O492" s="1" t="s">
        <v>53</v>
      </c>
      <c r="P492" s="8">
        <v>1755</v>
      </c>
      <c r="Q492" s="17">
        <f t="shared" si="51"/>
        <v>31835.7</v>
      </c>
      <c r="R492" s="9">
        <v>2456</v>
      </c>
      <c r="S492" s="9">
        <v>4.55</v>
      </c>
      <c r="T492" s="9">
        <v>0</v>
      </c>
      <c r="U492" s="10">
        <v>0</v>
      </c>
      <c r="V492" s="1" t="s">
        <v>46</v>
      </c>
      <c r="W492" s="1" t="s">
        <v>56</v>
      </c>
      <c r="X492" s="1">
        <v>3297344</v>
      </c>
      <c r="Y492" s="11">
        <v>41804</v>
      </c>
      <c r="Z492" s="11">
        <v>41806</v>
      </c>
      <c r="AA492" s="9">
        <f t="shared" si="54"/>
        <v>29375.15</v>
      </c>
      <c r="AB492" s="12">
        <v>58.85</v>
      </c>
      <c r="AC492" s="9">
        <f t="shared" si="52"/>
        <v>1873530.9450000001</v>
      </c>
      <c r="AD492" s="9">
        <f t="shared" si="53"/>
        <v>1728727.5775000001</v>
      </c>
      <c r="AE492" s="1" t="s">
        <v>284</v>
      </c>
      <c r="AF492" s="1" t="s">
        <v>53</v>
      </c>
      <c r="AG492" s="4">
        <f t="shared" si="55"/>
        <v>31835.7</v>
      </c>
      <c r="AH492" s="10">
        <v>31835.7</v>
      </c>
      <c r="AI492" s="10">
        <v>2456</v>
      </c>
      <c r="AJ492" s="10">
        <v>4.54</v>
      </c>
      <c r="AK492" s="10">
        <v>0</v>
      </c>
      <c r="AL492" s="9">
        <f t="shared" si="56"/>
        <v>29375.16</v>
      </c>
      <c r="AM492" s="1"/>
      <c r="AN492" s="1"/>
      <c r="AO492" s="12" t="e">
        <f>AB492/#REF!</f>
        <v>#REF!</v>
      </c>
      <c r="AP492" s="1" t="s">
        <v>1900</v>
      </c>
      <c r="AQ492" s="11">
        <v>41893</v>
      </c>
      <c r="AR492" s="1" t="s">
        <v>1901</v>
      </c>
      <c r="AS492" s="11">
        <v>41893</v>
      </c>
      <c r="AT492" s="1" t="s">
        <v>49</v>
      </c>
      <c r="AU492" s="1" t="s">
        <v>4171</v>
      </c>
    </row>
    <row r="493" spans="1:47" ht="15" customHeight="1" x14ac:dyDescent="0.25">
      <c r="A493" s="1">
        <v>492</v>
      </c>
      <c r="B493" s="1" t="s">
        <v>1258</v>
      </c>
      <c r="C493" s="1" t="s">
        <v>38</v>
      </c>
      <c r="D493" s="1">
        <v>9103550328</v>
      </c>
      <c r="E493" s="5">
        <v>41811</v>
      </c>
      <c r="F493" s="1" t="s">
        <v>457</v>
      </c>
      <c r="G493" s="1" t="s">
        <v>40</v>
      </c>
      <c r="H493" s="1" t="s">
        <v>41</v>
      </c>
      <c r="I493" s="1" t="s">
        <v>2809</v>
      </c>
      <c r="J493" s="1" t="s">
        <v>55</v>
      </c>
      <c r="K493" s="1">
        <v>29051700</v>
      </c>
      <c r="L493" s="6">
        <v>54.42</v>
      </c>
      <c r="M493" s="1" t="s">
        <v>70</v>
      </c>
      <c r="N493" s="7" t="s">
        <v>44</v>
      </c>
      <c r="O493" s="1" t="s">
        <v>53</v>
      </c>
      <c r="P493" s="8">
        <v>1994</v>
      </c>
      <c r="Q493" s="17">
        <f t="shared" si="51"/>
        <v>108513.48000000001</v>
      </c>
      <c r="R493" s="9">
        <v>9750</v>
      </c>
      <c r="S493" s="9">
        <v>15.52</v>
      </c>
      <c r="T493" s="9">
        <v>0</v>
      </c>
      <c r="U493" s="10">
        <v>0</v>
      </c>
      <c r="V493" s="1" t="s">
        <v>46</v>
      </c>
      <c r="W493" s="1" t="s">
        <v>56</v>
      </c>
      <c r="X493" s="1">
        <v>3320910</v>
      </c>
      <c r="Y493" s="11">
        <v>41806</v>
      </c>
      <c r="Z493" s="11">
        <v>41807</v>
      </c>
      <c r="AA493" s="9">
        <f t="shared" si="54"/>
        <v>98747.96</v>
      </c>
      <c r="AB493" s="12">
        <v>58.85</v>
      </c>
      <c r="AC493" s="9">
        <f t="shared" si="52"/>
        <v>6386018.2980000004</v>
      </c>
      <c r="AD493" s="9">
        <f t="shared" si="53"/>
        <v>5811317.4460000005</v>
      </c>
      <c r="AE493" s="1" t="s">
        <v>284</v>
      </c>
      <c r="AF493" s="1" t="s">
        <v>53</v>
      </c>
      <c r="AG493" s="4">
        <f t="shared" si="55"/>
        <v>108513.48000000001</v>
      </c>
      <c r="AH493" s="10">
        <v>108513.48</v>
      </c>
      <c r="AI493" s="10">
        <v>9762</v>
      </c>
      <c r="AJ493" s="10">
        <v>15.52</v>
      </c>
      <c r="AK493" s="10">
        <v>0</v>
      </c>
      <c r="AL493" s="9">
        <f t="shared" si="56"/>
        <v>98735.959999999992</v>
      </c>
      <c r="AM493" s="1"/>
      <c r="AN493" s="1"/>
      <c r="AO493" s="12" t="e">
        <f>AB493/#REF!</f>
        <v>#REF!</v>
      </c>
      <c r="AP493" s="1" t="s">
        <v>1902</v>
      </c>
      <c r="AQ493" s="11">
        <v>41893</v>
      </c>
      <c r="AR493" s="1" t="s">
        <v>1903</v>
      </c>
      <c r="AS493" s="11">
        <v>41893</v>
      </c>
      <c r="AT493" s="1" t="s">
        <v>49</v>
      </c>
      <c r="AU493" s="1" t="s">
        <v>4171</v>
      </c>
    </row>
    <row r="494" spans="1:47" ht="15" customHeight="1" x14ac:dyDescent="0.25">
      <c r="A494" s="1">
        <v>493</v>
      </c>
      <c r="B494" s="1" t="s">
        <v>1258</v>
      </c>
      <c r="C494" s="1" t="s">
        <v>38</v>
      </c>
      <c r="D494" s="1">
        <v>9103550329</v>
      </c>
      <c r="E494" s="5">
        <v>41811</v>
      </c>
      <c r="F494" s="1" t="s">
        <v>446</v>
      </c>
      <c r="G494" s="1" t="s">
        <v>40</v>
      </c>
      <c r="H494" s="1" t="s">
        <v>41</v>
      </c>
      <c r="I494" s="1" t="s">
        <v>2809</v>
      </c>
      <c r="J494" s="1" t="s">
        <v>55</v>
      </c>
      <c r="K494" s="1">
        <v>38237090</v>
      </c>
      <c r="L494" s="6">
        <v>36.29</v>
      </c>
      <c r="M494" s="1" t="s">
        <v>70</v>
      </c>
      <c r="N494" s="7" t="s">
        <v>44</v>
      </c>
      <c r="O494" s="1" t="s">
        <v>53</v>
      </c>
      <c r="P494" s="8">
        <v>1824</v>
      </c>
      <c r="Q494" s="17">
        <f t="shared" si="51"/>
        <v>66192.959999999992</v>
      </c>
      <c r="R494" s="9">
        <v>6500</v>
      </c>
      <c r="S494" s="9">
        <v>9.4700000000000006</v>
      </c>
      <c r="T494" s="9">
        <v>0</v>
      </c>
      <c r="U494" s="10">
        <v>0</v>
      </c>
      <c r="V494" s="1" t="s">
        <v>46</v>
      </c>
      <c r="W494" s="1" t="s">
        <v>56</v>
      </c>
      <c r="X494" s="1">
        <v>3315182</v>
      </c>
      <c r="Y494" s="11">
        <v>41806</v>
      </c>
      <c r="Z494" s="11">
        <v>41807</v>
      </c>
      <c r="AA494" s="9">
        <f t="shared" si="54"/>
        <v>59683.489999999991</v>
      </c>
      <c r="AB494" s="12">
        <v>58.85</v>
      </c>
      <c r="AC494" s="9">
        <f t="shared" si="52"/>
        <v>3895455.6959999995</v>
      </c>
      <c r="AD494" s="9">
        <f t="shared" si="53"/>
        <v>3512373.3864999996</v>
      </c>
      <c r="AE494" s="1" t="s">
        <v>284</v>
      </c>
      <c r="AF494" s="1" t="s">
        <v>53</v>
      </c>
      <c r="AG494" s="4">
        <f t="shared" si="55"/>
        <v>66192.959999999992</v>
      </c>
      <c r="AH494" s="10">
        <v>66192.960000000006</v>
      </c>
      <c r="AI494" s="10">
        <v>6508</v>
      </c>
      <c r="AJ494" s="10">
        <v>9.4499999999999993</v>
      </c>
      <c r="AK494" s="10">
        <v>0</v>
      </c>
      <c r="AL494" s="9">
        <f t="shared" si="56"/>
        <v>59675.510000000009</v>
      </c>
      <c r="AM494" s="1"/>
      <c r="AN494" s="1"/>
      <c r="AO494" s="12" t="e">
        <f>AB494/#REF!</f>
        <v>#REF!</v>
      </c>
      <c r="AP494" s="1" t="s">
        <v>1904</v>
      </c>
      <c r="AQ494" s="11">
        <v>41893</v>
      </c>
      <c r="AR494" s="1" t="s">
        <v>1905</v>
      </c>
      <c r="AS494" s="11">
        <v>41893</v>
      </c>
      <c r="AT494" s="1" t="s">
        <v>49</v>
      </c>
      <c r="AU494" s="1" t="s">
        <v>4171</v>
      </c>
    </row>
    <row r="495" spans="1:47" ht="15" customHeight="1" x14ac:dyDescent="0.25">
      <c r="A495" s="1">
        <v>494</v>
      </c>
      <c r="B495" s="1" t="s">
        <v>1258</v>
      </c>
      <c r="C495" s="1" t="s">
        <v>38</v>
      </c>
      <c r="D495" s="1">
        <v>9103550330</v>
      </c>
      <c r="E495" s="5">
        <v>41812</v>
      </c>
      <c r="F495" s="1" t="s">
        <v>447</v>
      </c>
      <c r="G495" s="1" t="s">
        <v>40</v>
      </c>
      <c r="H495" s="1" t="s">
        <v>41</v>
      </c>
      <c r="I495" s="1" t="s">
        <v>2809</v>
      </c>
      <c r="J495" s="1" t="s">
        <v>42</v>
      </c>
      <c r="K495" s="1">
        <v>29051700</v>
      </c>
      <c r="L495" s="6">
        <v>3</v>
      </c>
      <c r="M495" s="1" t="s">
        <v>70</v>
      </c>
      <c r="N495" s="7" t="s">
        <v>44</v>
      </c>
      <c r="O495" s="1" t="s">
        <v>53</v>
      </c>
      <c r="P495" s="8">
        <v>1910</v>
      </c>
      <c r="Q495" s="17">
        <f t="shared" si="51"/>
        <v>5730</v>
      </c>
      <c r="R495" s="9">
        <v>131.19999999999999</v>
      </c>
      <c r="S495" s="9">
        <v>0.82</v>
      </c>
      <c r="T495" s="198">
        <v>511.2</v>
      </c>
      <c r="U495" s="10">
        <v>0</v>
      </c>
      <c r="V495" s="1" t="s">
        <v>46</v>
      </c>
      <c r="W495" s="1" t="s">
        <v>143</v>
      </c>
      <c r="X495" s="1">
        <v>3320914</v>
      </c>
      <c r="Y495" s="11">
        <v>41806</v>
      </c>
      <c r="Z495" s="11">
        <v>41807</v>
      </c>
      <c r="AA495" s="9">
        <f t="shared" si="54"/>
        <v>5597.9800000000005</v>
      </c>
      <c r="AB495" s="12">
        <v>58.85</v>
      </c>
      <c r="AC495" s="9">
        <f t="shared" si="52"/>
        <v>337210.5</v>
      </c>
      <c r="AD495" s="9">
        <f t="shared" si="53"/>
        <v>329441.12300000002</v>
      </c>
      <c r="AE495" s="1" t="s">
        <v>48</v>
      </c>
      <c r="AF495" s="1" t="s">
        <v>53</v>
      </c>
      <c r="AG495" s="4">
        <f t="shared" si="55"/>
        <v>5730</v>
      </c>
      <c r="AH495" s="10">
        <v>5730</v>
      </c>
      <c r="AI495" s="10">
        <v>138.72</v>
      </c>
      <c r="AJ495" s="10">
        <v>0.82</v>
      </c>
      <c r="AK495" s="10">
        <v>109.09</v>
      </c>
      <c r="AL495" s="9">
        <f t="shared" si="56"/>
        <v>5481.37</v>
      </c>
      <c r="AM495" s="1"/>
      <c r="AN495" s="1"/>
      <c r="AO495" s="12" t="e">
        <f>AB495/#REF!</f>
        <v>#REF!</v>
      </c>
      <c r="AP495" s="1" t="s">
        <v>1906</v>
      </c>
      <c r="AQ495" s="11">
        <v>41851</v>
      </c>
      <c r="AR495" s="1" t="s">
        <v>1907</v>
      </c>
      <c r="AS495" s="11">
        <v>41852</v>
      </c>
      <c r="AT495" s="1" t="s">
        <v>49</v>
      </c>
      <c r="AU495" s="1" t="s">
        <v>4171</v>
      </c>
    </row>
    <row r="496" spans="1:47" ht="15" customHeight="1" x14ac:dyDescent="0.25">
      <c r="A496" s="1">
        <v>495</v>
      </c>
      <c r="B496" s="1" t="s">
        <v>1258</v>
      </c>
      <c r="C496" s="1" t="s">
        <v>38</v>
      </c>
      <c r="D496" s="1">
        <v>9103550330</v>
      </c>
      <c r="E496" s="5">
        <v>41812</v>
      </c>
      <c r="F496" s="1" t="s">
        <v>447</v>
      </c>
      <c r="G496" s="1" t="s">
        <v>40</v>
      </c>
      <c r="H496" s="1" t="s">
        <v>41</v>
      </c>
      <c r="I496" s="1" t="s">
        <v>2809</v>
      </c>
      <c r="J496" s="1" t="s">
        <v>42</v>
      </c>
      <c r="K496" s="1">
        <v>38237090</v>
      </c>
      <c r="L496" s="6">
        <v>12</v>
      </c>
      <c r="M496" s="1" t="s">
        <v>70</v>
      </c>
      <c r="N496" s="7" t="s">
        <v>44</v>
      </c>
      <c r="O496" s="1" t="s">
        <v>53</v>
      </c>
      <c r="P496" s="8">
        <v>1760</v>
      </c>
      <c r="Q496" s="17">
        <f t="shared" si="51"/>
        <v>21120</v>
      </c>
      <c r="R496" s="9">
        <v>524.79999999999995</v>
      </c>
      <c r="S496" s="9">
        <v>3.02</v>
      </c>
      <c r="T496" s="198"/>
      <c r="U496" s="10">
        <v>0</v>
      </c>
      <c r="V496" s="1" t="s">
        <v>46</v>
      </c>
      <c r="W496" s="1" t="s">
        <v>143</v>
      </c>
      <c r="X496" s="1">
        <v>3320914</v>
      </c>
      <c r="Y496" s="11">
        <v>41806</v>
      </c>
      <c r="Z496" s="11">
        <v>41807</v>
      </c>
      <c r="AA496" s="9">
        <f t="shared" si="54"/>
        <v>20592.18</v>
      </c>
      <c r="AB496" s="12">
        <v>58.85</v>
      </c>
      <c r="AC496" s="9">
        <f t="shared" si="52"/>
        <v>1242912</v>
      </c>
      <c r="AD496" s="9">
        <f t="shared" si="53"/>
        <v>1211849.7930000001</v>
      </c>
      <c r="AE496" s="1" t="s">
        <v>48</v>
      </c>
      <c r="AF496" s="1" t="s">
        <v>53</v>
      </c>
      <c r="AG496" s="4">
        <f t="shared" si="55"/>
        <v>21120</v>
      </c>
      <c r="AH496" s="10">
        <v>21120</v>
      </c>
      <c r="AI496" s="10">
        <v>511.28</v>
      </c>
      <c r="AJ496" s="10">
        <v>3.02</v>
      </c>
      <c r="AK496" s="10">
        <v>402.1</v>
      </c>
      <c r="AL496" s="9">
        <f t="shared" si="56"/>
        <v>20203.599999999999</v>
      </c>
      <c r="AM496" s="1"/>
      <c r="AN496" s="1"/>
      <c r="AO496" s="12" t="e">
        <f>AB496/#REF!</f>
        <v>#REF!</v>
      </c>
      <c r="AP496" s="1" t="s">
        <v>1906</v>
      </c>
      <c r="AQ496" s="11">
        <v>41851</v>
      </c>
      <c r="AR496" s="1" t="s">
        <v>1907</v>
      </c>
      <c r="AS496" s="11">
        <v>41852</v>
      </c>
      <c r="AT496" s="1" t="s">
        <v>49</v>
      </c>
      <c r="AU496" s="1" t="s">
        <v>4171</v>
      </c>
    </row>
    <row r="497" spans="1:47" ht="15" customHeight="1" x14ac:dyDescent="0.25">
      <c r="A497" s="1">
        <v>496</v>
      </c>
      <c r="B497" s="1" t="s">
        <v>1258</v>
      </c>
      <c r="C497" s="1" t="s">
        <v>38</v>
      </c>
      <c r="D497" s="1">
        <v>9103550333</v>
      </c>
      <c r="E497" s="5">
        <v>41813</v>
      </c>
      <c r="F497" s="1" t="s">
        <v>459</v>
      </c>
      <c r="G497" s="1" t="s">
        <v>40</v>
      </c>
      <c r="H497" s="1" t="s">
        <v>41</v>
      </c>
      <c r="I497" s="1" t="s">
        <v>2809</v>
      </c>
      <c r="J497" s="1" t="s">
        <v>55</v>
      </c>
      <c r="K497" s="1">
        <v>38237090</v>
      </c>
      <c r="L497" s="6">
        <v>36.72</v>
      </c>
      <c r="M497" s="1" t="s">
        <v>70</v>
      </c>
      <c r="N497" s="7" t="s">
        <v>44</v>
      </c>
      <c r="O497" s="1" t="s">
        <v>53</v>
      </c>
      <c r="P497" s="8">
        <v>1679</v>
      </c>
      <c r="Q497" s="17">
        <f t="shared" si="51"/>
        <v>61652.88</v>
      </c>
      <c r="R497" s="9">
        <v>9800</v>
      </c>
      <c r="S497" s="9">
        <v>8.82</v>
      </c>
      <c r="T497" s="9">
        <v>0</v>
      </c>
      <c r="U497" s="10">
        <v>0</v>
      </c>
      <c r="V497" s="1" t="s">
        <v>46</v>
      </c>
      <c r="W497" s="1" t="s">
        <v>56</v>
      </c>
      <c r="X497" s="1">
        <v>3343732</v>
      </c>
      <c r="Y497" s="11">
        <v>41807</v>
      </c>
      <c r="Z497" s="11">
        <v>41809</v>
      </c>
      <c r="AA497" s="9">
        <f t="shared" si="54"/>
        <v>51844.06</v>
      </c>
      <c r="AB497" s="12">
        <v>58.85</v>
      </c>
      <c r="AC497" s="9">
        <f t="shared" si="52"/>
        <v>3628271.9879999999</v>
      </c>
      <c r="AD497" s="9">
        <f t="shared" si="53"/>
        <v>3051022.9309999999</v>
      </c>
      <c r="AE497" s="1" t="s">
        <v>48</v>
      </c>
      <c r="AF497" s="1" t="s">
        <v>53</v>
      </c>
      <c r="AG497" s="4">
        <f t="shared" si="55"/>
        <v>61652.88</v>
      </c>
      <c r="AH497" s="10">
        <v>61652.88</v>
      </c>
      <c r="AI497" s="10">
        <v>9800</v>
      </c>
      <c r="AJ497" s="10">
        <v>8.82</v>
      </c>
      <c r="AK497" s="10">
        <v>0</v>
      </c>
      <c r="AL497" s="9">
        <f t="shared" si="56"/>
        <v>51844.06</v>
      </c>
      <c r="AM497" s="1"/>
      <c r="AN497" s="1"/>
      <c r="AO497" s="12" t="e">
        <f>AB497/#REF!</f>
        <v>#REF!</v>
      </c>
      <c r="AP497" s="1" t="s">
        <v>1908</v>
      </c>
      <c r="AQ497" s="11">
        <v>41893</v>
      </c>
      <c r="AR497" s="1" t="s">
        <v>1909</v>
      </c>
      <c r="AS497" s="11">
        <v>41894</v>
      </c>
      <c r="AT497" s="1" t="s">
        <v>49</v>
      </c>
      <c r="AU497" s="1" t="s">
        <v>4171</v>
      </c>
    </row>
    <row r="498" spans="1:47" ht="15" customHeight="1" x14ac:dyDescent="0.25">
      <c r="A498" s="1">
        <v>497</v>
      </c>
      <c r="B498" s="1" t="s">
        <v>1258</v>
      </c>
      <c r="C498" s="1" t="s">
        <v>38</v>
      </c>
      <c r="D498" s="1">
        <v>9103550334</v>
      </c>
      <c r="E498" s="5">
        <v>41810</v>
      </c>
      <c r="F498" s="1" t="s">
        <v>460</v>
      </c>
      <c r="G498" s="1" t="s">
        <v>40</v>
      </c>
      <c r="H498" s="1" t="s">
        <v>41</v>
      </c>
      <c r="I498" s="1" t="s">
        <v>2809</v>
      </c>
      <c r="J498" s="1" t="s">
        <v>2806</v>
      </c>
      <c r="K498" s="1">
        <v>29157010</v>
      </c>
      <c r="L498" s="6">
        <v>72.5</v>
      </c>
      <c r="M498" s="1" t="s">
        <v>70</v>
      </c>
      <c r="N498" s="7" t="s">
        <v>67</v>
      </c>
      <c r="O498" s="1" t="s">
        <v>53</v>
      </c>
      <c r="P498" s="8">
        <v>1180</v>
      </c>
      <c r="Q498" s="17">
        <f t="shared" si="51"/>
        <v>85550</v>
      </c>
      <c r="R498" s="9">
        <v>0</v>
      </c>
      <c r="S498" s="9">
        <v>0</v>
      </c>
      <c r="T498" s="9">
        <v>0</v>
      </c>
      <c r="U498" s="10">
        <v>0</v>
      </c>
      <c r="V498" s="1" t="s">
        <v>46</v>
      </c>
      <c r="W498" s="1" t="s">
        <v>492</v>
      </c>
      <c r="X498" s="1">
        <v>3348688</v>
      </c>
      <c r="Y498" s="11">
        <v>41807</v>
      </c>
      <c r="Z498" s="11">
        <v>41809</v>
      </c>
      <c r="AA498" s="9">
        <f t="shared" si="54"/>
        <v>85550</v>
      </c>
      <c r="AB498" s="12">
        <v>58.85</v>
      </c>
      <c r="AC498" s="9">
        <f t="shared" si="52"/>
        <v>5034617.5</v>
      </c>
      <c r="AD498" s="9">
        <f t="shared" si="53"/>
        <v>5034617.5</v>
      </c>
      <c r="AE498" s="1" t="s">
        <v>48</v>
      </c>
      <c r="AF498" s="1" t="s">
        <v>53</v>
      </c>
      <c r="AG498" s="4">
        <f t="shared" si="55"/>
        <v>85550</v>
      </c>
      <c r="AH498" s="10">
        <v>85550</v>
      </c>
      <c r="AI498" s="9">
        <v>0</v>
      </c>
      <c r="AJ498" s="9">
        <v>0</v>
      </c>
      <c r="AK498" s="9">
        <v>0</v>
      </c>
      <c r="AL498" s="9">
        <f t="shared" si="56"/>
        <v>85550</v>
      </c>
      <c r="AM498" s="1"/>
      <c r="AN498" s="1"/>
      <c r="AO498" s="12" t="e">
        <f>AB498/#REF!</f>
        <v>#REF!</v>
      </c>
      <c r="AP498" s="1" t="s">
        <v>1910</v>
      </c>
      <c r="AQ498" s="11">
        <v>41857</v>
      </c>
      <c r="AR498" s="1" t="s">
        <v>1911</v>
      </c>
      <c r="AS498" s="11">
        <v>41858</v>
      </c>
      <c r="AT498" s="1" t="s">
        <v>49</v>
      </c>
      <c r="AU498" s="1" t="s">
        <v>4171</v>
      </c>
    </row>
    <row r="499" spans="1:47" ht="15" customHeight="1" x14ac:dyDescent="0.25">
      <c r="A499" s="1">
        <v>498</v>
      </c>
      <c r="B499" s="1" t="s">
        <v>1258</v>
      </c>
      <c r="C499" s="1" t="s">
        <v>38</v>
      </c>
      <c r="D499" s="1">
        <v>9103550335</v>
      </c>
      <c r="E499" s="5">
        <v>41811</v>
      </c>
      <c r="F499" s="1" t="s">
        <v>462</v>
      </c>
      <c r="G499" s="1" t="s">
        <v>40</v>
      </c>
      <c r="H499" s="1" t="s">
        <v>41</v>
      </c>
      <c r="I499" s="1" t="s">
        <v>2809</v>
      </c>
      <c r="J499" s="2" t="s">
        <v>58</v>
      </c>
      <c r="K499" s="1">
        <v>38231900</v>
      </c>
      <c r="L499" s="6">
        <v>19.59</v>
      </c>
      <c r="M499" s="1" t="s">
        <v>70</v>
      </c>
      <c r="N499" s="7" t="s">
        <v>44</v>
      </c>
      <c r="O499" s="1" t="s">
        <v>45</v>
      </c>
      <c r="P499" s="8">
        <v>2921</v>
      </c>
      <c r="Q499" s="17">
        <f t="shared" si="51"/>
        <v>57222.39</v>
      </c>
      <c r="R499" s="9">
        <v>1992.41</v>
      </c>
      <c r="S499" s="9">
        <v>8.18</v>
      </c>
      <c r="T499" s="9">
        <v>1081.3699999999999</v>
      </c>
      <c r="U499" s="10">
        <v>0</v>
      </c>
      <c r="V499" s="1" t="s">
        <v>46</v>
      </c>
      <c r="W499" s="1" t="s">
        <v>59</v>
      </c>
      <c r="X499" s="1">
        <v>3349231</v>
      </c>
      <c r="Y499" s="11">
        <v>41807</v>
      </c>
      <c r="Z499" s="11">
        <v>41809</v>
      </c>
      <c r="AA499" s="9">
        <f t="shared" si="54"/>
        <v>55221.799999999996</v>
      </c>
      <c r="AB499" s="12">
        <v>79.75</v>
      </c>
      <c r="AC499" s="9">
        <f t="shared" si="52"/>
        <v>4563485.6025</v>
      </c>
      <c r="AD499" s="9">
        <f t="shared" si="53"/>
        <v>4403938.55</v>
      </c>
      <c r="AE499" s="1" t="s">
        <v>284</v>
      </c>
      <c r="AF499" s="1" t="s">
        <v>45</v>
      </c>
      <c r="AG499" s="4">
        <f t="shared" si="55"/>
        <v>57222.39</v>
      </c>
      <c r="AH499" s="10">
        <v>57077.39</v>
      </c>
      <c r="AI499" s="10">
        <v>2147.7800000000002</v>
      </c>
      <c r="AJ499" s="10">
        <v>8.18</v>
      </c>
      <c r="AK499" s="10">
        <v>1081.3699999999999</v>
      </c>
      <c r="AL499" s="9">
        <f t="shared" si="56"/>
        <v>53840.06</v>
      </c>
      <c r="AM499" s="1"/>
      <c r="AN499" s="1"/>
      <c r="AO499" s="12" t="e">
        <f>AB499/#REF!</f>
        <v>#REF!</v>
      </c>
      <c r="AP499" s="1" t="s">
        <v>1912</v>
      </c>
      <c r="AQ499" s="11">
        <v>41835</v>
      </c>
      <c r="AR499" s="72" t="s">
        <v>1913</v>
      </c>
      <c r="AS499" s="11">
        <v>41835</v>
      </c>
      <c r="AT499" s="1" t="s">
        <v>49</v>
      </c>
      <c r="AU499" s="1" t="s">
        <v>4171</v>
      </c>
    </row>
    <row r="500" spans="1:47" ht="15" customHeight="1" x14ac:dyDescent="0.25">
      <c r="A500" s="1">
        <v>499</v>
      </c>
      <c r="B500" s="1" t="s">
        <v>1258</v>
      </c>
      <c r="C500" s="1" t="s">
        <v>38</v>
      </c>
      <c r="D500" s="1">
        <v>9103550336</v>
      </c>
      <c r="E500" s="5">
        <v>41813</v>
      </c>
      <c r="F500" s="1" t="s">
        <v>458</v>
      </c>
      <c r="G500" s="1" t="s">
        <v>40</v>
      </c>
      <c r="H500" s="1" t="s">
        <v>41</v>
      </c>
      <c r="I500" s="1" t="s">
        <v>2809</v>
      </c>
      <c r="J500" s="1" t="s">
        <v>78</v>
      </c>
      <c r="K500" s="1">
        <v>38237090</v>
      </c>
      <c r="L500" s="6">
        <v>38.799999999999997</v>
      </c>
      <c r="M500" s="1" t="s">
        <v>70</v>
      </c>
      <c r="N500" s="7" t="s">
        <v>67</v>
      </c>
      <c r="O500" s="1" t="s">
        <v>53</v>
      </c>
      <c r="P500" s="8">
        <v>1545</v>
      </c>
      <c r="Q500" s="17">
        <f t="shared" si="51"/>
        <v>59945.999999999993</v>
      </c>
      <c r="R500" s="9">
        <v>0</v>
      </c>
      <c r="S500" s="9">
        <v>0</v>
      </c>
      <c r="T500" s="9">
        <v>0</v>
      </c>
      <c r="U500" s="10">
        <v>0</v>
      </c>
      <c r="V500" s="1" t="s">
        <v>46</v>
      </c>
      <c r="W500" s="1" t="s">
        <v>56</v>
      </c>
      <c r="X500" s="1">
        <v>3345216</v>
      </c>
      <c r="Y500" s="11">
        <v>41807</v>
      </c>
      <c r="Z500" s="11">
        <v>41809</v>
      </c>
      <c r="AA500" s="9">
        <f t="shared" si="54"/>
        <v>59945.999999999993</v>
      </c>
      <c r="AB500" s="12">
        <v>58.85</v>
      </c>
      <c r="AC500" s="9">
        <f t="shared" si="52"/>
        <v>3527822.0999999996</v>
      </c>
      <c r="AD500" s="9">
        <f t="shared" si="53"/>
        <v>3527822.0999999996</v>
      </c>
      <c r="AE500" s="1" t="s">
        <v>48</v>
      </c>
      <c r="AF500" s="1" t="s">
        <v>53</v>
      </c>
      <c r="AG500" s="4">
        <f t="shared" si="55"/>
        <v>59945.999999999993</v>
      </c>
      <c r="AH500" s="10">
        <v>59921</v>
      </c>
      <c r="AI500" s="9">
        <v>0</v>
      </c>
      <c r="AJ500" s="9">
        <v>0</v>
      </c>
      <c r="AK500" s="9">
        <v>0</v>
      </c>
      <c r="AL500" s="9">
        <f t="shared" si="56"/>
        <v>59921</v>
      </c>
      <c r="AM500" s="1"/>
      <c r="AN500" s="1"/>
      <c r="AO500" s="12" t="e">
        <f>AB500/#REF!</f>
        <v>#REF!</v>
      </c>
      <c r="AP500" s="1" t="s">
        <v>1914</v>
      </c>
      <c r="AQ500" s="11">
        <v>41850</v>
      </c>
      <c r="AR500" s="1" t="s">
        <v>1915</v>
      </c>
      <c r="AS500" s="11">
        <v>41851</v>
      </c>
      <c r="AT500" s="1" t="s">
        <v>49</v>
      </c>
      <c r="AU500" s="1" t="s">
        <v>4171</v>
      </c>
    </row>
    <row r="501" spans="1:47" ht="15" customHeight="1" x14ac:dyDescent="0.25">
      <c r="A501" s="1">
        <v>500</v>
      </c>
      <c r="B501" s="1" t="s">
        <v>1258</v>
      </c>
      <c r="C501" s="1" t="s">
        <v>38</v>
      </c>
      <c r="D501" s="1" t="s">
        <v>1916</v>
      </c>
      <c r="E501" s="5">
        <v>41811</v>
      </c>
      <c r="F501" s="1" t="s">
        <v>465</v>
      </c>
      <c r="G501" s="1" t="s">
        <v>40</v>
      </c>
      <c r="H501" s="1" t="s">
        <v>41</v>
      </c>
      <c r="I501" s="1" t="s">
        <v>2809</v>
      </c>
      <c r="J501" s="2" t="s">
        <v>58</v>
      </c>
      <c r="K501" s="1">
        <v>38231900</v>
      </c>
      <c r="L501" s="6">
        <v>19.78</v>
      </c>
      <c r="M501" s="1" t="s">
        <v>70</v>
      </c>
      <c r="N501" s="7" t="s">
        <v>44</v>
      </c>
      <c r="O501" s="1" t="s">
        <v>45</v>
      </c>
      <c r="P501" s="8">
        <v>2921</v>
      </c>
      <c r="Q501" s="17">
        <f t="shared" si="51"/>
        <v>57777.380000000005</v>
      </c>
      <c r="R501" s="9">
        <v>1992.41</v>
      </c>
      <c r="S501" s="9">
        <v>8.26</v>
      </c>
      <c r="T501" s="9">
        <v>1091.8599999999999</v>
      </c>
      <c r="U501" s="10">
        <v>0</v>
      </c>
      <c r="V501" s="1" t="s">
        <v>46</v>
      </c>
      <c r="W501" s="1" t="s">
        <v>59</v>
      </c>
      <c r="X501" s="1">
        <v>3349218</v>
      </c>
      <c r="Y501" s="11">
        <v>41807</v>
      </c>
      <c r="Z501" s="11">
        <v>41809</v>
      </c>
      <c r="AA501" s="9">
        <f t="shared" si="54"/>
        <v>55776.71</v>
      </c>
      <c r="AB501" s="12">
        <v>79.75</v>
      </c>
      <c r="AC501" s="9">
        <f t="shared" si="52"/>
        <v>4607746.0550000006</v>
      </c>
      <c r="AD501" s="9">
        <f t="shared" si="53"/>
        <v>4448192.6224999996</v>
      </c>
      <c r="AE501" s="1" t="s">
        <v>284</v>
      </c>
      <c r="AF501" s="1" t="s">
        <v>45</v>
      </c>
      <c r="AG501" s="4">
        <f t="shared" si="55"/>
        <v>57777.380000000005</v>
      </c>
      <c r="AH501" s="10">
        <v>57777.38</v>
      </c>
      <c r="AI501" s="10">
        <v>2128.3200000000002</v>
      </c>
      <c r="AJ501" s="10">
        <v>8.26</v>
      </c>
      <c r="AK501" s="10">
        <v>1091.8599999999999</v>
      </c>
      <c r="AL501" s="9">
        <f t="shared" si="56"/>
        <v>54548.939999999995</v>
      </c>
      <c r="AM501" s="1"/>
      <c r="AN501" s="1"/>
      <c r="AO501" s="12" t="e">
        <f>AB501/#REF!</f>
        <v>#REF!</v>
      </c>
      <c r="AP501" s="1" t="s">
        <v>1917</v>
      </c>
      <c r="AQ501" s="11">
        <v>41837</v>
      </c>
      <c r="AR501" s="1" t="s">
        <v>1918</v>
      </c>
      <c r="AS501" s="11">
        <v>41837</v>
      </c>
      <c r="AT501" s="1" t="s">
        <v>49</v>
      </c>
      <c r="AU501" s="1" t="s">
        <v>4171</v>
      </c>
    </row>
    <row r="502" spans="1:47" ht="15" customHeight="1" x14ac:dyDescent="0.25">
      <c r="A502" s="1">
        <v>501</v>
      </c>
      <c r="B502" s="1" t="s">
        <v>1258</v>
      </c>
      <c r="C502" s="1" t="s">
        <v>38</v>
      </c>
      <c r="D502" s="1" t="s">
        <v>1916</v>
      </c>
      <c r="E502" s="5">
        <v>41811</v>
      </c>
      <c r="F502" s="1" t="s">
        <v>477</v>
      </c>
      <c r="G502" s="1" t="s">
        <v>40</v>
      </c>
      <c r="H502" s="1" t="s">
        <v>41</v>
      </c>
      <c r="I502" s="1" t="s">
        <v>2809</v>
      </c>
      <c r="J502" s="2" t="s">
        <v>58</v>
      </c>
      <c r="K502" s="1">
        <v>38231900</v>
      </c>
      <c r="L502" s="6">
        <v>19.93</v>
      </c>
      <c r="M502" s="1" t="s">
        <v>70</v>
      </c>
      <c r="N502" s="7" t="s">
        <v>44</v>
      </c>
      <c r="O502" s="1" t="s">
        <v>45</v>
      </c>
      <c r="P502" s="8">
        <v>2921</v>
      </c>
      <c r="Q502" s="17">
        <f t="shared" si="51"/>
        <v>58215.53</v>
      </c>
      <c r="R502" s="9">
        <v>1992.41</v>
      </c>
      <c r="S502" s="9">
        <v>8.32</v>
      </c>
      <c r="T502" s="9">
        <v>1100.1400000000001</v>
      </c>
      <c r="U502" s="10">
        <v>0</v>
      </c>
      <c r="V502" s="1" t="s">
        <v>46</v>
      </c>
      <c r="W502" s="1" t="s">
        <v>59</v>
      </c>
      <c r="X502" s="1">
        <v>3363824</v>
      </c>
      <c r="Y502" s="11">
        <v>41808</v>
      </c>
      <c r="Z502" s="11">
        <v>41809</v>
      </c>
      <c r="AA502" s="9">
        <f t="shared" si="54"/>
        <v>56214.799999999996</v>
      </c>
      <c r="AB502" s="12">
        <v>79.75</v>
      </c>
      <c r="AC502" s="9">
        <f>+Q502*AB502</f>
        <v>4642688.5175000001</v>
      </c>
      <c r="AD502" s="9">
        <f>+AA502*AB502</f>
        <v>4483130.3</v>
      </c>
      <c r="AE502" s="1" t="s">
        <v>284</v>
      </c>
      <c r="AF502" s="1" t="s">
        <v>45</v>
      </c>
      <c r="AG502" s="4">
        <f t="shared" si="55"/>
        <v>58215.53</v>
      </c>
      <c r="AH502" s="10">
        <v>58021.54</v>
      </c>
      <c r="AI502" s="10">
        <v>2128.3200000000002</v>
      </c>
      <c r="AJ502" s="10">
        <v>8.32</v>
      </c>
      <c r="AK502" s="10">
        <v>1100.1400000000001</v>
      </c>
      <c r="AL502" s="9">
        <f t="shared" si="56"/>
        <v>54784.76</v>
      </c>
      <c r="AM502" s="1"/>
      <c r="AN502" s="1"/>
      <c r="AO502" s="12" t="e">
        <f>AB502/#REF!</f>
        <v>#REF!</v>
      </c>
      <c r="AP502" s="1" t="s">
        <v>1917</v>
      </c>
      <c r="AQ502" s="11">
        <v>41837</v>
      </c>
      <c r="AR502" s="1" t="s">
        <v>1919</v>
      </c>
      <c r="AS502" s="11">
        <v>41837</v>
      </c>
      <c r="AT502" s="1" t="s">
        <v>49</v>
      </c>
      <c r="AU502" s="1" t="s">
        <v>4171</v>
      </c>
    </row>
    <row r="503" spans="1:47" ht="15" customHeight="1" x14ac:dyDescent="0.25">
      <c r="A503" s="1">
        <v>502</v>
      </c>
      <c r="B503" s="1" t="s">
        <v>1258</v>
      </c>
      <c r="C503" s="1" t="s">
        <v>38</v>
      </c>
      <c r="D503" s="1">
        <v>9103550339</v>
      </c>
      <c r="E503" s="5">
        <v>41814</v>
      </c>
      <c r="F503" s="1" t="s">
        <v>472</v>
      </c>
      <c r="G503" s="1" t="s">
        <v>40</v>
      </c>
      <c r="H503" s="1" t="s">
        <v>41</v>
      </c>
      <c r="I503" s="1" t="s">
        <v>2809</v>
      </c>
      <c r="J503" s="1" t="s">
        <v>2740</v>
      </c>
      <c r="K503" s="1">
        <v>38237090</v>
      </c>
      <c r="L503" s="6">
        <v>24</v>
      </c>
      <c r="M503" s="1" t="s">
        <v>70</v>
      </c>
      <c r="N503" s="7" t="s">
        <v>44</v>
      </c>
      <c r="O503" s="1" t="s">
        <v>53</v>
      </c>
      <c r="P503" s="8">
        <v>1680</v>
      </c>
      <c r="Q503" s="17">
        <f t="shared" si="51"/>
        <v>40320</v>
      </c>
      <c r="R503" s="9">
        <v>2100</v>
      </c>
      <c r="S503" s="9">
        <v>5.77</v>
      </c>
      <c r="T503" s="9">
        <v>0</v>
      </c>
      <c r="U503" s="10">
        <v>0</v>
      </c>
      <c r="V503" s="1" t="s">
        <v>46</v>
      </c>
      <c r="W503" s="1" t="s">
        <v>205</v>
      </c>
      <c r="X503" s="1">
        <v>3368741</v>
      </c>
      <c r="Y503" s="11">
        <v>41808</v>
      </c>
      <c r="Z503" s="11">
        <v>41809</v>
      </c>
      <c r="AA503" s="9">
        <f t="shared" si="54"/>
        <v>38214.230000000003</v>
      </c>
      <c r="AB503" s="12">
        <v>58.85</v>
      </c>
      <c r="AC503" s="9">
        <f t="shared" si="52"/>
        <v>2372832</v>
      </c>
      <c r="AD503" s="9">
        <f t="shared" si="53"/>
        <v>2248907.4355000001</v>
      </c>
      <c r="AE503" s="1" t="s">
        <v>284</v>
      </c>
      <c r="AF503" s="1" t="s">
        <v>53</v>
      </c>
      <c r="AG503" s="4">
        <f t="shared" si="55"/>
        <v>40320</v>
      </c>
      <c r="AH503" s="10">
        <v>40256</v>
      </c>
      <c r="AI503" s="10">
        <v>2110</v>
      </c>
      <c r="AJ503" s="10">
        <v>5.77</v>
      </c>
      <c r="AK503" s="10">
        <v>0</v>
      </c>
      <c r="AL503" s="9">
        <f t="shared" si="56"/>
        <v>38140.230000000003</v>
      </c>
      <c r="AM503" s="1"/>
      <c r="AN503" s="1"/>
      <c r="AO503" s="12" t="e">
        <f>AB503/#REF!</f>
        <v>#REF!</v>
      </c>
      <c r="AP503" s="1" t="s">
        <v>1920</v>
      </c>
      <c r="AQ503" s="11">
        <v>41838</v>
      </c>
      <c r="AR503" s="1" t="s">
        <v>1921</v>
      </c>
      <c r="AS503" s="11">
        <v>41838</v>
      </c>
      <c r="AT503" s="1" t="s">
        <v>49</v>
      </c>
      <c r="AU503" s="1" t="s">
        <v>4171</v>
      </c>
    </row>
    <row r="504" spans="1:47" ht="15" customHeight="1" x14ac:dyDescent="0.25">
      <c r="A504" s="1">
        <v>503</v>
      </c>
      <c r="B504" s="1" t="s">
        <v>1258</v>
      </c>
      <c r="C504" s="1" t="s">
        <v>38</v>
      </c>
      <c r="D504" s="1">
        <v>9103550340</v>
      </c>
      <c r="E504" s="5">
        <v>41811</v>
      </c>
      <c r="F504" s="1" t="s">
        <v>470</v>
      </c>
      <c r="G504" s="1" t="s">
        <v>40</v>
      </c>
      <c r="H504" s="1" t="s">
        <v>41</v>
      </c>
      <c r="I504" s="1" t="s">
        <v>2809</v>
      </c>
      <c r="J504" s="1" t="s">
        <v>55</v>
      </c>
      <c r="K504" s="1">
        <v>38237090</v>
      </c>
      <c r="L504" s="6">
        <v>36.28</v>
      </c>
      <c r="M504" s="1" t="s">
        <v>70</v>
      </c>
      <c r="N504" s="7" t="s">
        <v>44</v>
      </c>
      <c r="O504" s="1" t="s">
        <v>53</v>
      </c>
      <c r="P504" s="8">
        <v>1794</v>
      </c>
      <c r="Q504" s="17">
        <f t="shared" si="51"/>
        <v>65086.32</v>
      </c>
      <c r="R504" s="9">
        <v>6600</v>
      </c>
      <c r="S504" s="9">
        <v>9.31</v>
      </c>
      <c r="T504" s="9">
        <v>0</v>
      </c>
      <c r="U504" s="10">
        <v>0</v>
      </c>
      <c r="V504" s="1" t="s">
        <v>46</v>
      </c>
      <c r="W504" s="1" t="s">
        <v>56</v>
      </c>
      <c r="X504" s="1">
        <v>3367400</v>
      </c>
      <c r="Y504" s="11">
        <v>41808</v>
      </c>
      <c r="Z504" s="11">
        <v>41809</v>
      </c>
      <c r="AA504" s="9">
        <f t="shared" si="54"/>
        <v>58477.01</v>
      </c>
      <c r="AB504" s="12">
        <v>58.85</v>
      </c>
      <c r="AC504" s="9">
        <f t="shared" si="52"/>
        <v>3830329.932</v>
      </c>
      <c r="AD504" s="9">
        <f t="shared" si="53"/>
        <v>3441372.0385000003</v>
      </c>
      <c r="AE504" s="1" t="s">
        <v>284</v>
      </c>
      <c r="AF504" s="1" t="s">
        <v>53</v>
      </c>
      <c r="AG504" s="4">
        <f t="shared" si="55"/>
        <v>65086.32</v>
      </c>
      <c r="AH504" s="10">
        <v>65086.32</v>
      </c>
      <c r="AI504" s="10">
        <v>8340</v>
      </c>
      <c r="AJ504" s="10">
        <v>9.3000000000000007</v>
      </c>
      <c r="AK504" s="10">
        <v>0</v>
      </c>
      <c r="AL504" s="9">
        <f t="shared" si="56"/>
        <v>56737.020000000004</v>
      </c>
      <c r="AM504" s="1"/>
      <c r="AN504" s="1"/>
      <c r="AO504" s="12" t="e">
        <f>AB504/#REF!</f>
        <v>#REF!</v>
      </c>
      <c r="AP504" s="1" t="s">
        <v>1922</v>
      </c>
      <c r="AQ504" s="11">
        <v>41893</v>
      </c>
      <c r="AR504" s="1" t="s">
        <v>1923</v>
      </c>
      <c r="AS504" s="11">
        <v>41893</v>
      </c>
      <c r="AT504" s="1" t="s">
        <v>49</v>
      </c>
      <c r="AU504" s="1" t="s">
        <v>4171</v>
      </c>
    </row>
    <row r="505" spans="1:47" ht="15" customHeight="1" x14ac:dyDescent="0.25">
      <c r="A505" s="1">
        <v>504</v>
      </c>
      <c r="B505" s="1" t="s">
        <v>1258</v>
      </c>
      <c r="C505" s="1" t="s">
        <v>38</v>
      </c>
      <c r="D505" s="1">
        <v>9103550341</v>
      </c>
      <c r="E505" s="5">
        <v>41811</v>
      </c>
      <c r="F505" s="1" t="s">
        <v>471</v>
      </c>
      <c r="G505" s="1" t="s">
        <v>40</v>
      </c>
      <c r="H505" s="1" t="s">
        <v>41</v>
      </c>
      <c r="I505" s="1" t="s">
        <v>2809</v>
      </c>
      <c r="J505" s="1" t="s">
        <v>50</v>
      </c>
      <c r="K505" s="1">
        <v>38237090</v>
      </c>
      <c r="L505" s="6">
        <v>37.299999999999997</v>
      </c>
      <c r="M505" s="1" t="s">
        <v>70</v>
      </c>
      <c r="N505" s="7" t="s">
        <v>52</v>
      </c>
      <c r="O505" s="1" t="s">
        <v>45</v>
      </c>
      <c r="P505" s="8">
        <v>960</v>
      </c>
      <c r="Q505" s="17">
        <f t="shared" ref="Q505:Q595" si="57">+L505*P505</f>
        <v>35808</v>
      </c>
      <c r="R505" s="9">
        <v>1697.24</v>
      </c>
      <c r="S505" s="9">
        <v>0</v>
      </c>
      <c r="T505" s="9">
        <v>0</v>
      </c>
      <c r="U505" s="10">
        <v>0</v>
      </c>
      <c r="V505" s="1" t="s">
        <v>46</v>
      </c>
      <c r="W505" s="1" t="s">
        <v>2657</v>
      </c>
      <c r="X505" s="1">
        <v>3368960</v>
      </c>
      <c r="Y505" s="11">
        <v>41808</v>
      </c>
      <c r="Z505" s="11">
        <v>41809</v>
      </c>
      <c r="AA505" s="9">
        <f t="shared" si="54"/>
        <v>34110.76</v>
      </c>
      <c r="AB505" s="12">
        <v>79.75</v>
      </c>
      <c r="AC505" s="9">
        <f t="shared" ref="AC505:AC595" si="58">+Q505*AB505</f>
        <v>2855688</v>
      </c>
      <c r="AD505" s="9">
        <f t="shared" ref="AD505:AD595" si="59">+AA505*AB505</f>
        <v>2720333.1100000003</v>
      </c>
      <c r="AE505" s="1" t="s">
        <v>51</v>
      </c>
      <c r="AF505" s="1" t="s">
        <v>45</v>
      </c>
      <c r="AG505" s="4">
        <f t="shared" si="55"/>
        <v>35808</v>
      </c>
      <c r="AH505" s="10">
        <v>35678</v>
      </c>
      <c r="AI505" s="10">
        <v>1687.44</v>
      </c>
      <c r="AJ505" s="10">
        <v>0</v>
      </c>
      <c r="AK505" s="10">
        <v>0</v>
      </c>
      <c r="AL505" s="9">
        <f t="shared" si="56"/>
        <v>33990.559999999998</v>
      </c>
      <c r="AM505" s="1"/>
      <c r="AN505" s="1"/>
      <c r="AO505" s="12" t="e">
        <f>AB505/#REF!</f>
        <v>#REF!</v>
      </c>
      <c r="AP505" s="1" t="s">
        <v>1924</v>
      </c>
      <c r="AQ505" s="11">
        <v>41873</v>
      </c>
      <c r="AR505" s="1" t="s">
        <v>1925</v>
      </c>
      <c r="AS505" s="11">
        <v>42045</v>
      </c>
      <c r="AT505" s="1" t="s">
        <v>49</v>
      </c>
      <c r="AU505" s="1" t="s">
        <v>4171</v>
      </c>
    </row>
    <row r="506" spans="1:47" ht="15" customHeight="1" x14ac:dyDescent="0.25">
      <c r="A506" s="1">
        <v>505</v>
      </c>
      <c r="B506" s="1" t="s">
        <v>1258</v>
      </c>
      <c r="C506" s="1" t="s">
        <v>38</v>
      </c>
      <c r="D506" s="1">
        <v>9103550342</v>
      </c>
      <c r="E506" s="5">
        <v>41811</v>
      </c>
      <c r="F506" s="1" t="s">
        <v>468</v>
      </c>
      <c r="G506" s="1" t="s">
        <v>40</v>
      </c>
      <c r="H506" s="1" t="s">
        <v>41</v>
      </c>
      <c r="I506" s="1" t="s">
        <v>2809</v>
      </c>
      <c r="J506" s="1" t="s">
        <v>187</v>
      </c>
      <c r="K506" s="1">
        <v>38237090</v>
      </c>
      <c r="L506" s="6">
        <v>18.14</v>
      </c>
      <c r="M506" s="1" t="s">
        <v>70</v>
      </c>
      <c r="N506" s="7" t="s">
        <v>44</v>
      </c>
      <c r="O506" s="1" t="s">
        <v>53</v>
      </c>
      <c r="P506" s="8">
        <v>1733</v>
      </c>
      <c r="Q506" s="17">
        <f t="shared" si="57"/>
        <v>31436.620000000003</v>
      </c>
      <c r="R506" s="9">
        <v>3200</v>
      </c>
      <c r="S506" s="9">
        <v>4.5</v>
      </c>
      <c r="T506" s="9">
        <v>0</v>
      </c>
      <c r="U506" s="10">
        <v>0</v>
      </c>
      <c r="V506" s="1" t="s">
        <v>46</v>
      </c>
      <c r="W506" s="1" t="s">
        <v>56</v>
      </c>
      <c r="X506" s="1">
        <v>3368732</v>
      </c>
      <c r="Y506" s="11">
        <v>41808</v>
      </c>
      <c r="Z506" s="11">
        <v>41809</v>
      </c>
      <c r="AA506" s="9">
        <f t="shared" ref="AA506:AA596" si="60">Q506-R506-S506</f>
        <v>28232.120000000003</v>
      </c>
      <c r="AB506" s="12">
        <v>58.85</v>
      </c>
      <c r="AC506" s="9">
        <f t="shared" si="58"/>
        <v>1850045.0870000003</v>
      </c>
      <c r="AD506" s="9">
        <f t="shared" si="59"/>
        <v>1661460.2620000001</v>
      </c>
      <c r="AE506" s="1" t="s">
        <v>48</v>
      </c>
      <c r="AF506" s="1" t="s">
        <v>53</v>
      </c>
      <c r="AG506" s="4">
        <f t="shared" si="55"/>
        <v>31436.620000000003</v>
      </c>
      <c r="AH506" s="10">
        <v>31436.62</v>
      </c>
      <c r="AI506" s="10">
        <v>3126</v>
      </c>
      <c r="AJ506" s="10">
        <v>4.5</v>
      </c>
      <c r="AK506" s="10">
        <v>0</v>
      </c>
      <c r="AL506" s="9">
        <f t="shared" si="56"/>
        <v>28306.12</v>
      </c>
      <c r="AM506" s="1"/>
      <c r="AN506" s="1"/>
      <c r="AO506" s="12" t="e">
        <f>AB506/#REF!</f>
        <v>#REF!</v>
      </c>
      <c r="AP506" s="1" t="s">
        <v>1926</v>
      </c>
      <c r="AQ506" s="11">
        <v>41893</v>
      </c>
      <c r="AR506" s="1" t="s">
        <v>1927</v>
      </c>
      <c r="AS506" s="11">
        <v>41894</v>
      </c>
      <c r="AT506" s="1" t="s">
        <v>49</v>
      </c>
      <c r="AU506" s="1" t="s">
        <v>4171</v>
      </c>
    </row>
    <row r="507" spans="1:47" ht="15" customHeight="1" x14ac:dyDescent="0.25">
      <c r="A507" s="1">
        <v>506</v>
      </c>
      <c r="B507" s="1" t="s">
        <v>1258</v>
      </c>
      <c r="C507" s="1" t="s">
        <v>38</v>
      </c>
      <c r="D507" s="1">
        <v>9103550343</v>
      </c>
      <c r="E507" s="5">
        <v>41816</v>
      </c>
      <c r="F507" s="1" t="s">
        <v>466</v>
      </c>
      <c r="G507" s="1" t="s">
        <v>40</v>
      </c>
      <c r="H507" s="1" t="s">
        <v>41</v>
      </c>
      <c r="I507" s="1" t="s">
        <v>2809</v>
      </c>
      <c r="J507" s="1" t="s">
        <v>1789</v>
      </c>
      <c r="K507" s="1">
        <v>38237090</v>
      </c>
      <c r="L507" s="6">
        <v>12</v>
      </c>
      <c r="M507" s="1" t="s">
        <v>70</v>
      </c>
      <c r="N507" s="7" t="s">
        <v>44</v>
      </c>
      <c r="O507" s="1" t="s">
        <v>53</v>
      </c>
      <c r="P507" s="8">
        <v>1655</v>
      </c>
      <c r="Q507" s="17">
        <f t="shared" si="57"/>
        <v>19860</v>
      </c>
      <c r="R507" s="9">
        <v>75</v>
      </c>
      <c r="S507" s="9">
        <v>2.84</v>
      </c>
      <c r="T507" s="9">
        <v>360</v>
      </c>
      <c r="U507" s="10">
        <v>0</v>
      </c>
      <c r="V507" s="1" t="s">
        <v>46</v>
      </c>
      <c r="W507" s="1" t="s">
        <v>64</v>
      </c>
      <c r="X507" s="1">
        <v>3387690</v>
      </c>
      <c r="Y507" s="11">
        <v>41809</v>
      </c>
      <c r="Z507" s="11">
        <v>41810</v>
      </c>
      <c r="AA507" s="9">
        <f t="shared" si="60"/>
        <v>19782.16</v>
      </c>
      <c r="AB507" s="12">
        <v>58.85</v>
      </c>
      <c r="AC507" s="9">
        <f t="shared" si="58"/>
        <v>1168761</v>
      </c>
      <c r="AD507" s="9">
        <f t="shared" si="59"/>
        <v>1164180.1159999999</v>
      </c>
      <c r="AE507" s="1" t="s">
        <v>48</v>
      </c>
      <c r="AF507" s="1" t="s">
        <v>53</v>
      </c>
      <c r="AG507" s="4">
        <f t="shared" si="55"/>
        <v>19860</v>
      </c>
      <c r="AH507" s="10">
        <v>19826.88</v>
      </c>
      <c r="AI507" s="10">
        <v>70</v>
      </c>
      <c r="AJ507" s="10">
        <v>2.84</v>
      </c>
      <c r="AK507" s="10">
        <v>0</v>
      </c>
      <c r="AL507" s="9">
        <f t="shared" si="56"/>
        <v>19754.04</v>
      </c>
      <c r="AM507" s="1"/>
      <c r="AN507" s="1"/>
      <c r="AO507" s="12" t="e">
        <f>AB507/#REF!</f>
        <v>#REF!</v>
      </c>
      <c r="AP507" s="1" t="s">
        <v>1928</v>
      </c>
      <c r="AQ507" s="11">
        <v>41888</v>
      </c>
      <c r="AR507" s="1" t="s">
        <v>1929</v>
      </c>
      <c r="AS507" s="11">
        <v>41890</v>
      </c>
      <c r="AT507" s="1" t="s">
        <v>49</v>
      </c>
      <c r="AU507" s="1" t="s">
        <v>4171</v>
      </c>
    </row>
    <row r="508" spans="1:47" ht="15" customHeight="1" x14ac:dyDescent="0.25">
      <c r="A508" s="1">
        <v>507</v>
      </c>
      <c r="B508" s="1" t="s">
        <v>1258</v>
      </c>
      <c r="C508" s="1" t="s">
        <v>38</v>
      </c>
      <c r="D508" s="1">
        <v>9103550344</v>
      </c>
      <c r="E508" s="5">
        <v>41814</v>
      </c>
      <c r="F508" s="1" t="s">
        <v>478</v>
      </c>
      <c r="G508" s="1" t="s">
        <v>40</v>
      </c>
      <c r="H508" s="1" t="s">
        <v>41</v>
      </c>
      <c r="I508" s="1" t="s">
        <v>2809</v>
      </c>
      <c r="J508" s="1" t="s">
        <v>50</v>
      </c>
      <c r="K508" s="1">
        <v>29051700</v>
      </c>
      <c r="L508" s="6">
        <v>15</v>
      </c>
      <c r="M508" s="1" t="s">
        <v>70</v>
      </c>
      <c r="N508" s="7" t="s">
        <v>52</v>
      </c>
      <c r="O508" s="1" t="s">
        <v>53</v>
      </c>
      <c r="P508" s="8">
        <v>1810</v>
      </c>
      <c r="Q508" s="17">
        <f t="shared" si="57"/>
        <v>27150</v>
      </c>
      <c r="R508" s="9">
        <v>950</v>
      </c>
      <c r="S508" s="9">
        <v>0</v>
      </c>
      <c r="T508" s="9">
        <v>0</v>
      </c>
      <c r="U508" s="10">
        <v>0</v>
      </c>
      <c r="V508" s="1" t="s">
        <v>46</v>
      </c>
      <c r="W508" s="1" t="s">
        <v>2657</v>
      </c>
      <c r="X508" s="1">
        <v>3390409</v>
      </c>
      <c r="Y508" s="11">
        <v>41809</v>
      </c>
      <c r="Z508" s="11">
        <v>41810</v>
      </c>
      <c r="AA508" s="9">
        <f t="shared" si="60"/>
        <v>26200</v>
      </c>
      <c r="AB508" s="12">
        <v>58.85</v>
      </c>
      <c r="AC508" s="9">
        <f t="shared" si="58"/>
        <v>1597777.5</v>
      </c>
      <c r="AD508" s="9">
        <f t="shared" si="59"/>
        <v>1541870</v>
      </c>
      <c r="AE508" s="1" t="s">
        <v>51</v>
      </c>
      <c r="AF508" s="1" t="s">
        <v>53</v>
      </c>
      <c r="AG508" s="4">
        <f t="shared" si="55"/>
        <v>27150</v>
      </c>
      <c r="AH508" s="10">
        <v>26977</v>
      </c>
      <c r="AI508" s="10">
        <v>940</v>
      </c>
      <c r="AJ508" s="10">
        <v>0</v>
      </c>
      <c r="AK508" s="10">
        <v>0</v>
      </c>
      <c r="AL508" s="9">
        <f t="shared" si="56"/>
        <v>26037</v>
      </c>
      <c r="AM508" s="1"/>
      <c r="AN508" s="1"/>
      <c r="AO508" s="12" t="e">
        <f>AB508/#REF!</f>
        <v>#REF!</v>
      </c>
      <c r="AP508" s="1"/>
      <c r="AQ508" s="11">
        <v>41879</v>
      </c>
      <c r="AR508" s="1" t="s">
        <v>3333</v>
      </c>
      <c r="AS508" s="11">
        <v>42107</v>
      </c>
      <c r="AT508" s="1" t="s">
        <v>49</v>
      </c>
      <c r="AU508" s="1" t="s">
        <v>4171</v>
      </c>
    </row>
    <row r="509" spans="1:47" ht="15" customHeight="1" x14ac:dyDescent="0.25">
      <c r="A509" s="1">
        <v>508</v>
      </c>
      <c r="B509" s="1" t="s">
        <v>1258</v>
      </c>
      <c r="C509" s="1" t="s">
        <v>38</v>
      </c>
      <c r="D509" s="1">
        <v>9103550345</v>
      </c>
      <c r="E509" s="5">
        <v>41809</v>
      </c>
      <c r="F509" s="1" t="s">
        <v>469</v>
      </c>
      <c r="G509" s="1" t="s">
        <v>40</v>
      </c>
      <c r="H509" s="1" t="s">
        <v>41</v>
      </c>
      <c r="I509" s="1" t="s">
        <v>2809</v>
      </c>
      <c r="J509" s="1" t="s">
        <v>2660</v>
      </c>
      <c r="K509" s="1">
        <v>29051700</v>
      </c>
      <c r="L509" s="6">
        <v>6</v>
      </c>
      <c r="M509" s="1" t="s">
        <v>70</v>
      </c>
      <c r="N509" s="7" t="s">
        <v>52</v>
      </c>
      <c r="O509" s="1" t="s">
        <v>53</v>
      </c>
      <c r="P509" s="8">
        <v>1650</v>
      </c>
      <c r="Q509" s="17">
        <f t="shared" si="57"/>
        <v>9900</v>
      </c>
      <c r="R509" s="9">
        <v>87.27</v>
      </c>
      <c r="S509" s="9">
        <v>0</v>
      </c>
      <c r="T509" s="9">
        <v>0</v>
      </c>
      <c r="U509" s="10">
        <v>0</v>
      </c>
      <c r="V509" s="1" t="s">
        <v>46</v>
      </c>
      <c r="W509" s="1" t="s">
        <v>75</v>
      </c>
      <c r="X509" s="1">
        <v>3391261</v>
      </c>
      <c r="Y509" s="11">
        <v>41809</v>
      </c>
      <c r="Z509" s="11">
        <v>41810</v>
      </c>
      <c r="AA509" s="9">
        <f t="shared" si="60"/>
        <v>9812.73</v>
      </c>
      <c r="AB509" s="12">
        <v>58.85</v>
      </c>
      <c r="AC509" s="9">
        <f t="shared" si="58"/>
        <v>582615</v>
      </c>
      <c r="AD509" s="9">
        <f t="shared" si="59"/>
        <v>577479.1605</v>
      </c>
      <c r="AE509" s="1" t="s">
        <v>48</v>
      </c>
      <c r="AF509" s="1" t="s">
        <v>53</v>
      </c>
      <c r="AG509" s="4">
        <f t="shared" si="55"/>
        <v>9900</v>
      </c>
      <c r="AH509" s="10">
        <v>9900</v>
      </c>
      <c r="AI509" s="9">
        <v>100.27</v>
      </c>
      <c r="AJ509" s="10">
        <v>0</v>
      </c>
      <c r="AK509" s="10">
        <v>0</v>
      </c>
      <c r="AL509" s="9">
        <f t="shared" si="56"/>
        <v>9799.73</v>
      </c>
      <c r="AM509" s="1"/>
      <c r="AN509" s="1"/>
      <c r="AO509" s="12" t="e">
        <f>AB509/#REF!</f>
        <v>#REF!</v>
      </c>
      <c r="AP509" s="1" t="s">
        <v>1930</v>
      </c>
      <c r="AQ509" s="11">
        <v>41848</v>
      </c>
      <c r="AR509" s="1" t="s">
        <v>1931</v>
      </c>
      <c r="AS509" s="11">
        <v>41850</v>
      </c>
      <c r="AT509" s="1" t="s">
        <v>49</v>
      </c>
      <c r="AU509" s="1" t="s">
        <v>4171</v>
      </c>
    </row>
    <row r="510" spans="1:47" ht="15" customHeight="1" x14ac:dyDescent="0.25">
      <c r="A510" s="1">
        <v>509</v>
      </c>
      <c r="B510" s="1" t="s">
        <v>1258</v>
      </c>
      <c r="C510" s="1" t="s">
        <v>38</v>
      </c>
      <c r="D510" s="1">
        <v>9103550345</v>
      </c>
      <c r="E510" s="5">
        <v>41809</v>
      </c>
      <c r="F510" s="1" t="s">
        <v>469</v>
      </c>
      <c r="G510" s="1" t="s">
        <v>40</v>
      </c>
      <c r="H510" s="1" t="s">
        <v>41</v>
      </c>
      <c r="I510" s="1" t="s">
        <v>2809</v>
      </c>
      <c r="J510" s="1" t="s">
        <v>2660</v>
      </c>
      <c r="K510" s="1">
        <v>29051700</v>
      </c>
      <c r="L510" s="6">
        <v>5</v>
      </c>
      <c r="M510" s="1" t="s">
        <v>70</v>
      </c>
      <c r="N510" s="7" t="s">
        <v>52</v>
      </c>
      <c r="O510" s="1" t="s">
        <v>53</v>
      </c>
      <c r="P510" s="8">
        <v>1650</v>
      </c>
      <c r="Q510" s="17">
        <f t="shared" si="57"/>
        <v>8250</v>
      </c>
      <c r="R510" s="9">
        <v>72.73</v>
      </c>
      <c r="S510" s="9">
        <v>0</v>
      </c>
      <c r="T510" s="9">
        <v>0</v>
      </c>
      <c r="U510" s="10">
        <v>0</v>
      </c>
      <c r="V510" s="1" t="s">
        <v>46</v>
      </c>
      <c r="W510" s="1" t="s">
        <v>75</v>
      </c>
      <c r="X510" s="1">
        <v>3391261</v>
      </c>
      <c r="Y510" s="11">
        <v>41809</v>
      </c>
      <c r="Z510" s="11">
        <v>41810</v>
      </c>
      <c r="AA510" s="9">
        <f t="shared" si="60"/>
        <v>8177.27</v>
      </c>
      <c r="AB510" s="12">
        <v>58.85</v>
      </c>
      <c r="AC510" s="9">
        <f t="shared" si="58"/>
        <v>485512.5</v>
      </c>
      <c r="AD510" s="9">
        <f t="shared" si="59"/>
        <v>481232.33950000006</v>
      </c>
      <c r="AE510" s="1" t="s">
        <v>48</v>
      </c>
      <c r="AF510" s="1" t="s">
        <v>53</v>
      </c>
      <c r="AG510" s="4">
        <f t="shared" si="55"/>
        <v>8250</v>
      </c>
      <c r="AH510" s="10">
        <v>8250</v>
      </c>
      <c r="AI510" s="9">
        <f>190-AI509</f>
        <v>89.73</v>
      </c>
      <c r="AJ510" s="10">
        <v>0</v>
      </c>
      <c r="AK510" s="10">
        <v>0</v>
      </c>
      <c r="AL510" s="9">
        <f t="shared" si="56"/>
        <v>8160.27</v>
      </c>
      <c r="AM510" s="1"/>
      <c r="AN510" s="1"/>
      <c r="AO510" s="12" t="e">
        <f>AB510/#REF!</f>
        <v>#REF!</v>
      </c>
      <c r="AP510" s="1" t="s">
        <v>1930</v>
      </c>
      <c r="AQ510" s="11">
        <v>41848</v>
      </c>
      <c r="AR510" s="1" t="s">
        <v>1931</v>
      </c>
      <c r="AS510" s="11">
        <v>41850</v>
      </c>
      <c r="AT510" s="1" t="s">
        <v>49</v>
      </c>
      <c r="AU510" s="1" t="s">
        <v>4171</v>
      </c>
    </row>
    <row r="511" spans="1:47" ht="15" customHeight="1" x14ac:dyDescent="0.25">
      <c r="A511" s="1">
        <v>510</v>
      </c>
      <c r="B511" s="1" t="s">
        <v>1258</v>
      </c>
      <c r="C511" s="1" t="s">
        <v>38</v>
      </c>
      <c r="D511" s="73">
        <v>9103550346</v>
      </c>
      <c r="E511" s="5">
        <v>41813</v>
      </c>
      <c r="F511" s="1" t="s">
        <v>473</v>
      </c>
      <c r="G511" s="1" t="s">
        <v>40</v>
      </c>
      <c r="H511" s="1" t="s">
        <v>41</v>
      </c>
      <c r="I511" s="1" t="s">
        <v>2809</v>
      </c>
      <c r="J511" s="1" t="s">
        <v>2708</v>
      </c>
      <c r="K511" s="1">
        <v>29161990</v>
      </c>
      <c r="L511" s="6">
        <v>32</v>
      </c>
      <c r="M511" s="1" t="s">
        <v>70</v>
      </c>
      <c r="N511" s="7" t="s">
        <v>44</v>
      </c>
      <c r="O511" s="1" t="s">
        <v>53</v>
      </c>
      <c r="P511" s="8">
        <v>2905</v>
      </c>
      <c r="Q511" s="17">
        <f t="shared" si="57"/>
        <v>92960</v>
      </c>
      <c r="R511" s="9">
        <v>150</v>
      </c>
      <c r="S511" s="9">
        <v>13.29</v>
      </c>
      <c r="T511" s="9">
        <v>0</v>
      </c>
      <c r="U511" s="10">
        <v>0</v>
      </c>
      <c r="V511" s="1" t="s">
        <v>46</v>
      </c>
      <c r="W511" s="1" t="s">
        <v>54</v>
      </c>
      <c r="X511" s="1">
        <v>3393399</v>
      </c>
      <c r="Y511" s="11">
        <v>41809</v>
      </c>
      <c r="Z511" s="11">
        <v>41810</v>
      </c>
      <c r="AA511" s="9">
        <f t="shared" si="60"/>
        <v>92796.71</v>
      </c>
      <c r="AB511" s="12">
        <v>58.85</v>
      </c>
      <c r="AC511" s="9">
        <f t="shared" si="58"/>
        <v>5470696</v>
      </c>
      <c r="AD511" s="9">
        <f t="shared" si="59"/>
        <v>5461086.3835000005</v>
      </c>
      <c r="AE511" s="1" t="s">
        <v>48</v>
      </c>
      <c r="AF511" s="1" t="s">
        <v>53</v>
      </c>
      <c r="AG511" s="4">
        <f t="shared" si="55"/>
        <v>92960</v>
      </c>
      <c r="AH511" s="10">
        <v>92849</v>
      </c>
      <c r="AI511" s="10">
        <v>90</v>
      </c>
      <c r="AJ511" s="10">
        <v>13.29</v>
      </c>
      <c r="AK511" s="10">
        <v>0</v>
      </c>
      <c r="AL511" s="9">
        <f t="shared" si="56"/>
        <v>92745.71</v>
      </c>
      <c r="AM511" s="1"/>
      <c r="AN511" s="1"/>
      <c r="AO511" s="12" t="e">
        <f>AB511/#REF!</f>
        <v>#REF!</v>
      </c>
      <c r="AP511" s="1" t="s">
        <v>1932</v>
      </c>
      <c r="AQ511" s="11">
        <v>41829</v>
      </c>
      <c r="AR511" s="1" t="s">
        <v>1933</v>
      </c>
      <c r="AS511" s="11">
        <v>41830</v>
      </c>
      <c r="AT511" s="1" t="s">
        <v>49</v>
      </c>
      <c r="AU511" s="1" t="s">
        <v>4171</v>
      </c>
    </row>
    <row r="512" spans="1:47" ht="15" customHeight="1" x14ac:dyDescent="0.25">
      <c r="A512" s="1">
        <v>511</v>
      </c>
      <c r="B512" s="1" t="s">
        <v>1258</v>
      </c>
      <c r="C512" s="1" t="s">
        <v>38</v>
      </c>
      <c r="D512" s="1">
        <v>9103550347</v>
      </c>
      <c r="E512" s="5">
        <v>41816</v>
      </c>
      <c r="F512" s="1" t="s">
        <v>474</v>
      </c>
      <c r="G512" s="1" t="s">
        <v>40</v>
      </c>
      <c r="H512" s="1" t="s">
        <v>41</v>
      </c>
      <c r="I512" s="1" t="s">
        <v>2809</v>
      </c>
      <c r="J512" s="1" t="s">
        <v>63</v>
      </c>
      <c r="K512" s="1">
        <v>29161990</v>
      </c>
      <c r="L512" s="6">
        <v>39.22</v>
      </c>
      <c r="M512" s="1" t="s">
        <v>70</v>
      </c>
      <c r="N512" s="7" t="s">
        <v>44</v>
      </c>
      <c r="O512" s="1" t="s">
        <v>53</v>
      </c>
      <c r="P512" s="8">
        <v>2570</v>
      </c>
      <c r="Q512" s="17">
        <f t="shared" si="57"/>
        <v>100795.4</v>
      </c>
      <c r="R512" s="9">
        <v>900</v>
      </c>
      <c r="S512" s="9">
        <v>14.41</v>
      </c>
      <c r="T512" s="9">
        <v>0</v>
      </c>
      <c r="U512" s="10">
        <v>0</v>
      </c>
      <c r="V512" s="1" t="s">
        <v>46</v>
      </c>
      <c r="W512" s="1" t="s">
        <v>64</v>
      </c>
      <c r="X512" s="1">
        <v>3393579</v>
      </c>
      <c r="Y512" s="11">
        <v>41809</v>
      </c>
      <c r="Z512" s="11">
        <v>41810</v>
      </c>
      <c r="AA512" s="9">
        <f t="shared" si="60"/>
        <v>99880.989999999991</v>
      </c>
      <c r="AB512" s="12">
        <v>58.85</v>
      </c>
      <c r="AC512" s="9">
        <f t="shared" si="58"/>
        <v>5931809.29</v>
      </c>
      <c r="AD512" s="9">
        <f t="shared" si="59"/>
        <v>5877996.2615</v>
      </c>
      <c r="AE512" s="1" t="s">
        <v>51</v>
      </c>
      <c r="AF512" s="1" t="s">
        <v>53</v>
      </c>
      <c r="AG512" s="4">
        <f t="shared" si="55"/>
        <v>100795.4</v>
      </c>
      <c r="AH512" s="10">
        <v>100782</v>
      </c>
      <c r="AI512" s="10">
        <v>800</v>
      </c>
      <c r="AJ512" s="10">
        <v>14.41</v>
      </c>
      <c r="AK512" s="10">
        <v>0</v>
      </c>
      <c r="AL512" s="9">
        <f t="shared" si="56"/>
        <v>99967.59</v>
      </c>
      <c r="AM512" s="1"/>
      <c r="AN512" s="1"/>
      <c r="AO512" s="12" t="e">
        <f>AB512/#REF!</f>
        <v>#REF!</v>
      </c>
      <c r="AP512" s="1" t="s">
        <v>1934</v>
      </c>
      <c r="AQ512" s="11">
        <v>41835</v>
      </c>
      <c r="AR512" s="1" t="s">
        <v>1935</v>
      </c>
      <c r="AS512" s="11">
        <v>41867</v>
      </c>
      <c r="AT512" s="1" t="s">
        <v>49</v>
      </c>
      <c r="AU512" s="1" t="s">
        <v>4171</v>
      </c>
    </row>
    <row r="513" spans="1:47" ht="15" customHeight="1" x14ac:dyDescent="0.25">
      <c r="A513" s="1">
        <v>512</v>
      </c>
      <c r="B513" s="1" t="s">
        <v>1258</v>
      </c>
      <c r="C513" s="1" t="s">
        <v>38</v>
      </c>
      <c r="D513" s="1" t="s">
        <v>1936</v>
      </c>
      <c r="E513" s="5">
        <v>41816</v>
      </c>
      <c r="F513" s="1" t="s">
        <v>475</v>
      </c>
      <c r="G513" s="1" t="s">
        <v>40</v>
      </c>
      <c r="H513" s="1" t="s">
        <v>41</v>
      </c>
      <c r="I513" s="1" t="s">
        <v>2809</v>
      </c>
      <c r="J513" s="1" t="s">
        <v>63</v>
      </c>
      <c r="K513" s="1">
        <v>38231200</v>
      </c>
      <c r="L513" s="6">
        <v>39.44</v>
      </c>
      <c r="M513" s="1" t="s">
        <v>70</v>
      </c>
      <c r="N513" s="7" t="s">
        <v>44</v>
      </c>
      <c r="O513" s="1" t="s">
        <v>53</v>
      </c>
      <c r="P513" s="8">
        <v>1330</v>
      </c>
      <c r="Q513" s="17">
        <f t="shared" si="57"/>
        <v>52455.199999999997</v>
      </c>
      <c r="R513" s="9">
        <v>900</v>
      </c>
      <c r="S513" s="9">
        <v>7.5</v>
      </c>
      <c r="T513" s="9">
        <v>0</v>
      </c>
      <c r="U513" s="10">
        <v>0</v>
      </c>
      <c r="V513" s="1" t="s">
        <v>46</v>
      </c>
      <c r="W513" s="1" t="s">
        <v>64</v>
      </c>
      <c r="X513" s="1">
        <v>3393689</v>
      </c>
      <c r="Y513" s="11">
        <v>41809</v>
      </c>
      <c r="Z513" s="11">
        <v>41810</v>
      </c>
      <c r="AA513" s="9">
        <f t="shared" si="60"/>
        <v>51547.7</v>
      </c>
      <c r="AB513" s="12">
        <v>58.85</v>
      </c>
      <c r="AC513" s="9">
        <f t="shared" si="58"/>
        <v>3086988.52</v>
      </c>
      <c r="AD513" s="9">
        <f t="shared" si="59"/>
        <v>3033582.145</v>
      </c>
      <c r="AE513" s="1" t="s">
        <v>51</v>
      </c>
      <c r="AF513" s="1" t="s">
        <v>53</v>
      </c>
      <c r="AG513" s="4">
        <f t="shared" si="55"/>
        <v>52455.199999999997</v>
      </c>
      <c r="AH513" s="10">
        <v>52455</v>
      </c>
      <c r="AI513" s="10">
        <v>900</v>
      </c>
      <c r="AJ513" s="10">
        <v>7.5</v>
      </c>
      <c r="AK513" s="10">
        <v>0</v>
      </c>
      <c r="AL513" s="9">
        <f t="shared" si="56"/>
        <v>51547.5</v>
      </c>
      <c r="AM513" s="1"/>
      <c r="AN513" s="1"/>
      <c r="AO513" s="12" t="e">
        <f>AB513/#REF!</f>
        <v>#REF!</v>
      </c>
      <c r="AP513" s="1" t="s">
        <v>1937</v>
      </c>
      <c r="AQ513" s="11">
        <v>41850</v>
      </c>
      <c r="AR513" s="1" t="s">
        <v>1938</v>
      </c>
      <c r="AS513" s="11">
        <v>41867</v>
      </c>
      <c r="AT513" s="1" t="s">
        <v>49</v>
      </c>
      <c r="AU513" s="1" t="s">
        <v>4171</v>
      </c>
    </row>
    <row r="514" spans="1:47" ht="15" customHeight="1" x14ac:dyDescent="0.25">
      <c r="A514" s="1">
        <v>513</v>
      </c>
      <c r="B514" s="1" t="s">
        <v>1258</v>
      </c>
      <c r="C514" s="1" t="s">
        <v>38</v>
      </c>
      <c r="D514" s="1" t="s">
        <v>1936</v>
      </c>
      <c r="E514" s="5">
        <v>41816</v>
      </c>
      <c r="F514" s="1" t="s">
        <v>479</v>
      </c>
      <c r="G514" s="1" t="s">
        <v>40</v>
      </c>
      <c r="H514" s="1" t="s">
        <v>41</v>
      </c>
      <c r="I514" s="1" t="s">
        <v>2809</v>
      </c>
      <c r="J514" s="1" t="s">
        <v>63</v>
      </c>
      <c r="K514" s="1">
        <v>38231200</v>
      </c>
      <c r="L514" s="6">
        <v>19.690000000000001</v>
      </c>
      <c r="M514" s="1" t="s">
        <v>70</v>
      </c>
      <c r="N514" s="7" t="s">
        <v>44</v>
      </c>
      <c r="O514" s="1" t="s">
        <v>53</v>
      </c>
      <c r="P514" s="8">
        <v>1330</v>
      </c>
      <c r="Q514" s="17">
        <f t="shared" si="57"/>
        <v>26187.7</v>
      </c>
      <c r="R514" s="9">
        <v>450</v>
      </c>
      <c r="S514" s="9">
        <v>3.74</v>
      </c>
      <c r="T514" s="9">
        <v>0</v>
      </c>
      <c r="U514" s="10">
        <v>0</v>
      </c>
      <c r="V514" s="1" t="s">
        <v>46</v>
      </c>
      <c r="W514" s="1" t="s">
        <v>64</v>
      </c>
      <c r="X514" s="1">
        <v>3404974</v>
      </c>
      <c r="Y514" s="11">
        <v>41810</v>
      </c>
      <c r="Z514" s="11">
        <v>41811</v>
      </c>
      <c r="AA514" s="9">
        <f t="shared" si="60"/>
        <v>25733.96</v>
      </c>
      <c r="AB514" s="12">
        <v>59.45</v>
      </c>
      <c r="AC514" s="9">
        <f t="shared" si="58"/>
        <v>1556858.7650000001</v>
      </c>
      <c r="AD514" s="9">
        <f t="shared" si="59"/>
        <v>1529883.922</v>
      </c>
      <c r="AE514" s="1" t="s">
        <v>51</v>
      </c>
      <c r="AF514" s="1" t="s">
        <v>53</v>
      </c>
      <c r="AG514" s="4">
        <f t="shared" ref="AG514:AG577" si="61">Q514</f>
        <v>26187.7</v>
      </c>
      <c r="AH514" s="10">
        <v>26188</v>
      </c>
      <c r="AI514" s="10">
        <v>450</v>
      </c>
      <c r="AJ514" s="10">
        <v>3.74</v>
      </c>
      <c r="AK514" s="10">
        <v>0</v>
      </c>
      <c r="AL514" s="9">
        <f t="shared" ref="AL514:AL577" si="62">AH514-(AI514+AJ514+AK514)</f>
        <v>25734.26</v>
      </c>
      <c r="AM514" s="1"/>
      <c r="AN514" s="1"/>
      <c r="AO514" s="12" t="e">
        <f>AB514/#REF!</f>
        <v>#REF!</v>
      </c>
      <c r="AP514" s="1" t="s">
        <v>1937</v>
      </c>
      <c r="AQ514" s="11">
        <v>41850</v>
      </c>
      <c r="AR514" s="1" t="s">
        <v>1939</v>
      </c>
      <c r="AS514" s="11">
        <v>41867</v>
      </c>
      <c r="AT514" s="1" t="s">
        <v>49</v>
      </c>
      <c r="AU514" s="1" t="s">
        <v>4171</v>
      </c>
    </row>
    <row r="515" spans="1:47" ht="15" customHeight="1" x14ac:dyDescent="0.25">
      <c r="A515" s="1">
        <v>514</v>
      </c>
      <c r="B515" s="1" t="s">
        <v>1258</v>
      </c>
      <c r="C515" s="1" t="s">
        <v>38</v>
      </c>
      <c r="D515" s="1">
        <v>9103550350</v>
      </c>
      <c r="E515" s="5">
        <v>41816</v>
      </c>
      <c r="F515" s="1" t="s">
        <v>480</v>
      </c>
      <c r="G515" s="1" t="s">
        <v>40</v>
      </c>
      <c r="H515" s="1" t="s">
        <v>41</v>
      </c>
      <c r="I515" s="1" t="s">
        <v>2809</v>
      </c>
      <c r="J515" s="1" t="s">
        <v>63</v>
      </c>
      <c r="K515" s="1">
        <v>29161990</v>
      </c>
      <c r="L515" s="6">
        <v>39.07</v>
      </c>
      <c r="M515" s="1" t="s">
        <v>70</v>
      </c>
      <c r="N515" s="7" t="s">
        <v>44</v>
      </c>
      <c r="O515" s="1" t="s">
        <v>53</v>
      </c>
      <c r="P515" s="8">
        <v>2570</v>
      </c>
      <c r="Q515" s="17">
        <f t="shared" si="57"/>
        <v>100409.9</v>
      </c>
      <c r="R515" s="9">
        <v>900</v>
      </c>
      <c r="S515" s="9">
        <v>14.36</v>
      </c>
      <c r="T515" s="9">
        <v>0</v>
      </c>
      <c r="U515" s="10">
        <v>0</v>
      </c>
      <c r="V515" s="1" t="s">
        <v>46</v>
      </c>
      <c r="W515" s="1" t="s">
        <v>64</v>
      </c>
      <c r="X515" s="1">
        <v>3404991</v>
      </c>
      <c r="Y515" s="11">
        <v>41810</v>
      </c>
      <c r="Z515" s="11">
        <v>41811</v>
      </c>
      <c r="AA515" s="9">
        <f t="shared" si="60"/>
        <v>99495.54</v>
      </c>
      <c r="AB515" s="12">
        <v>59.45</v>
      </c>
      <c r="AC515" s="9">
        <f t="shared" si="58"/>
        <v>5969368.5549999997</v>
      </c>
      <c r="AD515" s="9">
        <f t="shared" si="59"/>
        <v>5915009.8530000001</v>
      </c>
      <c r="AE515" s="1" t="s">
        <v>51</v>
      </c>
      <c r="AF515" s="1" t="s">
        <v>53</v>
      </c>
      <c r="AG515" s="4">
        <f t="shared" si="61"/>
        <v>100409.9</v>
      </c>
      <c r="AH515" s="10">
        <v>100410</v>
      </c>
      <c r="AI515" s="10">
        <v>800</v>
      </c>
      <c r="AJ515" s="10">
        <v>14.36</v>
      </c>
      <c r="AK515" s="10">
        <v>0</v>
      </c>
      <c r="AL515" s="9">
        <f t="shared" si="62"/>
        <v>99595.64</v>
      </c>
      <c r="AM515" s="1"/>
      <c r="AN515" s="1"/>
      <c r="AO515" s="12" t="e">
        <f>AB515/#REF!</f>
        <v>#REF!</v>
      </c>
      <c r="AP515" s="1" t="s">
        <v>1940</v>
      </c>
      <c r="AQ515" s="11">
        <v>41835</v>
      </c>
      <c r="AR515" s="1" t="s">
        <v>1941</v>
      </c>
      <c r="AS515" s="11">
        <v>41867</v>
      </c>
      <c r="AT515" s="1" t="s">
        <v>49</v>
      </c>
      <c r="AU515" s="1" t="s">
        <v>4171</v>
      </c>
    </row>
    <row r="516" spans="1:47" ht="15" customHeight="1" x14ac:dyDescent="0.25">
      <c r="A516" s="1">
        <v>515</v>
      </c>
      <c r="B516" s="1" t="s">
        <v>1258</v>
      </c>
      <c r="C516" s="1" t="s">
        <v>38</v>
      </c>
      <c r="D516" s="1">
        <v>9103550351</v>
      </c>
      <c r="E516" s="5">
        <v>41821</v>
      </c>
      <c r="F516" s="1" t="s">
        <v>482</v>
      </c>
      <c r="G516" s="1" t="s">
        <v>40</v>
      </c>
      <c r="H516" s="1" t="s">
        <v>41</v>
      </c>
      <c r="I516" s="1" t="s">
        <v>2809</v>
      </c>
      <c r="J516" s="1" t="s">
        <v>55</v>
      </c>
      <c r="K516" s="1">
        <v>38237090</v>
      </c>
      <c r="L516" s="6">
        <v>18</v>
      </c>
      <c r="M516" s="1" t="s">
        <v>70</v>
      </c>
      <c r="N516" s="7" t="s">
        <v>44</v>
      </c>
      <c r="O516" s="1" t="s">
        <v>53</v>
      </c>
      <c r="P516" s="8">
        <v>1807</v>
      </c>
      <c r="Q516" s="17">
        <f t="shared" si="57"/>
        <v>32526</v>
      </c>
      <c r="R516" s="9">
        <v>2450</v>
      </c>
      <c r="S516" s="9">
        <v>4.6500000000000004</v>
      </c>
      <c r="T516" s="9">
        <v>0</v>
      </c>
      <c r="U516" s="10">
        <v>0</v>
      </c>
      <c r="V516" s="1" t="s">
        <v>46</v>
      </c>
      <c r="W516" s="1" t="s">
        <v>56</v>
      </c>
      <c r="X516" s="1">
        <v>3411894</v>
      </c>
      <c r="Y516" s="11">
        <v>41810</v>
      </c>
      <c r="Z516" s="11">
        <v>41811</v>
      </c>
      <c r="AA516" s="9">
        <f t="shared" si="60"/>
        <v>30071.35</v>
      </c>
      <c r="AB516" s="12">
        <v>59.45</v>
      </c>
      <c r="AC516" s="9">
        <f t="shared" si="58"/>
        <v>1933670.7000000002</v>
      </c>
      <c r="AD516" s="9">
        <f t="shared" si="59"/>
        <v>1787741.7575000001</v>
      </c>
      <c r="AE516" s="1" t="s">
        <v>51</v>
      </c>
      <c r="AF516" s="1" t="s">
        <v>53</v>
      </c>
      <c r="AG516" s="4">
        <f t="shared" si="61"/>
        <v>32526</v>
      </c>
      <c r="AH516" s="10">
        <v>32491</v>
      </c>
      <c r="AI516" s="10">
        <v>2365</v>
      </c>
      <c r="AJ516" s="10">
        <v>4.6500000000000004</v>
      </c>
      <c r="AK516" s="10">
        <v>0</v>
      </c>
      <c r="AL516" s="9">
        <f t="shared" si="62"/>
        <v>30121.35</v>
      </c>
      <c r="AM516" s="1"/>
      <c r="AN516" s="1"/>
      <c r="AO516" s="12" t="e">
        <f>AB516/#REF!</f>
        <v>#REF!</v>
      </c>
      <c r="AP516" s="1" t="s">
        <v>1942</v>
      </c>
      <c r="AQ516" s="11">
        <v>41893</v>
      </c>
      <c r="AR516" s="1" t="s">
        <v>1943</v>
      </c>
      <c r="AS516" s="11">
        <v>41905</v>
      </c>
      <c r="AT516" s="1" t="s">
        <v>49</v>
      </c>
      <c r="AU516" s="1" t="s">
        <v>4171</v>
      </c>
    </row>
    <row r="517" spans="1:47" ht="15" customHeight="1" x14ac:dyDescent="0.25">
      <c r="A517" s="1">
        <v>516</v>
      </c>
      <c r="B517" s="1" t="s">
        <v>1258</v>
      </c>
      <c r="C517" s="1" t="s">
        <v>38</v>
      </c>
      <c r="D517" s="1" t="s">
        <v>1944</v>
      </c>
      <c r="E517" s="5">
        <v>41815</v>
      </c>
      <c r="F517" s="1" t="s">
        <v>467</v>
      </c>
      <c r="G517" s="1" t="s">
        <v>40</v>
      </c>
      <c r="H517" s="1" t="s">
        <v>41</v>
      </c>
      <c r="I517" s="1" t="s">
        <v>2809</v>
      </c>
      <c r="J517" s="1" t="s">
        <v>2806</v>
      </c>
      <c r="K517" s="1">
        <v>29157010</v>
      </c>
      <c r="L517" s="6">
        <v>75</v>
      </c>
      <c r="M517" s="1" t="s">
        <v>70</v>
      </c>
      <c r="N517" s="7" t="s">
        <v>67</v>
      </c>
      <c r="O517" s="1" t="s">
        <v>53</v>
      </c>
      <c r="P517" s="8">
        <v>1180</v>
      </c>
      <c r="Q517" s="17">
        <f t="shared" si="57"/>
        <v>88500</v>
      </c>
      <c r="R517" s="9">
        <v>0</v>
      </c>
      <c r="S517" s="9">
        <v>0</v>
      </c>
      <c r="T517" s="9">
        <v>0</v>
      </c>
      <c r="U517" s="10">
        <v>0</v>
      </c>
      <c r="V517" s="1" t="s">
        <v>46</v>
      </c>
      <c r="W517" s="1" t="s">
        <v>492</v>
      </c>
      <c r="X517" s="1">
        <v>3388412</v>
      </c>
      <c r="Y517" s="11">
        <v>41809</v>
      </c>
      <c r="Z517" s="11">
        <v>41810</v>
      </c>
      <c r="AA517" s="9">
        <f t="shared" si="60"/>
        <v>88500</v>
      </c>
      <c r="AB517" s="12">
        <v>58.85</v>
      </c>
      <c r="AC517" s="9">
        <f t="shared" si="58"/>
        <v>5208225</v>
      </c>
      <c r="AD517" s="9">
        <f t="shared" si="59"/>
        <v>5208225</v>
      </c>
      <c r="AE517" s="1" t="s">
        <v>48</v>
      </c>
      <c r="AF517" s="1" t="s">
        <v>53</v>
      </c>
      <c r="AG517" s="4">
        <f t="shared" si="61"/>
        <v>88500</v>
      </c>
      <c r="AH517" s="10">
        <v>88500</v>
      </c>
      <c r="AI517" s="9">
        <v>0</v>
      </c>
      <c r="AJ517" s="9">
        <v>0</v>
      </c>
      <c r="AK517" s="9">
        <v>0</v>
      </c>
      <c r="AL517" s="9">
        <f t="shared" si="62"/>
        <v>88500</v>
      </c>
      <c r="AM517" s="1"/>
      <c r="AN517" s="1"/>
      <c r="AO517" s="12" t="e">
        <f>AB517/#REF!</f>
        <v>#REF!</v>
      </c>
      <c r="AP517" s="1" t="s">
        <v>1945</v>
      </c>
      <c r="AQ517" s="11">
        <v>41857</v>
      </c>
      <c r="AR517" s="1" t="s">
        <v>1946</v>
      </c>
      <c r="AS517" s="11">
        <v>41858</v>
      </c>
      <c r="AT517" s="1" t="s">
        <v>49</v>
      </c>
      <c r="AU517" s="1" t="s">
        <v>4171</v>
      </c>
    </row>
    <row r="518" spans="1:47" ht="15" customHeight="1" x14ac:dyDescent="0.25">
      <c r="A518" s="1">
        <v>517</v>
      </c>
      <c r="B518" s="1" t="s">
        <v>1258</v>
      </c>
      <c r="C518" s="1" t="s">
        <v>38</v>
      </c>
      <c r="D518" s="1" t="s">
        <v>1944</v>
      </c>
      <c r="E518" s="5">
        <v>41815</v>
      </c>
      <c r="F518" s="1" t="s">
        <v>476</v>
      </c>
      <c r="G518" s="1" t="s">
        <v>40</v>
      </c>
      <c r="H518" s="1" t="s">
        <v>41</v>
      </c>
      <c r="I518" s="1" t="s">
        <v>2809</v>
      </c>
      <c r="J518" s="1" t="s">
        <v>2806</v>
      </c>
      <c r="K518" s="1">
        <v>29157010</v>
      </c>
      <c r="L518" s="6">
        <v>75</v>
      </c>
      <c r="M518" s="1" t="s">
        <v>70</v>
      </c>
      <c r="N518" s="7" t="s">
        <v>67</v>
      </c>
      <c r="O518" s="1" t="s">
        <v>53</v>
      </c>
      <c r="P518" s="8">
        <v>1180</v>
      </c>
      <c r="Q518" s="17">
        <f t="shared" si="57"/>
        <v>88500</v>
      </c>
      <c r="R518" s="9">
        <v>0</v>
      </c>
      <c r="S518" s="9">
        <v>0</v>
      </c>
      <c r="T518" s="9">
        <v>0</v>
      </c>
      <c r="U518" s="10">
        <v>0</v>
      </c>
      <c r="V518" s="1" t="s">
        <v>46</v>
      </c>
      <c r="W518" s="1" t="s">
        <v>492</v>
      </c>
      <c r="X518" s="1">
        <v>3413196</v>
      </c>
      <c r="Y518" s="11">
        <v>41810</v>
      </c>
      <c r="Z518" s="11">
        <v>41813</v>
      </c>
      <c r="AA518" s="9">
        <f t="shared" si="60"/>
        <v>88500</v>
      </c>
      <c r="AB518" s="12">
        <v>59.45</v>
      </c>
      <c r="AC518" s="9">
        <f t="shared" si="58"/>
        <v>5261325</v>
      </c>
      <c r="AD518" s="9">
        <f t="shared" si="59"/>
        <v>5261325</v>
      </c>
      <c r="AE518" s="1" t="s">
        <v>48</v>
      </c>
      <c r="AF518" s="1" t="s">
        <v>53</v>
      </c>
      <c r="AG518" s="4">
        <f t="shared" si="61"/>
        <v>88500</v>
      </c>
      <c r="AH518" s="10">
        <v>88500</v>
      </c>
      <c r="AI518" s="9">
        <v>0</v>
      </c>
      <c r="AJ518" s="9">
        <v>0</v>
      </c>
      <c r="AK518" s="9">
        <v>0</v>
      </c>
      <c r="AL518" s="9">
        <f t="shared" si="62"/>
        <v>88500</v>
      </c>
      <c r="AM518" s="1"/>
      <c r="AN518" s="1"/>
      <c r="AO518" s="12" t="e">
        <f>AB518/#REF!</f>
        <v>#REF!</v>
      </c>
      <c r="AP518" s="1" t="s">
        <v>1945</v>
      </c>
      <c r="AQ518" s="11">
        <v>41857</v>
      </c>
      <c r="AR518" s="1" t="s">
        <v>1947</v>
      </c>
      <c r="AS518" s="11">
        <v>41858</v>
      </c>
      <c r="AT518" s="1" t="s">
        <v>49</v>
      </c>
      <c r="AU518" s="1" t="s">
        <v>4171</v>
      </c>
    </row>
    <row r="519" spans="1:47" ht="15" customHeight="1" x14ac:dyDescent="0.25">
      <c r="A519" s="1">
        <v>518</v>
      </c>
      <c r="B519" s="1" t="s">
        <v>1258</v>
      </c>
      <c r="C519" s="1" t="s">
        <v>38</v>
      </c>
      <c r="D519" s="1" t="s">
        <v>1948</v>
      </c>
      <c r="E519" s="5">
        <v>41815</v>
      </c>
      <c r="F519" s="1" t="s">
        <v>481</v>
      </c>
      <c r="G519" s="1" t="s">
        <v>40</v>
      </c>
      <c r="H519" s="1" t="s">
        <v>41</v>
      </c>
      <c r="I519" s="1" t="s">
        <v>2809</v>
      </c>
      <c r="J519" s="1" t="s">
        <v>2806</v>
      </c>
      <c r="K519" s="1">
        <v>38237090</v>
      </c>
      <c r="L519" s="6">
        <v>76.37</v>
      </c>
      <c r="M519" s="1" t="s">
        <v>70</v>
      </c>
      <c r="N519" s="7" t="s">
        <v>67</v>
      </c>
      <c r="O519" s="1" t="s">
        <v>53</v>
      </c>
      <c r="P519" s="8">
        <v>1400</v>
      </c>
      <c r="Q519" s="17">
        <f t="shared" si="57"/>
        <v>106918</v>
      </c>
      <c r="R519" s="9">
        <v>0</v>
      </c>
      <c r="S519" s="9">
        <v>0</v>
      </c>
      <c r="T519" s="9">
        <v>0</v>
      </c>
      <c r="U519" s="10">
        <v>0</v>
      </c>
      <c r="V519" s="1" t="s">
        <v>46</v>
      </c>
      <c r="W519" s="1" t="s">
        <v>492</v>
      </c>
      <c r="X519" s="1">
        <v>3415329</v>
      </c>
      <c r="Y519" s="11">
        <v>41810</v>
      </c>
      <c r="Z519" s="11">
        <v>41813</v>
      </c>
      <c r="AA519" s="9">
        <f t="shared" si="60"/>
        <v>106918</v>
      </c>
      <c r="AB519" s="12">
        <v>59.45</v>
      </c>
      <c r="AC519" s="9">
        <f t="shared" si="58"/>
        <v>6356275.1000000006</v>
      </c>
      <c r="AD519" s="9">
        <f t="shared" si="59"/>
        <v>6356275.1000000006</v>
      </c>
      <c r="AE519" s="1" t="s">
        <v>48</v>
      </c>
      <c r="AF519" s="1" t="s">
        <v>53</v>
      </c>
      <c r="AG519" s="4">
        <f t="shared" si="61"/>
        <v>106918</v>
      </c>
      <c r="AH519" s="10">
        <v>106918</v>
      </c>
      <c r="AI519" s="9">
        <v>0</v>
      </c>
      <c r="AJ519" s="9">
        <v>0</v>
      </c>
      <c r="AK519" s="9">
        <v>0</v>
      </c>
      <c r="AL519" s="9">
        <f t="shared" si="62"/>
        <v>106918</v>
      </c>
      <c r="AM519" s="1"/>
      <c r="AN519" s="1"/>
      <c r="AO519" s="12" t="e">
        <f>AB519/#REF!</f>
        <v>#REF!</v>
      </c>
      <c r="AP519" s="1" t="s">
        <v>1949</v>
      </c>
      <c r="AQ519" s="11">
        <v>41857</v>
      </c>
      <c r="AR519" s="1" t="s">
        <v>1950</v>
      </c>
      <c r="AS519" s="11">
        <v>41858</v>
      </c>
      <c r="AT519" s="1" t="s">
        <v>49</v>
      </c>
      <c r="AU519" s="1" t="s">
        <v>4171</v>
      </c>
    </row>
    <row r="520" spans="1:47" ht="15" customHeight="1" x14ac:dyDescent="0.25">
      <c r="A520" s="1">
        <v>519</v>
      </c>
      <c r="B520" s="1" t="s">
        <v>1258</v>
      </c>
      <c r="C520" s="1" t="s">
        <v>38</v>
      </c>
      <c r="D520" s="1" t="s">
        <v>1948</v>
      </c>
      <c r="E520" s="5">
        <v>41815</v>
      </c>
      <c r="F520" s="1" t="s">
        <v>493</v>
      </c>
      <c r="G520" s="1" t="s">
        <v>40</v>
      </c>
      <c r="H520" s="1" t="s">
        <v>41</v>
      </c>
      <c r="I520" s="1" t="s">
        <v>2809</v>
      </c>
      <c r="J520" s="1" t="s">
        <v>2806</v>
      </c>
      <c r="K520" s="1">
        <v>38237090</v>
      </c>
      <c r="L520" s="6">
        <v>19.489999999999998</v>
      </c>
      <c r="M520" s="1" t="s">
        <v>70</v>
      </c>
      <c r="N520" s="7" t="s">
        <v>67</v>
      </c>
      <c r="O520" s="1" t="s">
        <v>53</v>
      </c>
      <c r="P520" s="8">
        <v>1400</v>
      </c>
      <c r="Q520" s="17">
        <f t="shared" si="57"/>
        <v>27285.999999999996</v>
      </c>
      <c r="R520" s="9">
        <v>0</v>
      </c>
      <c r="S520" s="9">
        <v>0</v>
      </c>
      <c r="T520" s="9">
        <v>0</v>
      </c>
      <c r="U520" s="10">
        <v>0</v>
      </c>
      <c r="V520" s="1" t="s">
        <v>46</v>
      </c>
      <c r="W520" s="1" t="s">
        <v>492</v>
      </c>
      <c r="X520" s="1">
        <v>3427932</v>
      </c>
      <c r="Y520" s="11">
        <v>41811</v>
      </c>
      <c r="Z520" s="11">
        <v>41813</v>
      </c>
      <c r="AA520" s="9">
        <f t="shared" si="60"/>
        <v>27285.999999999996</v>
      </c>
      <c r="AB520" s="12">
        <v>59.45</v>
      </c>
      <c r="AC520" s="9">
        <f t="shared" si="58"/>
        <v>1622152.7</v>
      </c>
      <c r="AD520" s="9">
        <f t="shared" si="59"/>
        <v>1622152.7</v>
      </c>
      <c r="AE520" s="1" t="s">
        <v>48</v>
      </c>
      <c r="AF520" s="1" t="s">
        <v>53</v>
      </c>
      <c r="AG520" s="4">
        <f t="shared" si="61"/>
        <v>27285.999999999996</v>
      </c>
      <c r="AH520" s="10">
        <v>27286</v>
      </c>
      <c r="AI520" s="9">
        <v>0</v>
      </c>
      <c r="AJ520" s="9">
        <v>0</v>
      </c>
      <c r="AK520" s="9">
        <v>0</v>
      </c>
      <c r="AL520" s="9">
        <f t="shared" si="62"/>
        <v>27286</v>
      </c>
      <c r="AM520" s="1"/>
      <c r="AN520" s="1"/>
      <c r="AO520" s="12" t="e">
        <f>AB520/#REF!</f>
        <v>#REF!</v>
      </c>
      <c r="AP520" s="1" t="s">
        <v>1949</v>
      </c>
      <c r="AQ520" s="11">
        <v>41857</v>
      </c>
      <c r="AR520" s="1" t="s">
        <v>1951</v>
      </c>
      <c r="AS520" s="11">
        <v>41858</v>
      </c>
      <c r="AT520" s="1" t="s">
        <v>49</v>
      </c>
      <c r="AU520" s="1" t="s">
        <v>4171</v>
      </c>
    </row>
    <row r="521" spans="1:47" ht="15" customHeight="1" x14ac:dyDescent="0.25">
      <c r="A521" s="1">
        <v>520</v>
      </c>
      <c r="B521" s="1" t="s">
        <v>1258</v>
      </c>
      <c r="C521" s="1" t="s">
        <v>38</v>
      </c>
      <c r="D521" s="1">
        <v>9103550356</v>
      </c>
      <c r="E521" s="5">
        <v>41817</v>
      </c>
      <c r="F521" s="1" t="s">
        <v>484</v>
      </c>
      <c r="G521" s="1" t="s">
        <v>40</v>
      </c>
      <c r="H521" s="1" t="s">
        <v>41</v>
      </c>
      <c r="I521" s="1" t="s">
        <v>2809</v>
      </c>
      <c r="J521" s="1" t="s">
        <v>2740</v>
      </c>
      <c r="K521" s="1">
        <v>38237090</v>
      </c>
      <c r="L521" s="6">
        <v>12</v>
      </c>
      <c r="M521" s="1" t="s">
        <v>70</v>
      </c>
      <c r="N521" s="7" t="s">
        <v>67</v>
      </c>
      <c r="O521" s="1" t="s">
        <v>53</v>
      </c>
      <c r="P521" s="8">
        <v>1695</v>
      </c>
      <c r="Q521" s="17">
        <f t="shared" si="57"/>
        <v>20340</v>
      </c>
      <c r="R521" s="9">
        <v>0</v>
      </c>
      <c r="S521" s="9">
        <v>0</v>
      </c>
      <c r="T521" s="9">
        <v>0</v>
      </c>
      <c r="U521" s="10">
        <v>0</v>
      </c>
      <c r="V521" s="1" t="s">
        <v>46</v>
      </c>
      <c r="W521" s="1" t="s">
        <v>205</v>
      </c>
      <c r="X521" s="1">
        <v>3430362</v>
      </c>
      <c r="Y521" s="11">
        <v>41811</v>
      </c>
      <c r="Z521" s="11">
        <v>41813</v>
      </c>
      <c r="AA521" s="9">
        <f t="shared" si="60"/>
        <v>20340</v>
      </c>
      <c r="AB521" s="12">
        <v>59.45</v>
      </c>
      <c r="AC521" s="9">
        <f t="shared" si="58"/>
        <v>1209213</v>
      </c>
      <c r="AD521" s="9">
        <f t="shared" si="59"/>
        <v>1209213</v>
      </c>
      <c r="AE521" s="1" t="s">
        <v>284</v>
      </c>
      <c r="AF521" s="1" t="s">
        <v>53</v>
      </c>
      <c r="AG521" s="4">
        <f t="shared" si="61"/>
        <v>20340</v>
      </c>
      <c r="AH521" s="10">
        <v>20277</v>
      </c>
      <c r="AI521" s="9">
        <v>0</v>
      </c>
      <c r="AJ521" s="9">
        <v>0</v>
      </c>
      <c r="AK521" s="9">
        <v>0</v>
      </c>
      <c r="AL521" s="9">
        <f t="shared" si="62"/>
        <v>20277</v>
      </c>
      <c r="AM521" s="1"/>
      <c r="AN521" s="1"/>
      <c r="AO521" s="12" t="e">
        <f>AB521/#REF!</f>
        <v>#REF!</v>
      </c>
      <c r="AP521" s="1" t="s">
        <v>1952</v>
      </c>
      <c r="AQ521" s="11">
        <v>41843</v>
      </c>
      <c r="AR521" s="1" t="s">
        <v>1953</v>
      </c>
      <c r="AS521" s="11">
        <v>41843</v>
      </c>
      <c r="AT521" s="1" t="s">
        <v>49</v>
      </c>
      <c r="AU521" s="1" t="s">
        <v>4171</v>
      </c>
    </row>
    <row r="522" spans="1:47" ht="15" customHeight="1" x14ac:dyDescent="0.25">
      <c r="A522" s="1">
        <v>521</v>
      </c>
      <c r="B522" s="1" t="s">
        <v>1258</v>
      </c>
      <c r="C522" s="1" t="s">
        <v>38</v>
      </c>
      <c r="D522" s="1" t="s">
        <v>1954</v>
      </c>
      <c r="E522" s="5">
        <v>41816</v>
      </c>
      <c r="F522" s="1" t="s">
        <v>499</v>
      </c>
      <c r="G522" s="1" t="s">
        <v>40</v>
      </c>
      <c r="H522" s="1" t="s">
        <v>41</v>
      </c>
      <c r="I522" s="1" t="s">
        <v>2809</v>
      </c>
      <c r="J522" s="1" t="s">
        <v>50</v>
      </c>
      <c r="K522" s="1">
        <v>38237090</v>
      </c>
      <c r="L522" s="6">
        <v>93.25</v>
      </c>
      <c r="M522" s="1" t="s">
        <v>70</v>
      </c>
      <c r="N522" s="7" t="s">
        <v>52</v>
      </c>
      <c r="O522" s="1" t="s">
        <v>45</v>
      </c>
      <c r="P522" s="8">
        <v>960</v>
      </c>
      <c r="Q522" s="17">
        <f t="shared" si="57"/>
        <v>89520</v>
      </c>
      <c r="R522" s="9">
        <v>4243.79</v>
      </c>
      <c r="S522" s="9">
        <v>0</v>
      </c>
      <c r="T522" s="9">
        <v>0</v>
      </c>
      <c r="U522" s="10">
        <v>0</v>
      </c>
      <c r="V522" s="1" t="s">
        <v>46</v>
      </c>
      <c r="W522" s="1" t="s">
        <v>2657</v>
      </c>
      <c r="X522" s="1">
        <v>3415249</v>
      </c>
      <c r="Y522" s="11">
        <v>41810</v>
      </c>
      <c r="Z522" s="11">
        <v>41811</v>
      </c>
      <c r="AA522" s="9">
        <f t="shared" si="60"/>
        <v>85276.21</v>
      </c>
      <c r="AB522" s="12">
        <v>80.55</v>
      </c>
      <c r="AC522" s="9">
        <f t="shared" si="58"/>
        <v>7210836</v>
      </c>
      <c r="AD522" s="9">
        <f t="shared" si="59"/>
        <v>6868998.7154999999</v>
      </c>
      <c r="AE522" s="1" t="s">
        <v>51</v>
      </c>
      <c r="AF522" s="1" t="s">
        <v>45</v>
      </c>
      <c r="AG522" s="4">
        <f t="shared" si="61"/>
        <v>89520</v>
      </c>
      <c r="AH522" s="10">
        <v>89520</v>
      </c>
      <c r="AI522" s="10">
        <v>4432.8999999999996</v>
      </c>
      <c r="AJ522" s="10">
        <v>0</v>
      </c>
      <c r="AK522" s="10">
        <v>0</v>
      </c>
      <c r="AL522" s="9">
        <f t="shared" si="62"/>
        <v>85087.1</v>
      </c>
      <c r="AM522" s="1"/>
      <c r="AN522" s="1"/>
      <c r="AO522" s="12" t="e">
        <f>AB522/#REF!</f>
        <v>#REF!</v>
      </c>
      <c r="AP522" s="1" t="s">
        <v>1955</v>
      </c>
      <c r="AQ522" s="11">
        <v>41886</v>
      </c>
      <c r="AR522" s="1" t="s">
        <v>1956</v>
      </c>
      <c r="AS522" s="11">
        <v>41905</v>
      </c>
      <c r="AT522" s="1" t="s">
        <v>49</v>
      </c>
      <c r="AU522" s="1" t="s">
        <v>4171</v>
      </c>
    </row>
    <row r="523" spans="1:47" ht="15" customHeight="1" x14ac:dyDescent="0.25">
      <c r="A523" s="1">
        <v>522</v>
      </c>
      <c r="B523" s="1" t="s">
        <v>1258</v>
      </c>
      <c r="C523" s="1" t="s">
        <v>38</v>
      </c>
      <c r="D523" s="1" t="s">
        <v>1954</v>
      </c>
      <c r="E523" s="5">
        <v>41816</v>
      </c>
      <c r="F523" s="1" t="s">
        <v>494</v>
      </c>
      <c r="G523" s="1" t="s">
        <v>40</v>
      </c>
      <c r="H523" s="1" t="s">
        <v>41</v>
      </c>
      <c r="I523" s="1" t="s">
        <v>2809</v>
      </c>
      <c r="J523" s="1" t="s">
        <v>50</v>
      </c>
      <c r="K523" s="1">
        <v>38237090</v>
      </c>
      <c r="L523" s="6">
        <v>18.52</v>
      </c>
      <c r="M523" s="1" t="s">
        <v>70</v>
      </c>
      <c r="N523" s="7" t="s">
        <v>52</v>
      </c>
      <c r="O523" s="1" t="s">
        <v>45</v>
      </c>
      <c r="P523" s="8">
        <v>960</v>
      </c>
      <c r="Q523" s="17">
        <f t="shared" si="57"/>
        <v>17779.2</v>
      </c>
      <c r="R523" s="9">
        <v>848.76</v>
      </c>
      <c r="S523" s="9">
        <v>0</v>
      </c>
      <c r="T523" s="9">
        <v>0</v>
      </c>
      <c r="U523" s="10">
        <v>0</v>
      </c>
      <c r="V523" s="1" t="s">
        <v>46</v>
      </c>
      <c r="W523" s="1" t="s">
        <v>2657</v>
      </c>
      <c r="X523" s="1">
        <v>3431308</v>
      </c>
      <c r="Y523" s="11">
        <v>41811</v>
      </c>
      <c r="Z523" s="11">
        <v>41813</v>
      </c>
      <c r="AA523" s="9">
        <f t="shared" si="60"/>
        <v>16930.440000000002</v>
      </c>
      <c r="AB523" s="12">
        <v>80.55</v>
      </c>
      <c r="AC523" s="9">
        <f t="shared" si="58"/>
        <v>1432114.56</v>
      </c>
      <c r="AD523" s="9">
        <f t="shared" si="59"/>
        <v>1363746.942</v>
      </c>
      <c r="AE523" s="1" t="s">
        <v>51</v>
      </c>
      <c r="AF523" s="1" t="s">
        <v>45</v>
      </c>
      <c r="AG523" s="4">
        <f t="shared" si="61"/>
        <v>17779.2</v>
      </c>
      <c r="AH523" s="10">
        <v>17779</v>
      </c>
      <c r="AI523" s="10">
        <v>880.4</v>
      </c>
      <c r="AJ523" s="10">
        <v>0</v>
      </c>
      <c r="AK523" s="10">
        <v>0</v>
      </c>
      <c r="AL523" s="9">
        <f t="shared" si="62"/>
        <v>16898.599999999999</v>
      </c>
      <c r="AM523" s="1"/>
      <c r="AN523" s="1"/>
      <c r="AO523" s="12" t="e">
        <f>AB523/#REF!</f>
        <v>#REF!</v>
      </c>
      <c r="AP523" s="1" t="s">
        <v>1955</v>
      </c>
      <c r="AQ523" s="11">
        <v>41886</v>
      </c>
      <c r="AR523" s="1" t="s">
        <v>1957</v>
      </c>
      <c r="AS523" s="11">
        <v>41905</v>
      </c>
      <c r="AT523" s="1" t="s">
        <v>49</v>
      </c>
      <c r="AU523" s="1" t="s">
        <v>4171</v>
      </c>
    </row>
    <row r="524" spans="1:47" ht="15" customHeight="1" x14ac:dyDescent="0.25">
      <c r="A524" s="1">
        <v>523</v>
      </c>
      <c r="B524" s="1" t="s">
        <v>1258</v>
      </c>
      <c r="C524" s="1" t="s">
        <v>38</v>
      </c>
      <c r="D524" s="1">
        <v>9103550359</v>
      </c>
      <c r="E524" s="5">
        <v>41817</v>
      </c>
      <c r="F524" s="1" t="s">
        <v>485</v>
      </c>
      <c r="G524" s="1" t="s">
        <v>40</v>
      </c>
      <c r="H524" s="1" t="s">
        <v>41</v>
      </c>
      <c r="I524" s="1" t="s">
        <v>2809</v>
      </c>
      <c r="J524" s="1" t="s">
        <v>55</v>
      </c>
      <c r="K524" s="1">
        <v>29051700</v>
      </c>
      <c r="L524" s="6">
        <v>54.42</v>
      </c>
      <c r="M524" s="1" t="s">
        <v>70</v>
      </c>
      <c r="N524" s="7" t="s">
        <v>44</v>
      </c>
      <c r="O524" s="1" t="s">
        <v>53</v>
      </c>
      <c r="P524" s="8">
        <v>1983</v>
      </c>
      <c r="Q524" s="17">
        <f t="shared" si="57"/>
        <v>107914.86</v>
      </c>
      <c r="R524" s="9">
        <v>9525</v>
      </c>
      <c r="S524" s="9">
        <v>15.43</v>
      </c>
      <c r="T524" s="9">
        <v>0</v>
      </c>
      <c r="U524" s="10">
        <v>0</v>
      </c>
      <c r="V524" s="1" t="s">
        <v>46</v>
      </c>
      <c r="W524" s="1" t="s">
        <v>56</v>
      </c>
      <c r="X524" s="1">
        <v>3431578</v>
      </c>
      <c r="Y524" s="11">
        <v>41811</v>
      </c>
      <c r="Z524" s="11">
        <v>41813</v>
      </c>
      <c r="AA524" s="9">
        <f t="shared" si="60"/>
        <v>98374.430000000008</v>
      </c>
      <c r="AB524" s="12">
        <v>59.45</v>
      </c>
      <c r="AC524" s="9">
        <f t="shared" si="58"/>
        <v>6415538.4270000001</v>
      </c>
      <c r="AD524" s="9">
        <f t="shared" si="59"/>
        <v>5848359.8635000009</v>
      </c>
      <c r="AE524" s="1" t="s">
        <v>284</v>
      </c>
      <c r="AF524" s="1" t="s">
        <v>53</v>
      </c>
      <c r="AG524" s="4">
        <f t="shared" si="61"/>
        <v>107914.86</v>
      </c>
      <c r="AH524" s="10">
        <v>107914.86</v>
      </c>
      <c r="AI524" s="10">
        <v>9462</v>
      </c>
      <c r="AJ524" s="10">
        <v>15.43</v>
      </c>
      <c r="AK524" s="10">
        <v>0</v>
      </c>
      <c r="AL524" s="9">
        <f t="shared" si="62"/>
        <v>98437.43</v>
      </c>
      <c r="AM524" s="1"/>
      <c r="AN524" s="1"/>
      <c r="AO524" s="12" t="e">
        <f>AB524/#REF!</f>
        <v>#REF!</v>
      </c>
      <c r="AP524" s="1" t="s">
        <v>1958</v>
      </c>
      <c r="AQ524" s="11">
        <v>41893</v>
      </c>
      <c r="AR524" s="1" t="s">
        <v>1959</v>
      </c>
      <c r="AS524" s="11">
        <v>41893</v>
      </c>
      <c r="AT524" s="1" t="s">
        <v>49</v>
      </c>
      <c r="AU524" s="1" t="s">
        <v>4171</v>
      </c>
    </row>
    <row r="525" spans="1:47" ht="15" customHeight="1" x14ac:dyDescent="0.25">
      <c r="A525" s="1">
        <v>524</v>
      </c>
      <c r="B525" s="1" t="s">
        <v>1258</v>
      </c>
      <c r="C525" s="1" t="s">
        <v>38</v>
      </c>
      <c r="D525" s="1">
        <v>9103550360</v>
      </c>
      <c r="E525" s="5">
        <v>41817</v>
      </c>
      <c r="F525" s="1" t="s">
        <v>486</v>
      </c>
      <c r="G525" s="1" t="s">
        <v>40</v>
      </c>
      <c r="H525" s="1" t="s">
        <v>41</v>
      </c>
      <c r="I525" s="1" t="s">
        <v>2809</v>
      </c>
      <c r="J525" s="1" t="s">
        <v>63</v>
      </c>
      <c r="K525" s="1">
        <v>29159090</v>
      </c>
      <c r="L525" s="6">
        <v>20</v>
      </c>
      <c r="M525" s="1" t="s">
        <v>70</v>
      </c>
      <c r="N525" s="7" t="s">
        <v>52</v>
      </c>
      <c r="O525" s="1" t="s">
        <v>53</v>
      </c>
      <c r="P525" s="8">
        <v>3600</v>
      </c>
      <c r="Q525" s="17">
        <f t="shared" si="57"/>
        <v>72000</v>
      </c>
      <c r="R525" s="9">
        <v>350</v>
      </c>
      <c r="S525" s="9">
        <v>0</v>
      </c>
      <c r="T525" s="9">
        <v>0</v>
      </c>
      <c r="U525" s="10">
        <v>0</v>
      </c>
      <c r="V525" s="1" t="s">
        <v>46</v>
      </c>
      <c r="W525" s="1" t="s">
        <v>75</v>
      </c>
      <c r="X525" s="1">
        <v>3434038</v>
      </c>
      <c r="Y525" s="11">
        <v>41811</v>
      </c>
      <c r="Z525" s="11">
        <v>41813</v>
      </c>
      <c r="AA525" s="9">
        <f t="shared" si="60"/>
        <v>71650</v>
      </c>
      <c r="AB525" s="12">
        <v>59.45</v>
      </c>
      <c r="AC525" s="9">
        <f t="shared" si="58"/>
        <v>4280400</v>
      </c>
      <c r="AD525" s="9">
        <f t="shared" si="59"/>
        <v>4259592.5</v>
      </c>
      <c r="AE525" s="1" t="s">
        <v>51</v>
      </c>
      <c r="AF525" s="1" t="s">
        <v>53</v>
      </c>
      <c r="AG525" s="4">
        <f t="shared" si="61"/>
        <v>72000</v>
      </c>
      <c r="AH525" s="10">
        <v>72000</v>
      </c>
      <c r="AI525" s="10">
        <v>380</v>
      </c>
      <c r="AJ525" s="10">
        <v>0</v>
      </c>
      <c r="AK525" s="10">
        <v>0</v>
      </c>
      <c r="AL525" s="9">
        <f t="shared" si="62"/>
        <v>71620</v>
      </c>
      <c r="AM525" s="1"/>
      <c r="AN525" s="1"/>
      <c r="AO525" s="12" t="e">
        <f>AB525/#REF!</f>
        <v>#REF!</v>
      </c>
      <c r="AP525" s="1" t="s">
        <v>1960</v>
      </c>
      <c r="AQ525" s="11">
        <v>41835</v>
      </c>
      <c r="AR525" s="1" t="s">
        <v>1961</v>
      </c>
      <c r="AS525" s="11">
        <v>41906</v>
      </c>
      <c r="AT525" s="1" t="s">
        <v>49</v>
      </c>
      <c r="AU525" s="1" t="s">
        <v>4171</v>
      </c>
    </row>
    <row r="526" spans="1:47" ht="15" customHeight="1" x14ac:dyDescent="0.25">
      <c r="A526" s="1">
        <v>525</v>
      </c>
      <c r="B526" s="1" t="s">
        <v>1258</v>
      </c>
      <c r="C526" s="1" t="s">
        <v>38</v>
      </c>
      <c r="D526" s="1">
        <v>9103550361</v>
      </c>
      <c r="E526" s="5">
        <v>41817</v>
      </c>
      <c r="F526" s="1" t="s">
        <v>495</v>
      </c>
      <c r="G526" s="1" t="s">
        <v>40</v>
      </c>
      <c r="H526" s="1" t="s">
        <v>41</v>
      </c>
      <c r="I526" s="1" t="s">
        <v>2809</v>
      </c>
      <c r="J526" s="1" t="s">
        <v>55</v>
      </c>
      <c r="K526" s="1">
        <v>29051700</v>
      </c>
      <c r="L526" s="6">
        <v>18.14</v>
      </c>
      <c r="M526" s="1" t="s">
        <v>70</v>
      </c>
      <c r="N526" s="7" t="s">
        <v>44</v>
      </c>
      <c r="O526" s="1" t="s">
        <v>53</v>
      </c>
      <c r="P526" s="8">
        <v>1983</v>
      </c>
      <c r="Q526" s="17">
        <f t="shared" si="57"/>
        <v>35971.620000000003</v>
      </c>
      <c r="R526" s="9">
        <v>3175</v>
      </c>
      <c r="S526" s="9">
        <v>5.14</v>
      </c>
      <c r="T526" s="9">
        <v>0</v>
      </c>
      <c r="U526" s="10">
        <v>0</v>
      </c>
      <c r="V526" s="1" t="s">
        <v>46</v>
      </c>
      <c r="W526" s="1" t="s">
        <v>56</v>
      </c>
      <c r="X526" s="1">
        <v>3434121</v>
      </c>
      <c r="Y526" s="11">
        <v>41811</v>
      </c>
      <c r="Z526" s="11">
        <v>41813</v>
      </c>
      <c r="AA526" s="9">
        <f t="shared" si="60"/>
        <v>32791.480000000003</v>
      </c>
      <c r="AB526" s="12">
        <v>59.45</v>
      </c>
      <c r="AC526" s="9">
        <f t="shared" si="58"/>
        <v>2138512.8090000004</v>
      </c>
      <c r="AD526" s="9">
        <f t="shared" si="59"/>
        <v>1949453.4860000003</v>
      </c>
      <c r="AE526" s="1" t="s">
        <v>284</v>
      </c>
      <c r="AF526" s="1" t="s">
        <v>53</v>
      </c>
      <c r="AG526" s="4">
        <f t="shared" si="61"/>
        <v>35971.620000000003</v>
      </c>
      <c r="AH526" s="10">
        <v>35971.620000000003</v>
      </c>
      <c r="AI526" s="9">
        <v>3154</v>
      </c>
      <c r="AJ526" s="9">
        <v>5.15</v>
      </c>
      <c r="AK526" s="10">
        <v>0</v>
      </c>
      <c r="AL526" s="9">
        <f t="shared" si="62"/>
        <v>32812.47</v>
      </c>
      <c r="AM526" s="1"/>
      <c r="AN526" s="1"/>
      <c r="AO526" s="12" t="e">
        <f>AB526/#REF!</f>
        <v>#REF!</v>
      </c>
      <c r="AP526" s="1" t="s">
        <v>1962</v>
      </c>
      <c r="AQ526" s="11">
        <v>41893</v>
      </c>
      <c r="AR526" s="1" t="s">
        <v>1963</v>
      </c>
      <c r="AS526" s="11">
        <v>41893</v>
      </c>
      <c r="AT526" s="1" t="s">
        <v>49</v>
      </c>
      <c r="AU526" s="1" t="s">
        <v>4171</v>
      </c>
    </row>
    <row r="527" spans="1:47" ht="15" customHeight="1" x14ac:dyDescent="0.25">
      <c r="A527" s="1">
        <v>526</v>
      </c>
      <c r="B527" s="1" t="s">
        <v>1258</v>
      </c>
      <c r="C527" s="1" t="s">
        <v>38</v>
      </c>
      <c r="D527" s="1">
        <v>9103550361</v>
      </c>
      <c r="E527" s="5">
        <v>41817</v>
      </c>
      <c r="F527" s="1" t="s">
        <v>483</v>
      </c>
      <c r="G527" s="1" t="s">
        <v>40</v>
      </c>
      <c r="H527" s="1" t="s">
        <v>41</v>
      </c>
      <c r="I527" s="1" t="s">
        <v>2809</v>
      </c>
      <c r="J527" s="1" t="s">
        <v>55</v>
      </c>
      <c r="K527" s="1">
        <v>29051700</v>
      </c>
      <c r="L527" s="6">
        <v>18.14</v>
      </c>
      <c r="M527" s="1" t="s">
        <v>70</v>
      </c>
      <c r="N527" s="7" t="s">
        <v>44</v>
      </c>
      <c r="O527" s="1" t="s">
        <v>53</v>
      </c>
      <c r="P527" s="8">
        <v>1983</v>
      </c>
      <c r="Q527" s="17">
        <f t="shared" si="57"/>
        <v>35971.620000000003</v>
      </c>
      <c r="R527" s="9">
        <v>3175</v>
      </c>
      <c r="S527" s="9">
        <v>5.14</v>
      </c>
      <c r="T527" s="9">
        <v>0</v>
      </c>
      <c r="U527" s="10">
        <v>0</v>
      </c>
      <c r="V527" s="1" t="s">
        <v>46</v>
      </c>
      <c r="W527" s="1" t="s">
        <v>56</v>
      </c>
      <c r="X527" s="1">
        <v>3434719</v>
      </c>
      <c r="Y527" s="11">
        <v>41811</v>
      </c>
      <c r="Z527" s="11">
        <v>41813</v>
      </c>
      <c r="AA527" s="9">
        <f t="shared" si="60"/>
        <v>32791.480000000003</v>
      </c>
      <c r="AB527" s="12">
        <v>59.45</v>
      </c>
      <c r="AC527" s="9">
        <f t="shared" si="58"/>
        <v>2138512.8090000004</v>
      </c>
      <c r="AD527" s="9">
        <f t="shared" si="59"/>
        <v>1949453.4860000003</v>
      </c>
      <c r="AE527" s="1" t="s">
        <v>284</v>
      </c>
      <c r="AF527" s="1" t="s">
        <v>53</v>
      </c>
      <c r="AG527" s="4">
        <f t="shared" si="61"/>
        <v>35971.620000000003</v>
      </c>
      <c r="AH527" s="10">
        <v>35971.620000000003</v>
      </c>
      <c r="AI527" s="9">
        <v>3154</v>
      </c>
      <c r="AJ527" s="9">
        <v>5.14</v>
      </c>
      <c r="AK527" s="10">
        <v>0</v>
      </c>
      <c r="AL527" s="9">
        <f t="shared" si="62"/>
        <v>32812.480000000003</v>
      </c>
      <c r="AM527" s="1"/>
      <c r="AN527" s="1"/>
      <c r="AO527" s="12" t="e">
        <f>AB527/#REF!</f>
        <v>#REF!</v>
      </c>
      <c r="AP527" s="1" t="s">
        <v>1962</v>
      </c>
      <c r="AQ527" s="11">
        <v>41893</v>
      </c>
      <c r="AR527" s="1" t="s">
        <v>1964</v>
      </c>
      <c r="AS527" s="11">
        <v>41893</v>
      </c>
      <c r="AT527" s="1" t="s">
        <v>49</v>
      </c>
      <c r="AU527" s="1" t="s">
        <v>4171</v>
      </c>
    </row>
    <row r="528" spans="1:47" ht="15" customHeight="1" x14ac:dyDescent="0.25">
      <c r="A528" s="1">
        <v>527</v>
      </c>
      <c r="B528" s="1" t="s">
        <v>1258</v>
      </c>
      <c r="C528" s="1" t="s">
        <v>38</v>
      </c>
      <c r="D528" s="1">
        <v>9103550362</v>
      </c>
      <c r="E528" s="5">
        <v>41824</v>
      </c>
      <c r="F528" s="1" t="s">
        <v>488</v>
      </c>
      <c r="G528" s="1" t="s">
        <v>40</v>
      </c>
      <c r="H528" s="1" t="s">
        <v>41</v>
      </c>
      <c r="I528" s="1" t="s">
        <v>2809</v>
      </c>
      <c r="J528" s="1" t="s">
        <v>55</v>
      </c>
      <c r="K528" s="1">
        <v>38237090</v>
      </c>
      <c r="L528" s="6">
        <v>36.630000000000003</v>
      </c>
      <c r="M528" s="1" t="s">
        <v>70</v>
      </c>
      <c r="N528" s="7" t="s">
        <v>44</v>
      </c>
      <c r="O528" s="1" t="s">
        <v>53</v>
      </c>
      <c r="P528" s="8">
        <v>1679</v>
      </c>
      <c r="Q528" s="17">
        <f t="shared" si="57"/>
        <v>61501.770000000004</v>
      </c>
      <c r="R528" s="9">
        <v>9400</v>
      </c>
      <c r="S528" s="9">
        <v>8.7899999999999991</v>
      </c>
      <c r="T528" s="9">
        <v>0</v>
      </c>
      <c r="U528" s="10">
        <v>0</v>
      </c>
      <c r="V528" s="1" t="s">
        <v>46</v>
      </c>
      <c r="W528" s="1" t="s">
        <v>56</v>
      </c>
      <c r="X528" s="1">
        <v>3444220</v>
      </c>
      <c r="Y528" s="11">
        <v>41813</v>
      </c>
      <c r="Z528" s="11">
        <v>41814</v>
      </c>
      <c r="AA528" s="9">
        <f t="shared" si="60"/>
        <v>52092.98</v>
      </c>
      <c r="AB528" s="12">
        <v>59.45</v>
      </c>
      <c r="AC528" s="9">
        <f t="shared" si="58"/>
        <v>3656280.2265000003</v>
      </c>
      <c r="AD528" s="9">
        <f t="shared" si="59"/>
        <v>3096927.6610000003</v>
      </c>
      <c r="AE528" s="1" t="s">
        <v>48</v>
      </c>
      <c r="AF528" s="1" t="s">
        <v>53</v>
      </c>
      <c r="AG528" s="4">
        <f t="shared" si="61"/>
        <v>61501.770000000004</v>
      </c>
      <c r="AH528" s="10">
        <v>61501.77</v>
      </c>
      <c r="AI528" s="10">
        <v>9400</v>
      </c>
      <c r="AJ528" s="10">
        <v>8.7899999999999991</v>
      </c>
      <c r="AK528" s="10">
        <v>0</v>
      </c>
      <c r="AL528" s="9">
        <f t="shared" si="62"/>
        <v>52092.979999999996</v>
      </c>
      <c r="AM528" s="1"/>
      <c r="AN528" s="1"/>
      <c r="AO528" s="12" t="e">
        <f>AB528/#REF!</f>
        <v>#REF!</v>
      </c>
      <c r="AP528" s="1" t="s">
        <v>1965</v>
      </c>
      <c r="AQ528" s="11">
        <v>41893</v>
      </c>
      <c r="AR528" s="1" t="s">
        <v>1966</v>
      </c>
      <c r="AS528" s="11">
        <v>41894</v>
      </c>
      <c r="AT528" s="1" t="s">
        <v>49</v>
      </c>
      <c r="AU528" s="1" t="s">
        <v>4171</v>
      </c>
    </row>
    <row r="529" spans="1:47" ht="15" customHeight="1" x14ac:dyDescent="0.25">
      <c r="A529" s="1">
        <v>528</v>
      </c>
      <c r="B529" s="1" t="s">
        <v>1258</v>
      </c>
      <c r="C529" s="1" t="s">
        <v>38</v>
      </c>
      <c r="D529" s="1">
        <v>9103550363</v>
      </c>
      <c r="E529" s="5">
        <v>41819</v>
      </c>
      <c r="F529" s="1" t="s">
        <v>489</v>
      </c>
      <c r="G529" s="1" t="s">
        <v>40</v>
      </c>
      <c r="H529" s="1" t="s">
        <v>41</v>
      </c>
      <c r="I529" s="1" t="s">
        <v>2809</v>
      </c>
      <c r="J529" s="1" t="s">
        <v>169</v>
      </c>
      <c r="K529" s="1">
        <v>38231200</v>
      </c>
      <c r="L529" s="6">
        <v>98.79</v>
      </c>
      <c r="M529" s="1" t="s">
        <v>70</v>
      </c>
      <c r="N529" s="7" t="s">
        <v>67</v>
      </c>
      <c r="O529" s="1" t="s">
        <v>53</v>
      </c>
      <c r="P529" s="8">
        <v>1085</v>
      </c>
      <c r="Q529" s="17">
        <f t="shared" si="57"/>
        <v>107187.15000000001</v>
      </c>
      <c r="R529" s="9">
        <v>0</v>
      </c>
      <c r="S529" s="9">
        <v>0</v>
      </c>
      <c r="T529" s="9">
        <v>0</v>
      </c>
      <c r="U529" s="10">
        <v>0</v>
      </c>
      <c r="V529" s="1" t="s">
        <v>46</v>
      </c>
      <c r="W529" s="1" t="s">
        <v>1323</v>
      </c>
      <c r="X529" s="1">
        <v>3452494</v>
      </c>
      <c r="Y529" s="11">
        <v>41813</v>
      </c>
      <c r="Z529" s="11">
        <v>41814</v>
      </c>
      <c r="AA529" s="9">
        <f t="shared" si="60"/>
        <v>107187.15000000001</v>
      </c>
      <c r="AB529" s="12">
        <v>59.45</v>
      </c>
      <c r="AC529" s="9">
        <f t="shared" si="58"/>
        <v>6372276.0675000008</v>
      </c>
      <c r="AD529" s="9">
        <f t="shared" si="59"/>
        <v>6372276.0675000008</v>
      </c>
      <c r="AE529" s="1" t="s">
        <v>48</v>
      </c>
      <c r="AF529" s="1" t="s">
        <v>53</v>
      </c>
      <c r="AG529" s="4">
        <f t="shared" si="61"/>
        <v>107187.15000000001</v>
      </c>
      <c r="AH529" s="10">
        <v>107187.15</v>
      </c>
      <c r="AI529" s="9">
        <v>0</v>
      </c>
      <c r="AJ529" s="9">
        <v>0</v>
      </c>
      <c r="AK529" s="9">
        <v>0</v>
      </c>
      <c r="AL529" s="9">
        <f t="shared" si="62"/>
        <v>107187.15</v>
      </c>
      <c r="AM529" s="1"/>
      <c r="AN529" s="1"/>
      <c r="AO529" s="12" t="e">
        <f>AB529/#REF!</f>
        <v>#REF!</v>
      </c>
      <c r="AP529" s="1" t="s">
        <v>1967</v>
      </c>
      <c r="AQ529" s="11">
        <v>41888</v>
      </c>
      <c r="AR529" s="1" t="s">
        <v>1968</v>
      </c>
      <c r="AS529" s="11">
        <v>41890</v>
      </c>
      <c r="AT529" s="1" t="s">
        <v>49</v>
      </c>
      <c r="AU529" s="1" t="s">
        <v>4171</v>
      </c>
    </row>
    <row r="530" spans="1:47" ht="15" customHeight="1" x14ac:dyDescent="0.25">
      <c r="A530" s="1">
        <v>529</v>
      </c>
      <c r="B530" s="1" t="s">
        <v>1258</v>
      </c>
      <c r="C530" s="1" t="s">
        <v>38</v>
      </c>
      <c r="D530" s="1">
        <v>9103550364</v>
      </c>
      <c r="E530" s="5">
        <v>41815</v>
      </c>
      <c r="F530" s="1" t="s">
        <v>491</v>
      </c>
      <c r="G530" s="1" t="s">
        <v>40</v>
      </c>
      <c r="H530" s="1" t="s">
        <v>41</v>
      </c>
      <c r="I530" s="1" t="s">
        <v>2809</v>
      </c>
      <c r="J530" s="1" t="s">
        <v>2641</v>
      </c>
      <c r="K530" s="1">
        <v>29159090</v>
      </c>
      <c r="L530" s="6">
        <v>99.46</v>
      </c>
      <c r="M530" s="1" t="s">
        <v>70</v>
      </c>
      <c r="N530" s="7" t="s">
        <v>44</v>
      </c>
      <c r="O530" s="1" t="s">
        <v>53</v>
      </c>
      <c r="P530" s="8">
        <v>1710</v>
      </c>
      <c r="Q530" s="17">
        <f t="shared" si="57"/>
        <v>170076.59999999998</v>
      </c>
      <c r="R530" s="9">
        <v>4500</v>
      </c>
      <c r="S530" s="9">
        <v>24.32</v>
      </c>
      <c r="T530" s="9">
        <v>0</v>
      </c>
      <c r="U530" s="10">
        <v>0</v>
      </c>
      <c r="V530" s="1" t="s">
        <v>46</v>
      </c>
      <c r="W530" s="1" t="s">
        <v>54</v>
      </c>
      <c r="X530" s="1">
        <v>3457339</v>
      </c>
      <c r="Y530" s="11">
        <v>41813</v>
      </c>
      <c r="Z530" s="11">
        <v>41814</v>
      </c>
      <c r="AA530" s="9">
        <f t="shared" si="60"/>
        <v>165552.27999999997</v>
      </c>
      <c r="AB530" s="12">
        <v>59.45</v>
      </c>
      <c r="AC530" s="9">
        <f t="shared" si="58"/>
        <v>10111053.869999999</v>
      </c>
      <c r="AD530" s="9">
        <f t="shared" si="59"/>
        <v>9842083.0459999982</v>
      </c>
      <c r="AE530" s="1" t="s">
        <v>48</v>
      </c>
      <c r="AF530" s="1" t="s">
        <v>53</v>
      </c>
      <c r="AG530" s="4">
        <f t="shared" si="61"/>
        <v>170076.59999999998</v>
      </c>
      <c r="AH530" s="10">
        <v>169916.42</v>
      </c>
      <c r="AI530" s="10">
        <v>4400</v>
      </c>
      <c r="AJ530" s="10">
        <v>24.32</v>
      </c>
      <c r="AK530" s="10">
        <v>0</v>
      </c>
      <c r="AL530" s="9">
        <f t="shared" si="62"/>
        <v>165492.1</v>
      </c>
      <c r="AM530" s="1"/>
      <c r="AN530" s="1"/>
      <c r="AO530" s="12" t="e">
        <f>AB530/#REF!</f>
        <v>#REF!</v>
      </c>
      <c r="AP530" s="1" t="s">
        <v>1969</v>
      </c>
      <c r="AQ530" s="11">
        <v>41906</v>
      </c>
      <c r="AR530" s="1" t="s">
        <v>1970</v>
      </c>
      <c r="AS530" s="11">
        <v>41907</v>
      </c>
      <c r="AT530" s="1" t="s">
        <v>49</v>
      </c>
      <c r="AU530" s="1" t="s">
        <v>4171</v>
      </c>
    </row>
    <row r="531" spans="1:47" ht="15" customHeight="1" x14ac:dyDescent="0.25">
      <c r="A531" s="1">
        <v>530</v>
      </c>
      <c r="B531" s="1" t="s">
        <v>1258</v>
      </c>
      <c r="C531" s="1" t="s">
        <v>38</v>
      </c>
      <c r="D531" s="1">
        <v>9103550365</v>
      </c>
      <c r="E531" s="5">
        <v>41817</v>
      </c>
      <c r="F531" s="1" t="s">
        <v>501</v>
      </c>
      <c r="G531" s="1" t="s">
        <v>40</v>
      </c>
      <c r="H531" s="1" t="s">
        <v>41</v>
      </c>
      <c r="I531" s="1" t="s">
        <v>2809</v>
      </c>
      <c r="J531" s="1" t="s">
        <v>2773</v>
      </c>
      <c r="K531" s="1">
        <v>38231200</v>
      </c>
      <c r="L531" s="6">
        <v>19.850000000000001</v>
      </c>
      <c r="M531" s="1" t="s">
        <v>70</v>
      </c>
      <c r="N531" s="7" t="s">
        <v>44</v>
      </c>
      <c r="O531" s="1" t="s">
        <v>53</v>
      </c>
      <c r="P531" s="8">
        <v>1158</v>
      </c>
      <c r="Q531" s="17">
        <f t="shared" si="57"/>
        <v>22986.300000000003</v>
      </c>
      <c r="R531" s="9">
        <v>600</v>
      </c>
      <c r="S531" s="9">
        <v>3.29</v>
      </c>
      <c r="T531" s="9">
        <v>0</v>
      </c>
      <c r="U531" s="10">
        <v>0</v>
      </c>
      <c r="V531" s="1" t="s">
        <v>46</v>
      </c>
      <c r="W531" s="1" t="s">
        <v>72</v>
      </c>
      <c r="X531" s="1">
        <v>3458037</v>
      </c>
      <c r="Y531" s="11">
        <v>41813</v>
      </c>
      <c r="Z531" s="11">
        <v>41814</v>
      </c>
      <c r="AA531" s="9">
        <f t="shared" si="60"/>
        <v>22383.010000000002</v>
      </c>
      <c r="AB531" s="12">
        <v>59.45</v>
      </c>
      <c r="AC531" s="9">
        <f t="shared" si="58"/>
        <v>1366535.5350000001</v>
      </c>
      <c r="AD531" s="9">
        <f t="shared" si="59"/>
        <v>1330669.9445000002</v>
      </c>
      <c r="AE531" s="1" t="s">
        <v>48</v>
      </c>
      <c r="AF531" s="1" t="s">
        <v>53</v>
      </c>
      <c r="AG531" s="4">
        <f t="shared" si="61"/>
        <v>22986.300000000003</v>
      </c>
      <c r="AH531" s="10">
        <v>22866.3</v>
      </c>
      <c r="AI531" s="10">
        <v>232</v>
      </c>
      <c r="AJ531" s="10">
        <v>3.29</v>
      </c>
      <c r="AK531" s="10">
        <v>0</v>
      </c>
      <c r="AL531" s="9">
        <f t="shared" si="62"/>
        <v>22631.01</v>
      </c>
      <c r="AM531" s="1"/>
      <c r="AN531" s="1"/>
      <c r="AO531" s="12" t="e">
        <f>AB531/#REF!</f>
        <v>#REF!</v>
      </c>
      <c r="AP531" s="1" t="s">
        <v>1971</v>
      </c>
      <c r="AQ531" s="11">
        <v>41835</v>
      </c>
      <c r="AR531" s="1" t="s">
        <v>1972</v>
      </c>
      <c r="AS531" s="11">
        <v>41836</v>
      </c>
      <c r="AT531" s="1" t="s">
        <v>49</v>
      </c>
      <c r="AU531" s="1" t="s">
        <v>4171</v>
      </c>
    </row>
    <row r="532" spans="1:47" ht="15" customHeight="1" x14ac:dyDescent="0.25">
      <c r="A532" s="1">
        <v>531</v>
      </c>
      <c r="B532" s="1" t="s">
        <v>1258</v>
      </c>
      <c r="C532" s="1" t="s">
        <v>38</v>
      </c>
      <c r="D532" s="1">
        <v>9103550366</v>
      </c>
      <c r="E532" s="5">
        <v>41819</v>
      </c>
      <c r="F532" s="1" t="s">
        <v>502</v>
      </c>
      <c r="G532" s="1" t="s">
        <v>40</v>
      </c>
      <c r="H532" s="1" t="s">
        <v>41</v>
      </c>
      <c r="I532" s="1" t="s">
        <v>2809</v>
      </c>
      <c r="J532" s="1" t="s">
        <v>1006</v>
      </c>
      <c r="K532" s="1">
        <v>38237090</v>
      </c>
      <c r="L532" s="6">
        <v>15</v>
      </c>
      <c r="M532" s="1" t="s">
        <v>70</v>
      </c>
      <c r="N532" s="7" t="s">
        <v>52</v>
      </c>
      <c r="O532" s="1" t="s">
        <v>53</v>
      </c>
      <c r="P532" s="8">
        <v>1700</v>
      </c>
      <c r="Q532" s="17">
        <f t="shared" si="57"/>
        <v>25500</v>
      </c>
      <c r="R532" s="9">
        <v>665</v>
      </c>
      <c r="S532" s="9">
        <v>0</v>
      </c>
      <c r="T532" s="9">
        <v>225</v>
      </c>
      <c r="U532" s="10">
        <v>0</v>
      </c>
      <c r="V532" s="1" t="s">
        <v>46</v>
      </c>
      <c r="W532" s="1" t="s">
        <v>143</v>
      </c>
      <c r="X532" s="1">
        <v>3469805</v>
      </c>
      <c r="Y532" s="11">
        <v>41814</v>
      </c>
      <c r="Z532" s="11">
        <v>41815</v>
      </c>
      <c r="AA532" s="9">
        <f t="shared" si="60"/>
        <v>24835</v>
      </c>
      <c r="AB532" s="12">
        <v>59.45</v>
      </c>
      <c r="AC532" s="9">
        <f t="shared" si="58"/>
        <v>1515975</v>
      </c>
      <c r="AD532" s="9">
        <f t="shared" si="59"/>
        <v>1476440.75</v>
      </c>
      <c r="AE532" s="1" t="s">
        <v>48</v>
      </c>
      <c r="AF532" s="1" t="s">
        <v>53</v>
      </c>
      <c r="AG532" s="4">
        <f t="shared" si="61"/>
        <v>25500</v>
      </c>
      <c r="AH532" s="10">
        <v>25475</v>
      </c>
      <c r="AI532" s="10">
        <v>681</v>
      </c>
      <c r="AJ532" s="10">
        <v>0</v>
      </c>
      <c r="AK532" s="10">
        <v>225</v>
      </c>
      <c r="AL532" s="9">
        <f t="shared" si="62"/>
        <v>24569</v>
      </c>
      <c r="AM532" s="1"/>
      <c r="AN532" s="1"/>
      <c r="AO532" s="12" t="e">
        <f>AB532/#REF!</f>
        <v>#REF!</v>
      </c>
      <c r="AP532" s="1"/>
      <c r="AQ532" s="11">
        <v>42066</v>
      </c>
      <c r="AR532" s="1" t="s">
        <v>3334</v>
      </c>
      <c r="AS532" s="11">
        <v>42067</v>
      </c>
      <c r="AT532" s="1" t="s">
        <v>49</v>
      </c>
      <c r="AU532" s="1" t="s">
        <v>4171</v>
      </c>
    </row>
    <row r="533" spans="1:47" ht="15" customHeight="1" x14ac:dyDescent="0.25">
      <c r="A533" s="1">
        <v>532</v>
      </c>
      <c r="B533" s="1" t="s">
        <v>1258</v>
      </c>
      <c r="C533" s="1" t="s">
        <v>38</v>
      </c>
      <c r="D533" s="1" t="s">
        <v>1973</v>
      </c>
      <c r="E533" s="5">
        <v>41819</v>
      </c>
      <c r="F533" s="1" t="s">
        <v>490</v>
      </c>
      <c r="G533" s="1" t="s">
        <v>40</v>
      </c>
      <c r="H533" s="1" t="s">
        <v>41</v>
      </c>
      <c r="I533" s="1" t="s">
        <v>2809</v>
      </c>
      <c r="J533" s="1" t="s">
        <v>50</v>
      </c>
      <c r="K533" s="1">
        <v>38237090</v>
      </c>
      <c r="L533" s="6">
        <v>73.930000000000007</v>
      </c>
      <c r="M533" s="1" t="s">
        <v>70</v>
      </c>
      <c r="N533" s="7" t="s">
        <v>52</v>
      </c>
      <c r="O533" s="1" t="s">
        <v>45</v>
      </c>
      <c r="P533" s="8">
        <v>965</v>
      </c>
      <c r="Q533" s="17">
        <f t="shared" si="57"/>
        <v>71342.450000000012</v>
      </c>
      <c r="R533" s="9">
        <v>3247.42</v>
      </c>
      <c r="S533" s="9">
        <v>0</v>
      </c>
      <c r="T533" s="9">
        <v>0</v>
      </c>
      <c r="U533" s="10">
        <v>0</v>
      </c>
      <c r="V533" s="1" t="s">
        <v>46</v>
      </c>
      <c r="W533" s="1" t="s">
        <v>2657</v>
      </c>
      <c r="X533" s="1">
        <v>3454625</v>
      </c>
      <c r="Y533" s="11">
        <v>41813</v>
      </c>
      <c r="Z533" s="11">
        <v>41814</v>
      </c>
      <c r="AA533" s="9">
        <f t="shared" si="60"/>
        <v>68095.030000000013</v>
      </c>
      <c r="AB533" s="12">
        <v>80.55</v>
      </c>
      <c r="AC533" s="9">
        <f t="shared" si="58"/>
        <v>5746634.3475000011</v>
      </c>
      <c r="AD533" s="9">
        <f t="shared" si="59"/>
        <v>5485054.6665000012</v>
      </c>
      <c r="AE533" s="1" t="s">
        <v>284</v>
      </c>
      <c r="AF533" s="1" t="s">
        <v>45</v>
      </c>
      <c r="AG533" s="4">
        <f t="shared" si="61"/>
        <v>71342.450000000012</v>
      </c>
      <c r="AH533" s="10">
        <v>71342.45</v>
      </c>
      <c r="AI533" s="10">
        <v>3351.75</v>
      </c>
      <c r="AJ533" s="10">
        <v>0</v>
      </c>
      <c r="AK533" s="10">
        <v>0</v>
      </c>
      <c r="AL533" s="9">
        <f t="shared" si="62"/>
        <v>67990.7</v>
      </c>
      <c r="AM533" s="1"/>
      <c r="AN533" s="1"/>
      <c r="AO533" s="12" t="e">
        <f>AB533/#REF!</f>
        <v>#REF!</v>
      </c>
      <c r="AP533" s="1" t="s">
        <v>1974</v>
      </c>
      <c r="AQ533" s="11">
        <v>41885</v>
      </c>
      <c r="AR533" s="1" t="s">
        <v>1975</v>
      </c>
      <c r="AS533" s="11">
        <v>41885</v>
      </c>
      <c r="AT533" s="1" t="s">
        <v>49</v>
      </c>
      <c r="AU533" s="1" t="s">
        <v>4171</v>
      </c>
    </row>
    <row r="534" spans="1:47" ht="15" customHeight="1" x14ac:dyDescent="0.25">
      <c r="A534" s="1">
        <v>533</v>
      </c>
      <c r="B534" s="1" t="s">
        <v>1258</v>
      </c>
      <c r="C534" s="1" t="s">
        <v>38</v>
      </c>
      <c r="D534" s="1" t="s">
        <v>1973</v>
      </c>
      <c r="E534" s="5">
        <v>41819</v>
      </c>
      <c r="F534" s="1" t="s">
        <v>496</v>
      </c>
      <c r="G534" s="1" t="s">
        <v>40</v>
      </c>
      <c r="H534" s="1" t="s">
        <v>41</v>
      </c>
      <c r="I534" s="1" t="s">
        <v>2809</v>
      </c>
      <c r="J534" s="1" t="s">
        <v>50</v>
      </c>
      <c r="K534" s="1">
        <v>38237090</v>
      </c>
      <c r="L534" s="6">
        <v>37.229999999999997</v>
      </c>
      <c r="M534" s="1" t="s">
        <v>70</v>
      </c>
      <c r="N534" s="7" t="s">
        <v>52</v>
      </c>
      <c r="O534" s="1" t="s">
        <v>45</v>
      </c>
      <c r="P534" s="8">
        <v>965</v>
      </c>
      <c r="Q534" s="17">
        <f t="shared" si="57"/>
        <v>35926.949999999997</v>
      </c>
      <c r="R534" s="9">
        <v>1623.71</v>
      </c>
      <c r="S534" s="9">
        <v>0</v>
      </c>
      <c r="T534" s="9">
        <v>0</v>
      </c>
      <c r="U534" s="10">
        <v>0</v>
      </c>
      <c r="V534" s="1" t="s">
        <v>46</v>
      </c>
      <c r="W534" s="1" t="s">
        <v>2657</v>
      </c>
      <c r="X534" s="1">
        <v>3472878</v>
      </c>
      <c r="Y534" s="11">
        <v>41814</v>
      </c>
      <c r="Z534" s="11">
        <v>41815</v>
      </c>
      <c r="AA534" s="9">
        <f t="shared" si="60"/>
        <v>34303.24</v>
      </c>
      <c r="AB534" s="12">
        <v>80.55</v>
      </c>
      <c r="AC534" s="9">
        <f t="shared" si="58"/>
        <v>2893915.8224999998</v>
      </c>
      <c r="AD534" s="9">
        <f t="shared" si="59"/>
        <v>2763125.9819999998</v>
      </c>
      <c r="AE534" s="1" t="s">
        <v>284</v>
      </c>
      <c r="AF534" s="1" t="s">
        <v>45</v>
      </c>
      <c r="AG534" s="4">
        <f t="shared" si="61"/>
        <v>35926.949999999997</v>
      </c>
      <c r="AH534" s="10">
        <v>35716.050000000003</v>
      </c>
      <c r="AI534" s="10">
        <v>1675.87</v>
      </c>
      <c r="AJ534" s="10">
        <v>0</v>
      </c>
      <c r="AK534" s="10">
        <v>0</v>
      </c>
      <c r="AL534" s="9">
        <f t="shared" si="62"/>
        <v>34040.18</v>
      </c>
      <c r="AM534" s="1"/>
      <c r="AN534" s="1"/>
      <c r="AO534" s="12" t="e">
        <f>AB534/#REF!</f>
        <v>#REF!</v>
      </c>
      <c r="AP534" s="1" t="s">
        <v>1974</v>
      </c>
      <c r="AQ534" s="11">
        <v>41885</v>
      </c>
      <c r="AR534" s="1" t="s">
        <v>1976</v>
      </c>
      <c r="AS534" s="11">
        <v>41885</v>
      </c>
      <c r="AT534" s="1" t="s">
        <v>49</v>
      </c>
      <c r="AU534" s="1" t="s">
        <v>4171</v>
      </c>
    </row>
    <row r="535" spans="1:47" ht="15" customHeight="1" x14ac:dyDescent="0.25">
      <c r="A535" s="1">
        <v>534</v>
      </c>
      <c r="B535" s="1" t="s">
        <v>1258</v>
      </c>
      <c r="C535" s="1" t="s">
        <v>38</v>
      </c>
      <c r="D535" s="1">
        <v>9103550369</v>
      </c>
      <c r="E535" s="5">
        <v>41820</v>
      </c>
      <c r="F535" s="1" t="s">
        <v>497</v>
      </c>
      <c r="G535" s="1" t="s">
        <v>40</v>
      </c>
      <c r="H535" s="1" t="s">
        <v>41</v>
      </c>
      <c r="I535" s="1" t="s">
        <v>2809</v>
      </c>
      <c r="J535" s="45" t="s">
        <v>2631</v>
      </c>
      <c r="K535" s="1">
        <v>38237090</v>
      </c>
      <c r="L535" s="6">
        <v>23.4</v>
      </c>
      <c r="M535" s="1" t="s">
        <v>70</v>
      </c>
      <c r="N535" s="7" t="s">
        <v>44</v>
      </c>
      <c r="O535" s="1" t="s">
        <v>53</v>
      </c>
      <c r="P535" s="8">
        <v>3530</v>
      </c>
      <c r="Q535" s="17">
        <f t="shared" si="57"/>
        <v>82602</v>
      </c>
      <c r="R535" s="9">
        <v>100</v>
      </c>
      <c r="S535" s="9">
        <v>11.81</v>
      </c>
      <c r="T535" s="9">
        <v>702</v>
      </c>
      <c r="U535" s="10">
        <v>0</v>
      </c>
      <c r="V535" s="1" t="s">
        <v>46</v>
      </c>
      <c r="W535" s="1" t="s">
        <v>64</v>
      </c>
      <c r="X535" s="1">
        <v>3476770</v>
      </c>
      <c r="Y535" s="11">
        <v>41814</v>
      </c>
      <c r="Z535" s="11">
        <v>41815</v>
      </c>
      <c r="AA535" s="9">
        <f t="shared" si="60"/>
        <v>82490.19</v>
      </c>
      <c r="AB535" s="12">
        <v>59.45</v>
      </c>
      <c r="AC535" s="9">
        <f t="shared" si="58"/>
        <v>4910688.9000000004</v>
      </c>
      <c r="AD535" s="9">
        <f t="shared" si="59"/>
        <v>4904041.7955</v>
      </c>
      <c r="AE535" s="1" t="s">
        <v>48</v>
      </c>
      <c r="AF535" s="1" t="s">
        <v>53</v>
      </c>
      <c r="AG535" s="4">
        <f t="shared" si="61"/>
        <v>82602</v>
      </c>
      <c r="AH535" s="10">
        <v>82567.5</v>
      </c>
      <c r="AI535" s="10">
        <v>90</v>
      </c>
      <c r="AJ535" s="10">
        <v>11.81</v>
      </c>
      <c r="AK535" s="10">
        <v>702</v>
      </c>
      <c r="AL535" s="9">
        <f t="shared" si="62"/>
        <v>81763.69</v>
      </c>
      <c r="AM535" s="1"/>
      <c r="AN535" s="1"/>
      <c r="AO535" s="12" t="e">
        <f>AB535/#REF!</f>
        <v>#REF!</v>
      </c>
      <c r="AP535" s="1" t="s">
        <v>1977</v>
      </c>
      <c r="AQ535" s="11">
        <v>41888</v>
      </c>
      <c r="AR535" s="1" t="s">
        <v>1978</v>
      </c>
      <c r="AS535" s="11">
        <v>41890</v>
      </c>
      <c r="AT535" s="1" t="s">
        <v>49</v>
      </c>
      <c r="AU535" s="1" t="s">
        <v>4171</v>
      </c>
    </row>
    <row r="536" spans="1:47" ht="15" customHeight="1" x14ac:dyDescent="0.25">
      <c r="A536" s="1">
        <v>535</v>
      </c>
      <c r="B536" s="1" t="s">
        <v>1258</v>
      </c>
      <c r="C536" s="1" t="s">
        <v>38</v>
      </c>
      <c r="D536" s="1">
        <v>9103550370</v>
      </c>
      <c r="E536" s="5">
        <v>41820</v>
      </c>
      <c r="F536" s="1" t="s">
        <v>503</v>
      </c>
      <c r="G536" s="1" t="s">
        <v>40</v>
      </c>
      <c r="H536" s="1" t="s">
        <v>41</v>
      </c>
      <c r="I536" s="1" t="s">
        <v>2809</v>
      </c>
      <c r="J536" s="1" t="s">
        <v>184</v>
      </c>
      <c r="K536" s="1">
        <v>38237090</v>
      </c>
      <c r="L536" s="6">
        <v>40</v>
      </c>
      <c r="M536" s="1" t="s">
        <v>70</v>
      </c>
      <c r="N536" s="7" t="s">
        <v>52</v>
      </c>
      <c r="O536" s="1" t="s">
        <v>53</v>
      </c>
      <c r="P536" s="8">
        <v>3880</v>
      </c>
      <c r="Q536" s="17">
        <f t="shared" si="57"/>
        <v>155200</v>
      </c>
      <c r="R536" s="9">
        <v>200</v>
      </c>
      <c r="S536" s="9">
        <v>0</v>
      </c>
      <c r="T536" s="9">
        <v>0</v>
      </c>
      <c r="U536" s="10">
        <v>0</v>
      </c>
      <c r="V536" s="1" t="s">
        <v>46</v>
      </c>
      <c r="W536" s="1" t="s">
        <v>64</v>
      </c>
      <c r="X536" s="1">
        <v>3479933</v>
      </c>
      <c r="Y536" s="11">
        <v>41814</v>
      </c>
      <c r="Z536" s="11">
        <v>41815</v>
      </c>
      <c r="AA536" s="9">
        <f t="shared" si="60"/>
        <v>155000</v>
      </c>
      <c r="AB536" s="12">
        <v>59.45</v>
      </c>
      <c r="AC536" s="9">
        <f t="shared" si="58"/>
        <v>9226640</v>
      </c>
      <c r="AD536" s="9">
        <f t="shared" si="59"/>
        <v>9214750</v>
      </c>
      <c r="AE536" s="1" t="s">
        <v>48</v>
      </c>
      <c r="AF536" s="1" t="s">
        <v>53</v>
      </c>
      <c r="AG536" s="4">
        <f t="shared" si="61"/>
        <v>155200</v>
      </c>
      <c r="AH536" s="10">
        <v>155049</v>
      </c>
      <c r="AI536" s="10">
        <v>220</v>
      </c>
      <c r="AJ536" s="10">
        <v>0</v>
      </c>
      <c r="AK536" s="10">
        <v>0</v>
      </c>
      <c r="AL536" s="9">
        <f t="shared" si="62"/>
        <v>154829</v>
      </c>
      <c r="AM536" s="1"/>
      <c r="AN536" s="1"/>
      <c r="AO536" s="12" t="e">
        <f>AB536/#REF!</f>
        <v>#REF!</v>
      </c>
      <c r="AP536" s="1" t="s">
        <v>1979</v>
      </c>
      <c r="AQ536" s="11">
        <v>41837</v>
      </c>
      <c r="AR536" s="1" t="s">
        <v>1980</v>
      </c>
      <c r="AS536" s="11">
        <v>41839</v>
      </c>
      <c r="AT536" s="1" t="s">
        <v>49</v>
      </c>
      <c r="AU536" s="1" t="s">
        <v>4171</v>
      </c>
    </row>
    <row r="537" spans="1:47" ht="15" customHeight="1" x14ac:dyDescent="0.25">
      <c r="A537" s="1">
        <v>536</v>
      </c>
      <c r="B537" s="1" t="s">
        <v>1258</v>
      </c>
      <c r="C537" s="1" t="s">
        <v>38</v>
      </c>
      <c r="D537" s="1">
        <v>9103550371</v>
      </c>
      <c r="E537" s="5">
        <v>41820</v>
      </c>
      <c r="F537" s="1" t="s">
        <v>500</v>
      </c>
      <c r="G537" s="1" t="s">
        <v>40</v>
      </c>
      <c r="H537" s="1" t="s">
        <v>41</v>
      </c>
      <c r="I537" s="1" t="s">
        <v>2809</v>
      </c>
      <c r="J537" s="1" t="s">
        <v>837</v>
      </c>
      <c r="K537" s="1">
        <v>29159020</v>
      </c>
      <c r="L537" s="6">
        <v>39.840000000000003</v>
      </c>
      <c r="M537" s="1" t="s">
        <v>70</v>
      </c>
      <c r="N537" s="7" t="s">
        <v>44</v>
      </c>
      <c r="O537" s="1" t="s">
        <v>53</v>
      </c>
      <c r="P537" s="8">
        <v>4700.05</v>
      </c>
      <c r="Q537" s="17">
        <f t="shared" si="57"/>
        <v>187249.99200000003</v>
      </c>
      <c r="R537" s="9">
        <v>13300</v>
      </c>
      <c r="S537" s="9">
        <v>26.78</v>
      </c>
      <c r="T537" s="9">
        <v>0</v>
      </c>
      <c r="U537" s="10">
        <v>0</v>
      </c>
      <c r="V537" s="1" t="s">
        <v>46</v>
      </c>
      <c r="W537" s="1" t="s">
        <v>56</v>
      </c>
      <c r="X537" s="1">
        <v>3477542</v>
      </c>
      <c r="Y537" s="11">
        <v>41814</v>
      </c>
      <c r="Z537" s="11">
        <v>41817</v>
      </c>
      <c r="AA537" s="9">
        <f t="shared" si="60"/>
        <v>173923.21200000003</v>
      </c>
      <c r="AB537" s="12">
        <v>59.45</v>
      </c>
      <c r="AC537" s="9">
        <f t="shared" si="58"/>
        <v>11132012.024400001</v>
      </c>
      <c r="AD537" s="9">
        <f t="shared" si="59"/>
        <v>10339734.953400003</v>
      </c>
      <c r="AE537" s="1" t="s">
        <v>57</v>
      </c>
      <c r="AF537" s="1" t="s">
        <v>53</v>
      </c>
      <c r="AG537" s="4">
        <f t="shared" si="61"/>
        <v>187249.99200000003</v>
      </c>
      <c r="AH537" s="10">
        <v>187244.99</v>
      </c>
      <c r="AI537" s="10">
        <v>12500</v>
      </c>
      <c r="AJ537" s="10">
        <v>26.78</v>
      </c>
      <c r="AK537" s="10">
        <v>0</v>
      </c>
      <c r="AL537" s="9">
        <f t="shared" si="62"/>
        <v>174718.21</v>
      </c>
      <c r="AM537" s="1"/>
      <c r="AN537" s="1"/>
      <c r="AO537" s="12" t="e">
        <f>AB537/#REF!</f>
        <v>#REF!</v>
      </c>
      <c r="AP537" s="1"/>
      <c r="AQ537" s="11">
        <v>41870</v>
      </c>
      <c r="AR537" s="1" t="s">
        <v>3335</v>
      </c>
      <c r="AS537" s="11">
        <v>42060</v>
      </c>
      <c r="AT537" s="1" t="s">
        <v>49</v>
      </c>
      <c r="AU537" s="1" t="s">
        <v>4171</v>
      </c>
    </row>
    <row r="538" spans="1:47" ht="15" customHeight="1" x14ac:dyDescent="0.25">
      <c r="A538" s="1">
        <v>537</v>
      </c>
      <c r="B538" s="1" t="s">
        <v>1258</v>
      </c>
      <c r="C538" s="1" t="s">
        <v>38</v>
      </c>
      <c r="D538" s="1" t="s">
        <v>1981</v>
      </c>
      <c r="E538" s="5">
        <v>41819</v>
      </c>
      <c r="F538" s="1" t="s">
        <v>498</v>
      </c>
      <c r="G538" s="1" t="s">
        <v>40</v>
      </c>
      <c r="H538" s="1" t="s">
        <v>41</v>
      </c>
      <c r="I538" s="1" t="s">
        <v>2809</v>
      </c>
      <c r="J538" s="1" t="s">
        <v>50</v>
      </c>
      <c r="K538" s="1">
        <v>38237090</v>
      </c>
      <c r="L538" s="6">
        <v>112.65</v>
      </c>
      <c r="M538" s="1" t="s">
        <v>70</v>
      </c>
      <c r="N538" s="7" t="s">
        <v>52</v>
      </c>
      <c r="O538" s="1" t="s">
        <v>45</v>
      </c>
      <c r="P538" s="8">
        <v>1170</v>
      </c>
      <c r="Q538" s="17">
        <f t="shared" si="57"/>
        <v>131800.5</v>
      </c>
      <c r="R538" s="9">
        <v>5203.26</v>
      </c>
      <c r="S538" s="9">
        <v>0</v>
      </c>
      <c r="T538" s="9">
        <v>0</v>
      </c>
      <c r="U538" s="10">
        <v>0</v>
      </c>
      <c r="V538" s="1" t="s">
        <v>46</v>
      </c>
      <c r="W538" s="1" t="s">
        <v>2657</v>
      </c>
      <c r="X538" s="1">
        <v>3479791</v>
      </c>
      <c r="Y538" s="11">
        <v>41814</v>
      </c>
      <c r="Z538" s="11">
        <v>41815</v>
      </c>
      <c r="AA538" s="9">
        <f t="shared" si="60"/>
        <v>126597.24</v>
      </c>
      <c r="AB538" s="12">
        <v>80.55</v>
      </c>
      <c r="AC538" s="9">
        <f t="shared" si="58"/>
        <v>10616530.275</v>
      </c>
      <c r="AD538" s="9">
        <f t="shared" si="59"/>
        <v>10197407.682</v>
      </c>
      <c r="AE538" s="1" t="s">
        <v>284</v>
      </c>
      <c r="AF538" s="1" t="s">
        <v>45</v>
      </c>
      <c r="AG538" s="4">
        <f t="shared" si="61"/>
        <v>131800.5</v>
      </c>
      <c r="AH538" s="10">
        <v>131800.5</v>
      </c>
      <c r="AI538" s="10">
        <v>5370.42</v>
      </c>
      <c r="AJ538" s="10">
        <v>0</v>
      </c>
      <c r="AK538" s="10">
        <v>0</v>
      </c>
      <c r="AL538" s="9">
        <f t="shared" si="62"/>
        <v>126430.08</v>
      </c>
      <c r="AM538" s="1"/>
      <c r="AN538" s="1"/>
      <c r="AO538" s="12" t="e">
        <f>AB538/#REF!</f>
        <v>#REF!</v>
      </c>
      <c r="AP538" s="1" t="s">
        <v>1982</v>
      </c>
      <c r="AQ538" s="11">
        <v>41885</v>
      </c>
      <c r="AR538" s="1" t="s">
        <v>1983</v>
      </c>
      <c r="AS538" s="11">
        <v>41885</v>
      </c>
      <c r="AT538" s="1" t="s">
        <v>49</v>
      </c>
      <c r="AU538" s="1" t="s">
        <v>4171</v>
      </c>
    </row>
    <row r="539" spans="1:47" ht="15" customHeight="1" x14ac:dyDescent="0.25">
      <c r="A539" s="1">
        <v>538</v>
      </c>
      <c r="B539" s="1" t="s">
        <v>1258</v>
      </c>
      <c r="C539" s="1" t="s">
        <v>38</v>
      </c>
      <c r="D539" s="1" t="s">
        <v>1981</v>
      </c>
      <c r="E539" s="5">
        <v>41819</v>
      </c>
      <c r="F539" s="1" t="s">
        <v>538</v>
      </c>
      <c r="G539" s="1" t="s">
        <v>40</v>
      </c>
      <c r="H539" s="1" t="s">
        <v>41</v>
      </c>
      <c r="I539" s="1" t="s">
        <v>2809</v>
      </c>
      <c r="J539" s="1" t="s">
        <v>50</v>
      </c>
      <c r="K539" s="1">
        <v>38237090</v>
      </c>
      <c r="L539" s="6">
        <v>94.43</v>
      </c>
      <c r="M539" s="1" t="s">
        <v>70</v>
      </c>
      <c r="N539" s="7" t="s">
        <v>52</v>
      </c>
      <c r="O539" s="1" t="s">
        <v>45</v>
      </c>
      <c r="P539" s="8">
        <v>1170</v>
      </c>
      <c r="Q539" s="17">
        <f t="shared" si="57"/>
        <v>110483.1</v>
      </c>
      <c r="R539" s="9">
        <v>4336.05</v>
      </c>
      <c r="S539" s="9">
        <v>0</v>
      </c>
      <c r="T539" s="9">
        <v>0</v>
      </c>
      <c r="U539" s="10">
        <v>0</v>
      </c>
      <c r="V539" s="1" t="s">
        <v>46</v>
      </c>
      <c r="W539" s="1" t="s">
        <v>2657</v>
      </c>
      <c r="X539" s="1">
        <v>3482424</v>
      </c>
      <c r="Y539" s="11">
        <v>41814</v>
      </c>
      <c r="Z539" s="11">
        <v>41815</v>
      </c>
      <c r="AA539" s="9">
        <f t="shared" si="60"/>
        <v>106147.05</v>
      </c>
      <c r="AB539" s="12">
        <v>80.55</v>
      </c>
      <c r="AC539" s="9">
        <f t="shared" si="58"/>
        <v>8899413.7050000001</v>
      </c>
      <c r="AD539" s="9">
        <f t="shared" si="59"/>
        <v>8550144.8774999995</v>
      </c>
      <c r="AE539" s="1" t="s">
        <v>284</v>
      </c>
      <c r="AF539" s="1" t="s">
        <v>45</v>
      </c>
      <c r="AG539" s="4">
        <f t="shared" si="61"/>
        <v>110483.1</v>
      </c>
      <c r="AH539" s="10">
        <v>110483.1</v>
      </c>
      <c r="AI539" s="10">
        <v>4475.3500000000004</v>
      </c>
      <c r="AJ539" s="10">
        <v>0</v>
      </c>
      <c r="AK539" s="10">
        <v>0</v>
      </c>
      <c r="AL539" s="9">
        <f t="shared" si="62"/>
        <v>106007.75</v>
      </c>
      <c r="AM539" s="1"/>
      <c r="AN539" s="1"/>
      <c r="AO539" s="12" t="e">
        <f>AB539/#REF!</f>
        <v>#REF!</v>
      </c>
      <c r="AP539" s="1" t="s">
        <v>1982</v>
      </c>
      <c r="AQ539" s="11">
        <v>41885</v>
      </c>
      <c r="AR539" s="1" t="s">
        <v>1984</v>
      </c>
      <c r="AS539" s="11">
        <v>41885</v>
      </c>
      <c r="AT539" s="1" t="s">
        <v>49</v>
      </c>
      <c r="AU539" s="1" t="s">
        <v>4171</v>
      </c>
    </row>
    <row r="540" spans="1:47" ht="15" customHeight="1" x14ac:dyDescent="0.25">
      <c r="A540" s="1">
        <v>539</v>
      </c>
      <c r="B540" s="1" t="s">
        <v>1258</v>
      </c>
      <c r="C540" s="1" t="s">
        <v>38</v>
      </c>
      <c r="D540" s="1" t="s">
        <v>1981</v>
      </c>
      <c r="E540" s="5">
        <v>41819</v>
      </c>
      <c r="F540" s="1" t="s">
        <v>504</v>
      </c>
      <c r="G540" s="1" t="s">
        <v>40</v>
      </c>
      <c r="H540" s="1" t="s">
        <v>41</v>
      </c>
      <c r="I540" s="1" t="s">
        <v>2809</v>
      </c>
      <c r="J540" s="1" t="s">
        <v>50</v>
      </c>
      <c r="K540" s="1">
        <v>38237090</v>
      </c>
      <c r="L540" s="6">
        <v>18.899999999999999</v>
      </c>
      <c r="M540" s="1" t="s">
        <v>70</v>
      </c>
      <c r="N540" s="7" t="s">
        <v>52</v>
      </c>
      <c r="O540" s="1" t="s">
        <v>45</v>
      </c>
      <c r="P540" s="8">
        <v>1170</v>
      </c>
      <c r="Q540" s="17">
        <f t="shared" si="57"/>
        <v>22113</v>
      </c>
      <c r="R540" s="9">
        <v>867.21</v>
      </c>
      <c r="S540" s="9">
        <v>0</v>
      </c>
      <c r="T540" s="9">
        <v>0</v>
      </c>
      <c r="U540" s="10">
        <v>0</v>
      </c>
      <c r="V540" s="1" t="s">
        <v>46</v>
      </c>
      <c r="W540" s="1" t="s">
        <v>2657</v>
      </c>
      <c r="X540" s="1">
        <v>3482422</v>
      </c>
      <c r="Y540" s="11">
        <v>41814</v>
      </c>
      <c r="Z540" s="11">
        <v>41815</v>
      </c>
      <c r="AA540" s="9">
        <f t="shared" si="60"/>
        <v>21245.79</v>
      </c>
      <c r="AB540" s="12">
        <v>80.55</v>
      </c>
      <c r="AC540" s="9">
        <f t="shared" si="58"/>
        <v>1781202.15</v>
      </c>
      <c r="AD540" s="9">
        <f t="shared" si="59"/>
        <v>1711348.3844999999</v>
      </c>
      <c r="AE540" s="1" t="s">
        <v>284</v>
      </c>
      <c r="AF540" s="1" t="s">
        <v>45</v>
      </c>
      <c r="AG540" s="4">
        <f t="shared" si="61"/>
        <v>22113</v>
      </c>
      <c r="AH540" s="10">
        <v>21632.92</v>
      </c>
      <c r="AI540" s="10">
        <v>895.07</v>
      </c>
      <c r="AJ540" s="10">
        <v>0</v>
      </c>
      <c r="AK540" s="10">
        <v>0</v>
      </c>
      <c r="AL540" s="9">
        <f t="shared" si="62"/>
        <v>20737.849999999999</v>
      </c>
      <c r="AM540" s="1"/>
      <c r="AN540" s="1"/>
      <c r="AO540" s="12" t="e">
        <f>AB540/#REF!</f>
        <v>#REF!</v>
      </c>
      <c r="AP540" s="1" t="s">
        <v>1982</v>
      </c>
      <c r="AQ540" s="11">
        <v>41885</v>
      </c>
      <c r="AR540" s="1" t="s">
        <v>1985</v>
      </c>
      <c r="AS540" s="11">
        <v>41885</v>
      </c>
      <c r="AT540" s="1" t="s">
        <v>49</v>
      </c>
      <c r="AU540" s="1" t="s">
        <v>4171</v>
      </c>
    </row>
    <row r="541" spans="1:47" ht="15" customHeight="1" x14ac:dyDescent="0.25">
      <c r="A541" s="1">
        <v>540</v>
      </c>
      <c r="B541" s="1" t="s">
        <v>1258</v>
      </c>
      <c r="C541" s="1" t="s">
        <v>38</v>
      </c>
      <c r="D541" s="1" t="s">
        <v>1981</v>
      </c>
      <c r="E541" s="5">
        <v>41819</v>
      </c>
      <c r="F541" s="1" t="s">
        <v>535</v>
      </c>
      <c r="G541" s="1" t="s">
        <v>40</v>
      </c>
      <c r="H541" s="1" t="s">
        <v>41</v>
      </c>
      <c r="I541" s="1" t="s">
        <v>2809</v>
      </c>
      <c r="J541" s="1" t="s">
        <v>50</v>
      </c>
      <c r="K541" s="1">
        <v>38237090</v>
      </c>
      <c r="L541" s="6">
        <v>19.079999999999998</v>
      </c>
      <c r="M541" s="1" t="s">
        <v>70</v>
      </c>
      <c r="N541" s="7" t="s">
        <v>52</v>
      </c>
      <c r="O541" s="1" t="s">
        <v>45</v>
      </c>
      <c r="P541" s="8">
        <v>1170</v>
      </c>
      <c r="Q541" s="17">
        <f t="shared" si="57"/>
        <v>22323.599999999999</v>
      </c>
      <c r="R541" s="9">
        <v>867.21</v>
      </c>
      <c r="S541" s="9">
        <v>0</v>
      </c>
      <c r="T541" s="9">
        <v>0</v>
      </c>
      <c r="U541" s="10">
        <v>0</v>
      </c>
      <c r="V541" s="1" t="s">
        <v>46</v>
      </c>
      <c r="W541" s="1" t="s">
        <v>2657</v>
      </c>
      <c r="X541" s="1">
        <v>3488751</v>
      </c>
      <c r="Y541" s="11">
        <v>41815</v>
      </c>
      <c r="Z541" s="11">
        <v>41816</v>
      </c>
      <c r="AA541" s="9">
        <f t="shared" si="60"/>
        <v>21456.39</v>
      </c>
      <c r="AB541" s="12">
        <v>80.55</v>
      </c>
      <c r="AC541" s="9">
        <f t="shared" si="58"/>
        <v>1798165.9799999997</v>
      </c>
      <c r="AD541" s="9">
        <f t="shared" si="59"/>
        <v>1728312.2145</v>
      </c>
      <c r="AE541" s="1" t="s">
        <v>284</v>
      </c>
      <c r="AF541" s="1" t="s">
        <v>45</v>
      </c>
      <c r="AG541" s="4">
        <f t="shared" si="61"/>
        <v>22323.599999999999</v>
      </c>
      <c r="AH541" s="10">
        <v>22323.599999999999</v>
      </c>
      <c r="AI541" s="10">
        <v>895.07</v>
      </c>
      <c r="AJ541" s="10">
        <v>0</v>
      </c>
      <c r="AK541" s="10">
        <v>0</v>
      </c>
      <c r="AL541" s="9">
        <f t="shared" si="62"/>
        <v>21428.53</v>
      </c>
      <c r="AM541" s="1"/>
      <c r="AN541" s="1"/>
      <c r="AO541" s="12" t="e">
        <f>AB541/#REF!</f>
        <v>#REF!</v>
      </c>
      <c r="AP541" s="1" t="s">
        <v>1982</v>
      </c>
      <c r="AQ541" s="11">
        <v>41885</v>
      </c>
      <c r="AR541" s="1" t="s">
        <v>1986</v>
      </c>
      <c r="AS541" s="11">
        <v>41885</v>
      </c>
      <c r="AT541" s="1" t="s">
        <v>49</v>
      </c>
      <c r="AU541" s="1" t="s">
        <v>4171</v>
      </c>
    </row>
    <row r="542" spans="1:47" ht="15" customHeight="1" x14ac:dyDescent="0.25">
      <c r="A542" s="1">
        <v>541</v>
      </c>
      <c r="B542" s="1" t="s">
        <v>1258</v>
      </c>
      <c r="C542" s="1" t="s">
        <v>38</v>
      </c>
      <c r="D542" s="1">
        <v>9103550374</v>
      </c>
      <c r="E542" s="5">
        <v>41818</v>
      </c>
      <c r="F542" s="1" t="s">
        <v>539</v>
      </c>
      <c r="G542" s="1" t="s">
        <v>40</v>
      </c>
      <c r="H542" s="1" t="s">
        <v>41</v>
      </c>
      <c r="I542" s="1" t="s">
        <v>2809</v>
      </c>
      <c r="J542" s="1" t="s">
        <v>2806</v>
      </c>
      <c r="K542" s="1">
        <v>38237090</v>
      </c>
      <c r="L542" s="6">
        <v>19.260000000000002</v>
      </c>
      <c r="M542" s="1" t="s">
        <v>70</v>
      </c>
      <c r="N542" s="7" t="s">
        <v>67</v>
      </c>
      <c r="O542" s="1" t="s">
        <v>53</v>
      </c>
      <c r="P542" s="8">
        <v>1400</v>
      </c>
      <c r="Q542" s="17">
        <f t="shared" si="57"/>
        <v>26964.000000000004</v>
      </c>
      <c r="R542" s="9">
        <v>0</v>
      </c>
      <c r="S542" s="9">
        <v>0</v>
      </c>
      <c r="T542" s="9">
        <v>0</v>
      </c>
      <c r="U542" s="10">
        <v>0</v>
      </c>
      <c r="V542" s="1" t="s">
        <v>46</v>
      </c>
      <c r="W542" s="1" t="s">
        <v>492</v>
      </c>
      <c r="X542" s="1">
        <v>3505716</v>
      </c>
      <c r="Y542" s="11">
        <v>41815</v>
      </c>
      <c r="Z542" s="11">
        <v>41816</v>
      </c>
      <c r="AA542" s="9">
        <f t="shared" si="60"/>
        <v>26964.000000000004</v>
      </c>
      <c r="AB542" s="12">
        <v>59.45</v>
      </c>
      <c r="AC542" s="9">
        <f t="shared" si="58"/>
        <v>1603009.8000000003</v>
      </c>
      <c r="AD542" s="9">
        <f t="shared" si="59"/>
        <v>1603009.8000000003</v>
      </c>
      <c r="AE542" s="1" t="s">
        <v>48</v>
      </c>
      <c r="AF542" s="1" t="s">
        <v>53</v>
      </c>
      <c r="AG542" s="4">
        <f t="shared" si="61"/>
        <v>26964.000000000004</v>
      </c>
      <c r="AH542" s="10">
        <v>26964</v>
      </c>
      <c r="AI542" s="9">
        <v>0</v>
      </c>
      <c r="AJ542" s="9">
        <v>0</v>
      </c>
      <c r="AK542" s="9">
        <v>0</v>
      </c>
      <c r="AL542" s="9">
        <f t="shared" si="62"/>
        <v>26964</v>
      </c>
      <c r="AM542" s="1"/>
      <c r="AN542" s="1"/>
      <c r="AO542" s="12" t="e">
        <f>AB542/#REF!</f>
        <v>#REF!</v>
      </c>
      <c r="AP542" s="1" t="s">
        <v>1987</v>
      </c>
      <c r="AQ542" s="11">
        <v>41857</v>
      </c>
      <c r="AR542" s="1" t="s">
        <v>1988</v>
      </c>
      <c r="AS542" s="11">
        <v>41858</v>
      </c>
      <c r="AT542" s="1" t="s">
        <v>49</v>
      </c>
      <c r="AU542" s="1" t="s">
        <v>4171</v>
      </c>
    </row>
    <row r="543" spans="1:47" ht="15" customHeight="1" x14ac:dyDescent="0.25">
      <c r="A543" s="1">
        <v>542</v>
      </c>
      <c r="B543" s="1" t="s">
        <v>1258</v>
      </c>
      <c r="C543" s="1" t="s">
        <v>38</v>
      </c>
      <c r="D543" s="1">
        <v>9103550375</v>
      </c>
      <c r="E543" s="5">
        <v>41819</v>
      </c>
      <c r="F543" s="1" t="s">
        <v>516</v>
      </c>
      <c r="G543" s="1" t="s">
        <v>40</v>
      </c>
      <c r="H543" s="1" t="s">
        <v>41</v>
      </c>
      <c r="I543" s="1" t="s">
        <v>2809</v>
      </c>
      <c r="J543" s="1" t="s">
        <v>2806</v>
      </c>
      <c r="K543" s="1">
        <v>38237090</v>
      </c>
      <c r="L543" s="6">
        <v>56.22</v>
      </c>
      <c r="M543" s="1" t="s">
        <v>70</v>
      </c>
      <c r="N543" s="7" t="s">
        <v>67</v>
      </c>
      <c r="O543" s="1" t="s">
        <v>53</v>
      </c>
      <c r="P543" s="8">
        <v>1400</v>
      </c>
      <c r="Q543" s="17">
        <f t="shared" si="57"/>
        <v>78708</v>
      </c>
      <c r="R543" s="9">
        <v>0</v>
      </c>
      <c r="S543" s="9">
        <v>0</v>
      </c>
      <c r="T543" s="9">
        <v>0</v>
      </c>
      <c r="U543" s="10">
        <v>0</v>
      </c>
      <c r="V543" s="1" t="s">
        <v>46</v>
      </c>
      <c r="W543" s="1" t="s">
        <v>492</v>
      </c>
      <c r="X543" s="1">
        <v>3515274</v>
      </c>
      <c r="Y543" s="11">
        <v>41816</v>
      </c>
      <c r="Z543" s="11">
        <v>41817</v>
      </c>
      <c r="AA543" s="9">
        <f t="shared" si="60"/>
        <v>78708</v>
      </c>
      <c r="AB543" s="12">
        <v>59.45</v>
      </c>
      <c r="AC543" s="9">
        <f t="shared" si="58"/>
        <v>4679190.6000000006</v>
      </c>
      <c r="AD543" s="9">
        <f t="shared" si="59"/>
        <v>4679190.6000000006</v>
      </c>
      <c r="AE543" s="1" t="s">
        <v>48</v>
      </c>
      <c r="AF543" s="1" t="s">
        <v>53</v>
      </c>
      <c r="AG543" s="4">
        <f t="shared" si="61"/>
        <v>78708</v>
      </c>
      <c r="AH543" s="10">
        <v>78656</v>
      </c>
      <c r="AI543" s="9">
        <v>0</v>
      </c>
      <c r="AJ543" s="9">
        <v>0</v>
      </c>
      <c r="AK543" s="9">
        <v>0</v>
      </c>
      <c r="AL543" s="9">
        <f t="shared" si="62"/>
        <v>78656</v>
      </c>
      <c r="AM543" s="1"/>
      <c r="AN543" s="1"/>
      <c r="AO543" s="12" t="e">
        <f>AB543/#REF!</f>
        <v>#REF!</v>
      </c>
      <c r="AP543" s="1" t="s">
        <v>1989</v>
      </c>
      <c r="AQ543" s="11">
        <v>41857</v>
      </c>
      <c r="AR543" s="1" t="s">
        <v>1990</v>
      </c>
      <c r="AS543" s="11">
        <v>41858</v>
      </c>
      <c r="AT543" s="1" t="s">
        <v>49</v>
      </c>
      <c r="AU543" s="1" t="s">
        <v>4171</v>
      </c>
    </row>
    <row r="544" spans="1:47" ht="15" customHeight="1" x14ac:dyDescent="0.25">
      <c r="A544" s="1">
        <v>543</v>
      </c>
      <c r="B544" s="1" t="s">
        <v>1258</v>
      </c>
      <c r="C544" s="1" t="s">
        <v>38</v>
      </c>
      <c r="D544" s="1">
        <v>9103550376</v>
      </c>
      <c r="E544" s="5">
        <v>41824</v>
      </c>
      <c r="F544" s="1" t="s">
        <v>508</v>
      </c>
      <c r="G544" s="1" t="s">
        <v>40</v>
      </c>
      <c r="H544" s="1" t="s">
        <v>41</v>
      </c>
      <c r="I544" s="1" t="s">
        <v>2809</v>
      </c>
      <c r="J544" s="1" t="s">
        <v>360</v>
      </c>
      <c r="K544" s="1">
        <v>38237090</v>
      </c>
      <c r="L544" s="6">
        <v>2</v>
      </c>
      <c r="M544" s="1" t="s">
        <v>70</v>
      </c>
      <c r="N544" s="7" t="s">
        <v>67</v>
      </c>
      <c r="O544" s="1" t="s">
        <v>53</v>
      </c>
      <c r="P544" s="8">
        <v>1820</v>
      </c>
      <c r="Q544" s="17">
        <f t="shared" si="57"/>
        <v>3640</v>
      </c>
      <c r="R544" s="9">
        <v>0</v>
      </c>
      <c r="S544" s="9">
        <v>0</v>
      </c>
      <c r="T544" s="9">
        <v>0</v>
      </c>
      <c r="U544" s="10">
        <v>0</v>
      </c>
      <c r="V544" s="1" t="s">
        <v>46</v>
      </c>
      <c r="W544" s="1" t="s">
        <v>690</v>
      </c>
      <c r="X544" s="1">
        <v>3474642</v>
      </c>
      <c r="Y544" s="11">
        <v>41814</v>
      </c>
      <c r="Z544" s="11">
        <v>41816</v>
      </c>
      <c r="AA544" s="9">
        <f t="shared" si="60"/>
        <v>3640</v>
      </c>
      <c r="AB544" s="12">
        <v>59.45</v>
      </c>
      <c r="AC544" s="9">
        <f t="shared" si="58"/>
        <v>216398</v>
      </c>
      <c r="AD544" s="9">
        <f t="shared" si="59"/>
        <v>216398</v>
      </c>
      <c r="AE544" s="1" t="s">
        <v>48</v>
      </c>
      <c r="AF544" s="1" t="s">
        <v>53</v>
      </c>
      <c r="AG544" s="4">
        <f t="shared" si="61"/>
        <v>3640</v>
      </c>
      <c r="AH544" s="10">
        <v>3603</v>
      </c>
      <c r="AI544" s="10"/>
      <c r="AJ544" s="10"/>
      <c r="AK544" s="10"/>
      <c r="AL544" s="9">
        <f t="shared" si="62"/>
        <v>3603</v>
      </c>
      <c r="AM544" s="1"/>
      <c r="AN544" s="1"/>
      <c r="AO544" s="12" t="e">
        <f>AB544/#REF!</f>
        <v>#REF!</v>
      </c>
      <c r="AP544" s="1" t="s">
        <v>1991</v>
      </c>
      <c r="AQ544" s="11">
        <v>41843</v>
      </c>
      <c r="AR544" s="1" t="s">
        <v>1992</v>
      </c>
      <c r="AS544" s="11">
        <v>41844</v>
      </c>
      <c r="AT544" s="1" t="s">
        <v>49</v>
      </c>
      <c r="AU544" s="1" t="s">
        <v>4171</v>
      </c>
    </row>
    <row r="545" spans="1:47" ht="15" customHeight="1" x14ac:dyDescent="0.25">
      <c r="A545" s="1">
        <v>544</v>
      </c>
      <c r="B545" s="1" t="s">
        <v>1258</v>
      </c>
      <c r="C545" s="1" t="s">
        <v>38</v>
      </c>
      <c r="D545" s="1" t="s">
        <v>1993</v>
      </c>
      <c r="E545" s="5">
        <v>41819</v>
      </c>
      <c r="F545" s="1" t="s">
        <v>505</v>
      </c>
      <c r="G545" s="1" t="s">
        <v>40</v>
      </c>
      <c r="H545" s="1" t="s">
        <v>41</v>
      </c>
      <c r="I545" s="1" t="s">
        <v>2809</v>
      </c>
      <c r="J545" s="1" t="s">
        <v>50</v>
      </c>
      <c r="K545" s="1">
        <v>38237090</v>
      </c>
      <c r="L545" s="6">
        <v>113.91</v>
      </c>
      <c r="M545" s="1" t="s">
        <v>70</v>
      </c>
      <c r="N545" s="7" t="s">
        <v>52</v>
      </c>
      <c r="O545" s="1" t="s">
        <v>45</v>
      </c>
      <c r="P545" s="8">
        <v>1170</v>
      </c>
      <c r="Q545" s="17">
        <f t="shared" si="57"/>
        <v>133274.69999999998</v>
      </c>
      <c r="R545" s="9">
        <v>5203.26</v>
      </c>
      <c r="S545" s="9">
        <v>0</v>
      </c>
      <c r="T545" s="9">
        <v>0</v>
      </c>
      <c r="U545" s="10">
        <v>0</v>
      </c>
      <c r="V545" s="1" t="s">
        <v>46</v>
      </c>
      <c r="W545" s="1" t="s">
        <v>2657</v>
      </c>
      <c r="X545" s="1">
        <v>3505513</v>
      </c>
      <c r="Y545" s="11">
        <v>41815</v>
      </c>
      <c r="Z545" s="11">
        <v>41816</v>
      </c>
      <c r="AA545" s="9">
        <f t="shared" si="60"/>
        <v>128071.43999999999</v>
      </c>
      <c r="AB545" s="12">
        <v>80.55</v>
      </c>
      <c r="AC545" s="9">
        <f t="shared" si="58"/>
        <v>10735277.084999999</v>
      </c>
      <c r="AD545" s="9">
        <f t="shared" si="59"/>
        <v>10316154.491999999</v>
      </c>
      <c r="AE545" s="1" t="s">
        <v>284</v>
      </c>
      <c r="AF545" s="1" t="s">
        <v>45</v>
      </c>
      <c r="AG545" s="4">
        <f t="shared" si="61"/>
        <v>133274.69999999998</v>
      </c>
      <c r="AH545" s="10">
        <v>133274.70000000001</v>
      </c>
      <c r="AI545" s="10">
        <v>5370.42</v>
      </c>
      <c r="AJ545" s="10">
        <v>0</v>
      </c>
      <c r="AK545" s="10">
        <v>0</v>
      </c>
      <c r="AL545" s="9">
        <f t="shared" si="62"/>
        <v>127904.28000000001</v>
      </c>
      <c r="AM545" s="1"/>
      <c r="AN545" s="1"/>
      <c r="AO545" s="12" t="e">
        <f>AB545/#REF!</f>
        <v>#REF!</v>
      </c>
      <c r="AP545" s="1" t="s">
        <v>1994</v>
      </c>
      <c r="AQ545" s="11">
        <v>41885</v>
      </c>
      <c r="AR545" s="1" t="s">
        <v>1995</v>
      </c>
      <c r="AS545" s="11">
        <v>41885</v>
      </c>
      <c r="AT545" s="1" t="s">
        <v>49</v>
      </c>
      <c r="AU545" s="1" t="s">
        <v>4171</v>
      </c>
    </row>
    <row r="546" spans="1:47" ht="15" customHeight="1" x14ac:dyDescent="0.25">
      <c r="A546" s="1">
        <v>545</v>
      </c>
      <c r="B546" s="1" t="s">
        <v>1258</v>
      </c>
      <c r="C546" s="1" t="s">
        <v>38</v>
      </c>
      <c r="D546" s="1" t="s">
        <v>1993</v>
      </c>
      <c r="E546" s="5">
        <v>41819</v>
      </c>
      <c r="F546" s="1" t="s">
        <v>509</v>
      </c>
      <c r="G546" s="1" t="s">
        <v>40</v>
      </c>
      <c r="H546" s="1" t="s">
        <v>41</v>
      </c>
      <c r="I546" s="1" t="s">
        <v>2809</v>
      </c>
      <c r="J546" s="1" t="s">
        <v>50</v>
      </c>
      <c r="K546" s="1">
        <v>38237090</v>
      </c>
      <c r="L546" s="6">
        <v>132.94</v>
      </c>
      <c r="M546" s="1" t="s">
        <v>70</v>
      </c>
      <c r="N546" s="7" t="s">
        <v>52</v>
      </c>
      <c r="O546" s="1" t="s">
        <v>45</v>
      </c>
      <c r="P546" s="8">
        <v>1170</v>
      </c>
      <c r="Q546" s="17">
        <f t="shared" si="57"/>
        <v>155539.79999999999</v>
      </c>
      <c r="R546" s="9">
        <v>6070.47</v>
      </c>
      <c r="S546" s="9">
        <v>0</v>
      </c>
      <c r="T546" s="9">
        <v>0</v>
      </c>
      <c r="U546" s="10">
        <v>0</v>
      </c>
      <c r="V546" s="1" t="s">
        <v>46</v>
      </c>
      <c r="W546" s="1" t="s">
        <v>2657</v>
      </c>
      <c r="X546" s="1">
        <v>3525187</v>
      </c>
      <c r="Y546" s="11">
        <v>41816</v>
      </c>
      <c r="Z546" s="11">
        <v>41817</v>
      </c>
      <c r="AA546" s="9">
        <f t="shared" si="60"/>
        <v>149469.32999999999</v>
      </c>
      <c r="AB546" s="12">
        <v>80.55</v>
      </c>
      <c r="AC546" s="9">
        <f t="shared" si="58"/>
        <v>12528730.889999999</v>
      </c>
      <c r="AD546" s="9">
        <f t="shared" si="59"/>
        <v>12039754.531499999</v>
      </c>
      <c r="AE546" s="1" t="s">
        <v>284</v>
      </c>
      <c r="AF546" s="1" t="s">
        <v>45</v>
      </c>
      <c r="AG546" s="4">
        <f t="shared" si="61"/>
        <v>155539.79999999999</v>
      </c>
      <c r="AH546" s="10">
        <v>155056.57999999999</v>
      </c>
      <c r="AI546" s="10">
        <v>6265.49</v>
      </c>
      <c r="AJ546" s="10">
        <v>0</v>
      </c>
      <c r="AK546" s="10">
        <v>0</v>
      </c>
      <c r="AL546" s="9">
        <f t="shared" si="62"/>
        <v>148791.09</v>
      </c>
      <c r="AM546" s="1"/>
      <c r="AN546" s="1"/>
      <c r="AO546" s="12" t="e">
        <f>AB546/#REF!</f>
        <v>#REF!</v>
      </c>
      <c r="AP546" s="1" t="s">
        <v>1994</v>
      </c>
      <c r="AQ546" s="11">
        <v>41885</v>
      </c>
      <c r="AR546" s="1" t="s">
        <v>1996</v>
      </c>
      <c r="AS546" s="11">
        <v>41885</v>
      </c>
      <c r="AT546" s="1" t="s">
        <v>49</v>
      </c>
      <c r="AU546" s="1" t="s">
        <v>4171</v>
      </c>
    </row>
    <row r="547" spans="1:47" ht="15" customHeight="1" x14ac:dyDescent="0.25">
      <c r="A547" s="1">
        <v>546</v>
      </c>
      <c r="B547" s="1" t="s">
        <v>1258</v>
      </c>
      <c r="C547" s="1" t="s">
        <v>38</v>
      </c>
      <c r="D547" s="1">
        <v>9103550379</v>
      </c>
      <c r="E547" s="5">
        <v>41820</v>
      </c>
      <c r="F547" s="1" t="s">
        <v>544</v>
      </c>
      <c r="G547" s="1" t="s">
        <v>40</v>
      </c>
      <c r="H547" s="1" t="s">
        <v>41</v>
      </c>
      <c r="I547" s="1" t="s">
        <v>2809</v>
      </c>
      <c r="J547" s="1" t="s">
        <v>50</v>
      </c>
      <c r="K547" s="1">
        <v>38237090</v>
      </c>
      <c r="L547" s="6">
        <v>113.34</v>
      </c>
      <c r="M547" s="1" t="s">
        <v>70</v>
      </c>
      <c r="N547" s="7" t="s">
        <v>52</v>
      </c>
      <c r="O547" s="1" t="s">
        <v>45</v>
      </c>
      <c r="P547" s="8">
        <v>1195</v>
      </c>
      <c r="Q547" s="17">
        <f t="shared" si="57"/>
        <v>135441.30000000002</v>
      </c>
      <c r="R547" s="9">
        <v>5203.26</v>
      </c>
      <c r="S547" s="9">
        <v>0</v>
      </c>
      <c r="T547" s="9">
        <v>0</v>
      </c>
      <c r="U547" s="10">
        <v>0</v>
      </c>
      <c r="V547" s="1" t="s">
        <v>46</v>
      </c>
      <c r="W547" s="1" t="s">
        <v>2657</v>
      </c>
      <c r="X547" s="1">
        <v>3529118</v>
      </c>
      <c r="Y547" s="11">
        <v>41816</v>
      </c>
      <c r="Z547" s="11">
        <v>41817</v>
      </c>
      <c r="AA547" s="9">
        <f t="shared" si="60"/>
        <v>130238.04000000002</v>
      </c>
      <c r="AB547" s="12">
        <v>80.55</v>
      </c>
      <c r="AC547" s="9">
        <f t="shared" si="58"/>
        <v>10909796.715000002</v>
      </c>
      <c r="AD547" s="9">
        <f t="shared" si="59"/>
        <v>10490674.122000001</v>
      </c>
      <c r="AE547" s="1" t="s">
        <v>284</v>
      </c>
      <c r="AF547" s="1" t="s">
        <v>45</v>
      </c>
      <c r="AG547" s="4">
        <f t="shared" si="61"/>
        <v>135441.30000000002</v>
      </c>
      <c r="AH547" s="10">
        <v>135188.14000000001</v>
      </c>
      <c r="AI547" s="10">
        <v>5533.1</v>
      </c>
      <c r="AJ547" s="10">
        <v>0</v>
      </c>
      <c r="AK547" s="10">
        <v>0</v>
      </c>
      <c r="AL547" s="9">
        <f t="shared" si="62"/>
        <v>129655.04000000001</v>
      </c>
      <c r="AM547" s="1"/>
      <c r="AN547" s="1"/>
      <c r="AO547" s="12" t="e">
        <f>AB547/#REF!</f>
        <v>#REF!</v>
      </c>
      <c r="AP547" s="1" t="s">
        <v>1997</v>
      </c>
      <c r="AQ547" s="11">
        <v>41885</v>
      </c>
      <c r="AR547" s="1" t="s">
        <v>1998</v>
      </c>
      <c r="AS547" s="11">
        <v>41885</v>
      </c>
      <c r="AT547" s="1" t="s">
        <v>49</v>
      </c>
      <c r="AU547" s="1" t="s">
        <v>4171</v>
      </c>
    </row>
    <row r="548" spans="1:47" ht="15" customHeight="1" x14ac:dyDescent="0.25">
      <c r="A548" s="1">
        <v>547</v>
      </c>
      <c r="B548" s="1" t="s">
        <v>1258</v>
      </c>
      <c r="C548" s="1" t="s">
        <v>38</v>
      </c>
      <c r="D548" s="1">
        <v>9103550380</v>
      </c>
      <c r="E548" s="5">
        <v>41820</v>
      </c>
      <c r="F548" s="1" t="s">
        <v>510</v>
      </c>
      <c r="G548" s="1" t="s">
        <v>40</v>
      </c>
      <c r="H548" s="1" t="s">
        <v>41</v>
      </c>
      <c r="I548" s="1" t="s">
        <v>2809</v>
      </c>
      <c r="J548" s="1" t="s">
        <v>2716</v>
      </c>
      <c r="K548" s="1">
        <v>38231900</v>
      </c>
      <c r="L548" s="6">
        <v>19.89</v>
      </c>
      <c r="M548" s="1" t="s">
        <v>70</v>
      </c>
      <c r="N548" s="7" t="s">
        <v>67</v>
      </c>
      <c r="O548" s="1" t="s">
        <v>45</v>
      </c>
      <c r="P548" s="8">
        <v>2885</v>
      </c>
      <c r="Q548" s="17">
        <f t="shared" si="57"/>
        <v>57382.65</v>
      </c>
      <c r="R548" s="9">
        <v>0</v>
      </c>
      <c r="S548" s="9">
        <v>0</v>
      </c>
      <c r="T548" s="9">
        <v>0</v>
      </c>
      <c r="U548" s="10">
        <v>0</v>
      </c>
      <c r="V548" s="1" t="s">
        <v>46</v>
      </c>
      <c r="W548" s="1" t="s">
        <v>47</v>
      </c>
      <c r="X548" s="1">
        <v>3529244</v>
      </c>
      <c r="Y548" s="11">
        <v>41816</v>
      </c>
      <c r="Z548" s="11">
        <v>41817</v>
      </c>
      <c r="AA548" s="9">
        <f t="shared" si="60"/>
        <v>57382.65</v>
      </c>
      <c r="AB548" s="12">
        <v>80.55</v>
      </c>
      <c r="AC548" s="9">
        <f t="shared" si="58"/>
        <v>4622172.4574999996</v>
      </c>
      <c r="AD548" s="9">
        <f t="shared" si="59"/>
        <v>4622172.4574999996</v>
      </c>
      <c r="AE548" s="1" t="s">
        <v>48</v>
      </c>
      <c r="AF548" s="1" t="s">
        <v>45</v>
      </c>
      <c r="AG548" s="4">
        <f t="shared" si="61"/>
        <v>57382.65</v>
      </c>
      <c r="AH548" s="10">
        <v>57382.65</v>
      </c>
      <c r="AI548" s="9">
        <v>0</v>
      </c>
      <c r="AJ548" s="9">
        <v>0</v>
      </c>
      <c r="AK548" s="9">
        <v>0</v>
      </c>
      <c r="AL548" s="9">
        <f t="shared" si="62"/>
        <v>57382.65</v>
      </c>
      <c r="AM548" s="1"/>
      <c r="AN548" s="1"/>
      <c r="AO548" s="12" t="e">
        <f>AB548/#REF!</f>
        <v>#REF!</v>
      </c>
      <c r="AP548" s="1" t="s">
        <v>1999</v>
      </c>
      <c r="AQ548" s="11">
        <v>41878</v>
      </c>
      <c r="AR548" s="1" t="s">
        <v>2000</v>
      </c>
      <c r="AS548" s="11">
        <v>41879</v>
      </c>
      <c r="AT548" s="1" t="s">
        <v>49</v>
      </c>
      <c r="AU548" s="1" t="s">
        <v>4171</v>
      </c>
    </row>
    <row r="549" spans="1:47" ht="15" customHeight="1" x14ac:dyDescent="0.25">
      <c r="A549" s="1">
        <v>548</v>
      </c>
      <c r="B549" s="1" t="s">
        <v>1258</v>
      </c>
      <c r="C549" s="1" t="s">
        <v>38</v>
      </c>
      <c r="D549" s="1">
        <v>9103550381</v>
      </c>
      <c r="E549" s="5">
        <v>41823</v>
      </c>
      <c r="F549" s="1" t="s">
        <v>507</v>
      </c>
      <c r="G549" s="1" t="s">
        <v>40</v>
      </c>
      <c r="H549" s="1" t="s">
        <v>41</v>
      </c>
      <c r="I549" s="1" t="s">
        <v>2809</v>
      </c>
      <c r="J549" s="1" t="s">
        <v>63</v>
      </c>
      <c r="K549" s="1">
        <v>38231200</v>
      </c>
      <c r="L549" s="6">
        <v>39.47</v>
      </c>
      <c r="M549" s="1" t="s">
        <v>70</v>
      </c>
      <c r="N549" s="7" t="s">
        <v>44</v>
      </c>
      <c r="O549" s="1" t="s">
        <v>53</v>
      </c>
      <c r="P549" s="8">
        <v>1330</v>
      </c>
      <c r="Q549" s="17">
        <f t="shared" si="57"/>
        <v>52495.1</v>
      </c>
      <c r="R549" s="9">
        <v>1120</v>
      </c>
      <c r="S549" s="9">
        <v>7.51</v>
      </c>
      <c r="T549" s="9">
        <v>0</v>
      </c>
      <c r="U549" s="10">
        <v>0</v>
      </c>
      <c r="V549" s="1" t="s">
        <v>46</v>
      </c>
      <c r="W549" s="1" t="s">
        <v>64</v>
      </c>
      <c r="X549" s="1">
        <v>3550819</v>
      </c>
      <c r="Y549" s="11">
        <v>41817</v>
      </c>
      <c r="Z549" s="11">
        <v>41820</v>
      </c>
      <c r="AA549" s="9">
        <f t="shared" si="60"/>
        <v>51367.59</v>
      </c>
      <c r="AB549" s="12">
        <v>59.45</v>
      </c>
      <c r="AC549" s="9">
        <f t="shared" si="58"/>
        <v>3120833.6949999998</v>
      </c>
      <c r="AD549" s="9">
        <f t="shared" si="59"/>
        <v>3053803.2254999997</v>
      </c>
      <c r="AE549" s="1" t="s">
        <v>51</v>
      </c>
      <c r="AF549" s="1" t="s">
        <v>53</v>
      </c>
      <c r="AG549" s="4">
        <f t="shared" si="61"/>
        <v>52495.1</v>
      </c>
      <c r="AH549" s="10">
        <v>52482</v>
      </c>
      <c r="AI549" s="10">
        <v>1020</v>
      </c>
      <c r="AJ549" s="10">
        <v>7.51</v>
      </c>
      <c r="AK549" s="10">
        <v>0</v>
      </c>
      <c r="AL549" s="9">
        <f t="shared" si="62"/>
        <v>51454.49</v>
      </c>
      <c r="AM549" s="1"/>
      <c r="AN549" s="1"/>
      <c r="AO549" s="12" t="e">
        <f>AB549/#REF!</f>
        <v>#REF!</v>
      </c>
      <c r="AP549" s="1" t="s">
        <v>2001</v>
      </c>
      <c r="AQ549" s="11">
        <v>41857</v>
      </c>
      <c r="AR549" s="1" t="s">
        <v>2002</v>
      </c>
      <c r="AS549" s="11">
        <v>41905</v>
      </c>
      <c r="AT549" s="1" t="s">
        <v>49</v>
      </c>
      <c r="AU549" s="1" t="s">
        <v>4171</v>
      </c>
    </row>
    <row r="550" spans="1:47" ht="15" customHeight="1" x14ac:dyDescent="0.25">
      <c r="A550" s="1">
        <v>549</v>
      </c>
      <c r="B550" s="1" t="s">
        <v>1258</v>
      </c>
      <c r="C550" s="1" t="s">
        <v>38</v>
      </c>
      <c r="D550" s="1">
        <v>9103550382</v>
      </c>
      <c r="E550" s="5">
        <v>41823</v>
      </c>
      <c r="F550" s="1" t="s">
        <v>523</v>
      </c>
      <c r="G550" s="1" t="s">
        <v>40</v>
      </c>
      <c r="H550" s="1" t="s">
        <v>41</v>
      </c>
      <c r="I550" s="1" t="s">
        <v>2809</v>
      </c>
      <c r="J550" s="1" t="s">
        <v>63</v>
      </c>
      <c r="K550" s="1">
        <v>38231200</v>
      </c>
      <c r="L550" s="6">
        <v>39.42</v>
      </c>
      <c r="M550" s="1" t="s">
        <v>70</v>
      </c>
      <c r="N550" s="7" t="s">
        <v>44</v>
      </c>
      <c r="O550" s="1" t="s">
        <v>53</v>
      </c>
      <c r="P550" s="8">
        <v>1330</v>
      </c>
      <c r="Q550" s="17">
        <f t="shared" si="57"/>
        <v>52428.600000000006</v>
      </c>
      <c r="R550" s="9">
        <v>1120</v>
      </c>
      <c r="S550" s="9">
        <v>7.5</v>
      </c>
      <c r="T550" s="9">
        <v>0</v>
      </c>
      <c r="U550" s="10">
        <v>0</v>
      </c>
      <c r="V550" s="1" t="s">
        <v>46</v>
      </c>
      <c r="W550" s="1" t="s">
        <v>64</v>
      </c>
      <c r="X550" s="1">
        <v>3553138</v>
      </c>
      <c r="Y550" s="11">
        <v>41817</v>
      </c>
      <c r="Z550" s="11">
        <v>41820</v>
      </c>
      <c r="AA550" s="9">
        <f t="shared" si="60"/>
        <v>51301.100000000006</v>
      </c>
      <c r="AB550" s="12">
        <v>59.45</v>
      </c>
      <c r="AC550" s="9">
        <f t="shared" si="58"/>
        <v>3116880.2700000005</v>
      </c>
      <c r="AD550" s="9">
        <f t="shared" si="59"/>
        <v>3049850.3950000005</v>
      </c>
      <c r="AE550" s="1" t="s">
        <v>51</v>
      </c>
      <c r="AF550" s="1" t="s">
        <v>53</v>
      </c>
      <c r="AG550" s="4">
        <f t="shared" si="61"/>
        <v>52428.600000000006</v>
      </c>
      <c r="AH550" s="10">
        <v>52428</v>
      </c>
      <c r="AI550" s="10">
        <v>1020</v>
      </c>
      <c r="AJ550" s="10">
        <v>7.5</v>
      </c>
      <c r="AK550" s="10">
        <v>0</v>
      </c>
      <c r="AL550" s="9">
        <f t="shared" si="62"/>
        <v>51400.5</v>
      </c>
      <c r="AM550" s="1"/>
      <c r="AN550" s="1"/>
      <c r="AO550" s="12" t="e">
        <f>AB550/#REF!</f>
        <v>#REF!</v>
      </c>
      <c r="AP550" s="1" t="s">
        <v>2003</v>
      </c>
      <c r="AQ550" s="11">
        <v>41857</v>
      </c>
      <c r="AR550" s="1" t="s">
        <v>2004</v>
      </c>
      <c r="AS550" s="11">
        <v>41905</v>
      </c>
      <c r="AT550" s="1" t="s">
        <v>49</v>
      </c>
      <c r="AU550" s="1" t="s">
        <v>4171</v>
      </c>
    </row>
    <row r="551" spans="1:47" ht="15" customHeight="1" x14ac:dyDescent="0.25">
      <c r="A551" s="1">
        <v>550</v>
      </c>
      <c r="B551" s="1" t="s">
        <v>1258</v>
      </c>
      <c r="C551" s="1" t="s">
        <v>38</v>
      </c>
      <c r="D551" s="1" t="s">
        <v>2005</v>
      </c>
      <c r="E551" s="5">
        <v>41823</v>
      </c>
      <c r="F551" s="1" t="s">
        <v>541</v>
      </c>
      <c r="G551" s="1" t="s">
        <v>40</v>
      </c>
      <c r="H551" s="1" t="s">
        <v>41</v>
      </c>
      <c r="I551" s="1" t="s">
        <v>2809</v>
      </c>
      <c r="J551" s="1" t="s">
        <v>50</v>
      </c>
      <c r="K551" s="1">
        <v>38237090</v>
      </c>
      <c r="L551" s="6">
        <v>132.06</v>
      </c>
      <c r="M551" s="1" t="s">
        <v>70</v>
      </c>
      <c r="N551" s="7" t="s">
        <v>52</v>
      </c>
      <c r="O551" s="1" t="s">
        <v>45</v>
      </c>
      <c r="P551" s="8">
        <v>1195</v>
      </c>
      <c r="Q551" s="17">
        <f t="shared" si="57"/>
        <v>157811.70000000001</v>
      </c>
      <c r="R551" s="9">
        <v>5941.31</v>
      </c>
      <c r="S551" s="9">
        <v>0</v>
      </c>
      <c r="T551" s="9">
        <v>0</v>
      </c>
      <c r="U551" s="10">
        <v>0</v>
      </c>
      <c r="V551" s="1" t="s">
        <v>46</v>
      </c>
      <c r="W551" s="1" t="s">
        <v>2657</v>
      </c>
      <c r="X551" s="1">
        <v>3550338</v>
      </c>
      <c r="Y551" s="11">
        <v>41817</v>
      </c>
      <c r="Z551" s="11">
        <v>41818</v>
      </c>
      <c r="AA551" s="9">
        <f t="shared" si="60"/>
        <v>151870.39000000001</v>
      </c>
      <c r="AB551" s="12">
        <v>80.55</v>
      </c>
      <c r="AC551" s="9">
        <f t="shared" si="58"/>
        <v>12711732.435000001</v>
      </c>
      <c r="AD551" s="9">
        <f t="shared" si="59"/>
        <v>12233159.9145</v>
      </c>
      <c r="AE551" s="1" t="s">
        <v>284</v>
      </c>
      <c r="AF551" s="1" t="s">
        <v>45</v>
      </c>
      <c r="AG551" s="4">
        <f t="shared" si="61"/>
        <v>157811.70000000001</v>
      </c>
      <c r="AH551" s="10">
        <v>157811.70000000001</v>
      </c>
      <c r="AI551" s="10">
        <v>6480.99</v>
      </c>
      <c r="AJ551" s="10">
        <v>0</v>
      </c>
      <c r="AK551" s="10">
        <v>0</v>
      </c>
      <c r="AL551" s="9">
        <f t="shared" si="62"/>
        <v>151330.71000000002</v>
      </c>
      <c r="AM551" s="1"/>
      <c r="AN551" s="1"/>
      <c r="AO551" s="12" t="e">
        <f>AB551/#REF!</f>
        <v>#REF!</v>
      </c>
      <c r="AP551" s="1" t="s">
        <v>2006</v>
      </c>
      <c r="AQ551" s="11">
        <v>41886</v>
      </c>
      <c r="AR551" s="1" t="s">
        <v>2007</v>
      </c>
      <c r="AS551" s="11">
        <v>41886</v>
      </c>
      <c r="AT551" s="1" t="s">
        <v>49</v>
      </c>
      <c r="AU551" s="1" t="s">
        <v>4171</v>
      </c>
    </row>
    <row r="552" spans="1:47" ht="15" customHeight="1" x14ac:dyDescent="0.25">
      <c r="A552" s="1">
        <v>551</v>
      </c>
      <c r="B552" s="1" t="s">
        <v>1258</v>
      </c>
      <c r="C552" s="1" t="s">
        <v>38</v>
      </c>
      <c r="D552" s="1" t="s">
        <v>2005</v>
      </c>
      <c r="E552" s="5">
        <v>41823</v>
      </c>
      <c r="F552" s="1" t="s">
        <v>524</v>
      </c>
      <c r="G552" s="1" t="s">
        <v>40</v>
      </c>
      <c r="H552" s="1" t="s">
        <v>41</v>
      </c>
      <c r="I552" s="1" t="s">
        <v>2809</v>
      </c>
      <c r="J552" s="1" t="s">
        <v>50</v>
      </c>
      <c r="K552" s="1">
        <v>38237090</v>
      </c>
      <c r="L552" s="6">
        <v>18.920000000000002</v>
      </c>
      <c r="M552" s="1" t="s">
        <v>70</v>
      </c>
      <c r="N552" s="7" t="s">
        <v>52</v>
      </c>
      <c r="O552" s="1" t="s">
        <v>45</v>
      </c>
      <c r="P552" s="8">
        <v>1195</v>
      </c>
      <c r="Q552" s="17">
        <f t="shared" si="57"/>
        <v>22609.4</v>
      </c>
      <c r="R552" s="9">
        <v>848.76</v>
      </c>
      <c r="S552" s="9">
        <v>0</v>
      </c>
      <c r="T552" s="9">
        <v>0</v>
      </c>
      <c r="U552" s="10">
        <v>0</v>
      </c>
      <c r="V552" s="1" t="s">
        <v>46</v>
      </c>
      <c r="W552" s="1" t="s">
        <v>2657</v>
      </c>
      <c r="X552" s="1">
        <v>3561466</v>
      </c>
      <c r="Y552" s="11">
        <v>41818</v>
      </c>
      <c r="Z552" s="11">
        <v>41820</v>
      </c>
      <c r="AA552" s="9">
        <f t="shared" si="60"/>
        <v>21760.640000000003</v>
      </c>
      <c r="AB552" s="12">
        <v>80.55</v>
      </c>
      <c r="AC552" s="9">
        <f t="shared" si="58"/>
        <v>1821187.1700000002</v>
      </c>
      <c r="AD552" s="9">
        <f t="shared" si="59"/>
        <v>1752819.5520000001</v>
      </c>
      <c r="AE552" s="1" t="s">
        <v>284</v>
      </c>
      <c r="AF552" s="1" t="s">
        <v>45</v>
      </c>
      <c r="AG552" s="4">
        <f t="shared" si="61"/>
        <v>22609.4</v>
      </c>
      <c r="AH552" s="10">
        <v>22288.77</v>
      </c>
      <c r="AI552" s="10">
        <v>915.36</v>
      </c>
      <c r="AJ552" s="10">
        <v>0</v>
      </c>
      <c r="AK552" s="10">
        <v>0</v>
      </c>
      <c r="AL552" s="9">
        <f t="shared" si="62"/>
        <v>21373.41</v>
      </c>
      <c r="AM552" s="1"/>
      <c r="AN552" s="1"/>
      <c r="AO552" s="12" t="e">
        <f>AB552/#REF!</f>
        <v>#REF!</v>
      </c>
      <c r="AP552" s="1" t="s">
        <v>2006</v>
      </c>
      <c r="AQ552" s="11">
        <v>41886</v>
      </c>
      <c r="AR552" s="1" t="s">
        <v>2008</v>
      </c>
      <c r="AS552" s="11">
        <v>41886</v>
      </c>
      <c r="AT552" s="1" t="s">
        <v>49</v>
      </c>
      <c r="AU552" s="1" t="s">
        <v>4171</v>
      </c>
    </row>
    <row r="553" spans="1:47" ht="15" customHeight="1" x14ac:dyDescent="0.25">
      <c r="A553" s="1">
        <v>552</v>
      </c>
      <c r="B553" s="1" t="s">
        <v>1258</v>
      </c>
      <c r="C553" s="1" t="s">
        <v>38</v>
      </c>
      <c r="D553" s="1" t="s">
        <v>2009</v>
      </c>
      <c r="E553" s="5">
        <v>41822</v>
      </c>
      <c r="F553" s="1" t="s">
        <v>2010</v>
      </c>
      <c r="G553" s="1" t="s">
        <v>40</v>
      </c>
      <c r="H553" s="1" t="s">
        <v>41</v>
      </c>
      <c r="I553" s="1" t="s">
        <v>2809</v>
      </c>
      <c r="J553" s="1" t="s">
        <v>50</v>
      </c>
      <c r="K553" s="1">
        <v>38237090</v>
      </c>
      <c r="L553" s="6">
        <v>18.77</v>
      </c>
      <c r="M553" s="1" t="s">
        <v>70</v>
      </c>
      <c r="N553" s="7" t="s">
        <v>52</v>
      </c>
      <c r="O553" s="1" t="s">
        <v>45</v>
      </c>
      <c r="P553" s="8">
        <v>1195</v>
      </c>
      <c r="Q553" s="17">
        <f t="shared" si="57"/>
        <v>22430.149999999998</v>
      </c>
      <c r="R553" s="9">
        <v>848.76</v>
      </c>
      <c r="S553" s="9">
        <v>0</v>
      </c>
      <c r="T553" s="9">
        <v>0</v>
      </c>
      <c r="U553" s="10">
        <v>0</v>
      </c>
      <c r="V553" s="1" t="s">
        <v>46</v>
      </c>
      <c r="W553" s="1" t="s">
        <v>2657</v>
      </c>
      <c r="X553" s="1">
        <v>3553131</v>
      </c>
      <c r="Y553" s="11">
        <v>41817</v>
      </c>
      <c r="Z553" s="11">
        <v>41818</v>
      </c>
      <c r="AA553" s="9">
        <f t="shared" si="60"/>
        <v>21581.39</v>
      </c>
      <c r="AB553" s="12">
        <v>80.55</v>
      </c>
      <c r="AC553" s="9">
        <f t="shared" si="58"/>
        <v>1806748.5824999998</v>
      </c>
      <c r="AD553" s="9">
        <f t="shared" si="59"/>
        <v>1738380.9645</v>
      </c>
      <c r="AE553" s="1" t="s">
        <v>284</v>
      </c>
      <c r="AF553" s="1" t="s">
        <v>45</v>
      </c>
      <c r="AG553" s="4">
        <f t="shared" si="61"/>
        <v>22430.149999999998</v>
      </c>
      <c r="AH553" s="10">
        <v>22110.36</v>
      </c>
      <c r="AI553" s="10">
        <v>932.24</v>
      </c>
      <c r="AJ553" s="10">
        <v>0</v>
      </c>
      <c r="AK553" s="10">
        <v>0</v>
      </c>
      <c r="AL553" s="9">
        <f t="shared" si="62"/>
        <v>21178.12</v>
      </c>
      <c r="AM553" s="1"/>
      <c r="AN553" s="1"/>
      <c r="AO553" s="12" t="e">
        <f>AB553/#REF!</f>
        <v>#REF!</v>
      </c>
      <c r="AP553" s="1" t="s">
        <v>2011</v>
      </c>
      <c r="AQ553" s="11">
        <v>41885</v>
      </c>
      <c r="AR553" s="1" t="s">
        <v>2012</v>
      </c>
      <c r="AS553" s="11">
        <v>41885</v>
      </c>
      <c r="AT553" s="1" t="s">
        <v>49</v>
      </c>
      <c r="AU553" s="1" t="s">
        <v>4171</v>
      </c>
    </row>
    <row r="554" spans="1:47" ht="15" customHeight="1" x14ac:dyDescent="0.25">
      <c r="A554" s="1">
        <v>553</v>
      </c>
      <c r="B554" s="1" t="s">
        <v>1258</v>
      </c>
      <c r="C554" s="1" t="s">
        <v>38</v>
      </c>
      <c r="D554" s="1" t="s">
        <v>2009</v>
      </c>
      <c r="E554" s="5">
        <v>41822</v>
      </c>
      <c r="F554" s="1" t="s">
        <v>511</v>
      </c>
      <c r="G554" s="1" t="s">
        <v>40</v>
      </c>
      <c r="H554" s="1" t="s">
        <v>41</v>
      </c>
      <c r="I554" s="1" t="s">
        <v>2809</v>
      </c>
      <c r="J554" s="1" t="s">
        <v>50</v>
      </c>
      <c r="K554" s="1">
        <v>38237090</v>
      </c>
      <c r="L554" s="6">
        <v>131.74</v>
      </c>
      <c r="M554" s="1" t="s">
        <v>70</v>
      </c>
      <c r="N554" s="7" t="s">
        <v>52</v>
      </c>
      <c r="O554" s="1" t="s">
        <v>45</v>
      </c>
      <c r="P554" s="8">
        <v>1195</v>
      </c>
      <c r="Q554" s="17">
        <f t="shared" si="57"/>
        <v>157429.30000000002</v>
      </c>
      <c r="R554" s="9">
        <v>5941.31</v>
      </c>
      <c r="S554" s="9">
        <v>0</v>
      </c>
      <c r="T554" s="9">
        <v>0</v>
      </c>
      <c r="U554" s="10">
        <v>0</v>
      </c>
      <c r="V554" s="1" t="s">
        <v>46</v>
      </c>
      <c r="W554" s="1" t="s">
        <v>2657</v>
      </c>
      <c r="X554" s="1">
        <v>3569283</v>
      </c>
      <c r="Y554" s="11">
        <v>41818</v>
      </c>
      <c r="Z554" s="11">
        <v>41820</v>
      </c>
      <c r="AA554" s="9">
        <f t="shared" si="60"/>
        <v>151487.99000000002</v>
      </c>
      <c r="AB554" s="12">
        <v>80.55</v>
      </c>
      <c r="AC554" s="9">
        <f t="shared" si="58"/>
        <v>12680930.115</v>
      </c>
      <c r="AD554" s="9">
        <f t="shared" si="59"/>
        <v>12202357.594500002</v>
      </c>
      <c r="AE554" s="1" t="s">
        <v>284</v>
      </c>
      <c r="AF554" s="1" t="s">
        <v>45</v>
      </c>
      <c r="AG554" s="4">
        <f t="shared" si="61"/>
        <v>157429.30000000002</v>
      </c>
      <c r="AH554" s="10">
        <v>157429.29999999999</v>
      </c>
      <c r="AI554" s="10">
        <v>6525.73</v>
      </c>
      <c r="AJ554" s="10">
        <v>0</v>
      </c>
      <c r="AK554" s="10">
        <v>0</v>
      </c>
      <c r="AL554" s="9">
        <f t="shared" si="62"/>
        <v>150903.56999999998</v>
      </c>
      <c r="AM554" s="1"/>
      <c r="AN554" s="1"/>
      <c r="AO554" s="12" t="e">
        <f>AB554/#REF!</f>
        <v>#REF!</v>
      </c>
      <c r="AP554" s="1" t="s">
        <v>2011</v>
      </c>
      <c r="AQ554" s="11">
        <v>41885</v>
      </c>
      <c r="AR554" s="1" t="s">
        <v>2013</v>
      </c>
      <c r="AS554" s="11">
        <v>41885</v>
      </c>
      <c r="AT554" s="1" t="s">
        <v>49</v>
      </c>
      <c r="AU554" s="1" t="s">
        <v>4171</v>
      </c>
    </row>
    <row r="555" spans="1:47" ht="15" customHeight="1" x14ac:dyDescent="0.25">
      <c r="A555" s="1">
        <v>554</v>
      </c>
      <c r="B555" s="1" t="s">
        <v>1258</v>
      </c>
      <c r="C555" s="1" t="s">
        <v>38</v>
      </c>
      <c r="D555" s="1">
        <v>9103550387</v>
      </c>
      <c r="E555" s="5">
        <v>41823</v>
      </c>
      <c r="F555" s="1" t="s">
        <v>513</v>
      </c>
      <c r="G555" s="1" t="s">
        <v>40</v>
      </c>
      <c r="H555" s="1" t="s">
        <v>41</v>
      </c>
      <c r="I555" s="1" t="s">
        <v>2809</v>
      </c>
      <c r="J555" s="1" t="s">
        <v>1705</v>
      </c>
      <c r="K555" s="1">
        <v>38237090</v>
      </c>
      <c r="L555" s="6">
        <v>7.31</v>
      </c>
      <c r="M555" s="1" t="s">
        <v>70</v>
      </c>
      <c r="N555" s="7" t="s">
        <v>44</v>
      </c>
      <c r="O555" s="1" t="s">
        <v>53</v>
      </c>
      <c r="P555" s="8">
        <v>1958</v>
      </c>
      <c r="Q555" s="17">
        <f t="shared" si="57"/>
        <v>14312.98</v>
      </c>
      <c r="R555" s="9">
        <v>75</v>
      </c>
      <c r="S555" s="9">
        <v>2.0499999999999998</v>
      </c>
      <c r="T555" s="9">
        <v>0</v>
      </c>
      <c r="U555" s="10">
        <v>0</v>
      </c>
      <c r="V555" s="1" t="s">
        <v>46</v>
      </c>
      <c r="W555" s="1" t="s">
        <v>64</v>
      </c>
      <c r="X555" s="1">
        <v>3580327</v>
      </c>
      <c r="Y555" s="11">
        <v>41820</v>
      </c>
      <c r="Z555" s="11">
        <v>41820</v>
      </c>
      <c r="AA555" s="9">
        <f t="shared" si="60"/>
        <v>14235.93</v>
      </c>
      <c r="AB555" s="12">
        <v>59.45</v>
      </c>
      <c r="AC555" s="9">
        <f t="shared" si="58"/>
        <v>850906.66099999996</v>
      </c>
      <c r="AD555" s="9">
        <f t="shared" si="59"/>
        <v>846326.03850000002</v>
      </c>
      <c r="AE555" s="1" t="s">
        <v>48</v>
      </c>
      <c r="AF555" s="1" t="s">
        <v>53</v>
      </c>
      <c r="AG555" s="4">
        <f t="shared" si="61"/>
        <v>14312.98</v>
      </c>
      <c r="AH555" s="10">
        <v>14151.98</v>
      </c>
      <c r="AI555" s="10">
        <v>70</v>
      </c>
      <c r="AJ555" s="10">
        <v>2.0499999999999998</v>
      </c>
      <c r="AK555" s="10">
        <v>0</v>
      </c>
      <c r="AL555" s="9">
        <f t="shared" si="62"/>
        <v>14079.93</v>
      </c>
      <c r="AM555" s="1"/>
      <c r="AN555" s="1"/>
      <c r="AO555" s="12" t="e">
        <f>AB555/#REF!</f>
        <v>#REF!</v>
      </c>
      <c r="AP555" s="1" t="s">
        <v>2014</v>
      </c>
      <c r="AQ555" s="11">
        <v>41841</v>
      </c>
      <c r="AR555" s="1" t="s">
        <v>2015</v>
      </c>
      <c r="AS555" s="11">
        <v>41842</v>
      </c>
      <c r="AT555" s="1" t="s">
        <v>49</v>
      </c>
      <c r="AU555" s="1" t="s">
        <v>4171</v>
      </c>
    </row>
    <row r="556" spans="1:47" ht="15" customHeight="1" x14ac:dyDescent="0.25">
      <c r="A556" s="1">
        <v>555</v>
      </c>
      <c r="B556" s="1" t="s">
        <v>1258</v>
      </c>
      <c r="C556" s="1" t="s">
        <v>38</v>
      </c>
      <c r="D556" s="1">
        <v>9103550388</v>
      </c>
      <c r="E556" s="5">
        <v>41823</v>
      </c>
      <c r="F556" s="1" t="s">
        <v>514</v>
      </c>
      <c r="G556" s="1" t="s">
        <v>40</v>
      </c>
      <c r="H556" s="1" t="s">
        <v>41</v>
      </c>
      <c r="I556" s="1" t="s">
        <v>2809</v>
      </c>
      <c r="J556" s="1" t="s">
        <v>63</v>
      </c>
      <c r="K556" s="1">
        <v>29161990</v>
      </c>
      <c r="L556" s="6">
        <v>39.22</v>
      </c>
      <c r="M556" s="1" t="s">
        <v>70</v>
      </c>
      <c r="N556" s="7" t="s">
        <v>44</v>
      </c>
      <c r="O556" s="1" t="s">
        <v>53</v>
      </c>
      <c r="P556" s="8">
        <v>2570</v>
      </c>
      <c r="Q556" s="17">
        <f t="shared" si="57"/>
        <v>100795.4</v>
      </c>
      <c r="R556" s="9">
        <v>1120</v>
      </c>
      <c r="S556" s="9">
        <v>14.41</v>
      </c>
      <c r="T556" s="9">
        <v>0</v>
      </c>
      <c r="U556" s="10">
        <v>0</v>
      </c>
      <c r="V556" s="1" t="s">
        <v>46</v>
      </c>
      <c r="W556" s="1" t="s">
        <v>64</v>
      </c>
      <c r="X556" s="1">
        <v>3586516</v>
      </c>
      <c r="Y556" s="11">
        <v>41820</v>
      </c>
      <c r="Z556" s="11">
        <v>41821</v>
      </c>
      <c r="AA556" s="9">
        <f t="shared" si="60"/>
        <v>99660.989999999991</v>
      </c>
      <c r="AB556" s="12">
        <v>59.45</v>
      </c>
      <c r="AC556" s="9">
        <f t="shared" si="58"/>
        <v>5992286.5300000003</v>
      </c>
      <c r="AD556" s="9">
        <f t="shared" si="59"/>
        <v>5924845.8554999996</v>
      </c>
      <c r="AE556" s="1" t="s">
        <v>51</v>
      </c>
      <c r="AF556" s="1" t="s">
        <v>53</v>
      </c>
      <c r="AG556" s="4">
        <f t="shared" si="61"/>
        <v>100795.4</v>
      </c>
      <c r="AH556" s="10">
        <v>100795</v>
      </c>
      <c r="AI556" s="10">
        <v>1120</v>
      </c>
      <c r="AJ556" s="10">
        <v>14.41</v>
      </c>
      <c r="AK556" s="10">
        <v>0</v>
      </c>
      <c r="AL556" s="9">
        <f t="shared" si="62"/>
        <v>99660.59</v>
      </c>
      <c r="AM556" s="1"/>
      <c r="AN556" s="1"/>
      <c r="AO556" s="12" t="e">
        <f>AB556/#REF!</f>
        <v>#REF!</v>
      </c>
      <c r="AP556" s="1" t="s">
        <v>2016</v>
      </c>
      <c r="AQ556" s="11">
        <v>41843</v>
      </c>
      <c r="AR556" s="1" t="s">
        <v>2017</v>
      </c>
      <c r="AS556" s="11">
        <v>41867</v>
      </c>
      <c r="AT556" s="1" t="s">
        <v>49</v>
      </c>
      <c r="AU556" s="1" t="s">
        <v>4171</v>
      </c>
    </row>
    <row r="557" spans="1:47" ht="15" customHeight="1" x14ac:dyDescent="0.25">
      <c r="A557" s="1">
        <v>556</v>
      </c>
      <c r="B557" s="1" t="s">
        <v>1258</v>
      </c>
      <c r="C557" s="1" t="s">
        <v>38</v>
      </c>
      <c r="D557" s="1">
        <v>9103550389</v>
      </c>
      <c r="E557" s="5">
        <v>41823</v>
      </c>
      <c r="F557" s="1" t="s">
        <v>515</v>
      </c>
      <c r="G557" s="1" t="s">
        <v>40</v>
      </c>
      <c r="H557" s="1" t="s">
        <v>41</v>
      </c>
      <c r="I557" s="1" t="s">
        <v>2809</v>
      </c>
      <c r="J557" s="1" t="s">
        <v>63</v>
      </c>
      <c r="K557" s="1">
        <v>29161990</v>
      </c>
      <c r="L557" s="6">
        <v>39.5</v>
      </c>
      <c r="M557" s="1" t="s">
        <v>70</v>
      </c>
      <c r="N557" s="7" t="s">
        <v>44</v>
      </c>
      <c r="O557" s="1" t="s">
        <v>53</v>
      </c>
      <c r="P557" s="8">
        <v>2570</v>
      </c>
      <c r="Q557" s="17">
        <f t="shared" si="57"/>
        <v>101515</v>
      </c>
      <c r="R557" s="9">
        <v>1120</v>
      </c>
      <c r="S557" s="9">
        <v>14.52</v>
      </c>
      <c r="T557" s="9">
        <v>0</v>
      </c>
      <c r="U557" s="10">
        <v>0</v>
      </c>
      <c r="V557" s="1" t="s">
        <v>46</v>
      </c>
      <c r="W557" s="1" t="s">
        <v>64</v>
      </c>
      <c r="X557" s="1">
        <v>3586519</v>
      </c>
      <c r="Y557" s="11">
        <v>41820</v>
      </c>
      <c r="Z557" s="11">
        <v>41821</v>
      </c>
      <c r="AA557" s="9">
        <f t="shared" si="60"/>
        <v>100380.48</v>
      </c>
      <c r="AB557" s="12">
        <v>59.45</v>
      </c>
      <c r="AC557" s="9">
        <f t="shared" si="58"/>
        <v>6035066.75</v>
      </c>
      <c r="AD557" s="9">
        <f t="shared" si="59"/>
        <v>5967619.5360000003</v>
      </c>
      <c r="AE557" s="1" t="s">
        <v>51</v>
      </c>
      <c r="AF557" s="1" t="s">
        <v>53</v>
      </c>
      <c r="AG557" s="4">
        <f t="shared" si="61"/>
        <v>101515</v>
      </c>
      <c r="AH557" s="10">
        <v>101502</v>
      </c>
      <c r="AI557" s="10">
        <v>1120</v>
      </c>
      <c r="AJ557" s="10">
        <v>14.52</v>
      </c>
      <c r="AK557" s="10">
        <v>0</v>
      </c>
      <c r="AL557" s="9">
        <f t="shared" si="62"/>
        <v>100367.48</v>
      </c>
      <c r="AM557" s="1"/>
      <c r="AN557" s="1"/>
      <c r="AO557" s="12" t="e">
        <f>AB557/#REF!</f>
        <v>#REF!</v>
      </c>
      <c r="AP557" s="1" t="s">
        <v>2018</v>
      </c>
      <c r="AQ557" s="11">
        <v>41843</v>
      </c>
      <c r="AR557" s="1" t="s">
        <v>2019</v>
      </c>
      <c r="AS557" s="11">
        <v>41867</v>
      </c>
      <c r="AT557" s="1" t="s">
        <v>49</v>
      </c>
      <c r="AU557" s="1" t="s">
        <v>4171</v>
      </c>
    </row>
    <row r="558" spans="1:47" ht="15" customHeight="1" x14ac:dyDescent="0.25">
      <c r="A558" s="1">
        <v>557</v>
      </c>
      <c r="B558" s="1" t="s">
        <v>1258</v>
      </c>
      <c r="C558" s="1" t="s">
        <v>38</v>
      </c>
      <c r="D558" s="1">
        <v>9103550390</v>
      </c>
      <c r="E558" s="5">
        <v>41823</v>
      </c>
      <c r="F558" s="1" t="s">
        <v>520</v>
      </c>
      <c r="G558" s="1" t="s">
        <v>40</v>
      </c>
      <c r="H558" s="1" t="s">
        <v>41</v>
      </c>
      <c r="I558" s="1" t="s">
        <v>2809</v>
      </c>
      <c r="J558" s="2" t="s">
        <v>58</v>
      </c>
      <c r="K558" s="1">
        <v>38231900</v>
      </c>
      <c r="L558" s="6">
        <v>19.87</v>
      </c>
      <c r="M558" s="1" t="s">
        <v>70</v>
      </c>
      <c r="N558" s="7" t="s">
        <v>44</v>
      </c>
      <c r="O558" s="1" t="s">
        <v>45</v>
      </c>
      <c r="P558" s="8">
        <v>2921</v>
      </c>
      <c r="Q558" s="17">
        <f t="shared" si="57"/>
        <v>58040.270000000004</v>
      </c>
      <c r="R558" s="9">
        <v>1992.74</v>
      </c>
      <c r="S558" s="9">
        <v>8.3000000000000007</v>
      </c>
      <c r="T558" s="9">
        <v>1096.82</v>
      </c>
      <c r="U558" s="10">
        <v>0</v>
      </c>
      <c r="V558" s="1" t="s">
        <v>46</v>
      </c>
      <c r="W558" s="1" t="s">
        <v>59</v>
      </c>
      <c r="X558" s="1">
        <v>3572344</v>
      </c>
      <c r="Y558" s="11">
        <v>41818</v>
      </c>
      <c r="Z558" s="11">
        <v>41820</v>
      </c>
      <c r="AA558" s="9">
        <f t="shared" si="60"/>
        <v>56039.23</v>
      </c>
      <c r="AB558" s="12">
        <v>80.55</v>
      </c>
      <c r="AC558" s="9">
        <f t="shared" si="58"/>
        <v>4675143.7484999998</v>
      </c>
      <c r="AD558" s="9">
        <f t="shared" si="59"/>
        <v>4513959.9764999999</v>
      </c>
      <c r="AE558" s="1" t="s">
        <v>284</v>
      </c>
      <c r="AF558" s="1" t="s">
        <v>45</v>
      </c>
      <c r="AG558" s="4">
        <f t="shared" si="61"/>
        <v>58040.270000000004</v>
      </c>
      <c r="AH558" s="10">
        <v>58020.27</v>
      </c>
      <c r="AI558" s="10">
        <v>2032.45</v>
      </c>
      <c r="AJ558" s="10">
        <v>8.3000000000000007</v>
      </c>
      <c r="AK558" s="10">
        <v>1096.82</v>
      </c>
      <c r="AL558" s="9">
        <f t="shared" si="62"/>
        <v>54882.7</v>
      </c>
      <c r="AM558" s="1"/>
      <c r="AN558" s="1"/>
      <c r="AO558" s="12" t="e">
        <f>AB558/#REF!</f>
        <v>#REF!</v>
      </c>
      <c r="AP558" s="1" t="s">
        <v>2020</v>
      </c>
      <c r="AQ558" s="11">
        <v>41848</v>
      </c>
      <c r="AR558" s="1" t="s">
        <v>2021</v>
      </c>
      <c r="AS558" s="11">
        <v>41848</v>
      </c>
      <c r="AT558" s="1" t="s">
        <v>49</v>
      </c>
      <c r="AU558" s="1" t="s">
        <v>4171</v>
      </c>
    </row>
    <row r="559" spans="1:47" ht="15" customHeight="1" x14ac:dyDescent="0.25">
      <c r="A559" s="1">
        <v>558</v>
      </c>
      <c r="B559" s="1" t="s">
        <v>1258</v>
      </c>
      <c r="C559" s="1" t="s">
        <v>38</v>
      </c>
      <c r="D559" s="1">
        <v>9103550391</v>
      </c>
      <c r="E559" s="5">
        <v>41829</v>
      </c>
      <c r="F559" s="1" t="s">
        <v>543</v>
      </c>
      <c r="G559" s="1" t="s">
        <v>40</v>
      </c>
      <c r="H559" s="1" t="s">
        <v>41</v>
      </c>
      <c r="I559" s="1" t="s">
        <v>2809</v>
      </c>
      <c r="J559" s="2" t="s">
        <v>58</v>
      </c>
      <c r="K559" s="1">
        <v>38231900</v>
      </c>
      <c r="L559" s="6">
        <v>19.72</v>
      </c>
      <c r="M559" s="1" t="s">
        <v>70</v>
      </c>
      <c r="N559" s="7" t="s">
        <v>44</v>
      </c>
      <c r="O559" s="1" t="s">
        <v>45</v>
      </c>
      <c r="P559" s="8">
        <v>2921</v>
      </c>
      <c r="Q559" s="17">
        <f t="shared" si="57"/>
        <v>57602.119999999995</v>
      </c>
      <c r="R559" s="9">
        <v>1992.74</v>
      </c>
      <c r="S559" s="9">
        <v>8.24</v>
      </c>
      <c r="T559" s="9">
        <v>1088.54</v>
      </c>
      <c r="U559" s="10">
        <v>0</v>
      </c>
      <c r="V559" s="1" t="s">
        <v>46</v>
      </c>
      <c r="W559" s="1" t="s">
        <v>59</v>
      </c>
      <c r="X559" s="1">
        <v>3587125</v>
      </c>
      <c r="Y559" s="11">
        <v>41820</v>
      </c>
      <c r="Z559" s="11">
        <v>41821</v>
      </c>
      <c r="AA559" s="9">
        <f t="shared" si="60"/>
        <v>55601.14</v>
      </c>
      <c r="AB559" s="12">
        <v>80.55</v>
      </c>
      <c r="AC559" s="9">
        <f t="shared" si="58"/>
        <v>4639850.7659999998</v>
      </c>
      <c r="AD559" s="9">
        <f t="shared" si="59"/>
        <v>4478671.8269999996</v>
      </c>
      <c r="AE559" s="1" t="s">
        <v>284</v>
      </c>
      <c r="AF559" s="1" t="s">
        <v>45</v>
      </c>
      <c r="AG559" s="4">
        <f t="shared" si="61"/>
        <v>57602.119999999995</v>
      </c>
      <c r="AH559" s="10">
        <v>57417.120000000003</v>
      </c>
      <c r="AI559" s="10">
        <v>2122.25</v>
      </c>
      <c r="AJ559" s="10">
        <v>8.24</v>
      </c>
      <c r="AK559" s="10">
        <v>1088.54</v>
      </c>
      <c r="AL559" s="9">
        <f t="shared" si="62"/>
        <v>54198.090000000004</v>
      </c>
      <c r="AM559" s="1"/>
      <c r="AN559" s="1"/>
      <c r="AO559" s="12" t="e">
        <f>AB559/#REF!</f>
        <v>#REF!</v>
      </c>
      <c r="AP559" s="1" t="s">
        <v>2022</v>
      </c>
      <c r="AQ559" s="11">
        <v>41852</v>
      </c>
      <c r="AR559" s="1" t="s">
        <v>2023</v>
      </c>
      <c r="AS559" s="11">
        <v>41852</v>
      </c>
      <c r="AT559" s="1" t="s">
        <v>49</v>
      </c>
      <c r="AU559" s="1" t="s">
        <v>4171</v>
      </c>
    </row>
    <row r="560" spans="1:47" ht="15" customHeight="1" x14ac:dyDescent="0.25">
      <c r="A560" s="1">
        <v>559</v>
      </c>
      <c r="B560" s="1" t="s">
        <v>1258</v>
      </c>
      <c r="C560" s="1" t="s">
        <v>38</v>
      </c>
      <c r="D560" s="1" t="s">
        <v>2024</v>
      </c>
      <c r="E560" s="5">
        <v>41823</v>
      </c>
      <c r="F560" s="1" t="s">
        <v>506</v>
      </c>
      <c r="G560" s="1" t="s">
        <v>40</v>
      </c>
      <c r="H560" s="1" t="s">
        <v>41</v>
      </c>
      <c r="I560" s="1" t="s">
        <v>2809</v>
      </c>
      <c r="J560" s="1" t="s">
        <v>50</v>
      </c>
      <c r="K560" s="1">
        <v>38237090</v>
      </c>
      <c r="L560" s="6">
        <v>56.21</v>
      </c>
      <c r="M560" s="1" t="s">
        <v>70</v>
      </c>
      <c r="N560" s="7" t="s">
        <v>52</v>
      </c>
      <c r="O560" s="1" t="s">
        <v>45</v>
      </c>
      <c r="P560" s="8">
        <v>1195</v>
      </c>
      <c r="Q560" s="17">
        <f t="shared" si="57"/>
        <v>67170.95</v>
      </c>
      <c r="R560" s="9">
        <v>2546.2800000000002</v>
      </c>
      <c r="S560" s="9">
        <v>0</v>
      </c>
      <c r="T560" s="9">
        <v>0</v>
      </c>
      <c r="U560" s="10">
        <v>0</v>
      </c>
      <c r="V560" s="1" t="s">
        <v>46</v>
      </c>
      <c r="W560" s="1" t="s">
        <v>2657</v>
      </c>
      <c r="X560" s="1">
        <v>3553137</v>
      </c>
      <c r="Y560" s="11">
        <v>41817</v>
      </c>
      <c r="Z560" s="11">
        <v>41818</v>
      </c>
      <c r="AA560" s="9">
        <f t="shared" si="60"/>
        <v>64624.67</v>
      </c>
      <c r="AB560" s="12">
        <v>80.55</v>
      </c>
      <c r="AC560" s="9">
        <f t="shared" si="58"/>
        <v>5410620.0225</v>
      </c>
      <c r="AD560" s="9">
        <f t="shared" si="59"/>
        <v>5205517.1684999997</v>
      </c>
      <c r="AE560" s="1" t="s">
        <v>284</v>
      </c>
      <c r="AF560" s="1" t="s">
        <v>45</v>
      </c>
      <c r="AG560" s="4">
        <f t="shared" si="61"/>
        <v>67170.95</v>
      </c>
      <c r="AH560" s="10">
        <v>67045.960000000006</v>
      </c>
      <c r="AI560" s="10">
        <v>2506.44</v>
      </c>
      <c r="AJ560" s="10">
        <v>0</v>
      </c>
      <c r="AK560" s="10">
        <v>0</v>
      </c>
      <c r="AL560" s="9">
        <f t="shared" si="62"/>
        <v>64539.520000000004</v>
      </c>
      <c r="AM560" s="1"/>
      <c r="AN560" s="1"/>
      <c r="AO560" s="12" t="e">
        <f>AB560/#REF!</f>
        <v>#REF!</v>
      </c>
      <c r="AP560" s="1" t="s">
        <v>2025</v>
      </c>
      <c r="AQ560" s="11">
        <v>41886</v>
      </c>
      <c r="AR560" s="1" t="s">
        <v>2026</v>
      </c>
      <c r="AS560" s="11">
        <v>41886</v>
      </c>
      <c r="AT560" s="1" t="s">
        <v>49</v>
      </c>
      <c r="AU560" s="1" t="s">
        <v>4171</v>
      </c>
    </row>
    <row r="561" spans="1:47" ht="15" customHeight="1" x14ac:dyDescent="0.25">
      <c r="A561" s="1">
        <v>560</v>
      </c>
      <c r="B561" s="1" t="s">
        <v>1258</v>
      </c>
      <c r="C561" s="1" t="s">
        <v>38</v>
      </c>
      <c r="D561" s="1" t="s">
        <v>2024</v>
      </c>
      <c r="E561" s="5">
        <v>41823</v>
      </c>
      <c r="F561" s="1" t="s">
        <v>512</v>
      </c>
      <c r="G561" s="1" t="s">
        <v>40</v>
      </c>
      <c r="H561" s="1" t="s">
        <v>41</v>
      </c>
      <c r="I561" s="1" t="s">
        <v>2809</v>
      </c>
      <c r="J561" s="1" t="s">
        <v>50</v>
      </c>
      <c r="K561" s="1">
        <v>38237090</v>
      </c>
      <c r="L561" s="6">
        <v>56.42</v>
      </c>
      <c r="M561" s="1" t="s">
        <v>70</v>
      </c>
      <c r="N561" s="7" t="s">
        <v>52</v>
      </c>
      <c r="O561" s="1" t="s">
        <v>45</v>
      </c>
      <c r="P561" s="8">
        <v>1195</v>
      </c>
      <c r="Q561" s="17">
        <f t="shared" si="57"/>
        <v>67421.900000000009</v>
      </c>
      <c r="R561" s="9">
        <v>2546.2800000000002</v>
      </c>
      <c r="S561" s="9">
        <v>0</v>
      </c>
      <c r="T561" s="9">
        <v>0</v>
      </c>
      <c r="U561" s="10">
        <v>0</v>
      </c>
      <c r="V561" s="1" t="s">
        <v>46</v>
      </c>
      <c r="W561" s="1" t="s">
        <v>2657</v>
      </c>
      <c r="X561" s="1">
        <v>3579656</v>
      </c>
      <c r="Y561" s="11">
        <v>41820</v>
      </c>
      <c r="Z561" s="11">
        <v>41820</v>
      </c>
      <c r="AA561" s="9">
        <f t="shared" si="60"/>
        <v>64875.62000000001</v>
      </c>
      <c r="AB561" s="12">
        <v>80.55</v>
      </c>
      <c r="AC561" s="9">
        <f t="shared" si="58"/>
        <v>5430834.0450000009</v>
      </c>
      <c r="AD561" s="9">
        <f t="shared" si="59"/>
        <v>5225731.1910000006</v>
      </c>
      <c r="AE561" s="1" t="s">
        <v>284</v>
      </c>
      <c r="AF561" s="1" t="s">
        <v>45</v>
      </c>
      <c r="AG561" s="4">
        <f t="shared" si="61"/>
        <v>67421.900000000009</v>
      </c>
      <c r="AH561" s="10">
        <v>67295</v>
      </c>
      <c r="AI561" s="10">
        <v>2506.44</v>
      </c>
      <c r="AJ561" s="10">
        <v>0</v>
      </c>
      <c r="AK561" s="10">
        <v>0</v>
      </c>
      <c r="AL561" s="9">
        <f t="shared" si="62"/>
        <v>64788.56</v>
      </c>
      <c r="AM561" s="1"/>
      <c r="AN561" s="1"/>
      <c r="AO561" s="12" t="e">
        <f>AB561/#REF!</f>
        <v>#REF!</v>
      </c>
      <c r="AP561" s="1" t="s">
        <v>2025</v>
      </c>
      <c r="AQ561" s="11">
        <v>41886</v>
      </c>
      <c r="AR561" s="1" t="s">
        <v>2027</v>
      </c>
      <c r="AS561" s="11">
        <v>42018</v>
      </c>
      <c r="AT561" s="1" t="s">
        <v>49</v>
      </c>
      <c r="AU561" s="1" t="s">
        <v>4171</v>
      </c>
    </row>
    <row r="562" spans="1:47" ht="15" customHeight="1" x14ac:dyDescent="0.25">
      <c r="A562" s="1">
        <v>561</v>
      </c>
      <c r="B562" s="1" t="s">
        <v>1258</v>
      </c>
      <c r="C562" s="1" t="s">
        <v>38</v>
      </c>
      <c r="D562" s="1">
        <v>9103550394</v>
      </c>
      <c r="E562" s="5">
        <v>41829</v>
      </c>
      <c r="F562" s="1" t="s">
        <v>529</v>
      </c>
      <c r="G562" s="1" t="s">
        <v>40</v>
      </c>
      <c r="H562" s="1" t="s">
        <v>41</v>
      </c>
      <c r="I562" s="1" t="s">
        <v>2809</v>
      </c>
      <c r="J562" s="1" t="s">
        <v>50</v>
      </c>
      <c r="K562" s="1">
        <v>38237090</v>
      </c>
      <c r="L562" s="6">
        <v>18.899999999999999</v>
      </c>
      <c r="M562" s="1" t="s">
        <v>70</v>
      </c>
      <c r="N562" s="7" t="s">
        <v>52</v>
      </c>
      <c r="O562" s="1" t="s">
        <v>45</v>
      </c>
      <c r="P562" s="8">
        <v>1195</v>
      </c>
      <c r="Q562" s="17">
        <f t="shared" si="57"/>
        <v>22585.5</v>
      </c>
      <c r="R562" s="9">
        <v>848.76</v>
      </c>
      <c r="S562" s="9">
        <v>0</v>
      </c>
      <c r="T562" s="9">
        <v>0</v>
      </c>
      <c r="U562" s="10">
        <v>0</v>
      </c>
      <c r="V562" s="1" t="s">
        <v>46</v>
      </c>
      <c r="W562" s="1" t="s">
        <v>2657</v>
      </c>
      <c r="X562" s="1">
        <v>3586500</v>
      </c>
      <c r="Y562" s="11">
        <v>41800</v>
      </c>
      <c r="Z562" s="11">
        <v>41821</v>
      </c>
      <c r="AA562" s="9">
        <f t="shared" si="60"/>
        <v>21736.74</v>
      </c>
      <c r="AB562" s="12">
        <v>80.55</v>
      </c>
      <c r="AC562" s="9">
        <f t="shared" si="58"/>
        <v>1819262.0249999999</v>
      </c>
      <c r="AD562" s="9">
        <f t="shared" si="59"/>
        <v>1750894.4070000001</v>
      </c>
      <c r="AE562" s="1" t="s">
        <v>284</v>
      </c>
      <c r="AF562" s="1" t="s">
        <v>45</v>
      </c>
      <c r="AG562" s="4">
        <f t="shared" si="61"/>
        <v>22585.5</v>
      </c>
      <c r="AH562" s="10">
        <v>22435.5</v>
      </c>
      <c r="AI562" s="10">
        <v>825.92</v>
      </c>
      <c r="AJ562" s="10">
        <v>0</v>
      </c>
      <c r="AK562" s="10">
        <v>0</v>
      </c>
      <c r="AL562" s="9">
        <f t="shared" si="62"/>
        <v>21609.58</v>
      </c>
      <c r="AM562" s="1"/>
      <c r="AN562" s="1"/>
      <c r="AO562" s="12" t="e">
        <f>AB562/#REF!</f>
        <v>#REF!</v>
      </c>
      <c r="AP562" s="1" t="s">
        <v>2028</v>
      </c>
      <c r="AQ562" s="11">
        <v>41892</v>
      </c>
      <c r="AR562" s="1" t="s">
        <v>2029</v>
      </c>
      <c r="AS562" s="11">
        <v>41892</v>
      </c>
      <c r="AT562" s="1" t="s">
        <v>49</v>
      </c>
      <c r="AU562" s="1" t="s">
        <v>4171</v>
      </c>
    </row>
    <row r="563" spans="1:47" ht="15" customHeight="1" x14ac:dyDescent="0.25">
      <c r="A563" s="1">
        <v>562</v>
      </c>
      <c r="B563" s="1" t="s">
        <v>1258</v>
      </c>
      <c r="C563" s="1" t="s">
        <v>38</v>
      </c>
      <c r="D563" s="1">
        <v>9103550395</v>
      </c>
      <c r="E563" s="5">
        <v>41820</v>
      </c>
      <c r="F563" s="1" t="s">
        <v>580</v>
      </c>
      <c r="G563" s="1" t="s">
        <v>40</v>
      </c>
      <c r="H563" s="1" t="s">
        <v>41</v>
      </c>
      <c r="I563" s="1" t="s">
        <v>2809</v>
      </c>
      <c r="J563" s="1" t="s">
        <v>2660</v>
      </c>
      <c r="K563" s="1">
        <v>38237090</v>
      </c>
      <c r="L563" s="6">
        <v>95.18</v>
      </c>
      <c r="M563" s="1" t="s">
        <v>70</v>
      </c>
      <c r="N563" s="7" t="s">
        <v>52</v>
      </c>
      <c r="O563" s="1" t="s">
        <v>53</v>
      </c>
      <c r="P563" s="8">
        <v>1640</v>
      </c>
      <c r="Q563" s="17">
        <f t="shared" si="57"/>
        <v>156095.20000000001</v>
      </c>
      <c r="R563" s="9">
        <v>2800</v>
      </c>
      <c r="S563" s="9">
        <v>0</v>
      </c>
      <c r="T563" s="9">
        <v>0</v>
      </c>
      <c r="U563" s="10">
        <v>0</v>
      </c>
      <c r="V563" s="1" t="s">
        <v>46</v>
      </c>
      <c r="W563" s="1" t="s">
        <v>64</v>
      </c>
      <c r="X563" s="1">
        <v>3608958</v>
      </c>
      <c r="Y563" s="11">
        <v>41821</v>
      </c>
      <c r="Z563" s="11">
        <v>41821</v>
      </c>
      <c r="AA563" s="9">
        <f t="shared" si="60"/>
        <v>153295.20000000001</v>
      </c>
      <c r="AB563" s="12">
        <v>59.45</v>
      </c>
      <c r="AC563" s="9">
        <f t="shared" si="58"/>
        <v>9279859.6400000006</v>
      </c>
      <c r="AD563" s="9">
        <f t="shared" si="59"/>
        <v>9113399.6400000006</v>
      </c>
      <c r="AE563" s="1" t="s">
        <v>48</v>
      </c>
      <c r="AF563" s="1" t="s">
        <v>53</v>
      </c>
      <c r="AG563" s="4">
        <f t="shared" si="61"/>
        <v>156095.20000000001</v>
      </c>
      <c r="AH563" s="10">
        <v>156095.20000000001</v>
      </c>
      <c r="AI563" s="10">
        <v>2500</v>
      </c>
      <c r="AJ563" s="10">
        <v>0</v>
      </c>
      <c r="AK563" s="10">
        <v>0</v>
      </c>
      <c r="AL563" s="9">
        <f t="shared" si="62"/>
        <v>153595.20000000001</v>
      </c>
      <c r="AM563" s="1"/>
      <c r="AN563" s="1"/>
      <c r="AO563" s="12" t="e">
        <f>AB563/#REF!</f>
        <v>#REF!</v>
      </c>
      <c r="AP563" s="1" t="s">
        <v>2030</v>
      </c>
      <c r="AQ563" s="11">
        <v>41857</v>
      </c>
      <c r="AR563" s="1" t="s">
        <v>2031</v>
      </c>
      <c r="AS563" s="11">
        <v>41858</v>
      </c>
      <c r="AT563" s="1" t="s">
        <v>49</v>
      </c>
      <c r="AU563" s="1" t="s">
        <v>4171</v>
      </c>
    </row>
    <row r="564" spans="1:47" ht="15" customHeight="1" x14ac:dyDescent="0.25">
      <c r="A564" s="1">
        <v>563</v>
      </c>
      <c r="B564" s="1" t="s">
        <v>1258</v>
      </c>
      <c r="C564" s="1" t="s">
        <v>38</v>
      </c>
      <c r="D564" s="1">
        <v>9103550396</v>
      </c>
      <c r="E564" s="5">
        <v>41824</v>
      </c>
      <c r="F564" s="1" t="s">
        <v>521</v>
      </c>
      <c r="G564" s="1" t="s">
        <v>40</v>
      </c>
      <c r="H564" s="1" t="s">
        <v>41</v>
      </c>
      <c r="I564" s="1" t="s">
        <v>2809</v>
      </c>
      <c r="J564" s="1" t="s">
        <v>187</v>
      </c>
      <c r="K564" s="1">
        <v>38237090</v>
      </c>
      <c r="L564" s="6">
        <v>36.28</v>
      </c>
      <c r="M564" s="1" t="s">
        <v>70</v>
      </c>
      <c r="N564" s="7" t="s">
        <v>44</v>
      </c>
      <c r="O564" s="1" t="s">
        <v>53</v>
      </c>
      <c r="P564" s="8">
        <v>4294</v>
      </c>
      <c r="Q564" s="17">
        <f t="shared" si="57"/>
        <v>155786.32</v>
      </c>
      <c r="R564" s="9">
        <v>6520</v>
      </c>
      <c r="S564" s="9">
        <v>22.28</v>
      </c>
      <c r="T564" s="9">
        <v>0</v>
      </c>
      <c r="U564" s="10">
        <v>0</v>
      </c>
      <c r="V564" s="1" t="s">
        <v>46</v>
      </c>
      <c r="W564" s="1" t="s">
        <v>56</v>
      </c>
      <c r="X564" s="1">
        <v>3602840</v>
      </c>
      <c r="Y564" s="11">
        <v>41820</v>
      </c>
      <c r="Z564" s="11">
        <v>41822</v>
      </c>
      <c r="AA564" s="9">
        <f t="shared" si="60"/>
        <v>149244.04</v>
      </c>
      <c r="AB564" s="12">
        <v>59.45</v>
      </c>
      <c r="AC564" s="9">
        <f t="shared" si="58"/>
        <v>9261496.7240000013</v>
      </c>
      <c r="AD564" s="9">
        <f t="shared" si="59"/>
        <v>8872558.1780000012</v>
      </c>
      <c r="AE564" s="1" t="s">
        <v>48</v>
      </c>
      <c r="AF564" s="1" t="s">
        <v>53</v>
      </c>
      <c r="AG564" s="4">
        <f t="shared" si="61"/>
        <v>155786.32</v>
      </c>
      <c r="AH564" s="10">
        <v>155786.32</v>
      </c>
      <c r="AI564" s="10">
        <v>7000</v>
      </c>
      <c r="AJ564" s="10">
        <v>22.28</v>
      </c>
      <c r="AK564" s="10">
        <v>0</v>
      </c>
      <c r="AL564" s="9">
        <f t="shared" si="62"/>
        <v>148764.04</v>
      </c>
      <c r="AM564" s="1"/>
      <c r="AN564" s="1"/>
      <c r="AO564" s="12" t="e">
        <f>AB564/#REF!</f>
        <v>#REF!</v>
      </c>
      <c r="AP564" s="1" t="s">
        <v>2032</v>
      </c>
      <c r="AQ564" s="11">
        <v>41893</v>
      </c>
      <c r="AR564" s="1" t="s">
        <v>2033</v>
      </c>
      <c r="AS564" s="11">
        <v>41894</v>
      </c>
      <c r="AT564" s="1" t="s">
        <v>49</v>
      </c>
      <c r="AU564" s="1" t="s">
        <v>4171</v>
      </c>
    </row>
    <row r="565" spans="1:47" ht="15" customHeight="1" x14ac:dyDescent="0.25">
      <c r="A565" s="1">
        <v>564</v>
      </c>
      <c r="B565" s="1" t="s">
        <v>1258</v>
      </c>
      <c r="C565" s="1" t="s">
        <v>38</v>
      </c>
      <c r="D565" s="1">
        <v>9103550397</v>
      </c>
      <c r="E565" s="5">
        <v>41824</v>
      </c>
      <c r="F565" s="1" t="s">
        <v>526</v>
      </c>
      <c r="G565" s="1" t="s">
        <v>40</v>
      </c>
      <c r="H565" s="1" t="s">
        <v>41</v>
      </c>
      <c r="I565" s="1" t="s">
        <v>2809</v>
      </c>
      <c r="J565" s="1" t="s">
        <v>55</v>
      </c>
      <c r="K565" s="1">
        <v>38237090</v>
      </c>
      <c r="L565" s="6">
        <v>36</v>
      </c>
      <c r="M565" s="1" t="s">
        <v>70</v>
      </c>
      <c r="N565" s="7" t="s">
        <v>44</v>
      </c>
      <c r="O565" s="1" t="s">
        <v>53</v>
      </c>
      <c r="P565" s="8">
        <v>4294</v>
      </c>
      <c r="Q565" s="17">
        <f t="shared" si="57"/>
        <v>154584</v>
      </c>
      <c r="R565" s="9">
        <v>6520</v>
      </c>
      <c r="S565" s="9">
        <v>30.61</v>
      </c>
      <c r="T565" s="9">
        <v>0</v>
      </c>
      <c r="U565" s="10">
        <v>0</v>
      </c>
      <c r="V565" s="1" t="s">
        <v>46</v>
      </c>
      <c r="W565" s="1" t="s">
        <v>56</v>
      </c>
      <c r="X565" s="1">
        <v>3602706</v>
      </c>
      <c r="Y565" s="11">
        <v>41820</v>
      </c>
      <c r="Z565" s="11">
        <v>41821</v>
      </c>
      <c r="AA565" s="9">
        <f t="shared" si="60"/>
        <v>148033.39000000001</v>
      </c>
      <c r="AB565" s="12">
        <v>59.45</v>
      </c>
      <c r="AC565" s="9">
        <f t="shared" si="58"/>
        <v>9190018.8000000007</v>
      </c>
      <c r="AD565" s="9">
        <f t="shared" si="59"/>
        <v>8800585.0355000012</v>
      </c>
      <c r="AE565" s="1" t="s">
        <v>48</v>
      </c>
      <c r="AF565" s="1" t="s">
        <v>53</v>
      </c>
      <c r="AG565" s="4">
        <f t="shared" si="61"/>
        <v>154584</v>
      </c>
      <c r="AH565" s="10">
        <v>154584</v>
      </c>
      <c r="AI565" s="10">
        <v>6508</v>
      </c>
      <c r="AJ565" s="10">
        <v>30.61</v>
      </c>
      <c r="AK565" s="10">
        <v>0</v>
      </c>
      <c r="AL565" s="9">
        <f t="shared" si="62"/>
        <v>148045.39000000001</v>
      </c>
      <c r="AM565" s="1"/>
      <c r="AN565" s="1"/>
      <c r="AO565" s="12" t="e">
        <f>AB565/#REF!</f>
        <v>#REF!</v>
      </c>
      <c r="AP565" s="1" t="s">
        <v>2034</v>
      </c>
      <c r="AQ565" s="11">
        <v>41893</v>
      </c>
      <c r="AR565" s="1" t="s">
        <v>2035</v>
      </c>
      <c r="AS565" s="11">
        <v>41894</v>
      </c>
      <c r="AT565" s="1" t="s">
        <v>49</v>
      </c>
      <c r="AU565" s="1" t="s">
        <v>4171</v>
      </c>
    </row>
    <row r="566" spans="1:47" ht="15" customHeight="1" x14ac:dyDescent="0.25">
      <c r="A566" s="1">
        <v>565</v>
      </c>
      <c r="B566" s="1" t="s">
        <v>1258</v>
      </c>
      <c r="C566" s="1" t="s">
        <v>38</v>
      </c>
      <c r="D566" s="1">
        <v>9103550398</v>
      </c>
      <c r="E566" s="5">
        <v>41824</v>
      </c>
      <c r="F566" s="1" t="s">
        <v>522</v>
      </c>
      <c r="G566" s="1" t="s">
        <v>40</v>
      </c>
      <c r="H566" s="1" t="s">
        <v>41</v>
      </c>
      <c r="I566" s="1" t="s">
        <v>2809</v>
      </c>
      <c r="J566" s="1" t="s">
        <v>169</v>
      </c>
      <c r="K566" s="1">
        <v>38231200</v>
      </c>
      <c r="L566" s="6">
        <v>39.96</v>
      </c>
      <c r="M566" s="1" t="s">
        <v>70</v>
      </c>
      <c r="N566" s="7" t="s">
        <v>67</v>
      </c>
      <c r="O566" s="1" t="s">
        <v>53</v>
      </c>
      <c r="P566" s="8">
        <v>1085</v>
      </c>
      <c r="Q566" s="17">
        <f t="shared" si="57"/>
        <v>43356.6</v>
      </c>
      <c r="R566" s="9">
        <v>0</v>
      </c>
      <c r="S566" s="9">
        <v>0</v>
      </c>
      <c r="T566" s="9">
        <v>0</v>
      </c>
      <c r="U566" s="10">
        <v>0</v>
      </c>
      <c r="V566" s="1" t="s">
        <v>46</v>
      </c>
      <c r="W566" s="1" t="s">
        <v>72</v>
      </c>
      <c r="X566" s="1">
        <v>3602700</v>
      </c>
      <c r="Y566" s="11">
        <v>41820</v>
      </c>
      <c r="Z566" s="11">
        <v>41821</v>
      </c>
      <c r="AA566" s="9">
        <f t="shared" si="60"/>
        <v>43356.6</v>
      </c>
      <c r="AB566" s="12">
        <v>59.45</v>
      </c>
      <c r="AC566" s="9">
        <f t="shared" si="58"/>
        <v>2577549.87</v>
      </c>
      <c r="AD566" s="9">
        <f t="shared" si="59"/>
        <v>2577549.87</v>
      </c>
      <c r="AE566" s="1" t="s">
        <v>48</v>
      </c>
      <c r="AF566" s="1" t="s">
        <v>53</v>
      </c>
      <c r="AG566" s="4">
        <f t="shared" si="61"/>
        <v>43356.6</v>
      </c>
      <c r="AH566" s="10">
        <v>43319.6</v>
      </c>
      <c r="AI566" s="9">
        <v>0</v>
      </c>
      <c r="AJ566" s="9">
        <v>0</v>
      </c>
      <c r="AK566" s="9">
        <v>0</v>
      </c>
      <c r="AL566" s="9">
        <f t="shared" si="62"/>
        <v>43319.6</v>
      </c>
      <c r="AM566" s="1"/>
      <c r="AN566" s="1"/>
      <c r="AO566" s="12" t="e">
        <f>AB566/#REF!</f>
        <v>#REF!</v>
      </c>
      <c r="AP566" s="1" t="s">
        <v>2036</v>
      </c>
      <c r="AQ566" s="11">
        <v>41888</v>
      </c>
      <c r="AR566" s="1" t="s">
        <v>2037</v>
      </c>
      <c r="AS566" s="11">
        <v>41890</v>
      </c>
      <c r="AT566" s="1" t="s">
        <v>49</v>
      </c>
      <c r="AU566" s="1" t="s">
        <v>4171</v>
      </c>
    </row>
    <row r="567" spans="1:47" ht="15" customHeight="1" x14ac:dyDescent="0.25">
      <c r="A567" s="1">
        <v>566</v>
      </c>
      <c r="B567" s="1" t="s">
        <v>1258</v>
      </c>
      <c r="C567" s="1" t="s">
        <v>38</v>
      </c>
      <c r="D567" s="1">
        <v>9103550399</v>
      </c>
      <c r="E567" s="5">
        <v>41823</v>
      </c>
      <c r="F567" s="1" t="s">
        <v>517</v>
      </c>
      <c r="G567" s="1" t="s">
        <v>40</v>
      </c>
      <c r="H567" s="1" t="s">
        <v>41</v>
      </c>
      <c r="I567" s="1" t="s">
        <v>2809</v>
      </c>
      <c r="J567" s="1" t="s">
        <v>50</v>
      </c>
      <c r="K567" s="1">
        <v>38237090</v>
      </c>
      <c r="L567" s="6">
        <v>37.200000000000003</v>
      </c>
      <c r="M567" s="1" t="s">
        <v>70</v>
      </c>
      <c r="N567" s="7" t="s">
        <v>52</v>
      </c>
      <c r="O567" s="1" t="s">
        <v>45</v>
      </c>
      <c r="P567" s="8">
        <v>970</v>
      </c>
      <c r="Q567" s="17">
        <f t="shared" si="57"/>
        <v>36084</v>
      </c>
      <c r="R567" s="9">
        <v>1623.71</v>
      </c>
      <c r="S567" s="9">
        <v>0</v>
      </c>
      <c r="T567" s="9">
        <v>0</v>
      </c>
      <c r="U567" s="10">
        <v>0</v>
      </c>
      <c r="V567" s="1" t="s">
        <v>46</v>
      </c>
      <c r="W567" s="1" t="s">
        <v>2657</v>
      </c>
      <c r="X567" s="1">
        <v>3572417</v>
      </c>
      <c r="Y567" s="11">
        <v>41818</v>
      </c>
      <c r="Z567" s="11">
        <v>41820</v>
      </c>
      <c r="AA567" s="9">
        <f t="shared" si="60"/>
        <v>34460.29</v>
      </c>
      <c r="AB567" s="12">
        <v>80.55</v>
      </c>
      <c r="AC567" s="9">
        <f t="shared" si="58"/>
        <v>2906566.1999999997</v>
      </c>
      <c r="AD567" s="9">
        <f t="shared" si="59"/>
        <v>2775776.3594999998</v>
      </c>
      <c r="AE567" s="1" t="s">
        <v>284</v>
      </c>
      <c r="AF567" s="1" t="s">
        <v>45</v>
      </c>
      <c r="AG567" s="4">
        <f t="shared" si="61"/>
        <v>36084</v>
      </c>
      <c r="AH567" s="10">
        <v>35934</v>
      </c>
      <c r="AI567" s="10">
        <v>1695</v>
      </c>
      <c r="AJ567" s="10">
        <v>0</v>
      </c>
      <c r="AK567" s="10">
        <v>0</v>
      </c>
      <c r="AL567" s="9">
        <f t="shared" si="62"/>
        <v>34239</v>
      </c>
      <c r="AM567" s="1"/>
      <c r="AN567" s="1"/>
      <c r="AO567" s="12" t="e">
        <f>AB567/#REF!</f>
        <v>#REF!</v>
      </c>
      <c r="AP567" s="1" t="s">
        <v>2038</v>
      </c>
      <c r="AQ567" s="11">
        <v>41886</v>
      </c>
      <c r="AR567" s="1" t="s">
        <v>2039</v>
      </c>
      <c r="AS567" s="11">
        <v>41886</v>
      </c>
      <c r="AT567" s="1" t="s">
        <v>49</v>
      </c>
      <c r="AU567" s="1" t="s">
        <v>4171</v>
      </c>
    </row>
    <row r="568" spans="1:47" ht="15" customHeight="1" x14ac:dyDescent="0.25">
      <c r="A568" s="1">
        <v>567</v>
      </c>
      <c r="B568" s="1" t="s">
        <v>1258</v>
      </c>
      <c r="C568" s="1" t="s">
        <v>38</v>
      </c>
      <c r="D568" s="1">
        <v>9103550400</v>
      </c>
      <c r="E568" s="5">
        <v>41826</v>
      </c>
      <c r="F568" s="1" t="s">
        <v>518</v>
      </c>
      <c r="G568" s="1" t="s">
        <v>40</v>
      </c>
      <c r="H568" s="1" t="s">
        <v>41</v>
      </c>
      <c r="I568" s="1" t="s">
        <v>2809</v>
      </c>
      <c r="J568" s="1" t="s">
        <v>50</v>
      </c>
      <c r="K568" s="1">
        <v>38237090</v>
      </c>
      <c r="L568" s="6">
        <v>74.44</v>
      </c>
      <c r="M568" s="1" t="s">
        <v>70</v>
      </c>
      <c r="N568" s="7" t="s">
        <v>52</v>
      </c>
      <c r="O568" s="1" t="s">
        <v>45</v>
      </c>
      <c r="P568" s="8">
        <v>970</v>
      </c>
      <c r="Q568" s="17">
        <f t="shared" si="57"/>
        <v>72206.8</v>
      </c>
      <c r="R568" s="9">
        <v>3247.42</v>
      </c>
      <c r="S568" s="9">
        <v>0</v>
      </c>
      <c r="T568" s="9">
        <v>0</v>
      </c>
      <c r="U568" s="10">
        <v>0</v>
      </c>
      <c r="V568" s="1" t="s">
        <v>46</v>
      </c>
      <c r="W568" s="1" t="s">
        <v>2657</v>
      </c>
      <c r="X568" s="1">
        <v>3587192</v>
      </c>
      <c r="Y568" s="11">
        <v>41820</v>
      </c>
      <c r="Z568" s="11">
        <v>41821</v>
      </c>
      <c r="AA568" s="9">
        <f t="shared" si="60"/>
        <v>68959.38</v>
      </c>
      <c r="AB568" s="12">
        <v>80.55</v>
      </c>
      <c r="AC568" s="9">
        <f t="shared" si="58"/>
        <v>5816257.7400000002</v>
      </c>
      <c r="AD568" s="9">
        <f t="shared" si="59"/>
        <v>5554678.0590000004</v>
      </c>
      <c r="AE568" s="1" t="s">
        <v>51</v>
      </c>
      <c r="AF568" s="1" t="s">
        <v>45</v>
      </c>
      <c r="AG568" s="4">
        <f t="shared" si="61"/>
        <v>72206.8</v>
      </c>
      <c r="AH568" s="10">
        <v>72068</v>
      </c>
      <c r="AI568" s="10">
        <v>4400</v>
      </c>
      <c r="AJ568" s="10">
        <v>0</v>
      </c>
      <c r="AK568" s="10">
        <v>0</v>
      </c>
      <c r="AL568" s="9">
        <f t="shared" si="62"/>
        <v>67668</v>
      </c>
      <c r="AM568" s="1"/>
      <c r="AN568" s="1"/>
      <c r="AO568" s="12" t="e">
        <f>AB568/#REF!</f>
        <v>#REF!</v>
      </c>
      <c r="AP568" s="1" t="s">
        <v>2040</v>
      </c>
      <c r="AQ568" s="11">
        <v>41891</v>
      </c>
      <c r="AR568" s="1" t="s">
        <v>2041</v>
      </c>
      <c r="AS568" s="11">
        <v>41905</v>
      </c>
      <c r="AT568" s="1" t="s">
        <v>49</v>
      </c>
      <c r="AU568" s="1" t="s">
        <v>4171</v>
      </c>
    </row>
    <row r="569" spans="1:47" ht="15" customHeight="1" x14ac:dyDescent="0.25">
      <c r="A569" s="1">
        <v>568</v>
      </c>
      <c r="B569" s="1" t="s">
        <v>1258</v>
      </c>
      <c r="C569" s="1" t="s">
        <v>38</v>
      </c>
      <c r="D569" s="1">
        <v>9103550401</v>
      </c>
      <c r="E569" s="5">
        <v>41824</v>
      </c>
      <c r="F569" s="1" t="s">
        <v>525</v>
      </c>
      <c r="G569" s="1" t="s">
        <v>40</v>
      </c>
      <c r="H569" s="1" t="s">
        <v>41</v>
      </c>
      <c r="I569" s="1" t="s">
        <v>2809</v>
      </c>
      <c r="J569" s="1" t="s">
        <v>55</v>
      </c>
      <c r="K569" s="1">
        <v>38237090</v>
      </c>
      <c r="L569" s="6">
        <v>36</v>
      </c>
      <c r="M569" s="1" t="s">
        <v>70</v>
      </c>
      <c r="N569" s="7" t="s">
        <v>44</v>
      </c>
      <c r="O569" s="1" t="s">
        <v>53</v>
      </c>
      <c r="P569" s="8">
        <v>4294</v>
      </c>
      <c r="Q569" s="17">
        <f t="shared" si="57"/>
        <v>154584</v>
      </c>
      <c r="R569" s="9">
        <v>6520</v>
      </c>
      <c r="S569" s="9">
        <v>22.11</v>
      </c>
      <c r="T569" s="9">
        <v>0</v>
      </c>
      <c r="U569" s="10">
        <v>0</v>
      </c>
      <c r="V569" s="1" t="s">
        <v>46</v>
      </c>
      <c r="W569" s="1" t="s">
        <v>56</v>
      </c>
      <c r="X569" s="1">
        <v>3621780</v>
      </c>
      <c r="Y569" s="11">
        <v>41821</v>
      </c>
      <c r="Z569" s="11">
        <v>41822</v>
      </c>
      <c r="AA569" s="9">
        <f t="shared" si="60"/>
        <v>148041.89000000001</v>
      </c>
      <c r="AB569" s="12">
        <v>59.45</v>
      </c>
      <c r="AC569" s="9">
        <f t="shared" si="58"/>
        <v>9190018.8000000007</v>
      </c>
      <c r="AD569" s="9">
        <f t="shared" si="59"/>
        <v>8801090.3605000004</v>
      </c>
      <c r="AE569" s="1" t="s">
        <v>48</v>
      </c>
      <c r="AF569" s="1" t="s">
        <v>53</v>
      </c>
      <c r="AG569" s="4">
        <f t="shared" si="61"/>
        <v>154584</v>
      </c>
      <c r="AH569" s="10">
        <v>154584</v>
      </c>
      <c r="AI569" s="10">
        <v>6508</v>
      </c>
      <c r="AJ569" s="10">
        <v>22.11</v>
      </c>
      <c r="AK569" s="10">
        <v>0</v>
      </c>
      <c r="AL569" s="9">
        <f t="shared" si="62"/>
        <v>148053.89000000001</v>
      </c>
      <c r="AM569" s="1"/>
      <c r="AN569" s="1"/>
      <c r="AO569" s="12" t="e">
        <f>AB569/#REF!</f>
        <v>#REF!</v>
      </c>
      <c r="AP569" s="1" t="s">
        <v>2042</v>
      </c>
      <c r="AQ569" s="11">
        <v>41893</v>
      </c>
      <c r="AR569" s="1" t="s">
        <v>2043</v>
      </c>
      <c r="AS569" s="11">
        <v>41894</v>
      </c>
      <c r="AT569" s="1" t="s">
        <v>49</v>
      </c>
      <c r="AU569" s="1" t="s">
        <v>4171</v>
      </c>
    </row>
    <row r="570" spans="1:47" ht="15" customHeight="1" x14ac:dyDescent="0.25">
      <c r="A570" s="1">
        <v>569</v>
      </c>
      <c r="B570" s="1" t="s">
        <v>1258</v>
      </c>
      <c r="C570" s="1" t="s">
        <v>38</v>
      </c>
      <c r="D570" s="1">
        <v>9103550402</v>
      </c>
      <c r="E570" s="5">
        <v>41826</v>
      </c>
      <c r="F570" s="1" t="s">
        <v>542</v>
      </c>
      <c r="G570" s="1" t="s">
        <v>40</v>
      </c>
      <c r="H570" s="1" t="s">
        <v>41</v>
      </c>
      <c r="I570" s="1" t="s">
        <v>2809</v>
      </c>
      <c r="J570" s="1" t="s">
        <v>50</v>
      </c>
      <c r="K570" s="1">
        <v>38237090</v>
      </c>
      <c r="L570" s="6">
        <v>12</v>
      </c>
      <c r="M570" s="1" t="s">
        <v>70</v>
      </c>
      <c r="N570" s="7" t="s">
        <v>52</v>
      </c>
      <c r="O570" s="1" t="s">
        <v>53</v>
      </c>
      <c r="P570" s="8">
        <v>1687</v>
      </c>
      <c r="Q570" s="17">
        <f t="shared" si="57"/>
        <v>20244</v>
      </c>
      <c r="R570" s="9">
        <v>1300</v>
      </c>
      <c r="S570" s="9">
        <v>0</v>
      </c>
      <c r="T570" s="9">
        <v>0</v>
      </c>
      <c r="U570" s="10">
        <v>0</v>
      </c>
      <c r="V570" s="1" t="s">
        <v>46</v>
      </c>
      <c r="W570" s="1" t="s">
        <v>62</v>
      </c>
      <c r="X570" s="1">
        <v>3624923</v>
      </c>
      <c r="Y570" s="11">
        <v>41821</v>
      </c>
      <c r="Z570" s="11">
        <v>41822</v>
      </c>
      <c r="AA570" s="9">
        <f t="shared" si="60"/>
        <v>18944</v>
      </c>
      <c r="AB570" s="12">
        <v>59.45</v>
      </c>
      <c r="AC570" s="9">
        <f t="shared" si="58"/>
        <v>1203505.8</v>
      </c>
      <c r="AD570" s="9">
        <f t="shared" si="59"/>
        <v>1126220.8</v>
      </c>
      <c r="AE570" s="1" t="s">
        <v>51</v>
      </c>
      <c r="AF570" s="1" t="s">
        <v>53</v>
      </c>
      <c r="AG570" s="4">
        <f t="shared" si="61"/>
        <v>20244</v>
      </c>
      <c r="AH570" s="10">
        <v>20073</v>
      </c>
      <c r="AI570" s="10">
        <v>1208</v>
      </c>
      <c r="AJ570" s="10">
        <v>0</v>
      </c>
      <c r="AK570" s="10">
        <v>0</v>
      </c>
      <c r="AL570" s="9">
        <f t="shared" si="62"/>
        <v>18865</v>
      </c>
      <c r="AM570" s="1"/>
      <c r="AN570" s="1"/>
      <c r="AO570" s="12" t="e">
        <f>AB570/#REF!</f>
        <v>#REF!</v>
      </c>
      <c r="AP570" s="1" t="s">
        <v>2044</v>
      </c>
      <c r="AQ570" s="11">
        <v>41891</v>
      </c>
      <c r="AR570" s="1" t="s">
        <v>2045</v>
      </c>
      <c r="AS570" s="11">
        <v>41905</v>
      </c>
      <c r="AT570" s="1" t="s">
        <v>49</v>
      </c>
      <c r="AU570" s="1" t="s">
        <v>4171</v>
      </c>
    </row>
    <row r="571" spans="1:47" ht="15" customHeight="1" x14ac:dyDescent="0.25">
      <c r="A571" s="1">
        <v>570</v>
      </c>
      <c r="B571" s="1" t="s">
        <v>1258</v>
      </c>
      <c r="C571" s="1" t="s">
        <v>38</v>
      </c>
      <c r="D571" s="1">
        <v>9103550403</v>
      </c>
      <c r="E571" s="5">
        <v>41825</v>
      </c>
      <c r="F571" s="1" t="s">
        <v>536</v>
      </c>
      <c r="G571" s="1" t="s">
        <v>40</v>
      </c>
      <c r="H571" s="1" t="s">
        <v>41</v>
      </c>
      <c r="I571" s="1" t="s">
        <v>2809</v>
      </c>
      <c r="J571" s="1" t="s">
        <v>2806</v>
      </c>
      <c r="K571" s="1">
        <v>38237090</v>
      </c>
      <c r="L571" s="6">
        <v>113.43</v>
      </c>
      <c r="M571" s="1" t="s">
        <v>70</v>
      </c>
      <c r="N571" s="7" t="s">
        <v>67</v>
      </c>
      <c r="O571" s="1" t="s">
        <v>53</v>
      </c>
      <c r="P571" s="8">
        <v>1400</v>
      </c>
      <c r="Q571" s="17">
        <f t="shared" si="57"/>
        <v>158802</v>
      </c>
      <c r="R571" s="9">
        <v>0</v>
      </c>
      <c r="S571" s="9">
        <v>0</v>
      </c>
      <c r="T571" s="9">
        <v>0</v>
      </c>
      <c r="U571" s="10">
        <v>0</v>
      </c>
      <c r="V571" s="1" t="s">
        <v>46</v>
      </c>
      <c r="W571" s="1" t="s">
        <v>492</v>
      </c>
      <c r="X571" s="1">
        <v>3625144</v>
      </c>
      <c r="Y571" s="11">
        <v>41821</v>
      </c>
      <c r="Z571" s="11">
        <v>41822</v>
      </c>
      <c r="AA571" s="9">
        <f t="shared" si="60"/>
        <v>158802</v>
      </c>
      <c r="AB571" s="12">
        <v>59.45</v>
      </c>
      <c r="AC571" s="9">
        <f t="shared" si="58"/>
        <v>9440778.9000000004</v>
      </c>
      <c r="AD571" s="9">
        <f t="shared" si="59"/>
        <v>9440778.9000000004</v>
      </c>
      <c r="AE571" s="1" t="s">
        <v>48</v>
      </c>
      <c r="AF571" s="1" t="s">
        <v>53</v>
      </c>
      <c r="AG571" s="4">
        <f t="shared" si="61"/>
        <v>158802</v>
      </c>
      <c r="AH571" s="10">
        <v>158750</v>
      </c>
      <c r="AI571" s="9">
        <v>0</v>
      </c>
      <c r="AJ571" s="9">
        <v>0</v>
      </c>
      <c r="AK571" s="9">
        <v>0</v>
      </c>
      <c r="AL571" s="9">
        <f t="shared" si="62"/>
        <v>158750</v>
      </c>
      <c r="AM571" s="1"/>
      <c r="AN571" s="1"/>
      <c r="AO571" s="12" t="e">
        <f>AB571/#REF!</f>
        <v>#REF!</v>
      </c>
      <c r="AP571" s="1" t="s">
        <v>2046</v>
      </c>
      <c r="AQ571" s="11">
        <v>41888</v>
      </c>
      <c r="AR571" s="1" t="s">
        <v>2047</v>
      </c>
      <c r="AS571" s="11">
        <v>41890</v>
      </c>
      <c r="AT571" s="1" t="s">
        <v>49</v>
      </c>
      <c r="AU571" s="1" t="s">
        <v>4171</v>
      </c>
    </row>
    <row r="572" spans="1:47" ht="15" customHeight="1" x14ac:dyDescent="0.25">
      <c r="A572" s="1">
        <v>571</v>
      </c>
      <c r="B572" s="1" t="s">
        <v>1258</v>
      </c>
      <c r="C572" s="1" t="s">
        <v>38</v>
      </c>
      <c r="D572" s="1">
        <v>9103550404</v>
      </c>
      <c r="E572" s="5">
        <v>41827</v>
      </c>
      <c r="F572" s="1" t="s">
        <v>528</v>
      </c>
      <c r="G572" s="1" t="s">
        <v>40</v>
      </c>
      <c r="H572" s="1" t="s">
        <v>41</v>
      </c>
      <c r="I572" s="1" t="s">
        <v>2809</v>
      </c>
      <c r="J572" s="1" t="s">
        <v>2641</v>
      </c>
      <c r="K572" s="1">
        <v>38237090</v>
      </c>
      <c r="L572" s="6">
        <v>37.35</v>
      </c>
      <c r="M572" s="1" t="s">
        <v>70</v>
      </c>
      <c r="N572" s="7" t="s">
        <v>44</v>
      </c>
      <c r="O572" s="1" t="s">
        <v>53</v>
      </c>
      <c r="P572" s="8">
        <v>1355</v>
      </c>
      <c r="Q572" s="17">
        <f t="shared" si="57"/>
        <v>50609.25</v>
      </c>
      <c r="R572" s="9">
        <v>1800</v>
      </c>
      <c r="S572" s="9">
        <v>7.24</v>
      </c>
      <c r="T572" s="9">
        <v>0</v>
      </c>
      <c r="U572" s="10">
        <v>0</v>
      </c>
      <c r="V572" s="1" t="s">
        <v>46</v>
      </c>
      <c r="W572" s="1" t="s">
        <v>54</v>
      </c>
      <c r="X572" s="1">
        <v>3625947</v>
      </c>
      <c r="Y572" s="11">
        <v>41821</v>
      </c>
      <c r="Z572" s="11">
        <v>41822</v>
      </c>
      <c r="AA572" s="9">
        <f t="shared" si="60"/>
        <v>48802.01</v>
      </c>
      <c r="AB572" s="12">
        <v>59.45</v>
      </c>
      <c r="AC572" s="9">
        <f t="shared" si="58"/>
        <v>3008719.9125000001</v>
      </c>
      <c r="AD572" s="9">
        <f t="shared" si="59"/>
        <v>2901279.4945</v>
      </c>
      <c r="AE572" s="1" t="s">
        <v>48</v>
      </c>
      <c r="AF572" s="1" t="s">
        <v>53</v>
      </c>
      <c r="AG572" s="4">
        <f t="shared" si="61"/>
        <v>50609.25</v>
      </c>
      <c r="AH572" s="10">
        <v>50609.25</v>
      </c>
      <c r="AI572" s="10">
        <v>1800</v>
      </c>
      <c r="AJ572" s="10">
        <v>7.24</v>
      </c>
      <c r="AK572" s="10">
        <v>0</v>
      </c>
      <c r="AL572" s="9">
        <f t="shared" si="62"/>
        <v>48802.01</v>
      </c>
      <c r="AM572" s="1"/>
      <c r="AN572" s="1"/>
      <c r="AO572" s="12" t="e">
        <f>AB572/#REF!</f>
        <v>#REF!</v>
      </c>
      <c r="AP572" s="1" t="s">
        <v>2048</v>
      </c>
      <c r="AQ572" s="11">
        <v>41925</v>
      </c>
      <c r="AR572" s="1" t="s">
        <v>2049</v>
      </c>
      <c r="AS572" s="11">
        <v>41926</v>
      </c>
      <c r="AT572" s="1" t="s">
        <v>49</v>
      </c>
      <c r="AU572" s="1" t="s">
        <v>4171</v>
      </c>
    </row>
    <row r="573" spans="1:47" ht="15" customHeight="1" x14ac:dyDescent="0.25">
      <c r="A573" s="1">
        <v>572</v>
      </c>
      <c r="B573" s="1" t="s">
        <v>1258</v>
      </c>
      <c r="C573" s="1" t="s">
        <v>38</v>
      </c>
      <c r="D573" s="1">
        <v>9103550404</v>
      </c>
      <c r="E573" s="5">
        <v>41827</v>
      </c>
      <c r="F573" s="1" t="s">
        <v>534</v>
      </c>
      <c r="G573" s="1" t="s">
        <v>40</v>
      </c>
      <c r="H573" s="1" t="s">
        <v>41</v>
      </c>
      <c r="I573" s="1" t="s">
        <v>2809</v>
      </c>
      <c r="J573" s="1" t="s">
        <v>2641</v>
      </c>
      <c r="K573" s="1">
        <v>38237090</v>
      </c>
      <c r="L573" s="6">
        <v>18.739999999999998</v>
      </c>
      <c r="M573" s="1" t="s">
        <v>70</v>
      </c>
      <c r="N573" s="7" t="s">
        <v>44</v>
      </c>
      <c r="O573" s="1" t="s">
        <v>53</v>
      </c>
      <c r="P573" s="8">
        <v>1355</v>
      </c>
      <c r="Q573" s="17">
        <f t="shared" si="57"/>
        <v>25392.699999999997</v>
      </c>
      <c r="R573" s="9">
        <v>900</v>
      </c>
      <c r="S573" s="9">
        <v>3.63</v>
      </c>
      <c r="T573" s="9">
        <v>0</v>
      </c>
      <c r="U573" s="10">
        <v>0</v>
      </c>
      <c r="V573" s="1" t="s">
        <v>46</v>
      </c>
      <c r="W573" s="1" t="s">
        <v>54</v>
      </c>
      <c r="X573" s="1">
        <v>3626399</v>
      </c>
      <c r="Y573" s="11">
        <v>41821</v>
      </c>
      <c r="Z573" s="11">
        <v>41822</v>
      </c>
      <c r="AA573" s="9">
        <f t="shared" si="60"/>
        <v>24489.069999999996</v>
      </c>
      <c r="AB573" s="12">
        <v>59.45</v>
      </c>
      <c r="AC573" s="9">
        <f t="shared" si="58"/>
        <v>1509596.0149999999</v>
      </c>
      <c r="AD573" s="9">
        <f t="shared" si="59"/>
        <v>1455875.2114999997</v>
      </c>
      <c r="AE573" s="1" t="s">
        <v>48</v>
      </c>
      <c r="AF573" s="1" t="s">
        <v>53</v>
      </c>
      <c r="AG573" s="4">
        <f t="shared" si="61"/>
        <v>25392.699999999997</v>
      </c>
      <c r="AH573" s="10">
        <v>25392.7</v>
      </c>
      <c r="AI573" s="10">
        <v>900</v>
      </c>
      <c r="AJ573" s="10">
        <v>3.63</v>
      </c>
      <c r="AK573" s="10">
        <v>0</v>
      </c>
      <c r="AL573" s="9">
        <f t="shared" si="62"/>
        <v>24489.07</v>
      </c>
      <c r="AM573" s="1"/>
      <c r="AN573" s="1"/>
      <c r="AO573" s="12" t="e">
        <f>AB573/#REF!</f>
        <v>#REF!</v>
      </c>
      <c r="AP573" s="1" t="s">
        <v>2048</v>
      </c>
      <c r="AQ573" s="11">
        <v>41925</v>
      </c>
      <c r="AR573" s="1" t="s">
        <v>2050</v>
      </c>
      <c r="AS573" s="11">
        <v>41926</v>
      </c>
      <c r="AT573" s="1" t="s">
        <v>49</v>
      </c>
      <c r="AU573" s="1" t="s">
        <v>4171</v>
      </c>
    </row>
    <row r="574" spans="1:47" ht="15" customHeight="1" x14ac:dyDescent="0.25">
      <c r="A574" s="1">
        <v>573</v>
      </c>
      <c r="B574" s="1" t="s">
        <v>1258</v>
      </c>
      <c r="C574" s="1" t="s">
        <v>38</v>
      </c>
      <c r="D574" s="1">
        <v>9103550405</v>
      </c>
      <c r="E574" s="5">
        <v>41825</v>
      </c>
      <c r="F574" s="1" t="s">
        <v>519</v>
      </c>
      <c r="G574" s="1" t="s">
        <v>40</v>
      </c>
      <c r="H574" s="1" t="s">
        <v>41</v>
      </c>
      <c r="I574" s="1" t="s">
        <v>2809</v>
      </c>
      <c r="J574" s="1" t="s">
        <v>919</v>
      </c>
      <c r="K574" s="1">
        <v>38237090</v>
      </c>
      <c r="L574" s="6">
        <v>44</v>
      </c>
      <c r="M574" s="1" t="s">
        <v>70</v>
      </c>
      <c r="N574" s="7" t="s">
        <v>52</v>
      </c>
      <c r="O574" s="1" t="s">
        <v>53</v>
      </c>
      <c r="P574" s="8">
        <v>1600</v>
      </c>
      <c r="Q574" s="17">
        <f t="shared" si="57"/>
        <v>70400</v>
      </c>
      <c r="R574" s="9">
        <v>3806</v>
      </c>
      <c r="S574" s="9">
        <v>0</v>
      </c>
      <c r="T574" s="9">
        <v>0</v>
      </c>
      <c r="U574" s="10">
        <v>0</v>
      </c>
      <c r="V574" s="1" t="s">
        <v>46</v>
      </c>
      <c r="W574" s="1" t="s">
        <v>243</v>
      </c>
      <c r="X574" s="1">
        <v>3645457</v>
      </c>
      <c r="Y574" s="11">
        <v>41822</v>
      </c>
      <c r="Z574" s="11">
        <v>41823</v>
      </c>
      <c r="AA574" s="9">
        <f t="shared" si="60"/>
        <v>66594</v>
      </c>
      <c r="AB574" s="12">
        <v>59.45</v>
      </c>
      <c r="AC574" s="9">
        <f t="shared" si="58"/>
        <v>4185280</v>
      </c>
      <c r="AD574" s="9">
        <f t="shared" si="59"/>
        <v>3959013.3000000003</v>
      </c>
      <c r="AE574" s="1" t="s">
        <v>48</v>
      </c>
      <c r="AF574" s="1" t="s">
        <v>53</v>
      </c>
      <c r="AG574" s="4">
        <f t="shared" si="61"/>
        <v>70400</v>
      </c>
      <c r="AH574" s="10">
        <v>70385</v>
      </c>
      <c r="AI574" s="10">
        <f>1812.61+1809.36+4.01</f>
        <v>3625.98</v>
      </c>
      <c r="AJ574" s="10">
        <v>0</v>
      </c>
      <c r="AK574" s="10">
        <v>0</v>
      </c>
      <c r="AL574" s="9">
        <f t="shared" si="62"/>
        <v>66759.02</v>
      </c>
      <c r="AM574" s="1"/>
      <c r="AN574" s="1"/>
      <c r="AO574" s="12" t="e">
        <f>AB574/#REF!</f>
        <v>#REF!</v>
      </c>
      <c r="AP574" s="1" t="s">
        <v>2051</v>
      </c>
      <c r="AQ574" s="11">
        <v>41850</v>
      </c>
      <c r="AR574" s="1" t="s">
        <v>2052</v>
      </c>
      <c r="AS574" s="11">
        <v>41851</v>
      </c>
      <c r="AT574" s="1" t="s">
        <v>49</v>
      </c>
      <c r="AU574" s="1" t="s">
        <v>4171</v>
      </c>
    </row>
    <row r="575" spans="1:47" ht="15" customHeight="1" x14ac:dyDescent="0.25">
      <c r="A575" s="1">
        <v>574</v>
      </c>
      <c r="B575" s="1" t="s">
        <v>1258</v>
      </c>
      <c r="C575" s="1" t="s">
        <v>38</v>
      </c>
      <c r="D575" s="1">
        <v>9103550406</v>
      </c>
      <c r="E575" s="5">
        <v>41825</v>
      </c>
      <c r="F575" s="1" t="s">
        <v>532</v>
      </c>
      <c r="G575" s="1" t="s">
        <v>40</v>
      </c>
      <c r="H575" s="1" t="s">
        <v>41</v>
      </c>
      <c r="I575" s="1" t="s">
        <v>2809</v>
      </c>
      <c r="J575" s="1" t="s">
        <v>919</v>
      </c>
      <c r="K575" s="1">
        <v>38237090</v>
      </c>
      <c r="L575" s="6">
        <v>66</v>
      </c>
      <c r="M575" s="1" t="s">
        <v>70</v>
      </c>
      <c r="N575" s="7" t="s">
        <v>52</v>
      </c>
      <c r="O575" s="1" t="s">
        <v>53</v>
      </c>
      <c r="P575" s="8">
        <v>1600</v>
      </c>
      <c r="Q575" s="17">
        <f t="shared" si="57"/>
        <v>105600</v>
      </c>
      <c r="R575" s="9">
        <v>5709</v>
      </c>
      <c r="S575" s="9">
        <v>0</v>
      </c>
      <c r="T575" s="9">
        <v>0</v>
      </c>
      <c r="U575" s="10">
        <v>0</v>
      </c>
      <c r="V575" s="1" t="s">
        <v>46</v>
      </c>
      <c r="W575" s="1" t="s">
        <v>243</v>
      </c>
      <c r="X575" s="1">
        <v>3645462</v>
      </c>
      <c r="Y575" s="11">
        <v>41822</v>
      </c>
      <c r="Z575" s="11">
        <v>41823</v>
      </c>
      <c r="AA575" s="9">
        <f t="shared" si="60"/>
        <v>99891</v>
      </c>
      <c r="AB575" s="12">
        <v>59.45</v>
      </c>
      <c r="AC575" s="9">
        <f t="shared" si="58"/>
        <v>6277920</v>
      </c>
      <c r="AD575" s="9">
        <f t="shared" si="59"/>
        <v>5938519.9500000002</v>
      </c>
      <c r="AE575" s="1" t="s">
        <v>48</v>
      </c>
      <c r="AF575" s="1" t="s">
        <v>53</v>
      </c>
      <c r="AG575" s="4">
        <f t="shared" si="61"/>
        <v>105600</v>
      </c>
      <c r="AH575" s="10">
        <v>105585</v>
      </c>
      <c r="AI575" s="10">
        <f>2719.11+2715.86+4.01</f>
        <v>5438.9800000000005</v>
      </c>
      <c r="AJ575" s="10">
        <v>0</v>
      </c>
      <c r="AK575" s="10">
        <v>0</v>
      </c>
      <c r="AL575" s="9">
        <f t="shared" si="62"/>
        <v>100146.02</v>
      </c>
      <c r="AM575" s="1"/>
      <c r="AN575" s="1"/>
      <c r="AO575" s="12" t="e">
        <f>AB575/#REF!</f>
        <v>#REF!</v>
      </c>
      <c r="AP575" s="1" t="s">
        <v>2053</v>
      </c>
      <c r="AQ575" s="11">
        <v>41850</v>
      </c>
      <c r="AR575" s="1" t="s">
        <v>2054</v>
      </c>
      <c r="AS575" s="11">
        <v>41851</v>
      </c>
      <c r="AT575" s="1" t="s">
        <v>49</v>
      </c>
      <c r="AU575" s="1" t="s">
        <v>4171</v>
      </c>
    </row>
    <row r="576" spans="1:47" ht="15" customHeight="1" x14ac:dyDescent="0.25">
      <c r="A576" s="1">
        <v>575</v>
      </c>
      <c r="B576" s="1" t="s">
        <v>1258</v>
      </c>
      <c r="C576" s="1" t="s">
        <v>38</v>
      </c>
      <c r="D576" s="1">
        <v>9103550407</v>
      </c>
      <c r="E576" s="5">
        <v>41833</v>
      </c>
      <c r="F576" s="1" t="s">
        <v>537</v>
      </c>
      <c r="G576" s="1" t="s">
        <v>40</v>
      </c>
      <c r="H576" s="1" t="s">
        <v>41</v>
      </c>
      <c r="I576" s="1" t="s">
        <v>2809</v>
      </c>
      <c r="J576" s="1" t="s">
        <v>2055</v>
      </c>
      <c r="K576" s="1">
        <v>38237090</v>
      </c>
      <c r="L576" s="6">
        <v>18.579999999999998</v>
      </c>
      <c r="M576" s="1" t="s">
        <v>70</v>
      </c>
      <c r="N576" s="7" t="s">
        <v>52</v>
      </c>
      <c r="O576" s="1" t="s">
        <v>53</v>
      </c>
      <c r="P576" s="8">
        <v>3900</v>
      </c>
      <c r="Q576" s="17">
        <f t="shared" si="57"/>
        <v>72462</v>
      </c>
      <c r="R576" s="9">
        <v>3900</v>
      </c>
      <c r="S576" s="9">
        <v>0</v>
      </c>
      <c r="T576" s="9">
        <v>0</v>
      </c>
      <c r="U576" s="10">
        <v>0</v>
      </c>
      <c r="V576" s="1" t="s">
        <v>46</v>
      </c>
      <c r="W576" s="1" t="s">
        <v>243</v>
      </c>
      <c r="X576" s="1">
        <v>3650052</v>
      </c>
      <c r="Y576" s="11">
        <v>41822</v>
      </c>
      <c r="Z576" s="11">
        <v>41823</v>
      </c>
      <c r="AA576" s="9">
        <f t="shared" si="60"/>
        <v>68562</v>
      </c>
      <c r="AB576" s="12">
        <v>59.45</v>
      </c>
      <c r="AC576" s="9">
        <f t="shared" si="58"/>
        <v>4307865.9000000004</v>
      </c>
      <c r="AD576" s="9">
        <f t="shared" si="59"/>
        <v>4076010.9000000004</v>
      </c>
      <c r="AE576" s="1" t="s">
        <v>48</v>
      </c>
      <c r="AF576" s="1" t="s">
        <v>53</v>
      </c>
      <c r="AG576" s="4">
        <f t="shared" si="61"/>
        <v>72462</v>
      </c>
      <c r="AH576" s="10">
        <v>72405.2</v>
      </c>
      <c r="AI576" s="10">
        <v>3950</v>
      </c>
      <c r="AJ576" s="10">
        <v>0</v>
      </c>
      <c r="AK576" s="10">
        <v>0</v>
      </c>
      <c r="AL576" s="9">
        <f t="shared" si="62"/>
        <v>68455.199999999997</v>
      </c>
      <c r="AM576" s="1"/>
      <c r="AN576" s="1"/>
      <c r="AO576" s="12" t="e">
        <f>AB576/#REF!</f>
        <v>#REF!</v>
      </c>
      <c r="AP576" s="1" t="s">
        <v>2056</v>
      </c>
      <c r="AQ576" s="11">
        <v>41929</v>
      </c>
      <c r="AR576" s="1" t="s">
        <v>2057</v>
      </c>
      <c r="AS576" s="11">
        <v>41930</v>
      </c>
      <c r="AT576" s="1" t="s">
        <v>49</v>
      </c>
      <c r="AU576" s="1" t="s">
        <v>4171</v>
      </c>
    </row>
    <row r="577" spans="1:47" ht="15" customHeight="1" x14ac:dyDescent="0.25">
      <c r="A577" s="1">
        <v>576</v>
      </c>
      <c r="B577" s="1" t="s">
        <v>1258</v>
      </c>
      <c r="C577" s="1" t="s">
        <v>38</v>
      </c>
      <c r="D577" s="1">
        <v>9103550408</v>
      </c>
      <c r="E577" s="5">
        <v>41828</v>
      </c>
      <c r="F577" s="1" t="s">
        <v>527</v>
      </c>
      <c r="G577" s="1" t="s">
        <v>40</v>
      </c>
      <c r="H577" s="1" t="s">
        <v>41</v>
      </c>
      <c r="I577" s="1" t="s">
        <v>2809</v>
      </c>
      <c r="J577" s="1" t="s">
        <v>464</v>
      </c>
      <c r="K577" s="1">
        <v>38237090</v>
      </c>
      <c r="L577" s="6">
        <v>2</v>
      </c>
      <c r="M577" s="1" t="s">
        <v>70</v>
      </c>
      <c r="N577" s="7" t="s">
        <v>52</v>
      </c>
      <c r="O577" s="1" t="s">
        <v>53</v>
      </c>
      <c r="P577" s="8">
        <v>4520</v>
      </c>
      <c r="Q577" s="17">
        <f t="shared" si="57"/>
        <v>9040</v>
      </c>
      <c r="R577" s="9">
        <v>300</v>
      </c>
      <c r="S577" s="9">
        <v>0</v>
      </c>
      <c r="T577" s="9">
        <v>0</v>
      </c>
      <c r="U577" s="10">
        <v>0</v>
      </c>
      <c r="V577" s="1" t="s">
        <v>46</v>
      </c>
      <c r="W577" s="1" t="s">
        <v>54</v>
      </c>
      <c r="X577" s="1">
        <v>3611333</v>
      </c>
      <c r="Y577" s="11">
        <v>41821</v>
      </c>
      <c r="Z577" s="11">
        <v>41823</v>
      </c>
      <c r="AA577" s="9">
        <f t="shared" si="60"/>
        <v>8740</v>
      </c>
      <c r="AB577" s="12">
        <v>59.45</v>
      </c>
      <c r="AC577" s="9">
        <f t="shared" si="58"/>
        <v>537428</v>
      </c>
      <c r="AD577" s="9">
        <f t="shared" si="59"/>
        <v>519593</v>
      </c>
      <c r="AE577" s="1" t="s">
        <v>48</v>
      </c>
      <c r="AF577" s="1" t="s">
        <v>53</v>
      </c>
      <c r="AG577" s="4">
        <f t="shared" si="61"/>
        <v>9040</v>
      </c>
      <c r="AH577" s="10">
        <v>9040</v>
      </c>
      <c r="AI577" s="10">
        <v>276.38</v>
      </c>
      <c r="AJ577" s="10">
        <v>0</v>
      </c>
      <c r="AK577" s="10">
        <v>0</v>
      </c>
      <c r="AL577" s="9">
        <f t="shared" si="62"/>
        <v>8763.6200000000008</v>
      </c>
      <c r="AM577" s="1"/>
      <c r="AN577" s="1"/>
      <c r="AO577" s="12" t="e">
        <f>AB577/#REF!</f>
        <v>#REF!</v>
      </c>
      <c r="AP577" s="1" t="s">
        <v>2058</v>
      </c>
      <c r="AQ577" s="11">
        <v>41894</v>
      </c>
      <c r="AR577" s="1" t="s">
        <v>2059</v>
      </c>
      <c r="AS577" s="11">
        <v>41895</v>
      </c>
      <c r="AT577" s="1" t="s">
        <v>49</v>
      </c>
      <c r="AU577" s="1" t="s">
        <v>4171</v>
      </c>
    </row>
    <row r="578" spans="1:47" ht="15" customHeight="1" x14ac:dyDescent="0.25">
      <c r="A578" s="1">
        <v>577</v>
      </c>
      <c r="B578" s="1" t="s">
        <v>1258</v>
      </c>
      <c r="C578" s="1" t="s">
        <v>38</v>
      </c>
      <c r="D578" s="1">
        <v>9103550409</v>
      </c>
      <c r="E578" s="5">
        <v>41829</v>
      </c>
      <c r="F578" s="1" t="s">
        <v>533</v>
      </c>
      <c r="G578" s="1" t="s">
        <v>40</v>
      </c>
      <c r="H578" s="1" t="s">
        <v>41</v>
      </c>
      <c r="I578" s="1" t="s">
        <v>2809</v>
      </c>
      <c r="J578" s="1" t="s">
        <v>50</v>
      </c>
      <c r="K578" s="1">
        <v>38237090</v>
      </c>
      <c r="L578" s="6">
        <v>15</v>
      </c>
      <c r="M578" s="1" t="s">
        <v>70</v>
      </c>
      <c r="N578" s="7" t="s">
        <v>52</v>
      </c>
      <c r="O578" s="1" t="s">
        <v>53</v>
      </c>
      <c r="P578" s="8">
        <v>1670</v>
      </c>
      <c r="Q578" s="17">
        <f t="shared" si="57"/>
        <v>25050</v>
      </c>
      <c r="R578" s="9">
        <v>913</v>
      </c>
      <c r="S578" s="9">
        <v>0</v>
      </c>
      <c r="T578" s="9">
        <v>0</v>
      </c>
      <c r="U578" s="10">
        <v>0</v>
      </c>
      <c r="V578" s="1" t="s">
        <v>46</v>
      </c>
      <c r="W578" s="1" t="s">
        <v>2657</v>
      </c>
      <c r="X578" s="1">
        <v>3682328</v>
      </c>
      <c r="Y578" s="11">
        <v>41824</v>
      </c>
      <c r="Z578" s="11">
        <v>41825</v>
      </c>
      <c r="AA578" s="9">
        <f t="shared" si="60"/>
        <v>24137</v>
      </c>
      <c r="AB578" s="12">
        <v>59.1</v>
      </c>
      <c r="AC578" s="9">
        <f t="shared" si="58"/>
        <v>1480455</v>
      </c>
      <c r="AD578" s="9">
        <f t="shared" si="59"/>
        <v>1426496.7</v>
      </c>
      <c r="AE578" s="1" t="s">
        <v>51</v>
      </c>
      <c r="AF578" s="1" t="s">
        <v>53</v>
      </c>
      <c r="AG578" s="4">
        <f t="shared" ref="AG578:AG641" si="63">Q578</f>
        <v>25050</v>
      </c>
      <c r="AH578" s="10">
        <v>24879</v>
      </c>
      <c r="AI578" s="10">
        <v>900</v>
      </c>
      <c r="AJ578" s="10">
        <v>0</v>
      </c>
      <c r="AK578" s="10">
        <v>0</v>
      </c>
      <c r="AL578" s="9">
        <f t="shared" ref="AL578:AL641" si="64">AH578-(AI578+AJ578+AK578)</f>
        <v>23979</v>
      </c>
      <c r="AM578" s="1"/>
      <c r="AN578" s="1"/>
      <c r="AO578" s="12" t="e">
        <f>AB578/#REF!</f>
        <v>#REF!</v>
      </c>
      <c r="AP578" s="1" t="s">
        <v>2060</v>
      </c>
      <c r="AQ578" s="11">
        <v>41893</v>
      </c>
      <c r="AR578" s="1" t="s">
        <v>2061</v>
      </c>
      <c r="AS578" s="11">
        <v>41906</v>
      </c>
      <c r="AT578" s="1" t="s">
        <v>49</v>
      </c>
      <c r="AU578" s="1" t="s">
        <v>4171</v>
      </c>
    </row>
    <row r="579" spans="1:47" ht="15" customHeight="1" x14ac:dyDescent="0.25">
      <c r="A579" s="1">
        <v>578</v>
      </c>
      <c r="B579" s="1" t="s">
        <v>1258</v>
      </c>
      <c r="C579" s="1" t="s">
        <v>38</v>
      </c>
      <c r="D579" s="1">
        <v>9103550410</v>
      </c>
      <c r="E579" s="5">
        <v>41824</v>
      </c>
      <c r="F579" s="1" t="s">
        <v>540</v>
      </c>
      <c r="G579" s="1" t="s">
        <v>40</v>
      </c>
      <c r="H579" s="1" t="s">
        <v>41</v>
      </c>
      <c r="I579" s="1" t="s">
        <v>2809</v>
      </c>
      <c r="J579" s="1" t="s">
        <v>789</v>
      </c>
      <c r="K579" s="1">
        <v>38237090</v>
      </c>
      <c r="L579" s="6">
        <v>24</v>
      </c>
      <c r="M579" s="1" t="s">
        <v>70</v>
      </c>
      <c r="N579" s="7" t="s">
        <v>44</v>
      </c>
      <c r="O579" s="1" t="s">
        <v>53</v>
      </c>
      <c r="P579" s="8">
        <v>1723</v>
      </c>
      <c r="Q579" s="17">
        <f t="shared" si="57"/>
        <v>41352</v>
      </c>
      <c r="R579" s="9">
        <v>1700</v>
      </c>
      <c r="S579" s="9">
        <v>5.91</v>
      </c>
      <c r="T579" s="9">
        <v>768</v>
      </c>
      <c r="U579" s="10">
        <v>0</v>
      </c>
      <c r="V579" s="1" t="s">
        <v>46</v>
      </c>
      <c r="W579" s="1" t="s">
        <v>790</v>
      </c>
      <c r="X579" s="1">
        <v>3686066</v>
      </c>
      <c r="Y579" s="11">
        <v>41824</v>
      </c>
      <c r="Z579" s="11">
        <v>41825</v>
      </c>
      <c r="AA579" s="9">
        <f t="shared" si="60"/>
        <v>39646.089999999997</v>
      </c>
      <c r="AB579" s="12">
        <v>59.1</v>
      </c>
      <c r="AC579" s="9">
        <f t="shared" si="58"/>
        <v>2443903.2000000002</v>
      </c>
      <c r="AD579" s="9">
        <f t="shared" si="59"/>
        <v>2343083.9189999998</v>
      </c>
      <c r="AE579" s="1" t="s">
        <v>48</v>
      </c>
      <c r="AF579" s="1" t="s">
        <v>53</v>
      </c>
      <c r="AG579" s="4">
        <f t="shared" si="63"/>
        <v>41352</v>
      </c>
      <c r="AH579" s="10">
        <v>41352</v>
      </c>
      <c r="AI579" s="10">
        <v>1790</v>
      </c>
      <c r="AJ579" s="10">
        <v>5.91</v>
      </c>
      <c r="AK579" s="10">
        <v>768</v>
      </c>
      <c r="AL579" s="9">
        <f t="shared" si="64"/>
        <v>38788.089999999997</v>
      </c>
      <c r="AM579" s="1"/>
      <c r="AN579" s="1"/>
      <c r="AO579" s="12" t="e">
        <f>AB579/#REF!</f>
        <v>#REF!</v>
      </c>
      <c r="AP579" s="1" t="s">
        <v>2062</v>
      </c>
      <c r="AQ579" s="11">
        <v>41900</v>
      </c>
      <c r="AR579" s="1" t="s">
        <v>2063</v>
      </c>
      <c r="AS579" s="11">
        <v>41901</v>
      </c>
      <c r="AT579" s="1" t="s">
        <v>49</v>
      </c>
      <c r="AU579" s="1" t="s">
        <v>4171</v>
      </c>
    </row>
    <row r="580" spans="1:47" ht="15" customHeight="1" x14ac:dyDescent="0.25">
      <c r="A580" s="1">
        <v>579</v>
      </c>
      <c r="B580" s="1" t="s">
        <v>1258</v>
      </c>
      <c r="C580" s="1" t="s">
        <v>38</v>
      </c>
      <c r="D580" s="1" t="s">
        <v>2064</v>
      </c>
      <c r="E580" s="5">
        <v>41828</v>
      </c>
      <c r="F580" s="1" t="s">
        <v>530</v>
      </c>
      <c r="G580" s="1" t="s">
        <v>40</v>
      </c>
      <c r="H580" s="1" t="s">
        <v>41</v>
      </c>
      <c r="I580" s="1" t="s">
        <v>2809</v>
      </c>
      <c r="J580" s="1" t="s">
        <v>200</v>
      </c>
      <c r="K580" s="1">
        <v>38231900</v>
      </c>
      <c r="L580" s="6">
        <v>98.46</v>
      </c>
      <c r="M580" s="1" t="s">
        <v>70</v>
      </c>
      <c r="N580" s="7" t="s">
        <v>44</v>
      </c>
      <c r="O580" s="1" t="s">
        <v>53</v>
      </c>
      <c r="P580" s="8">
        <v>1730</v>
      </c>
      <c r="Q580" s="17">
        <f t="shared" si="57"/>
        <v>170335.8</v>
      </c>
      <c r="R580" s="9">
        <v>5750</v>
      </c>
      <c r="S580" s="9">
        <v>24.36</v>
      </c>
      <c r="T580" s="9">
        <v>3229.49</v>
      </c>
      <c r="U580" s="10">
        <v>0</v>
      </c>
      <c r="V580" s="1" t="s">
        <v>46</v>
      </c>
      <c r="W580" s="1" t="s">
        <v>59</v>
      </c>
      <c r="X580" s="1">
        <v>3672260</v>
      </c>
      <c r="Y580" s="11">
        <v>41823</v>
      </c>
      <c r="Z580" s="11">
        <v>41824</v>
      </c>
      <c r="AA580" s="9">
        <f t="shared" si="60"/>
        <v>164561.44</v>
      </c>
      <c r="AB580" s="12">
        <v>59.45</v>
      </c>
      <c r="AC580" s="9">
        <f t="shared" si="58"/>
        <v>10126463.310000001</v>
      </c>
      <c r="AD580" s="9">
        <f t="shared" si="59"/>
        <v>9783177.6080000009</v>
      </c>
      <c r="AE580" s="1" t="s">
        <v>51</v>
      </c>
      <c r="AF580" s="1" t="s">
        <v>53</v>
      </c>
      <c r="AG580" s="4">
        <f t="shared" si="63"/>
        <v>170335.8</v>
      </c>
      <c r="AH580" s="10">
        <v>170336</v>
      </c>
      <c r="AI580" s="10">
        <v>5682.41</v>
      </c>
      <c r="AJ580" s="10">
        <v>24.32</v>
      </c>
      <c r="AK580" s="10">
        <v>3229.49</v>
      </c>
      <c r="AL580" s="9">
        <f t="shared" si="64"/>
        <v>161399.78</v>
      </c>
      <c r="AM580" s="1"/>
      <c r="AN580" s="1"/>
      <c r="AO580" s="12" t="e">
        <f>AB580/#REF!</f>
        <v>#REF!</v>
      </c>
      <c r="AP580" s="1" t="s">
        <v>2065</v>
      </c>
      <c r="AQ580" s="11">
        <v>41859</v>
      </c>
      <c r="AR580" s="1" t="s">
        <v>2066</v>
      </c>
      <c r="AS580" s="11">
        <v>41905</v>
      </c>
      <c r="AT580" s="1" t="s">
        <v>49</v>
      </c>
      <c r="AU580" s="1" t="s">
        <v>4171</v>
      </c>
    </row>
    <row r="581" spans="1:47" ht="15" customHeight="1" x14ac:dyDescent="0.25">
      <c r="A581" s="1">
        <v>580</v>
      </c>
      <c r="B581" s="1" t="s">
        <v>1258</v>
      </c>
      <c r="C581" s="1" t="s">
        <v>38</v>
      </c>
      <c r="D581" s="1" t="s">
        <v>2064</v>
      </c>
      <c r="E581" s="5">
        <v>41828</v>
      </c>
      <c r="F581" s="1" t="s">
        <v>531</v>
      </c>
      <c r="G581" s="1" t="s">
        <v>40</v>
      </c>
      <c r="H581" s="1" t="s">
        <v>41</v>
      </c>
      <c r="I581" s="1" t="s">
        <v>2809</v>
      </c>
      <c r="J581" s="1" t="s">
        <v>200</v>
      </c>
      <c r="K581" s="1">
        <v>38231900</v>
      </c>
      <c r="L581" s="6">
        <v>19.850000000000001</v>
      </c>
      <c r="M581" s="1" t="s">
        <v>70</v>
      </c>
      <c r="N581" s="7" t="s">
        <v>44</v>
      </c>
      <c r="O581" s="1" t="s">
        <v>53</v>
      </c>
      <c r="P581" s="8">
        <v>1730</v>
      </c>
      <c r="Q581" s="17">
        <f t="shared" si="57"/>
        <v>34340.5</v>
      </c>
      <c r="R581" s="9">
        <v>1150</v>
      </c>
      <c r="S581" s="9">
        <v>4.91</v>
      </c>
      <c r="T581" s="9">
        <v>651.08000000000004</v>
      </c>
      <c r="U581" s="10">
        <v>0</v>
      </c>
      <c r="V581" s="1" t="s">
        <v>46</v>
      </c>
      <c r="W581" s="1" t="s">
        <v>59</v>
      </c>
      <c r="X581" s="1">
        <v>3685945</v>
      </c>
      <c r="Y581" s="11">
        <v>41824</v>
      </c>
      <c r="Z581" s="11">
        <v>41825</v>
      </c>
      <c r="AA581" s="9">
        <f t="shared" si="60"/>
        <v>33185.589999999997</v>
      </c>
      <c r="AB581" s="12">
        <v>59.1</v>
      </c>
      <c r="AC581" s="9">
        <f t="shared" si="58"/>
        <v>2029523.55</v>
      </c>
      <c r="AD581" s="9">
        <f t="shared" si="59"/>
        <v>1961268.3689999999</v>
      </c>
      <c r="AE581" s="1" t="s">
        <v>51</v>
      </c>
      <c r="AF581" s="1" t="s">
        <v>53</v>
      </c>
      <c r="AG581" s="4">
        <f t="shared" si="63"/>
        <v>34340.5</v>
      </c>
      <c r="AH581" s="10">
        <v>34340</v>
      </c>
      <c r="AI581" s="10">
        <v>1145.5899999999999</v>
      </c>
      <c r="AJ581" s="10">
        <v>4.8899999999999997</v>
      </c>
      <c r="AK581" s="10">
        <v>651.08000000000004</v>
      </c>
      <c r="AL581" s="9">
        <f t="shared" si="64"/>
        <v>32538.44</v>
      </c>
      <c r="AM581" s="1"/>
      <c r="AN581" s="1"/>
      <c r="AO581" s="12" t="e">
        <f>AB581/#REF!</f>
        <v>#REF!</v>
      </c>
      <c r="AP581" s="1" t="s">
        <v>2065</v>
      </c>
      <c r="AQ581" s="11">
        <v>41859</v>
      </c>
      <c r="AR581" s="1" t="s">
        <v>2067</v>
      </c>
      <c r="AS581" s="11">
        <v>41905</v>
      </c>
      <c r="AT581" s="1" t="s">
        <v>49</v>
      </c>
      <c r="AU581" s="1" t="s">
        <v>4171</v>
      </c>
    </row>
    <row r="582" spans="1:47" ht="15" customHeight="1" x14ac:dyDescent="0.25">
      <c r="A582" s="1">
        <v>581</v>
      </c>
      <c r="B582" s="1" t="s">
        <v>1258</v>
      </c>
      <c r="C582" s="1" t="s">
        <v>38</v>
      </c>
      <c r="D582" s="1" t="s">
        <v>2068</v>
      </c>
      <c r="E582" s="5">
        <v>41829</v>
      </c>
      <c r="F582" s="1" t="s">
        <v>547</v>
      </c>
      <c r="G582" s="1" t="s">
        <v>40</v>
      </c>
      <c r="H582" s="1" t="s">
        <v>41</v>
      </c>
      <c r="I582" s="1" t="s">
        <v>2809</v>
      </c>
      <c r="J582" s="1" t="s">
        <v>50</v>
      </c>
      <c r="K582" s="1">
        <v>38237090</v>
      </c>
      <c r="L582" s="6">
        <v>57.27</v>
      </c>
      <c r="M582" s="1" t="s">
        <v>70</v>
      </c>
      <c r="N582" s="7" t="s">
        <v>52</v>
      </c>
      <c r="O582" s="1" t="s">
        <v>53</v>
      </c>
      <c r="P582" s="8">
        <v>1195</v>
      </c>
      <c r="Q582" s="17">
        <f t="shared" si="57"/>
        <v>68437.650000000009</v>
      </c>
      <c r="R582" s="9">
        <v>2536.0100000000002</v>
      </c>
      <c r="S582" s="9">
        <v>0</v>
      </c>
      <c r="T582" s="9">
        <v>0</v>
      </c>
      <c r="U582" s="10">
        <v>0</v>
      </c>
      <c r="V582" s="1" t="s">
        <v>46</v>
      </c>
      <c r="W582" s="1" t="s">
        <v>2657</v>
      </c>
      <c r="X582" s="1">
        <v>3695030</v>
      </c>
      <c r="Y582" s="11">
        <v>41824</v>
      </c>
      <c r="Z582" s="11">
        <v>41825</v>
      </c>
      <c r="AA582" s="9">
        <f t="shared" si="60"/>
        <v>65901.640000000014</v>
      </c>
      <c r="AB582" s="12">
        <v>59.1</v>
      </c>
      <c r="AC582" s="9">
        <f t="shared" si="58"/>
        <v>4044665.1150000007</v>
      </c>
      <c r="AD582" s="9">
        <f t="shared" si="59"/>
        <v>3894786.924000001</v>
      </c>
      <c r="AE582" s="1" t="s">
        <v>284</v>
      </c>
      <c r="AF582" s="1" t="s">
        <v>45</v>
      </c>
      <c r="AG582" s="4">
        <f t="shared" si="63"/>
        <v>68437.650000000009</v>
      </c>
      <c r="AH582" s="10">
        <v>68218.22</v>
      </c>
      <c r="AI582" s="10">
        <v>2507.7600000000002</v>
      </c>
      <c r="AJ582" s="10">
        <v>0</v>
      </c>
      <c r="AK582" s="10">
        <v>0</v>
      </c>
      <c r="AL582" s="9">
        <f t="shared" si="64"/>
        <v>65710.460000000006</v>
      </c>
      <c r="AM582" s="1"/>
      <c r="AN582" s="1"/>
      <c r="AO582" s="12" t="e">
        <f>AB582/#REF!</f>
        <v>#REF!</v>
      </c>
      <c r="AP582" s="1" t="s">
        <v>2069</v>
      </c>
      <c r="AQ582" s="11">
        <v>41892</v>
      </c>
      <c r="AR582" s="1" t="s">
        <v>2070</v>
      </c>
      <c r="AS582" s="11">
        <v>41892</v>
      </c>
      <c r="AT582" s="1" t="s">
        <v>49</v>
      </c>
      <c r="AU582" s="1" t="s">
        <v>4171</v>
      </c>
    </row>
    <row r="583" spans="1:47" ht="15" customHeight="1" x14ac:dyDescent="0.25">
      <c r="A583" s="1">
        <v>582</v>
      </c>
      <c r="B583" s="1" t="s">
        <v>1258</v>
      </c>
      <c r="C583" s="1" t="s">
        <v>38</v>
      </c>
      <c r="D583" s="1" t="s">
        <v>2068</v>
      </c>
      <c r="E583" s="5">
        <v>41829</v>
      </c>
      <c r="F583" s="1" t="s">
        <v>553</v>
      </c>
      <c r="G583" s="1" t="s">
        <v>40</v>
      </c>
      <c r="H583" s="1" t="s">
        <v>41</v>
      </c>
      <c r="I583" s="1" t="s">
        <v>2809</v>
      </c>
      <c r="J583" s="1" t="s">
        <v>50</v>
      </c>
      <c r="K583" s="1">
        <v>38237090</v>
      </c>
      <c r="L583" s="6">
        <v>37.25</v>
      </c>
      <c r="M583" s="1" t="s">
        <v>70</v>
      </c>
      <c r="N583" s="7" t="s">
        <v>52</v>
      </c>
      <c r="O583" s="1" t="s">
        <v>45</v>
      </c>
      <c r="P583" s="8">
        <v>1195</v>
      </c>
      <c r="Q583" s="17">
        <f t="shared" si="57"/>
        <v>44513.75</v>
      </c>
      <c r="R583" s="9">
        <v>1690.67</v>
      </c>
      <c r="S583" s="9">
        <v>0</v>
      </c>
      <c r="T583" s="9">
        <v>0</v>
      </c>
      <c r="U583" s="10">
        <v>0</v>
      </c>
      <c r="V583" s="1" t="s">
        <v>46</v>
      </c>
      <c r="W583" s="1" t="s">
        <v>2657</v>
      </c>
      <c r="X583" s="1">
        <v>3708303</v>
      </c>
      <c r="Y583" s="11">
        <v>41825</v>
      </c>
      <c r="Z583" s="11">
        <v>41827</v>
      </c>
      <c r="AA583" s="9">
        <f t="shared" si="60"/>
        <v>42823.08</v>
      </c>
      <c r="AB583" s="12">
        <v>80.400000000000006</v>
      </c>
      <c r="AC583" s="9">
        <f t="shared" si="58"/>
        <v>3578905.5000000005</v>
      </c>
      <c r="AD583" s="9">
        <f t="shared" si="59"/>
        <v>3442975.6320000002</v>
      </c>
      <c r="AE583" s="1" t="s">
        <v>284</v>
      </c>
      <c r="AF583" s="1" t="s">
        <v>45</v>
      </c>
      <c r="AG583" s="4">
        <f t="shared" si="63"/>
        <v>44513.75</v>
      </c>
      <c r="AH583" s="10">
        <v>44513.75</v>
      </c>
      <c r="AI583" s="10">
        <v>1654.92</v>
      </c>
      <c r="AJ583" s="10">
        <v>0</v>
      </c>
      <c r="AK583" s="10">
        <v>0</v>
      </c>
      <c r="AL583" s="9">
        <f t="shared" si="64"/>
        <v>42858.83</v>
      </c>
      <c r="AM583" s="1"/>
      <c r="AN583" s="1"/>
      <c r="AO583" s="12" t="e">
        <f>AB583/#REF!</f>
        <v>#REF!</v>
      </c>
      <c r="AP583" s="1" t="s">
        <v>2069</v>
      </c>
      <c r="AQ583" s="11">
        <v>41892</v>
      </c>
      <c r="AR583" s="1" t="s">
        <v>2071</v>
      </c>
      <c r="AS583" s="11">
        <v>41892</v>
      </c>
      <c r="AT583" s="1" t="s">
        <v>49</v>
      </c>
      <c r="AU583" s="1" t="s">
        <v>4171</v>
      </c>
    </row>
    <row r="584" spans="1:47" ht="15" customHeight="1" x14ac:dyDescent="0.25">
      <c r="A584" s="1">
        <v>583</v>
      </c>
      <c r="B584" s="1" t="s">
        <v>1258</v>
      </c>
      <c r="C584" s="1" t="s">
        <v>38</v>
      </c>
      <c r="D584" s="1">
        <v>9103550415</v>
      </c>
      <c r="E584" s="5">
        <v>41831</v>
      </c>
      <c r="F584" s="1" t="s">
        <v>551</v>
      </c>
      <c r="G584" s="1" t="s">
        <v>40</v>
      </c>
      <c r="H584" s="1" t="s">
        <v>41</v>
      </c>
      <c r="I584" s="1" t="s">
        <v>2809</v>
      </c>
      <c r="J584" s="1" t="s">
        <v>55</v>
      </c>
      <c r="K584" s="1">
        <v>38237090</v>
      </c>
      <c r="L584" s="6">
        <v>54</v>
      </c>
      <c r="M584" s="1" t="s">
        <v>70</v>
      </c>
      <c r="N584" s="7" t="s">
        <v>44</v>
      </c>
      <c r="O584" s="1" t="s">
        <v>53</v>
      </c>
      <c r="P584" s="8">
        <v>4294</v>
      </c>
      <c r="Q584" s="17">
        <f t="shared" si="57"/>
        <v>231876</v>
      </c>
      <c r="R584" s="9">
        <v>9900</v>
      </c>
      <c r="S584" s="9">
        <v>33.159999999999997</v>
      </c>
      <c r="T584" s="9">
        <v>0</v>
      </c>
      <c r="U584" s="10">
        <v>0</v>
      </c>
      <c r="V584" s="1" t="s">
        <v>46</v>
      </c>
      <c r="W584" s="1" t="s">
        <v>56</v>
      </c>
      <c r="X584" s="1">
        <v>3712958</v>
      </c>
      <c r="Y584" s="11">
        <v>41825</v>
      </c>
      <c r="Z584" s="11">
        <v>41827</v>
      </c>
      <c r="AA584" s="9">
        <f t="shared" si="60"/>
        <v>221942.84</v>
      </c>
      <c r="AB584" s="12">
        <v>59.1</v>
      </c>
      <c r="AC584" s="9">
        <f t="shared" si="58"/>
        <v>13703871.6</v>
      </c>
      <c r="AD584" s="9">
        <f t="shared" si="59"/>
        <v>13116821.844000001</v>
      </c>
      <c r="AE584" s="1" t="s">
        <v>48</v>
      </c>
      <c r="AF584" s="1" t="s">
        <v>53</v>
      </c>
      <c r="AG584" s="4">
        <f t="shared" si="63"/>
        <v>231876</v>
      </c>
      <c r="AH584" s="10">
        <v>231876</v>
      </c>
      <c r="AI584" s="10">
        <v>9762</v>
      </c>
      <c r="AJ584" s="10">
        <v>33.159999999999997</v>
      </c>
      <c r="AK584" s="10">
        <v>0</v>
      </c>
      <c r="AL584" s="9">
        <f t="shared" si="64"/>
        <v>222080.84</v>
      </c>
      <c r="AM584" s="1"/>
      <c r="AN584" s="1"/>
      <c r="AO584" s="12" t="e">
        <f>AB584/#REF!</f>
        <v>#REF!</v>
      </c>
      <c r="AP584" s="1" t="s">
        <v>2072</v>
      </c>
      <c r="AQ584" s="11">
        <v>41893</v>
      </c>
      <c r="AR584" s="1" t="s">
        <v>2073</v>
      </c>
      <c r="AS584" s="11">
        <v>41894</v>
      </c>
      <c r="AT584" s="1" t="s">
        <v>49</v>
      </c>
      <c r="AU584" s="1" t="s">
        <v>4171</v>
      </c>
    </row>
    <row r="585" spans="1:47" ht="15" customHeight="1" x14ac:dyDescent="0.25">
      <c r="A585" s="1">
        <v>584</v>
      </c>
      <c r="B585" s="1" t="s">
        <v>1258</v>
      </c>
      <c r="C585" s="1" t="s">
        <v>38</v>
      </c>
      <c r="D585" s="1">
        <v>9103550416</v>
      </c>
      <c r="E585" s="5">
        <v>41833</v>
      </c>
      <c r="F585" s="1" t="s">
        <v>548</v>
      </c>
      <c r="G585" s="1" t="s">
        <v>40</v>
      </c>
      <c r="H585" s="1" t="s">
        <v>41</v>
      </c>
      <c r="I585" s="1" t="s">
        <v>2809</v>
      </c>
      <c r="J585" s="1" t="s">
        <v>200</v>
      </c>
      <c r="K585" s="1">
        <v>38231900</v>
      </c>
      <c r="L585" s="6">
        <v>39.25</v>
      </c>
      <c r="M585" s="1" t="s">
        <v>70</v>
      </c>
      <c r="N585" s="7" t="s">
        <v>44</v>
      </c>
      <c r="O585" s="1" t="s">
        <v>53</v>
      </c>
      <c r="P585" s="8">
        <v>1730</v>
      </c>
      <c r="Q585" s="17">
        <f t="shared" si="57"/>
        <v>67902.5</v>
      </c>
      <c r="R585" s="9">
        <v>2300</v>
      </c>
      <c r="S585" s="9">
        <v>9.7100000000000009</v>
      </c>
      <c r="T585" s="9">
        <v>1287.4000000000001</v>
      </c>
      <c r="U585" s="10">
        <v>0</v>
      </c>
      <c r="V585" s="1" t="s">
        <v>46</v>
      </c>
      <c r="W585" s="1" t="s">
        <v>59</v>
      </c>
      <c r="X585" s="1">
        <v>3725309</v>
      </c>
      <c r="Y585" s="11">
        <v>41827</v>
      </c>
      <c r="Z585" s="11">
        <v>41828</v>
      </c>
      <c r="AA585" s="9">
        <f t="shared" si="60"/>
        <v>65592.789999999994</v>
      </c>
      <c r="AB585" s="12">
        <v>59.1</v>
      </c>
      <c r="AC585" s="9">
        <f t="shared" si="58"/>
        <v>4013037.75</v>
      </c>
      <c r="AD585" s="9">
        <f t="shared" si="59"/>
        <v>3876533.8889999995</v>
      </c>
      <c r="AE585" s="1" t="s">
        <v>51</v>
      </c>
      <c r="AF585" s="1" t="s">
        <v>53</v>
      </c>
      <c r="AG585" s="4">
        <f t="shared" si="63"/>
        <v>67902.5</v>
      </c>
      <c r="AH585" s="10">
        <v>67892</v>
      </c>
      <c r="AI585" s="10">
        <v>1175</v>
      </c>
      <c r="AJ585" s="10">
        <v>9.7100000000000009</v>
      </c>
      <c r="AK585" s="10">
        <v>1287.4000000000001</v>
      </c>
      <c r="AL585" s="9">
        <f t="shared" si="64"/>
        <v>65419.89</v>
      </c>
      <c r="AM585" s="1"/>
      <c r="AN585" s="1"/>
      <c r="AO585" s="12" t="e">
        <f>AB585/#REF!</f>
        <v>#REF!</v>
      </c>
      <c r="AP585" s="1" t="s">
        <v>2074</v>
      </c>
      <c r="AQ585" s="11">
        <v>41864</v>
      </c>
      <c r="AR585" s="1" t="s">
        <v>2075</v>
      </c>
      <c r="AS585" s="11">
        <v>41905</v>
      </c>
      <c r="AT585" s="1" t="s">
        <v>49</v>
      </c>
      <c r="AU585" s="1" t="s">
        <v>4171</v>
      </c>
    </row>
    <row r="586" spans="1:47" ht="15" customHeight="1" x14ac:dyDescent="0.25">
      <c r="A586" s="1">
        <v>585</v>
      </c>
      <c r="B586" s="1" t="s">
        <v>1258</v>
      </c>
      <c r="C586" s="1" t="s">
        <v>38</v>
      </c>
      <c r="D586" s="1">
        <v>9103550417</v>
      </c>
      <c r="E586" s="5">
        <v>41831</v>
      </c>
      <c r="F586" s="1" t="s">
        <v>550</v>
      </c>
      <c r="G586" s="1" t="s">
        <v>40</v>
      </c>
      <c r="H586" s="1" t="s">
        <v>41</v>
      </c>
      <c r="I586" s="1" t="s">
        <v>2809</v>
      </c>
      <c r="J586" s="1" t="s">
        <v>63</v>
      </c>
      <c r="K586" s="1">
        <v>29159090</v>
      </c>
      <c r="L586" s="6">
        <v>20</v>
      </c>
      <c r="M586" s="1" t="s">
        <v>70</v>
      </c>
      <c r="N586" s="7" t="s">
        <v>52</v>
      </c>
      <c r="O586" s="1" t="s">
        <v>53</v>
      </c>
      <c r="P586" s="8">
        <v>3600</v>
      </c>
      <c r="Q586" s="17">
        <f t="shared" si="57"/>
        <v>72000</v>
      </c>
      <c r="R586" s="9">
        <v>325</v>
      </c>
      <c r="S586" s="9">
        <v>0</v>
      </c>
      <c r="T586" s="9">
        <v>0</v>
      </c>
      <c r="U586" s="10">
        <v>0</v>
      </c>
      <c r="V586" s="1" t="s">
        <v>46</v>
      </c>
      <c r="W586" s="1" t="s">
        <v>75</v>
      </c>
      <c r="X586" s="1">
        <v>3732454</v>
      </c>
      <c r="Y586" s="11">
        <v>41827</v>
      </c>
      <c r="Z586" s="11">
        <v>41829</v>
      </c>
      <c r="AA586" s="9">
        <f t="shared" si="60"/>
        <v>71675</v>
      </c>
      <c r="AB586" s="12">
        <v>59.1</v>
      </c>
      <c r="AC586" s="9">
        <f t="shared" si="58"/>
        <v>4255200</v>
      </c>
      <c r="AD586" s="9">
        <f t="shared" si="59"/>
        <v>4235992.5</v>
      </c>
      <c r="AE586" s="1" t="s">
        <v>51</v>
      </c>
      <c r="AF586" s="1" t="s">
        <v>53</v>
      </c>
      <c r="AG586" s="4">
        <f t="shared" si="63"/>
        <v>72000</v>
      </c>
      <c r="AH586" s="10">
        <v>71959</v>
      </c>
      <c r="AI586" s="10">
        <v>380</v>
      </c>
      <c r="AJ586" s="10">
        <v>0</v>
      </c>
      <c r="AK586" s="10">
        <v>0</v>
      </c>
      <c r="AL586" s="9">
        <f t="shared" si="64"/>
        <v>71579</v>
      </c>
      <c r="AM586" s="1"/>
      <c r="AN586" s="1"/>
      <c r="AO586" s="12" t="e">
        <f>AB586/#REF!</f>
        <v>#REF!</v>
      </c>
      <c r="AP586" s="1" t="s">
        <v>2076</v>
      </c>
      <c r="AQ586" s="11">
        <v>41863</v>
      </c>
      <c r="AR586" s="1" t="s">
        <v>2077</v>
      </c>
      <c r="AS586" s="11">
        <v>41906</v>
      </c>
      <c r="AT586" s="1" t="s">
        <v>49</v>
      </c>
      <c r="AU586" s="1" t="s">
        <v>4171</v>
      </c>
    </row>
    <row r="587" spans="1:47" ht="15" customHeight="1" x14ac:dyDescent="0.25">
      <c r="A587" s="1">
        <v>586</v>
      </c>
      <c r="B587" s="1" t="s">
        <v>1258</v>
      </c>
      <c r="C587" s="1" t="s">
        <v>38</v>
      </c>
      <c r="D587" s="1">
        <v>9103550418</v>
      </c>
      <c r="E587" s="5">
        <v>41829</v>
      </c>
      <c r="F587" s="1" t="s">
        <v>557</v>
      </c>
      <c r="G587" s="1" t="s">
        <v>40</v>
      </c>
      <c r="H587" s="1" t="s">
        <v>41</v>
      </c>
      <c r="I587" s="1" t="s">
        <v>2809</v>
      </c>
      <c r="J587" s="1" t="s">
        <v>1747</v>
      </c>
      <c r="K587" s="1">
        <v>38237090</v>
      </c>
      <c r="L587" s="6">
        <v>24</v>
      </c>
      <c r="M587" s="1" t="s">
        <v>70</v>
      </c>
      <c r="N587" s="7" t="s">
        <v>44</v>
      </c>
      <c r="O587" s="1" t="s">
        <v>53</v>
      </c>
      <c r="P587" s="8">
        <v>1700</v>
      </c>
      <c r="Q587" s="17">
        <f t="shared" si="57"/>
        <v>40800</v>
      </c>
      <c r="R587" s="9">
        <v>1600</v>
      </c>
      <c r="S587" s="9">
        <v>5.83</v>
      </c>
      <c r="T587" s="9">
        <v>0</v>
      </c>
      <c r="U587" s="10">
        <v>0</v>
      </c>
      <c r="V587" s="1" t="s">
        <v>46</v>
      </c>
      <c r="W587" s="1" t="s">
        <v>137</v>
      </c>
      <c r="X587" s="1">
        <v>3732614</v>
      </c>
      <c r="Y587" s="11">
        <v>41827</v>
      </c>
      <c r="Z587" s="11">
        <v>41828</v>
      </c>
      <c r="AA587" s="9">
        <f t="shared" si="60"/>
        <v>39194.17</v>
      </c>
      <c r="AB587" s="12">
        <v>59.1</v>
      </c>
      <c r="AC587" s="9">
        <f t="shared" si="58"/>
        <v>2411280</v>
      </c>
      <c r="AD587" s="9">
        <f t="shared" si="59"/>
        <v>2316375.4470000002</v>
      </c>
      <c r="AE587" s="1" t="s">
        <v>48</v>
      </c>
      <c r="AF587" s="1" t="s">
        <v>53</v>
      </c>
      <c r="AG587" s="4">
        <f t="shared" si="63"/>
        <v>40800</v>
      </c>
      <c r="AH587" s="10">
        <v>40790</v>
      </c>
      <c r="AI587" s="10">
        <v>1535</v>
      </c>
      <c r="AJ587" s="10">
        <v>5.81</v>
      </c>
      <c r="AK587" s="10">
        <v>0</v>
      </c>
      <c r="AL587" s="9">
        <f t="shared" si="64"/>
        <v>39249.19</v>
      </c>
      <c r="AM587" s="1"/>
      <c r="AN587" s="1"/>
      <c r="AO587" s="12" t="e">
        <f>AB587/#REF!</f>
        <v>#REF!</v>
      </c>
      <c r="AP587" s="1" t="s">
        <v>2078</v>
      </c>
      <c r="AQ587" s="11">
        <v>41851</v>
      </c>
      <c r="AR587" s="1" t="s">
        <v>2079</v>
      </c>
      <c r="AS587" s="11">
        <v>41852</v>
      </c>
      <c r="AT587" s="1" t="s">
        <v>49</v>
      </c>
      <c r="AU587" s="1" t="s">
        <v>4171</v>
      </c>
    </row>
    <row r="588" spans="1:47" ht="15" customHeight="1" x14ac:dyDescent="0.25">
      <c r="A588" s="1">
        <v>587</v>
      </c>
      <c r="B588" s="1" t="s">
        <v>1258</v>
      </c>
      <c r="C588" s="1" t="s">
        <v>38</v>
      </c>
      <c r="D588" s="1">
        <v>9103550419</v>
      </c>
      <c r="E588" s="5">
        <v>41831</v>
      </c>
      <c r="F588" s="1" t="s">
        <v>554</v>
      </c>
      <c r="G588" s="1" t="s">
        <v>40</v>
      </c>
      <c r="H588" s="1" t="s">
        <v>41</v>
      </c>
      <c r="I588" s="1" t="s">
        <v>2809</v>
      </c>
      <c r="J588" s="1" t="s">
        <v>2759</v>
      </c>
      <c r="K588" s="1">
        <v>38237090</v>
      </c>
      <c r="L588" s="6">
        <v>15</v>
      </c>
      <c r="M588" s="1" t="s">
        <v>70</v>
      </c>
      <c r="N588" s="7" t="s">
        <v>44</v>
      </c>
      <c r="O588" s="1" t="s">
        <v>53</v>
      </c>
      <c r="P588" s="8">
        <v>1610</v>
      </c>
      <c r="Q588" s="17">
        <f t="shared" si="57"/>
        <v>24150</v>
      </c>
      <c r="R588" s="9">
        <v>160</v>
      </c>
      <c r="S588" s="9">
        <v>3.45</v>
      </c>
      <c r="T588" s="9">
        <v>0</v>
      </c>
      <c r="U588" s="10">
        <v>0</v>
      </c>
      <c r="V588" s="1" t="s">
        <v>46</v>
      </c>
      <c r="W588" s="1" t="s">
        <v>72</v>
      </c>
      <c r="X588" s="1">
        <v>3732445</v>
      </c>
      <c r="Y588" s="11">
        <v>41827</v>
      </c>
      <c r="Z588" s="11">
        <v>41828</v>
      </c>
      <c r="AA588" s="9">
        <f t="shared" si="60"/>
        <v>23986.55</v>
      </c>
      <c r="AB588" s="12">
        <v>59.1</v>
      </c>
      <c r="AC588" s="9">
        <f t="shared" si="58"/>
        <v>1427265</v>
      </c>
      <c r="AD588" s="9">
        <f t="shared" si="59"/>
        <v>1417605.105</v>
      </c>
      <c r="AE588" s="1" t="s">
        <v>48</v>
      </c>
      <c r="AF588" s="1" t="s">
        <v>53</v>
      </c>
      <c r="AG588" s="4">
        <f t="shared" si="63"/>
        <v>24150</v>
      </c>
      <c r="AH588" s="10">
        <v>24150</v>
      </c>
      <c r="AI588" s="10">
        <v>125</v>
      </c>
      <c r="AJ588" s="10">
        <v>3.44</v>
      </c>
      <c r="AK588" s="10">
        <v>0</v>
      </c>
      <c r="AL588" s="9">
        <f t="shared" si="64"/>
        <v>24021.56</v>
      </c>
      <c r="AM588" s="1"/>
      <c r="AN588" s="1"/>
      <c r="AO588" s="12" t="e">
        <f>AB588/#REF!</f>
        <v>#REF!</v>
      </c>
      <c r="AP588" s="1" t="s">
        <v>2080</v>
      </c>
      <c r="AQ588" s="11">
        <v>41858</v>
      </c>
      <c r="AR588" s="1" t="s">
        <v>2081</v>
      </c>
      <c r="AS588" s="11">
        <v>41859</v>
      </c>
      <c r="AT588" s="1" t="s">
        <v>49</v>
      </c>
      <c r="AU588" s="1" t="s">
        <v>4171</v>
      </c>
    </row>
    <row r="589" spans="1:47" ht="15" customHeight="1" x14ac:dyDescent="0.25">
      <c r="A589" s="1">
        <v>588</v>
      </c>
      <c r="B589" s="1" t="s">
        <v>1258</v>
      </c>
      <c r="C589" s="1" t="s">
        <v>38</v>
      </c>
      <c r="D589" s="1">
        <v>9103550420</v>
      </c>
      <c r="E589" s="5">
        <v>41828</v>
      </c>
      <c r="F589" s="1" t="s">
        <v>552</v>
      </c>
      <c r="G589" s="1" t="s">
        <v>40</v>
      </c>
      <c r="H589" s="1" t="s">
        <v>41</v>
      </c>
      <c r="I589" s="1" t="s">
        <v>2809</v>
      </c>
      <c r="J589" s="1" t="s">
        <v>122</v>
      </c>
      <c r="K589" s="1">
        <v>38237090</v>
      </c>
      <c r="L589" s="6">
        <v>39.020000000000003</v>
      </c>
      <c r="M589" s="1" t="s">
        <v>70</v>
      </c>
      <c r="N589" s="7" t="s">
        <v>44</v>
      </c>
      <c r="O589" s="1" t="s">
        <v>53</v>
      </c>
      <c r="P589" s="8">
        <v>1960</v>
      </c>
      <c r="Q589" s="17">
        <f t="shared" si="57"/>
        <v>76479.200000000012</v>
      </c>
      <c r="R589" s="9">
        <v>12200</v>
      </c>
      <c r="S589" s="9">
        <v>10.94</v>
      </c>
      <c r="T589" s="9">
        <v>0</v>
      </c>
      <c r="U589" s="10">
        <v>0</v>
      </c>
      <c r="V589" s="1" t="s">
        <v>46</v>
      </c>
      <c r="W589" s="1" t="s">
        <v>123</v>
      </c>
      <c r="X589" s="1">
        <v>3708313</v>
      </c>
      <c r="Y589" s="11">
        <v>41825</v>
      </c>
      <c r="Z589" s="11">
        <v>41827</v>
      </c>
      <c r="AA589" s="9">
        <f t="shared" si="60"/>
        <v>64268.260000000009</v>
      </c>
      <c r="AB589" s="12">
        <v>59.1</v>
      </c>
      <c r="AC589" s="9">
        <f t="shared" si="58"/>
        <v>4519920.7200000007</v>
      </c>
      <c r="AD589" s="9">
        <f t="shared" si="59"/>
        <v>3798254.1660000007</v>
      </c>
      <c r="AE589" s="1" t="s">
        <v>48</v>
      </c>
      <c r="AF589" s="1" t="s">
        <v>53</v>
      </c>
      <c r="AG589" s="4">
        <f t="shared" si="63"/>
        <v>76479.200000000012</v>
      </c>
      <c r="AH589" s="10">
        <v>76459.199999999997</v>
      </c>
      <c r="AI589" s="10">
        <v>12106</v>
      </c>
      <c r="AJ589" s="10">
        <v>10.94</v>
      </c>
      <c r="AK589" s="10">
        <v>0</v>
      </c>
      <c r="AL589" s="9">
        <f t="shared" si="64"/>
        <v>64342.259999999995</v>
      </c>
      <c r="AM589" s="1"/>
      <c r="AN589" s="1"/>
      <c r="AO589" s="12" t="e">
        <f>AB589/#REF!</f>
        <v>#REF!</v>
      </c>
      <c r="AP589" s="1" t="s">
        <v>2082</v>
      </c>
      <c r="AQ589" s="11">
        <v>41888</v>
      </c>
      <c r="AR589" s="1" t="s">
        <v>2083</v>
      </c>
      <c r="AS589" s="11">
        <v>41890</v>
      </c>
      <c r="AT589" s="1" t="s">
        <v>49</v>
      </c>
      <c r="AU589" s="1" t="s">
        <v>4171</v>
      </c>
    </row>
    <row r="590" spans="1:47" ht="15" customHeight="1" x14ac:dyDescent="0.25">
      <c r="A590" s="1">
        <v>589</v>
      </c>
      <c r="B590" s="1" t="s">
        <v>1258</v>
      </c>
      <c r="C590" s="1" t="s">
        <v>38</v>
      </c>
      <c r="D590" s="1">
        <v>9103550421</v>
      </c>
      <c r="E590" s="5">
        <v>41831</v>
      </c>
      <c r="F590" s="1" t="s">
        <v>567</v>
      </c>
      <c r="G590" s="1" t="s">
        <v>40</v>
      </c>
      <c r="H590" s="1" t="s">
        <v>41</v>
      </c>
      <c r="I590" s="1" t="s">
        <v>2809</v>
      </c>
      <c r="J590" s="1" t="s">
        <v>187</v>
      </c>
      <c r="K590" s="1">
        <v>38237090</v>
      </c>
      <c r="L590" s="6">
        <v>54.42</v>
      </c>
      <c r="M590" s="1" t="s">
        <v>70</v>
      </c>
      <c r="N590" s="7" t="s">
        <v>44</v>
      </c>
      <c r="O590" s="1" t="s">
        <v>53</v>
      </c>
      <c r="P590" s="8">
        <v>4047</v>
      </c>
      <c r="Q590" s="17">
        <f t="shared" si="57"/>
        <v>220237.74000000002</v>
      </c>
      <c r="R590" s="9">
        <v>7425</v>
      </c>
      <c r="S590" s="9">
        <v>31.49</v>
      </c>
      <c r="T590" s="9">
        <v>0</v>
      </c>
      <c r="U590" s="10">
        <v>0</v>
      </c>
      <c r="V590" s="1" t="s">
        <v>46</v>
      </c>
      <c r="W590" s="1" t="s">
        <v>56</v>
      </c>
      <c r="X590" s="1">
        <v>3732891</v>
      </c>
      <c r="Y590" s="11">
        <v>41827</v>
      </c>
      <c r="Z590" s="11">
        <v>41829</v>
      </c>
      <c r="AA590" s="9">
        <f t="shared" si="60"/>
        <v>212781.25000000003</v>
      </c>
      <c r="AB590" s="12">
        <v>59.1</v>
      </c>
      <c r="AC590" s="9">
        <f t="shared" si="58"/>
        <v>13016050.434000002</v>
      </c>
      <c r="AD590" s="9">
        <f t="shared" si="59"/>
        <v>12575371.875000002</v>
      </c>
      <c r="AE590" s="1" t="s">
        <v>48</v>
      </c>
      <c r="AF590" s="1" t="s">
        <v>53</v>
      </c>
      <c r="AG590" s="4">
        <f t="shared" si="63"/>
        <v>220237.74000000002</v>
      </c>
      <c r="AH590" s="10">
        <v>220237.74</v>
      </c>
      <c r="AI590" s="10">
        <v>7368</v>
      </c>
      <c r="AJ590" s="10">
        <v>31.49</v>
      </c>
      <c r="AK590" s="10">
        <v>0</v>
      </c>
      <c r="AL590" s="9">
        <f t="shared" si="64"/>
        <v>212838.25</v>
      </c>
      <c r="AM590" s="1"/>
      <c r="AN590" s="1"/>
      <c r="AO590" s="12" t="e">
        <f>AB590/#REF!</f>
        <v>#REF!</v>
      </c>
      <c r="AP590" s="1" t="s">
        <v>2084</v>
      </c>
      <c r="AQ590" s="11">
        <v>41893</v>
      </c>
      <c r="AR590" s="1" t="s">
        <v>2085</v>
      </c>
      <c r="AS590" s="11">
        <v>41894</v>
      </c>
      <c r="AT590" s="1" t="s">
        <v>49</v>
      </c>
      <c r="AU590" s="1" t="s">
        <v>4171</v>
      </c>
    </row>
    <row r="591" spans="1:47" ht="15" customHeight="1" x14ac:dyDescent="0.25">
      <c r="A591" s="1">
        <v>590</v>
      </c>
      <c r="B591" s="1" t="s">
        <v>1258</v>
      </c>
      <c r="C591" s="1" t="s">
        <v>38</v>
      </c>
      <c r="D591" s="1">
        <v>9103550422</v>
      </c>
      <c r="E591" s="5">
        <v>41833</v>
      </c>
      <c r="F591" s="1" t="s">
        <v>546</v>
      </c>
      <c r="G591" s="1" t="s">
        <v>40</v>
      </c>
      <c r="H591" s="1" t="s">
        <v>41</v>
      </c>
      <c r="I591" s="1" t="s">
        <v>2809</v>
      </c>
      <c r="J591" s="1" t="s">
        <v>2671</v>
      </c>
      <c r="K591" s="1">
        <v>38237090</v>
      </c>
      <c r="L591" s="6">
        <v>2</v>
      </c>
      <c r="M591" s="1" t="s">
        <v>70</v>
      </c>
      <c r="N591" s="7" t="s">
        <v>44</v>
      </c>
      <c r="O591" s="1" t="s">
        <v>53</v>
      </c>
      <c r="P591" s="8">
        <v>4475</v>
      </c>
      <c r="Q591" s="17">
        <f t="shared" si="57"/>
        <v>8950</v>
      </c>
      <c r="R591" s="9">
        <v>150</v>
      </c>
      <c r="S591" s="9">
        <v>1.28</v>
      </c>
      <c r="T591" s="9">
        <v>0</v>
      </c>
      <c r="U591" s="10">
        <v>0</v>
      </c>
      <c r="V591" s="1" t="s">
        <v>46</v>
      </c>
      <c r="W591" s="1" t="s">
        <v>236</v>
      </c>
      <c r="X591" s="1">
        <v>3735682</v>
      </c>
      <c r="Y591" s="11">
        <v>41827</v>
      </c>
      <c r="Z591" s="11">
        <v>41828</v>
      </c>
      <c r="AA591" s="9">
        <f t="shared" si="60"/>
        <v>8798.7199999999993</v>
      </c>
      <c r="AB591" s="12">
        <v>59.1</v>
      </c>
      <c r="AC591" s="9">
        <f t="shared" si="58"/>
        <v>528945</v>
      </c>
      <c r="AD591" s="9">
        <f t="shared" si="59"/>
        <v>520004.35199999996</v>
      </c>
      <c r="AE591" s="1" t="s">
        <v>48</v>
      </c>
      <c r="AF591" s="1" t="s">
        <v>53</v>
      </c>
      <c r="AG591" s="4">
        <f t="shared" si="63"/>
        <v>8950</v>
      </c>
      <c r="AH591" s="10">
        <v>8915</v>
      </c>
      <c r="AI591" s="10">
        <v>26.19</v>
      </c>
      <c r="AJ591" s="10">
        <v>1.28</v>
      </c>
      <c r="AK591" s="10">
        <v>0</v>
      </c>
      <c r="AL591" s="9">
        <f t="shared" si="64"/>
        <v>8887.5300000000007</v>
      </c>
      <c r="AM591" s="1"/>
      <c r="AN591" s="1"/>
      <c r="AO591" s="12" t="e">
        <f>AB591/#REF!</f>
        <v>#REF!</v>
      </c>
      <c r="AP591" s="1" t="s">
        <v>2086</v>
      </c>
      <c r="AQ591" s="11">
        <v>41897</v>
      </c>
      <c r="AR591" s="1" t="s">
        <v>2087</v>
      </c>
      <c r="AS591" s="11">
        <v>41899</v>
      </c>
      <c r="AT591" s="1" t="s">
        <v>49</v>
      </c>
      <c r="AU591" s="1" t="s">
        <v>4171</v>
      </c>
    </row>
    <row r="592" spans="1:47" ht="15" customHeight="1" x14ac:dyDescent="0.25">
      <c r="A592" s="1">
        <v>591</v>
      </c>
      <c r="B592" s="1" t="s">
        <v>1258</v>
      </c>
      <c r="C592" s="1" t="s">
        <v>38</v>
      </c>
      <c r="D592" s="1">
        <v>9103550423</v>
      </c>
      <c r="E592" s="5">
        <v>41834</v>
      </c>
      <c r="F592" s="1" t="s">
        <v>549</v>
      </c>
      <c r="G592" s="1" t="s">
        <v>40</v>
      </c>
      <c r="H592" s="1" t="s">
        <v>41</v>
      </c>
      <c r="I592" s="1" t="s">
        <v>2809</v>
      </c>
      <c r="J592" s="1" t="s">
        <v>256</v>
      </c>
      <c r="K592" s="1">
        <v>38237090</v>
      </c>
      <c r="L592" s="6">
        <v>12</v>
      </c>
      <c r="M592" s="1" t="s">
        <v>70</v>
      </c>
      <c r="N592" s="7" t="s">
        <v>67</v>
      </c>
      <c r="O592" s="1" t="s">
        <v>53</v>
      </c>
      <c r="P592" s="8">
        <v>2050</v>
      </c>
      <c r="Q592" s="17">
        <f t="shared" si="57"/>
        <v>24600</v>
      </c>
      <c r="R592" s="9">
        <v>0</v>
      </c>
      <c r="S592" s="9">
        <v>0</v>
      </c>
      <c r="T592" s="9">
        <v>0</v>
      </c>
      <c r="U592" s="10">
        <v>0</v>
      </c>
      <c r="V592" s="1" t="s">
        <v>46</v>
      </c>
      <c r="W592" s="1" t="s">
        <v>257</v>
      </c>
      <c r="X592" s="1">
        <v>3768945</v>
      </c>
      <c r="Y592" s="11">
        <v>41829</v>
      </c>
      <c r="Z592" s="11">
        <v>41830</v>
      </c>
      <c r="AA592" s="9">
        <f t="shared" si="60"/>
        <v>24600</v>
      </c>
      <c r="AB592" s="12">
        <v>59.1</v>
      </c>
      <c r="AC592" s="9">
        <f t="shared" si="58"/>
        <v>1453860</v>
      </c>
      <c r="AD592" s="9">
        <f t="shared" si="59"/>
        <v>1453860</v>
      </c>
      <c r="AE592" s="1" t="s">
        <v>48</v>
      </c>
      <c r="AF592" s="1" t="s">
        <v>53</v>
      </c>
      <c r="AG592" s="4">
        <f t="shared" si="63"/>
        <v>24600</v>
      </c>
      <c r="AH592" s="10">
        <v>24585</v>
      </c>
      <c r="AI592" s="9">
        <v>0</v>
      </c>
      <c r="AJ592" s="9">
        <v>0</v>
      </c>
      <c r="AK592" s="9">
        <v>0</v>
      </c>
      <c r="AL592" s="9">
        <f t="shared" si="64"/>
        <v>24585</v>
      </c>
      <c r="AM592" s="1"/>
      <c r="AN592" s="1"/>
      <c r="AO592" s="12" t="e">
        <f>AB592/#REF!</f>
        <v>#REF!</v>
      </c>
      <c r="AP592" s="1" t="s">
        <v>2088</v>
      </c>
      <c r="AQ592" s="11">
        <v>41870</v>
      </c>
      <c r="AR592" s="1" t="s">
        <v>2089</v>
      </c>
      <c r="AS592" s="11">
        <v>41871</v>
      </c>
      <c r="AT592" s="1" t="s">
        <v>49</v>
      </c>
      <c r="AU592" s="1" t="s">
        <v>4171</v>
      </c>
    </row>
    <row r="593" spans="1:47" ht="15" customHeight="1" x14ac:dyDescent="0.25">
      <c r="A593" s="1">
        <v>592</v>
      </c>
      <c r="B593" s="1" t="s">
        <v>1258</v>
      </c>
      <c r="C593" s="1" t="s">
        <v>38</v>
      </c>
      <c r="D593" s="1">
        <v>9103550424</v>
      </c>
      <c r="E593" s="5">
        <v>41834</v>
      </c>
      <c r="F593" s="1" t="s">
        <v>545</v>
      </c>
      <c r="G593" s="1" t="s">
        <v>40</v>
      </c>
      <c r="H593" s="1" t="s">
        <v>41</v>
      </c>
      <c r="I593" s="1" t="s">
        <v>2809</v>
      </c>
      <c r="J593" s="1" t="s">
        <v>256</v>
      </c>
      <c r="K593" s="1">
        <v>38237090</v>
      </c>
      <c r="L593" s="6">
        <v>12</v>
      </c>
      <c r="M593" s="1" t="s">
        <v>70</v>
      </c>
      <c r="N593" s="7" t="s">
        <v>67</v>
      </c>
      <c r="O593" s="1" t="s">
        <v>53</v>
      </c>
      <c r="P593" s="8">
        <v>2050</v>
      </c>
      <c r="Q593" s="17">
        <f t="shared" si="57"/>
        <v>24600</v>
      </c>
      <c r="R593" s="9">
        <v>0</v>
      </c>
      <c r="S593" s="9">
        <v>0</v>
      </c>
      <c r="T593" s="9">
        <v>0</v>
      </c>
      <c r="U593" s="10">
        <v>0</v>
      </c>
      <c r="V593" s="1" t="s">
        <v>46</v>
      </c>
      <c r="W593" s="1" t="s">
        <v>257</v>
      </c>
      <c r="X593" s="1">
        <v>3771297</v>
      </c>
      <c r="Y593" s="11">
        <v>41829</v>
      </c>
      <c r="Z593" s="11">
        <v>41830</v>
      </c>
      <c r="AA593" s="9">
        <f t="shared" si="60"/>
        <v>24600</v>
      </c>
      <c r="AB593" s="12">
        <v>59.1</v>
      </c>
      <c r="AC593" s="9">
        <f t="shared" si="58"/>
        <v>1453860</v>
      </c>
      <c r="AD593" s="9">
        <f t="shared" si="59"/>
        <v>1453860</v>
      </c>
      <c r="AE593" s="1" t="s">
        <v>48</v>
      </c>
      <c r="AF593" s="1" t="s">
        <v>53</v>
      </c>
      <c r="AG593" s="4">
        <f t="shared" si="63"/>
        <v>24600</v>
      </c>
      <c r="AH593" s="10">
        <v>24585</v>
      </c>
      <c r="AI593" s="9">
        <v>0</v>
      </c>
      <c r="AJ593" s="9">
        <v>0</v>
      </c>
      <c r="AK593" s="9">
        <v>0</v>
      </c>
      <c r="AL593" s="9">
        <f t="shared" si="64"/>
        <v>24585</v>
      </c>
      <c r="AM593" s="1"/>
      <c r="AN593" s="1"/>
      <c r="AO593" s="12" t="e">
        <f>AB593/#REF!</f>
        <v>#REF!</v>
      </c>
      <c r="AP593" s="1" t="s">
        <v>2090</v>
      </c>
      <c r="AQ593" s="11">
        <v>41870</v>
      </c>
      <c r="AR593" s="1" t="s">
        <v>2091</v>
      </c>
      <c r="AS593" s="11">
        <v>41871</v>
      </c>
      <c r="AT593" s="1" t="s">
        <v>49</v>
      </c>
      <c r="AU593" s="1" t="s">
        <v>4171</v>
      </c>
    </row>
    <row r="594" spans="1:47" ht="15" customHeight="1" x14ac:dyDescent="0.25">
      <c r="A594" s="1">
        <v>593</v>
      </c>
      <c r="B594" s="1" t="s">
        <v>1258</v>
      </c>
      <c r="C594" s="1" t="s">
        <v>38</v>
      </c>
      <c r="D594" s="1">
        <v>9103550425</v>
      </c>
      <c r="E594" s="5">
        <v>41834</v>
      </c>
      <c r="F594" s="1" t="s">
        <v>569</v>
      </c>
      <c r="G594" s="1" t="s">
        <v>40</v>
      </c>
      <c r="H594" s="1" t="s">
        <v>41</v>
      </c>
      <c r="I594" s="1" t="s">
        <v>2809</v>
      </c>
      <c r="J594" s="1" t="s">
        <v>187</v>
      </c>
      <c r="K594" s="1">
        <v>38237090</v>
      </c>
      <c r="L594" s="6">
        <v>36.549999999999997</v>
      </c>
      <c r="M594" s="1" t="s">
        <v>70</v>
      </c>
      <c r="N594" s="7" t="s">
        <v>44</v>
      </c>
      <c r="O594" s="1" t="s">
        <v>53</v>
      </c>
      <c r="P594" s="8">
        <v>1643</v>
      </c>
      <c r="Q594" s="17">
        <f t="shared" si="57"/>
        <v>60051.649999999994</v>
      </c>
      <c r="R594" s="9">
        <v>6200</v>
      </c>
      <c r="S594" s="9">
        <v>8.59</v>
      </c>
      <c r="T594" s="9">
        <v>0</v>
      </c>
      <c r="U594" s="10">
        <v>0</v>
      </c>
      <c r="V594" s="1" t="s">
        <v>46</v>
      </c>
      <c r="W594" s="1" t="s">
        <v>56</v>
      </c>
      <c r="X594" s="1">
        <v>3800964</v>
      </c>
      <c r="Y594" s="11">
        <v>41830</v>
      </c>
      <c r="Z594" s="11">
        <v>41831</v>
      </c>
      <c r="AA594" s="9">
        <f t="shared" si="60"/>
        <v>53843.06</v>
      </c>
      <c r="AB594" s="12">
        <v>59.1</v>
      </c>
      <c r="AC594" s="9">
        <f t="shared" si="58"/>
        <v>3549052.5149999997</v>
      </c>
      <c r="AD594" s="9">
        <f t="shared" si="59"/>
        <v>3182124.8459999999</v>
      </c>
      <c r="AE594" s="1" t="s">
        <v>48</v>
      </c>
      <c r="AF594" s="1" t="s">
        <v>53</v>
      </c>
      <c r="AG594" s="4">
        <f t="shared" si="63"/>
        <v>60051.649999999994</v>
      </c>
      <c r="AH594" s="10">
        <v>60051.65</v>
      </c>
      <c r="AI594" s="10">
        <v>5800</v>
      </c>
      <c r="AJ594" s="10">
        <v>8.59</v>
      </c>
      <c r="AK594" s="10">
        <v>0</v>
      </c>
      <c r="AL594" s="9">
        <f t="shared" si="64"/>
        <v>54243.06</v>
      </c>
      <c r="AM594" s="1"/>
      <c r="AN594" s="1"/>
      <c r="AO594" s="12" t="e">
        <f>AB594/#REF!</f>
        <v>#REF!</v>
      </c>
      <c r="AP594" s="1" t="s">
        <v>2092</v>
      </c>
      <c r="AQ594" s="11">
        <v>41893</v>
      </c>
      <c r="AR594" s="1" t="s">
        <v>2093</v>
      </c>
      <c r="AS594" s="11">
        <v>41894</v>
      </c>
      <c r="AT594" s="1" t="s">
        <v>49</v>
      </c>
      <c r="AU594" s="1" t="s">
        <v>4171</v>
      </c>
    </row>
    <row r="595" spans="1:47" ht="15" customHeight="1" x14ac:dyDescent="0.25">
      <c r="A595" s="1">
        <v>594</v>
      </c>
      <c r="B595" s="1" t="s">
        <v>1258</v>
      </c>
      <c r="C595" s="1" t="s">
        <v>38</v>
      </c>
      <c r="D595" s="1">
        <v>9103550426</v>
      </c>
      <c r="E595" s="5">
        <v>41833</v>
      </c>
      <c r="F595" s="1" t="s">
        <v>573</v>
      </c>
      <c r="G595" s="1" t="s">
        <v>40</v>
      </c>
      <c r="H595" s="1" t="s">
        <v>41</v>
      </c>
      <c r="I595" s="1" t="s">
        <v>2809</v>
      </c>
      <c r="J595" s="1" t="s">
        <v>76</v>
      </c>
      <c r="K595" s="1">
        <v>38237090</v>
      </c>
      <c r="L595" s="6">
        <v>8.4</v>
      </c>
      <c r="M595" s="1" t="s">
        <v>70</v>
      </c>
      <c r="N595" s="7" t="s">
        <v>44</v>
      </c>
      <c r="O595" s="1" t="s">
        <v>53</v>
      </c>
      <c r="P595" s="8">
        <v>1650</v>
      </c>
      <c r="Q595" s="17">
        <f t="shared" si="57"/>
        <v>13860</v>
      </c>
      <c r="R595" s="9">
        <v>465.5</v>
      </c>
      <c r="S595" s="9">
        <v>1.98</v>
      </c>
      <c r="T595" s="9">
        <v>0</v>
      </c>
      <c r="U595" s="10">
        <v>0</v>
      </c>
      <c r="V595" s="1" t="s">
        <v>46</v>
      </c>
      <c r="W595" s="1" t="s">
        <v>143</v>
      </c>
      <c r="X595" s="1">
        <v>3800152</v>
      </c>
      <c r="Y595" s="11">
        <v>41830</v>
      </c>
      <c r="Z595" s="11">
        <v>41831</v>
      </c>
      <c r="AA595" s="9">
        <f t="shared" si="60"/>
        <v>13392.52</v>
      </c>
      <c r="AB595" s="12">
        <v>59.1</v>
      </c>
      <c r="AC595" s="9">
        <f t="shared" si="58"/>
        <v>819126</v>
      </c>
      <c r="AD595" s="9">
        <f t="shared" si="59"/>
        <v>791497.93200000003</v>
      </c>
      <c r="AE595" s="1" t="s">
        <v>48</v>
      </c>
      <c r="AF595" s="1" t="s">
        <v>53</v>
      </c>
      <c r="AG595" s="4">
        <f t="shared" si="63"/>
        <v>13860</v>
      </c>
      <c r="AH595" s="10">
        <v>13860</v>
      </c>
      <c r="AI595" s="10">
        <v>431.24</v>
      </c>
      <c r="AJ595" s="10">
        <v>1.99</v>
      </c>
      <c r="AK595" s="10">
        <v>0</v>
      </c>
      <c r="AL595" s="9">
        <f t="shared" si="64"/>
        <v>13426.77</v>
      </c>
      <c r="AM595" s="1"/>
      <c r="AN595" s="1"/>
      <c r="AO595" s="12" t="e">
        <f>AB595/#REF!</f>
        <v>#REF!</v>
      </c>
      <c r="AP595" s="1" t="s">
        <v>2094</v>
      </c>
      <c r="AQ595" s="11">
        <v>41989</v>
      </c>
      <c r="AR595" s="1" t="s">
        <v>2095</v>
      </c>
      <c r="AS595" s="11">
        <v>41992</v>
      </c>
      <c r="AT595" s="1" t="s">
        <v>49</v>
      </c>
      <c r="AU595" s="1" t="s">
        <v>4171</v>
      </c>
    </row>
    <row r="596" spans="1:47" ht="15" customHeight="1" x14ac:dyDescent="0.25">
      <c r="A596" s="1">
        <v>595</v>
      </c>
      <c r="B596" s="1" t="s">
        <v>1258</v>
      </c>
      <c r="C596" s="1" t="s">
        <v>38</v>
      </c>
      <c r="D596" s="1">
        <v>9103550426</v>
      </c>
      <c r="E596" s="5">
        <v>41833</v>
      </c>
      <c r="F596" s="1" t="s">
        <v>573</v>
      </c>
      <c r="G596" s="1" t="s">
        <v>40</v>
      </c>
      <c r="H596" s="1" t="s">
        <v>41</v>
      </c>
      <c r="I596" s="1" t="s">
        <v>2809</v>
      </c>
      <c r="J596" s="1" t="s">
        <v>76</v>
      </c>
      <c r="K596" s="1">
        <v>38237090</v>
      </c>
      <c r="L596" s="6">
        <v>1.2</v>
      </c>
      <c r="M596" s="1" t="s">
        <v>70</v>
      </c>
      <c r="N596" s="7" t="s">
        <v>44</v>
      </c>
      <c r="O596" s="1" t="s">
        <v>53</v>
      </c>
      <c r="P596" s="8">
        <v>2100</v>
      </c>
      <c r="Q596" s="17">
        <f t="shared" ref="Q596:Q663" si="65">+L596*P596</f>
        <v>2520</v>
      </c>
      <c r="R596" s="9">
        <v>66.5</v>
      </c>
      <c r="S596" s="9">
        <v>0.36</v>
      </c>
      <c r="T596" s="9">
        <v>0</v>
      </c>
      <c r="U596" s="10">
        <v>0</v>
      </c>
      <c r="V596" s="1" t="s">
        <v>46</v>
      </c>
      <c r="W596" s="1" t="s">
        <v>143</v>
      </c>
      <c r="X596" s="1">
        <v>3800152</v>
      </c>
      <c r="Y596" s="11">
        <v>41830</v>
      </c>
      <c r="Z596" s="11">
        <v>41831</v>
      </c>
      <c r="AA596" s="9">
        <f t="shared" si="60"/>
        <v>2453.14</v>
      </c>
      <c r="AB596" s="12">
        <v>59.1</v>
      </c>
      <c r="AC596" s="9">
        <f t="shared" ref="AC596:AC663" si="66">+Q596*AB596</f>
        <v>148932</v>
      </c>
      <c r="AD596" s="9">
        <f t="shared" ref="AD596:AD663" si="67">+AA596*AB596</f>
        <v>144980.57399999999</v>
      </c>
      <c r="AE596" s="1" t="s">
        <v>48</v>
      </c>
      <c r="AF596" s="1" t="s">
        <v>53</v>
      </c>
      <c r="AG596" s="4">
        <f t="shared" si="63"/>
        <v>2520</v>
      </c>
      <c r="AH596" s="10">
        <v>2520</v>
      </c>
      <c r="AI596" s="10">
        <v>78.400000000000006</v>
      </c>
      <c r="AJ596" s="10">
        <v>0.37</v>
      </c>
      <c r="AK596" s="10">
        <v>0</v>
      </c>
      <c r="AL596" s="9">
        <f t="shared" si="64"/>
        <v>2441.23</v>
      </c>
      <c r="AM596" s="1"/>
      <c r="AN596" s="1"/>
      <c r="AO596" s="12" t="e">
        <f>AB596/#REF!</f>
        <v>#REF!</v>
      </c>
      <c r="AP596" s="1" t="s">
        <v>2094</v>
      </c>
      <c r="AQ596" s="11">
        <v>41989</v>
      </c>
      <c r="AR596" s="1" t="s">
        <v>2095</v>
      </c>
      <c r="AS596" s="11">
        <v>41992</v>
      </c>
      <c r="AT596" s="1" t="s">
        <v>49</v>
      </c>
      <c r="AU596" s="1" t="s">
        <v>4171</v>
      </c>
    </row>
    <row r="597" spans="1:47" ht="15" customHeight="1" x14ac:dyDescent="0.25">
      <c r="A597" s="1">
        <v>596</v>
      </c>
      <c r="B597" s="1" t="s">
        <v>1258</v>
      </c>
      <c r="C597" s="1" t="s">
        <v>38</v>
      </c>
      <c r="D597" s="1">
        <v>9103550426</v>
      </c>
      <c r="E597" s="5">
        <v>41833</v>
      </c>
      <c r="F597" s="1" t="s">
        <v>573</v>
      </c>
      <c r="G597" s="1" t="s">
        <v>40</v>
      </c>
      <c r="H597" s="1" t="s">
        <v>41</v>
      </c>
      <c r="I597" s="1" t="s">
        <v>2809</v>
      </c>
      <c r="J597" s="1" t="s">
        <v>76</v>
      </c>
      <c r="K597" s="1">
        <v>38237090</v>
      </c>
      <c r="L597" s="6">
        <v>2.4</v>
      </c>
      <c r="M597" s="1" t="s">
        <v>70</v>
      </c>
      <c r="N597" s="7" t="s">
        <v>44</v>
      </c>
      <c r="O597" s="1" t="s">
        <v>53</v>
      </c>
      <c r="P597" s="8">
        <v>2100</v>
      </c>
      <c r="Q597" s="17">
        <f t="shared" si="65"/>
        <v>5040</v>
      </c>
      <c r="R597" s="9">
        <v>133</v>
      </c>
      <c r="S597" s="9">
        <v>0.72</v>
      </c>
      <c r="T597" s="9">
        <v>0</v>
      </c>
      <c r="U597" s="10">
        <v>0</v>
      </c>
      <c r="V597" s="1" t="s">
        <v>46</v>
      </c>
      <c r="W597" s="1" t="s">
        <v>143</v>
      </c>
      <c r="X597" s="1">
        <v>3800152</v>
      </c>
      <c r="Y597" s="11">
        <v>41830</v>
      </c>
      <c r="Z597" s="11">
        <v>41831</v>
      </c>
      <c r="AA597" s="9">
        <f t="shared" ref="AA597:AA664" si="68">Q597-R597-S597</f>
        <v>4906.28</v>
      </c>
      <c r="AB597" s="12">
        <v>59.1</v>
      </c>
      <c r="AC597" s="9">
        <f t="shared" si="66"/>
        <v>297864</v>
      </c>
      <c r="AD597" s="9">
        <f t="shared" si="67"/>
        <v>289961.14799999999</v>
      </c>
      <c r="AE597" s="1" t="s">
        <v>48</v>
      </c>
      <c r="AF597" s="1" t="s">
        <v>53</v>
      </c>
      <c r="AG597" s="4">
        <f t="shared" si="63"/>
        <v>5040</v>
      </c>
      <c r="AH597" s="10">
        <v>5025</v>
      </c>
      <c r="AI597" s="10">
        <v>156.34</v>
      </c>
      <c r="AJ597" s="10">
        <v>0.72</v>
      </c>
      <c r="AK597" s="10">
        <v>0</v>
      </c>
      <c r="AL597" s="9">
        <f t="shared" si="64"/>
        <v>4867.9399999999996</v>
      </c>
      <c r="AM597" s="1"/>
      <c r="AN597" s="1"/>
      <c r="AO597" s="12" t="e">
        <f>AB597/#REF!</f>
        <v>#REF!</v>
      </c>
      <c r="AP597" s="1" t="s">
        <v>2094</v>
      </c>
      <c r="AQ597" s="11">
        <v>41989</v>
      </c>
      <c r="AR597" s="1" t="s">
        <v>2095</v>
      </c>
      <c r="AS597" s="11">
        <v>41992</v>
      </c>
      <c r="AT597" s="1" t="s">
        <v>49</v>
      </c>
      <c r="AU597" s="1" t="s">
        <v>4171</v>
      </c>
    </row>
    <row r="598" spans="1:47" ht="15" customHeight="1" x14ac:dyDescent="0.25">
      <c r="A598" s="1">
        <v>597</v>
      </c>
      <c r="B598" s="1" t="s">
        <v>1258</v>
      </c>
      <c r="C598" s="1" t="s">
        <v>38</v>
      </c>
      <c r="D598" s="1" t="s">
        <v>2096</v>
      </c>
      <c r="E598" s="5">
        <v>41834</v>
      </c>
      <c r="F598" s="1" t="s">
        <v>571</v>
      </c>
      <c r="G598" s="1" t="s">
        <v>40</v>
      </c>
      <c r="H598" s="1" t="s">
        <v>41</v>
      </c>
      <c r="I598" s="1" t="s">
        <v>2809</v>
      </c>
      <c r="J598" s="1" t="s">
        <v>78</v>
      </c>
      <c r="K598" s="1">
        <v>38237090</v>
      </c>
      <c r="L598" s="6">
        <v>38.47</v>
      </c>
      <c r="M598" s="1" t="s">
        <v>70</v>
      </c>
      <c r="N598" s="7" t="s">
        <v>67</v>
      </c>
      <c r="O598" s="1" t="s">
        <v>53</v>
      </c>
      <c r="P598" s="8">
        <v>1545</v>
      </c>
      <c r="Q598" s="17">
        <f t="shared" si="65"/>
        <v>59436.15</v>
      </c>
      <c r="R598" s="9">
        <v>0</v>
      </c>
      <c r="S598" s="9">
        <v>0</v>
      </c>
      <c r="T598" s="9">
        <v>0</v>
      </c>
      <c r="U598" s="10">
        <v>0</v>
      </c>
      <c r="V598" s="1" t="s">
        <v>46</v>
      </c>
      <c r="W598" s="1" t="s">
        <v>56</v>
      </c>
      <c r="X598" s="1">
        <v>3773588</v>
      </c>
      <c r="Y598" s="11">
        <v>41829</v>
      </c>
      <c r="Z598" s="11">
        <v>41830</v>
      </c>
      <c r="AA598" s="9">
        <f t="shared" si="68"/>
        <v>59436.15</v>
      </c>
      <c r="AB598" s="12">
        <v>59.1</v>
      </c>
      <c r="AC598" s="9">
        <f t="shared" si="66"/>
        <v>3512676.4650000003</v>
      </c>
      <c r="AD598" s="9">
        <f t="shared" si="67"/>
        <v>3512676.4650000003</v>
      </c>
      <c r="AE598" s="1" t="s">
        <v>48</v>
      </c>
      <c r="AF598" s="1" t="s">
        <v>53</v>
      </c>
      <c r="AG598" s="4">
        <f t="shared" si="63"/>
        <v>59436.15</v>
      </c>
      <c r="AH598" s="10">
        <v>59436.15</v>
      </c>
      <c r="AI598" s="9">
        <v>0</v>
      </c>
      <c r="AJ598" s="9">
        <v>0</v>
      </c>
      <c r="AK598" s="9">
        <v>0</v>
      </c>
      <c r="AL598" s="9">
        <f t="shared" si="64"/>
        <v>59436.15</v>
      </c>
      <c r="AM598" s="1"/>
      <c r="AN598" s="1"/>
      <c r="AO598" s="12" t="e">
        <f>AB598/#REF!</f>
        <v>#REF!</v>
      </c>
      <c r="AP598" s="1" t="s">
        <v>2097</v>
      </c>
      <c r="AQ598" s="11">
        <v>41864</v>
      </c>
      <c r="AR598" s="1" t="s">
        <v>2098</v>
      </c>
      <c r="AS598" s="11">
        <v>41865</v>
      </c>
      <c r="AT598" s="1" t="s">
        <v>49</v>
      </c>
      <c r="AU598" s="1" t="s">
        <v>4171</v>
      </c>
    </row>
    <row r="599" spans="1:47" ht="15" customHeight="1" x14ac:dyDescent="0.25">
      <c r="A599" s="1">
        <v>598</v>
      </c>
      <c r="B599" s="1" t="s">
        <v>1258</v>
      </c>
      <c r="C599" s="1" t="s">
        <v>38</v>
      </c>
      <c r="D599" s="1" t="s">
        <v>2096</v>
      </c>
      <c r="E599" s="5">
        <v>41834</v>
      </c>
      <c r="F599" s="1" t="s">
        <v>566</v>
      </c>
      <c r="G599" s="1" t="s">
        <v>40</v>
      </c>
      <c r="H599" s="1" t="s">
        <v>41</v>
      </c>
      <c r="I599" s="1" t="s">
        <v>2809</v>
      </c>
      <c r="J599" s="1" t="s">
        <v>78</v>
      </c>
      <c r="K599" s="1">
        <v>38237090</v>
      </c>
      <c r="L599" s="6">
        <v>19.39</v>
      </c>
      <c r="M599" s="1" t="s">
        <v>70</v>
      </c>
      <c r="N599" s="7" t="s">
        <v>67</v>
      </c>
      <c r="O599" s="1" t="s">
        <v>53</v>
      </c>
      <c r="P599" s="8">
        <v>1545</v>
      </c>
      <c r="Q599" s="17">
        <f t="shared" si="65"/>
        <v>29957.55</v>
      </c>
      <c r="R599" s="9">
        <v>0</v>
      </c>
      <c r="S599" s="9">
        <v>0</v>
      </c>
      <c r="T599" s="9">
        <v>0</v>
      </c>
      <c r="U599" s="10">
        <v>0</v>
      </c>
      <c r="V599" s="1" t="s">
        <v>46</v>
      </c>
      <c r="W599" s="1" t="s">
        <v>56</v>
      </c>
      <c r="X599" s="1">
        <v>3812618</v>
      </c>
      <c r="Y599" s="11">
        <v>41831</v>
      </c>
      <c r="Z599" s="11">
        <v>41832</v>
      </c>
      <c r="AA599" s="9">
        <f t="shared" si="68"/>
        <v>29957.55</v>
      </c>
      <c r="AB599" s="12">
        <v>59.1</v>
      </c>
      <c r="AC599" s="9">
        <f t="shared" si="66"/>
        <v>1770491.2050000001</v>
      </c>
      <c r="AD599" s="9">
        <f t="shared" si="67"/>
        <v>1770491.2050000001</v>
      </c>
      <c r="AE599" s="1" t="s">
        <v>48</v>
      </c>
      <c r="AF599" s="1" t="s">
        <v>53</v>
      </c>
      <c r="AG599" s="4">
        <f t="shared" si="63"/>
        <v>29957.55</v>
      </c>
      <c r="AH599" s="10">
        <v>29957.55</v>
      </c>
      <c r="AI599" s="9">
        <v>0</v>
      </c>
      <c r="AJ599" s="9">
        <v>0</v>
      </c>
      <c r="AK599" s="9">
        <v>0</v>
      </c>
      <c r="AL599" s="9">
        <f t="shared" si="64"/>
        <v>29957.55</v>
      </c>
      <c r="AM599" s="1"/>
      <c r="AN599" s="1"/>
      <c r="AO599" s="12" t="e">
        <f>AB599/#REF!</f>
        <v>#REF!</v>
      </c>
      <c r="AP599" s="1" t="s">
        <v>2097</v>
      </c>
      <c r="AQ599" s="11">
        <v>41864</v>
      </c>
      <c r="AR599" s="1" t="s">
        <v>2099</v>
      </c>
      <c r="AS599" s="11">
        <v>41865</v>
      </c>
      <c r="AT599" s="1" t="s">
        <v>49</v>
      </c>
      <c r="AU599" s="1" t="s">
        <v>4171</v>
      </c>
    </row>
    <row r="600" spans="1:47" ht="15" customHeight="1" x14ac:dyDescent="0.25">
      <c r="A600" s="1">
        <v>599</v>
      </c>
      <c r="B600" s="1" t="s">
        <v>1258</v>
      </c>
      <c r="C600" s="1" t="s">
        <v>38</v>
      </c>
      <c r="D600" s="1">
        <v>9103550429</v>
      </c>
      <c r="E600" s="5">
        <v>41838</v>
      </c>
      <c r="F600" s="1" t="s">
        <v>572</v>
      </c>
      <c r="G600" s="1" t="s">
        <v>40</v>
      </c>
      <c r="H600" s="1" t="s">
        <v>41</v>
      </c>
      <c r="I600" s="1" t="s">
        <v>2809</v>
      </c>
      <c r="J600" s="1" t="s">
        <v>63</v>
      </c>
      <c r="K600" s="1">
        <v>29159090</v>
      </c>
      <c r="L600" s="6">
        <v>20</v>
      </c>
      <c r="M600" s="1" t="s">
        <v>70</v>
      </c>
      <c r="N600" s="7" t="s">
        <v>52</v>
      </c>
      <c r="O600" s="1" t="s">
        <v>53</v>
      </c>
      <c r="P600" s="8">
        <v>3600</v>
      </c>
      <c r="Q600" s="17">
        <f t="shared" si="65"/>
        <v>72000</v>
      </c>
      <c r="R600" s="9">
        <v>331</v>
      </c>
      <c r="S600" s="9">
        <v>0</v>
      </c>
      <c r="T600" s="9">
        <v>0</v>
      </c>
      <c r="U600" s="10">
        <v>0</v>
      </c>
      <c r="V600" s="1" t="s">
        <v>46</v>
      </c>
      <c r="W600" s="1" t="s">
        <v>75</v>
      </c>
      <c r="X600" s="1">
        <v>3824342</v>
      </c>
      <c r="Y600" s="11">
        <v>41831</v>
      </c>
      <c r="Z600" s="11">
        <v>41832</v>
      </c>
      <c r="AA600" s="9">
        <f t="shared" si="68"/>
        <v>71669</v>
      </c>
      <c r="AB600" s="12">
        <v>59.1</v>
      </c>
      <c r="AC600" s="9">
        <f t="shared" si="66"/>
        <v>4255200</v>
      </c>
      <c r="AD600" s="9">
        <f t="shared" si="67"/>
        <v>4235637.9000000004</v>
      </c>
      <c r="AE600" s="1" t="s">
        <v>51</v>
      </c>
      <c r="AF600" s="1" t="s">
        <v>53</v>
      </c>
      <c r="AG600" s="4">
        <f t="shared" si="63"/>
        <v>72000</v>
      </c>
      <c r="AH600" s="10">
        <v>71959</v>
      </c>
      <c r="AI600" s="10">
        <v>380</v>
      </c>
      <c r="AJ600" s="10">
        <v>0</v>
      </c>
      <c r="AK600" s="10">
        <v>0</v>
      </c>
      <c r="AL600" s="9">
        <f t="shared" si="64"/>
        <v>71579</v>
      </c>
      <c r="AM600" s="1"/>
      <c r="AN600" s="1"/>
      <c r="AO600" s="12" t="e">
        <f>AB600/#REF!</f>
        <v>#REF!</v>
      </c>
      <c r="AP600" s="1" t="s">
        <v>2100</v>
      </c>
      <c r="AQ600" s="11">
        <v>41871</v>
      </c>
      <c r="AR600" s="1" t="s">
        <v>2101</v>
      </c>
      <c r="AS600" s="11">
        <v>41906</v>
      </c>
      <c r="AT600" s="1" t="s">
        <v>49</v>
      </c>
      <c r="AU600" s="1" t="s">
        <v>4171</v>
      </c>
    </row>
    <row r="601" spans="1:47" ht="15" customHeight="1" x14ac:dyDescent="0.25">
      <c r="A601" s="1">
        <v>600</v>
      </c>
      <c r="B601" s="1" t="s">
        <v>1258</v>
      </c>
      <c r="C601" s="1" t="s">
        <v>38</v>
      </c>
      <c r="D601" s="1">
        <v>9103550430</v>
      </c>
      <c r="E601" s="5">
        <v>41831</v>
      </c>
      <c r="F601" s="1" t="s">
        <v>565</v>
      </c>
      <c r="G601" s="1" t="s">
        <v>40</v>
      </c>
      <c r="H601" s="1" t="s">
        <v>41</v>
      </c>
      <c r="I601" s="1" t="s">
        <v>2809</v>
      </c>
      <c r="J601" s="1" t="s">
        <v>1789</v>
      </c>
      <c r="K601" s="1">
        <v>38237090</v>
      </c>
      <c r="L601" s="6">
        <v>12</v>
      </c>
      <c r="M601" s="1" t="s">
        <v>70</v>
      </c>
      <c r="N601" s="7" t="s">
        <v>44</v>
      </c>
      <c r="O601" s="1" t="s">
        <v>53</v>
      </c>
      <c r="P601" s="8">
        <v>3988</v>
      </c>
      <c r="Q601" s="17">
        <f t="shared" si="65"/>
        <v>47856</v>
      </c>
      <c r="R601" s="9">
        <v>100</v>
      </c>
      <c r="S601" s="9">
        <v>6.84</v>
      </c>
      <c r="T601" s="9">
        <v>360</v>
      </c>
      <c r="U601" s="10">
        <v>0</v>
      </c>
      <c r="V601" s="1" t="s">
        <v>46</v>
      </c>
      <c r="W601" s="1" t="s">
        <v>64</v>
      </c>
      <c r="X601" s="1">
        <v>3824358</v>
      </c>
      <c r="Y601" s="11">
        <v>41831</v>
      </c>
      <c r="Z601" s="11">
        <v>41832</v>
      </c>
      <c r="AA601" s="9">
        <f t="shared" si="68"/>
        <v>47749.16</v>
      </c>
      <c r="AB601" s="12">
        <v>59.1</v>
      </c>
      <c r="AC601" s="9">
        <f t="shared" si="66"/>
        <v>2828289.6</v>
      </c>
      <c r="AD601" s="9">
        <f t="shared" si="67"/>
        <v>2821975.3560000001</v>
      </c>
      <c r="AE601" s="1" t="s">
        <v>48</v>
      </c>
      <c r="AF601" s="1" t="s">
        <v>53</v>
      </c>
      <c r="AG601" s="4">
        <f t="shared" si="63"/>
        <v>47856</v>
      </c>
      <c r="AH601" s="10">
        <v>47815.38</v>
      </c>
      <c r="AI601" s="10">
        <v>70</v>
      </c>
      <c r="AJ601" s="10">
        <v>6.84</v>
      </c>
      <c r="AK601" s="10">
        <v>360</v>
      </c>
      <c r="AL601" s="9">
        <f t="shared" si="64"/>
        <v>47378.54</v>
      </c>
      <c r="AM601" s="1"/>
      <c r="AN601" s="1"/>
      <c r="AO601" s="12" t="e">
        <f>AB601/#REF!</f>
        <v>#REF!</v>
      </c>
      <c r="AP601" s="1" t="s">
        <v>2102</v>
      </c>
      <c r="AQ601" s="11">
        <v>41891</v>
      </c>
      <c r="AR601" s="1" t="s">
        <v>2103</v>
      </c>
      <c r="AS601" s="11">
        <v>41892</v>
      </c>
      <c r="AT601" s="1" t="s">
        <v>49</v>
      </c>
      <c r="AU601" s="1" t="s">
        <v>4171</v>
      </c>
    </row>
    <row r="602" spans="1:47" ht="15" customHeight="1" x14ac:dyDescent="0.25">
      <c r="A602" s="1">
        <v>601</v>
      </c>
      <c r="B602" s="1" t="s">
        <v>1258</v>
      </c>
      <c r="C602" s="1" t="s">
        <v>38</v>
      </c>
      <c r="D602" s="1" t="s">
        <v>2104</v>
      </c>
      <c r="E602" s="5">
        <v>41836</v>
      </c>
      <c r="F602" s="1" t="s">
        <v>555</v>
      </c>
      <c r="G602" s="1" t="s">
        <v>40</v>
      </c>
      <c r="H602" s="1" t="s">
        <v>41</v>
      </c>
      <c r="I602" s="1" t="s">
        <v>2809</v>
      </c>
      <c r="J602" s="1" t="s">
        <v>122</v>
      </c>
      <c r="K602" s="1">
        <v>38237090</v>
      </c>
      <c r="L602" s="6">
        <v>19.54</v>
      </c>
      <c r="M602" s="1" t="s">
        <v>70</v>
      </c>
      <c r="N602" s="7" t="s">
        <v>44</v>
      </c>
      <c r="O602" s="1" t="s">
        <v>53</v>
      </c>
      <c r="P602" s="8">
        <v>1960</v>
      </c>
      <c r="Q602" s="17">
        <f t="shared" si="65"/>
        <v>38298.400000000001</v>
      </c>
      <c r="R602" s="9">
        <v>6100</v>
      </c>
      <c r="S602" s="9">
        <v>5.48</v>
      </c>
      <c r="T602" s="9">
        <v>0</v>
      </c>
      <c r="U602" s="10">
        <v>0</v>
      </c>
      <c r="V602" s="1" t="s">
        <v>46</v>
      </c>
      <c r="W602" s="1" t="s">
        <v>123</v>
      </c>
      <c r="X602" s="1">
        <v>3798059</v>
      </c>
      <c r="Y602" s="11">
        <v>41830</v>
      </c>
      <c r="Z602" s="11">
        <v>41832</v>
      </c>
      <c r="AA602" s="9">
        <f t="shared" si="68"/>
        <v>32192.920000000002</v>
      </c>
      <c r="AB602" s="12">
        <v>59.1</v>
      </c>
      <c r="AC602" s="9">
        <f t="shared" si="66"/>
        <v>2263435.44</v>
      </c>
      <c r="AD602" s="9">
        <f t="shared" si="67"/>
        <v>1902601.5720000002</v>
      </c>
      <c r="AE602" s="1" t="s">
        <v>48</v>
      </c>
      <c r="AF602" s="1" t="s">
        <v>53</v>
      </c>
      <c r="AG602" s="4">
        <f t="shared" si="63"/>
        <v>38298.400000000001</v>
      </c>
      <c r="AH602" s="10">
        <v>38298.400000000001</v>
      </c>
      <c r="AI602" s="10">
        <v>6053</v>
      </c>
      <c r="AJ602" s="10">
        <v>5.48</v>
      </c>
      <c r="AK602" s="10">
        <v>0</v>
      </c>
      <c r="AL602" s="9">
        <f t="shared" si="64"/>
        <v>32239.920000000002</v>
      </c>
      <c r="AM602" s="1"/>
      <c r="AN602" s="1"/>
      <c r="AO602" s="12" t="e">
        <f>AB602/#REF!</f>
        <v>#REF!</v>
      </c>
      <c r="AP602" s="1" t="s">
        <v>2105</v>
      </c>
      <c r="AQ602" s="11">
        <v>41888</v>
      </c>
      <c r="AR602" s="1" t="s">
        <v>2106</v>
      </c>
      <c r="AS602" s="11">
        <v>41890</v>
      </c>
      <c r="AT602" s="1" t="s">
        <v>49</v>
      </c>
      <c r="AU602" s="1" t="s">
        <v>4171</v>
      </c>
    </row>
    <row r="603" spans="1:47" ht="15" customHeight="1" x14ac:dyDescent="0.25">
      <c r="A603" s="1">
        <v>602</v>
      </c>
      <c r="B603" s="1" t="s">
        <v>1258</v>
      </c>
      <c r="C603" s="1" t="s">
        <v>38</v>
      </c>
      <c r="D603" s="1" t="s">
        <v>2104</v>
      </c>
      <c r="E603" s="5">
        <v>41836</v>
      </c>
      <c r="F603" s="1" t="s">
        <v>561</v>
      </c>
      <c r="G603" s="1" t="s">
        <v>40</v>
      </c>
      <c r="H603" s="1" t="s">
        <v>41</v>
      </c>
      <c r="I603" s="1" t="s">
        <v>2809</v>
      </c>
      <c r="J603" s="1" t="s">
        <v>122</v>
      </c>
      <c r="K603" s="1">
        <v>38237090</v>
      </c>
      <c r="L603" s="6">
        <v>20.100000000000001</v>
      </c>
      <c r="M603" s="1" t="s">
        <v>70</v>
      </c>
      <c r="N603" s="7" t="s">
        <v>44</v>
      </c>
      <c r="O603" s="1" t="s">
        <v>53</v>
      </c>
      <c r="P603" s="8">
        <v>1960</v>
      </c>
      <c r="Q603" s="17">
        <f t="shared" si="65"/>
        <v>39396</v>
      </c>
      <c r="R603" s="9">
        <v>6100</v>
      </c>
      <c r="S603" s="9">
        <v>5.63</v>
      </c>
      <c r="T603" s="9">
        <v>0</v>
      </c>
      <c r="U603" s="10">
        <v>0</v>
      </c>
      <c r="V603" s="1" t="s">
        <v>46</v>
      </c>
      <c r="W603" s="1" t="s">
        <v>123</v>
      </c>
      <c r="X603" s="1">
        <v>3824424</v>
      </c>
      <c r="Y603" s="11">
        <v>41831</v>
      </c>
      <c r="Z603" s="11">
        <v>41832</v>
      </c>
      <c r="AA603" s="9">
        <f t="shared" si="68"/>
        <v>33290.370000000003</v>
      </c>
      <c r="AB603" s="12">
        <v>59.1</v>
      </c>
      <c r="AC603" s="9">
        <f t="shared" si="66"/>
        <v>2328303.6</v>
      </c>
      <c r="AD603" s="9">
        <f t="shared" si="67"/>
        <v>1967460.8670000001</v>
      </c>
      <c r="AE603" s="1" t="s">
        <v>48</v>
      </c>
      <c r="AF603" s="1" t="s">
        <v>53</v>
      </c>
      <c r="AG603" s="4">
        <f t="shared" si="63"/>
        <v>39396</v>
      </c>
      <c r="AH603" s="10">
        <v>39396</v>
      </c>
      <c r="AI603" s="10">
        <v>6053</v>
      </c>
      <c r="AJ603" s="10">
        <v>5.63</v>
      </c>
      <c r="AK603" s="10">
        <v>0</v>
      </c>
      <c r="AL603" s="9">
        <f t="shared" si="64"/>
        <v>33337.370000000003</v>
      </c>
      <c r="AM603" s="1"/>
      <c r="AN603" s="1"/>
      <c r="AO603" s="12" t="e">
        <f>AB603/#REF!</f>
        <v>#REF!</v>
      </c>
      <c r="AP603" s="1" t="s">
        <v>2105</v>
      </c>
      <c r="AQ603" s="11">
        <v>41888</v>
      </c>
      <c r="AR603" s="1" t="s">
        <v>2107</v>
      </c>
      <c r="AS603" s="11">
        <v>41890</v>
      </c>
      <c r="AT603" s="1" t="s">
        <v>49</v>
      </c>
      <c r="AU603" s="1" t="s">
        <v>4171</v>
      </c>
    </row>
    <row r="604" spans="1:47" ht="15" customHeight="1" x14ac:dyDescent="0.25">
      <c r="A604" s="1">
        <v>603</v>
      </c>
      <c r="B604" s="1" t="s">
        <v>1258</v>
      </c>
      <c r="C604" s="1" t="s">
        <v>38</v>
      </c>
      <c r="D604" s="1">
        <v>9103550433</v>
      </c>
      <c r="E604" s="5">
        <v>41837</v>
      </c>
      <c r="F604" s="1" t="s">
        <v>570</v>
      </c>
      <c r="G604" s="1" t="s">
        <v>40</v>
      </c>
      <c r="H604" s="1" t="s">
        <v>41</v>
      </c>
      <c r="I604" s="1" t="s">
        <v>2809</v>
      </c>
      <c r="J604" s="1" t="s">
        <v>1747</v>
      </c>
      <c r="K604" s="1">
        <v>38237090</v>
      </c>
      <c r="L604" s="6">
        <v>10</v>
      </c>
      <c r="M604" s="1" t="s">
        <v>70</v>
      </c>
      <c r="N604" s="7" t="s">
        <v>44</v>
      </c>
      <c r="O604" s="1" t="s">
        <v>53</v>
      </c>
      <c r="P604" s="8">
        <v>1715</v>
      </c>
      <c r="Q604" s="17">
        <f t="shared" si="65"/>
        <v>17150</v>
      </c>
      <c r="R604" s="9">
        <v>970</v>
      </c>
      <c r="S604" s="9">
        <v>2.4500000000000002</v>
      </c>
      <c r="T604" s="9">
        <v>0</v>
      </c>
      <c r="U604" s="10">
        <v>0</v>
      </c>
      <c r="V604" s="1" t="s">
        <v>46</v>
      </c>
      <c r="W604" s="1" t="s">
        <v>137</v>
      </c>
      <c r="X604" s="1">
        <v>3823994</v>
      </c>
      <c r="Y604" s="11">
        <v>41831</v>
      </c>
      <c r="Z604" s="11">
        <v>41832</v>
      </c>
      <c r="AA604" s="9">
        <f t="shared" si="68"/>
        <v>16177.55</v>
      </c>
      <c r="AB604" s="12">
        <v>59.1</v>
      </c>
      <c r="AC604" s="9">
        <f t="shared" si="66"/>
        <v>1013565</v>
      </c>
      <c r="AD604" s="9">
        <f t="shared" si="67"/>
        <v>956093.20499999996</v>
      </c>
      <c r="AE604" s="1" t="s">
        <v>48</v>
      </c>
      <c r="AF604" s="1" t="s">
        <v>53</v>
      </c>
      <c r="AG604" s="4">
        <f t="shared" si="63"/>
        <v>17150</v>
      </c>
      <c r="AH604" s="10">
        <v>17135</v>
      </c>
      <c r="AI604" s="10">
        <v>1000</v>
      </c>
      <c r="AJ604" s="10">
        <v>2.4300000000000002</v>
      </c>
      <c r="AK604" s="10">
        <v>0</v>
      </c>
      <c r="AL604" s="9">
        <f t="shared" si="64"/>
        <v>16132.57</v>
      </c>
      <c r="AM604" s="1"/>
      <c r="AN604" s="1"/>
      <c r="AO604" s="12" t="e">
        <f>AB604/#REF!</f>
        <v>#REF!</v>
      </c>
      <c r="AP604" s="1" t="s">
        <v>2108</v>
      </c>
      <c r="AQ604" s="11">
        <v>41859</v>
      </c>
      <c r="AR604" s="1" t="s">
        <v>2109</v>
      </c>
      <c r="AS604" s="11">
        <v>41860</v>
      </c>
      <c r="AT604" s="1" t="s">
        <v>49</v>
      </c>
      <c r="AU604" s="1" t="s">
        <v>4171</v>
      </c>
    </row>
    <row r="605" spans="1:47" ht="15" customHeight="1" x14ac:dyDescent="0.25">
      <c r="A605" s="1">
        <v>604</v>
      </c>
      <c r="B605" s="1" t="s">
        <v>1258</v>
      </c>
      <c r="C605" s="1" t="s">
        <v>38</v>
      </c>
      <c r="D605" s="1">
        <v>9103550434</v>
      </c>
      <c r="E605" s="5">
        <v>41837</v>
      </c>
      <c r="F605" s="1" t="s">
        <v>558</v>
      </c>
      <c r="G605" s="1" t="s">
        <v>40</v>
      </c>
      <c r="H605" s="1" t="s">
        <v>41</v>
      </c>
      <c r="I605" s="1" t="s">
        <v>2809</v>
      </c>
      <c r="J605" s="1" t="s">
        <v>307</v>
      </c>
      <c r="K605" s="1">
        <v>38237090</v>
      </c>
      <c r="L605" s="6">
        <v>12</v>
      </c>
      <c r="M605" s="1" t="s">
        <v>70</v>
      </c>
      <c r="N605" s="7" t="s">
        <v>52</v>
      </c>
      <c r="O605" s="1" t="s">
        <v>53</v>
      </c>
      <c r="P605" s="8">
        <v>4605</v>
      </c>
      <c r="Q605" s="17">
        <f t="shared" si="65"/>
        <v>55260</v>
      </c>
      <c r="R605" s="9">
        <v>1500</v>
      </c>
      <c r="S605" s="9">
        <v>0</v>
      </c>
      <c r="T605" s="9">
        <v>0</v>
      </c>
      <c r="U605" s="10">
        <v>0</v>
      </c>
      <c r="V605" s="1" t="s">
        <v>46</v>
      </c>
      <c r="W605" s="1" t="s">
        <v>308</v>
      </c>
      <c r="X605" s="1">
        <v>3833117</v>
      </c>
      <c r="Y605" s="11">
        <v>41832</v>
      </c>
      <c r="Z605" s="11">
        <v>41834</v>
      </c>
      <c r="AA605" s="9">
        <f t="shared" si="68"/>
        <v>53760</v>
      </c>
      <c r="AB605" s="12">
        <v>59.1</v>
      </c>
      <c r="AC605" s="9">
        <f t="shared" si="66"/>
        <v>3265866</v>
      </c>
      <c r="AD605" s="9">
        <f t="shared" si="67"/>
        <v>3177216</v>
      </c>
      <c r="AE605" s="1" t="s">
        <v>48</v>
      </c>
      <c r="AF605" s="1" t="s">
        <v>53</v>
      </c>
      <c r="AG605" s="4">
        <f t="shared" si="63"/>
        <v>55260</v>
      </c>
      <c r="AH605" s="10">
        <v>55215</v>
      </c>
      <c r="AI605" s="10">
        <v>1470</v>
      </c>
      <c r="AJ605" s="10">
        <v>0</v>
      </c>
      <c r="AK605" s="10">
        <v>0</v>
      </c>
      <c r="AL605" s="9">
        <f t="shared" si="64"/>
        <v>53745</v>
      </c>
      <c r="AM605" s="1"/>
      <c r="AN605" s="1"/>
      <c r="AO605" s="12" t="e">
        <f>AB605/#REF!</f>
        <v>#REF!</v>
      </c>
      <c r="AP605" s="1" t="s">
        <v>2110</v>
      </c>
      <c r="AQ605" s="11">
        <v>41954</v>
      </c>
      <c r="AR605" s="1" t="s">
        <v>2111</v>
      </c>
      <c r="AS605" s="11">
        <v>41956</v>
      </c>
      <c r="AT605" s="1" t="s">
        <v>49</v>
      </c>
      <c r="AU605" s="1" t="s">
        <v>4171</v>
      </c>
    </row>
    <row r="606" spans="1:47" ht="15" customHeight="1" x14ac:dyDescent="0.25">
      <c r="A606" s="1">
        <v>605</v>
      </c>
      <c r="B606" s="1" t="s">
        <v>1258</v>
      </c>
      <c r="C606" s="1" t="s">
        <v>38</v>
      </c>
      <c r="D606" s="1" t="s">
        <v>2112</v>
      </c>
      <c r="E606" s="5">
        <v>41837</v>
      </c>
      <c r="F606" s="1" t="s">
        <v>562</v>
      </c>
      <c r="G606" s="1" t="s">
        <v>40</v>
      </c>
      <c r="H606" s="1" t="s">
        <v>41</v>
      </c>
      <c r="I606" s="1" t="s">
        <v>2809</v>
      </c>
      <c r="J606" s="1" t="s">
        <v>50</v>
      </c>
      <c r="K606" s="1">
        <v>38237090</v>
      </c>
      <c r="L606" s="6">
        <v>56.37</v>
      </c>
      <c r="M606" s="1" t="s">
        <v>70</v>
      </c>
      <c r="N606" s="7" t="s">
        <v>52</v>
      </c>
      <c r="O606" s="1" t="s">
        <v>45</v>
      </c>
      <c r="P606" s="8">
        <v>1195</v>
      </c>
      <c r="Q606" s="17">
        <f t="shared" si="65"/>
        <v>67362.149999999994</v>
      </c>
      <c r="R606" s="9">
        <v>2536.0100000000002</v>
      </c>
      <c r="S606" s="9">
        <v>0</v>
      </c>
      <c r="T606" s="9">
        <v>0</v>
      </c>
      <c r="U606" s="10">
        <v>0</v>
      </c>
      <c r="V606" s="1" t="s">
        <v>46</v>
      </c>
      <c r="W606" s="1" t="s">
        <v>2657</v>
      </c>
      <c r="X606" s="1">
        <v>3824179</v>
      </c>
      <c r="Y606" s="11">
        <v>41831</v>
      </c>
      <c r="Z606" s="11">
        <v>41832</v>
      </c>
      <c r="AA606" s="9">
        <f t="shared" si="68"/>
        <v>64826.139999999992</v>
      </c>
      <c r="AB606" s="12">
        <v>80.400000000000006</v>
      </c>
      <c r="AC606" s="9">
        <f t="shared" si="66"/>
        <v>5415916.8600000003</v>
      </c>
      <c r="AD606" s="9">
        <f t="shared" si="67"/>
        <v>5212021.6559999995</v>
      </c>
      <c r="AE606" s="1" t="s">
        <v>284</v>
      </c>
      <c r="AF606" s="1" t="s">
        <v>45</v>
      </c>
      <c r="AG606" s="4">
        <f t="shared" si="63"/>
        <v>67362.149999999994</v>
      </c>
      <c r="AH606" s="10">
        <v>67362.149999999994</v>
      </c>
      <c r="AI606" s="10">
        <v>2561.9699999999998</v>
      </c>
      <c r="AJ606" s="10">
        <v>0</v>
      </c>
      <c r="AK606" s="10">
        <v>0</v>
      </c>
      <c r="AL606" s="9">
        <f t="shared" si="64"/>
        <v>64800.179999999993</v>
      </c>
      <c r="AM606" s="1"/>
      <c r="AN606" s="1"/>
      <c r="AO606" s="12" t="e">
        <f>AB606/#REF!</f>
        <v>#REF!</v>
      </c>
      <c r="AP606" s="1" t="s">
        <v>2113</v>
      </c>
      <c r="AQ606" s="11">
        <v>41899</v>
      </c>
      <c r="AR606" s="1" t="s">
        <v>2114</v>
      </c>
      <c r="AS606" s="11">
        <v>41899</v>
      </c>
      <c r="AT606" s="1" t="s">
        <v>49</v>
      </c>
      <c r="AU606" s="1" t="s">
        <v>4171</v>
      </c>
    </row>
    <row r="607" spans="1:47" ht="15" customHeight="1" x14ac:dyDescent="0.25">
      <c r="A607" s="1">
        <v>606</v>
      </c>
      <c r="B607" s="1" t="s">
        <v>1258</v>
      </c>
      <c r="C607" s="1" t="s">
        <v>38</v>
      </c>
      <c r="D607" s="1" t="s">
        <v>2112</v>
      </c>
      <c r="E607" s="5">
        <v>41837</v>
      </c>
      <c r="F607" s="1" t="s">
        <v>556</v>
      </c>
      <c r="G607" s="1" t="s">
        <v>40</v>
      </c>
      <c r="H607" s="1" t="s">
        <v>41</v>
      </c>
      <c r="I607" s="1" t="s">
        <v>2809</v>
      </c>
      <c r="J607" s="1" t="s">
        <v>50</v>
      </c>
      <c r="K607" s="1">
        <v>38237090</v>
      </c>
      <c r="L607" s="6">
        <v>18.64</v>
      </c>
      <c r="M607" s="1" t="s">
        <v>70</v>
      </c>
      <c r="N607" s="7" t="s">
        <v>52</v>
      </c>
      <c r="O607" s="1" t="s">
        <v>45</v>
      </c>
      <c r="P607" s="8">
        <v>1195</v>
      </c>
      <c r="Q607" s="17">
        <f t="shared" si="65"/>
        <v>22274.799999999999</v>
      </c>
      <c r="R607" s="9">
        <v>845.34</v>
      </c>
      <c r="S607" s="9">
        <v>0</v>
      </c>
      <c r="T607" s="9">
        <v>0</v>
      </c>
      <c r="U607" s="10">
        <v>0</v>
      </c>
      <c r="V607" s="1" t="s">
        <v>46</v>
      </c>
      <c r="W607" s="1" t="s">
        <v>2657</v>
      </c>
      <c r="X607" s="1">
        <v>3831879</v>
      </c>
      <c r="Y607" s="11">
        <v>41832</v>
      </c>
      <c r="Z607" s="11">
        <v>41834</v>
      </c>
      <c r="AA607" s="9">
        <f t="shared" si="68"/>
        <v>21429.46</v>
      </c>
      <c r="AB607" s="12">
        <v>80.400000000000006</v>
      </c>
      <c r="AC607" s="9">
        <f t="shared" si="66"/>
        <v>1790893.9200000002</v>
      </c>
      <c r="AD607" s="9">
        <f t="shared" si="67"/>
        <v>1722928.584</v>
      </c>
      <c r="AE607" s="1" t="s">
        <v>284</v>
      </c>
      <c r="AF607" s="1" t="s">
        <v>45</v>
      </c>
      <c r="AG607" s="4">
        <f t="shared" si="63"/>
        <v>22274.799999999999</v>
      </c>
      <c r="AH607" s="10">
        <v>22090.34</v>
      </c>
      <c r="AI607" s="10">
        <v>840.06</v>
      </c>
      <c r="AJ607" s="10">
        <v>0</v>
      </c>
      <c r="AK607" s="10">
        <v>0</v>
      </c>
      <c r="AL607" s="9">
        <f t="shared" si="64"/>
        <v>21250.28</v>
      </c>
      <c r="AM607" s="1"/>
      <c r="AN607" s="1"/>
      <c r="AO607" s="12" t="e">
        <f>AB607/#REF!</f>
        <v>#REF!</v>
      </c>
      <c r="AP607" s="1" t="s">
        <v>2113</v>
      </c>
      <c r="AQ607" s="11">
        <v>41899</v>
      </c>
      <c r="AR607" s="1" t="s">
        <v>2115</v>
      </c>
      <c r="AS607" s="11">
        <v>41899</v>
      </c>
      <c r="AT607" s="1" t="s">
        <v>49</v>
      </c>
      <c r="AU607" s="1" t="s">
        <v>4171</v>
      </c>
    </row>
    <row r="608" spans="1:47" ht="15" customHeight="1" x14ac:dyDescent="0.25">
      <c r="A608" s="1">
        <v>607</v>
      </c>
      <c r="B608" s="1" t="s">
        <v>1258</v>
      </c>
      <c r="C608" s="1" t="s">
        <v>38</v>
      </c>
      <c r="D608" s="1">
        <v>9103550437</v>
      </c>
      <c r="E608" s="5">
        <v>41837</v>
      </c>
      <c r="F608" s="1" t="s">
        <v>2922</v>
      </c>
      <c r="G608" s="1" t="s">
        <v>40</v>
      </c>
      <c r="H608" s="1" t="s">
        <v>41</v>
      </c>
      <c r="I608" s="1" t="s">
        <v>2809</v>
      </c>
      <c r="J608" s="1" t="s">
        <v>1115</v>
      </c>
      <c r="K608" s="1">
        <v>38237090</v>
      </c>
      <c r="L608" s="6">
        <v>15</v>
      </c>
      <c r="M608" s="1" t="s">
        <v>70</v>
      </c>
      <c r="N608" s="7" t="s">
        <v>44</v>
      </c>
      <c r="O608" s="1" t="s">
        <v>53</v>
      </c>
      <c r="P608" s="8">
        <v>1695</v>
      </c>
      <c r="Q608" s="17">
        <f t="shared" si="65"/>
        <v>25425</v>
      </c>
      <c r="R608" s="9">
        <v>1100</v>
      </c>
      <c r="S608" s="9">
        <v>5.03</v>
      </c>
      <c r="T608" s="9">
        <v>0</v>
      </c>
      <c r="U608" s="10">
        <v>0</v>
      </c>
      <c r="V608" s="1" t="s">
        <v>46</v>
      </c>
      <c r="W608" s="1" t="s">
        <v>790</v>
      </c>
      <c r="X608" s="1">
        <v>3831878</v>
      </c>
      <c r="Y608" s="11">
        <v>41832</v>
      </c>
      <c r="Z608" s="11">
        <v>41834</v>
      </c>
      <c r="AA608" s="9">
        <f t="shared" si="68"/>
        <v>24319.97</v>
      </c>
      <c r="AB608" s="12">
        <v>59.1</v>
      </c>
      <c r="AC608" s="9">
        <f t="shared" si="66"/>
        <v>1502617.5</v>
      </c>
      <c r="AD608" s="9">
        <f t="shared" si="67"/>
        <v>1437310.2270000002</v>
      </c>
      <c r="AE608" s="1" t="s">
        <v>48</v>
      </c>
      <c r="AF608" s="1" t="s">
        <v>53</v>
      </c>
      <c r="AG608" s="4">
        <f t="shared" si="63"/>
        <v>25425</v>
      </c>
      <c r="AH608" s="10">
        <v>25425</v>
      </c>
      <c r="AI608" s="10">
        <f>262.5+787.5</f>
        <v>1050</v>
      </c>
      <c r="AJ608" s="10">
        <f>1.26+3.77</f>
        <v>5.03</v>
      </c>
      <c r="AK608" s="10">
        <v>0</v>
      </c>
      <c r="AL608" s="9">
        <f t="shared" si="64"/>
        <v>24369.97</v>
      </c>
      <c r="AM608" s="1"/>
      <c r="AN608" s="1"/>
      <c r="AO608" s="12" t="e">
        <f>AB608/#REF!</f>
        <v>#REF!</v>
      </c>
      <c r="AP608" s="1"/>
      <c r="AQ608" s="11">
        <v>41890</v>
      </c>
      <c r="AR608" s="1" t="s">
        <v>3336</v>
      </c>
      <c r="AS608" s="11">
        <v>41891</v>
      </c>
      <c r="AT608" s="1" t="s">
        <v>49</v>
      </c>
      <c r="AU608" s="1" t="s">
        <v>4171</v>
      </c>
    </row>
    <row r="609" spans="1:47" ht="15" customHeight="1" x14ac:dyDescent="0.25">
      <c r="A609" s="1">
        <v>608</v>
      </c>
      <c r="B609" s="1" t="s">
        <v>1258</v>
      </c>
      <c r="C609" s="1" t="s">
        <v>38</v>
      </c>
      <c r="D609" s="1">
        <v>9103550438</v>
      </c>
      <c r="E609" s="5">
        <v>41838</v>
      </c>
      <c r="F609" s="1" t="s">
        <v>560</v>
      </c>
      <c r="G609" s="1" t="s">
        <v>40</v>
      </c>
      <c r="H609" s="1" t="s">
        <v>41</v>
      </c>
      <c r="I609" s="1" t="s">
        <v>2809</v>
      </c>
      <c r="J609" s="1" t="s">
        <v>55</v>
      </c>
      <c r="K609" s="1">
        <v>38237090</v>
      </c>
      <c r="L609" s="6">
        <v>36</v>
      </c>
      <c r="M609" s="1" t="s">
        <v>70</v>
      </c>
      <c r="N609" s="7" t="s">
        <v>44</v>
      </c>
      <c r="O609" s="1" t="s">
        <v>53</v>
      </c>
      <c r="P609" s="8">
        <v>4294</v>
      </c>
      <c r="Q609" s="17">
        <f t="shared" si="65"/>
        <v>154584</v>
      </c>
      <c r="R609" s="9">
        <v>6600</v>
      </c>
      <c r="S609" s="9">
        <v>22.11</v>
      </c>
      <c r="T609" s="9">
        <v>0</v>
      </c>
      <c r="U609" s="10">
        <v>0</v>
      </c>
      <c r="V609" s="1" t="s">
        <v>46</v>
      </c>
      <c r="W609" s="1" t="s">
        <v>56</v>
      </c>
      <c r="X609" s="1">
        <v>3833092</v>
      </c>
      <c r="Y609" s="11">
        <v>41832</v>
      </c>
      <c r="Z609" s="11">
        <v>41834</v>
      </c>
      <c r="AA609" s="9">
        <f t="shared" si="68"/>
        <v>147961.89000000001</v>
      </c>
      <c r="AB609" s="12">
        <v>59.1</v>
      </c>
      <c r="AC609" s="9">
        <f t="shared" si="66"/>
        <v>9135914.4000000004</v>
      </c>
      <c r="AD609" s="9">
        <f t="shared" si="67"/>
        <v>8744547.699000001</v>
      </c>
      <c r="AE609" s="1" t="s">
        <v>48</v>
      </c>
      <c r="AF609" s="1" t="s">
        <v>53</v>
      </c>
      <c r="AG609" s="4">
        <f t="shared" si="63"/>
        <v>154584</v>
      </c>
      <c r="AH609" s="10">
        <v>154584</v>
      </c>
      <c r="AI609" s="10">
        <v>6508</v>
      </c>
      <c r="AJ609" s="10">
        <v>22.11</v>
      </c>
      <c r="AK609" s="10">
        <v>0</v>
      </c>
      <c r="AL609" s="9">
        <f t="shared" si="64"/>
        <v>148053.89000000001</v>
      </c>
      <c r="AM609" s="1"/>
      <c r="AN609" s="1"/>
      <c r="AO609" s="12" t="e">
        <f>AB609/#REF!</f>
        <v>#REF!</v>
      </c>
      <c r="AP609" s="1" t="s">
        <v>2116</v>
      </c>
      <c r="AQ609" s="11">
        <v>41893</v>
      </c>
      <c r="AR609" s="1" t="s">
        <v>2117</v>
      </c>
      <c r="AS609" s="11">
        <v>41894</v>
      </c>
      <c r="AT609" s="1" t="s">
        <v>49</v>
      </c>
      <c r="AU609" s="1" t="s">
        <v>4171</v>
      </c>
    </row>
    <row r="610" spans="1:47" ht="15" customHeight="1" x14ac:dyDescent="0.25">
      <c r="A610" s="1">
        <v>609</v>
      </c>
      <c r="B610" s="1" t="s">
        <v>1258</v>
      </c>
      <c r="C610" s="1" t="s">
        <v>38</v>
      </c>
      <c r="D610" s="1">
        <v>9103550439</v>
      </c>
      <c r="E610" s="5">
        <v>41838</v>
      </c>
      <c r="F610" s="1" t="s">
        <v>564</v>
      </c>
      <c r="G610" s="1" t="s">
        <v>40</v>
      </c>
      <c r="H610" s="1" t="s">
        <v>41</v>
      </c>
      <c r="I610" s="1" t="s">
        <v>2809</v>
      </c>
      <c r="J610" s="1" t="s">
        <v>187</v>
      </c>
      <c r="K610" s="1">
        <v>38237090</v>
      </c>
      <c r="L610" s="6">
        <v>54.42</v>
      </c>
      <c r="M610" s="1" t="s">
        <v>70</v>
      </c>
      <c r="N610" s="7" t="s">
        <v>44</v>
      </c>
      <c r="O610" s="1" t="s">
        <v>53</v>
      </c>
      <c r="P610" s="8">
        <v>1808</v>
      </c>
      <c r="Q610" s="17">
        <f t="shared" si="65"/>
        <v>98391.360000000001</v>
      </c>
      <c r="R610" s="9">
        <v>9600</v>
      </c>
      <c r="S610" s="9">
        <v>14.07</v>
      </c>
      <c r="T610" s="9">
        <v>0</v>
      </c>
      <c r="U610" s="10">
        <v>0</v>
      </c>
      <c r="V610" s="1" t="s">
        <v>46</v>
      </c>
      <c r="W610" s="1" t="s">
        <v>56</v>
      </c>
      <c r="X610" s="1">
        <v>3851016</v>
      </c>
      <c r="Y610" s="11">
        <v>41834</v>
      </c>
      <c r="Z610" s="11">
        <v>41835</v>
      </c>
      <c r="AA610" s="9">
        <f t="shared" si="68"/>
        <v>88777.29</v>
      </c>
      <c r="AB610" s="12">
        <v>59.1</v>
      </c>
      <c r="AC610" s="9">
        <f t="shared" si="66"/>
        <v>5814929.3760000002</v>
      </c>
      <c r="AD610" s="9">
        <f t="shared" si="67"/>
        <v>5246737.8389999997</v>
      </c>
      <c r="AE610" s="1" t="s">
        <v>48</v>
      </c>
      <c r="AF610" s="1" t="s">
        <v>53</v>
      </c>
      <c r="AG610" s="4">
        <f t="shared" si="63"/>
        <v>98391.360000000001</v>
      </c>
      <c r="AH610" s="10">
        <v>98391.360000000001</v>
      </c>
      <c r="AI610" s="10">
        <v>9315</v>
      </c>
      <c r="AJ610" s="10">
        <v>14.07</v>
      </c>
      <c r="AK610" s="10">
        <v>0</v>
      </c>
      <c r="AL610" s="9">
        <f t="shared" si="64"/>
        <v>89062.290000000008</v>
      </c>
      <c r="AM610" s="1"/>
      <c r="AN610" s="1"/>
      <c r="AO610" s="12" t="e">
        <f>AB610/#REF!</f>
        <v>#REF!</v>
      </c>
      <c r="AP610" s="1" t="s">
        <v>2118</v>
      </c>
      <c r="AQ610" s="11">
        <v>41893</v>
      </c>
      <c r="AR610" s="1" t="s">
        <v>2119</v>
      </c>
      <c r="AS610" s="11">
        <v>41894</v>
      </c>
      <c r="AT610" s="1" t="s">
        <v>49</v>
      </c>
      <c r="AU610" s="1" t="s">
        <v>4171</v>
      </c>
    </row>
    <row r="611" spans="1:47" ht="15" customHeight="1" x14ac:dyDescent="0.25">
      <c r="A611" s="1">
        <v>610</v>
      </c>
      <c r="B611" s="1" t="s">
        <v>1258</v>
      </c>
      <c r="C611" s="1" t="s">
        <v>38</v>
      </c>
      <c r="D611" s="1">
        <v>9103550440</v>
      </c>
      <c r="E611" s="5">
        <v>41842</v>
      </c>
      <c r="F611" s="1" t="s">
        <v>563</v>
      </c>
      <c r="G611" s="1" t="s">
        <v>40</v>
      </c>
      <c r="H611" s="1" t="s">
        <v>41</v>
      </c>
      <c r="I611" s="1" t="s">
        <v>2809</v>
      </c>
      <c r="J611" s="1" t="s">
        <v>50</v>
      </c>
      <c r="K611" s="1">
        <v>38237090</v>
      </c>
      <c r="L611" s="6">
        <v>15</v>
      </c>
      <c r="M611" s="1" t="s">
        <v>70</v>
      </c>
      <c r="N611" s="7" t="s">
        <v>52</v>
      </c>
      <c r="O611" s="1" t="s">
        <v>53</v>
      </c>
      <c r="P611" s="8">
        <v>3535</v>
      </c>
      <c r="Q611" s="17">
        <f t="shared" si="65"/>
        <v>53025</v>
      </c>
      <c r="R611" s="9">
        <v>881</v>
      </c>
      <c r="S611" s="9">
        <v>0</v>
      </c>
      <c r="T611" s="9">
        <v>0</v>
      </c>
      <c r="U611" s="10">
        <v>0</v>
      </c>
      <c r="V611" s="1" t="s">
        <v>46</v>
      </c>
      <c r="W611" s="1" t="s">
        <v>2657</v>
      </c>
      <c r="X611" s="1">
        <v>3875698</v>
      </c>
      <c r="Y611" s="11">
        <v>41835</v>
      </c>
      <c r="Z611" s="11">
        <v>41836</v>
      </c>
      <c r="AA611" s="9">
        <f t="shared" si="68"/>
        <v>52144</v>
      </c>
      <c r="AB611" s="12">
        <v>59.1</v>
      </c>
      <c r="AC611" s="9">
        <f t="shared" si="66"/>
        <v>3133777.5</v>
      </c>
      <c r="AD611" s="9">
        <f t="shared" si="67"/>
        <v>3081710.4</v>
      </c>
      <c r="AE611" s="1" t="s">
        <v>284</v>
      </c>
      <c r="AF611" s="1" t="s">
        <v>53</v>
      </c>
      <c r="AG611" s="4">
        <f t="shared" si="63"/>
        <v>53025</v>
      </c>
      <c r="AH611" s="10">
        <v>52843.23</v>
      </c>
      <c r="AI611" s="10">
        <v>875</v>
      </c>
      <c r="AJ611" s="10">
        <v>0</v>
      </c>
      <c r="AK611" s="10">
        <v>0</v>
      </c>
      <c r="AL611" s="9">
        <f t="shared" si="64"/>
        <v>51968.23</v>
      </c>
      <c r="AM611" s="1"/>
      <c r="AN611" s="1"/>
      <c r="AO611" s="12" t="e">
        <f>AB611/#REF!</f>
        <v>#REF!</v>
      </c>
      <c r="AP611" s="1" t="s">
        <v>2120</v>
      </c>
      <c r="AQ611" s="11">
        <v>41907</v>
      </c>
      <c r="AR611" s="1" t="s">
        <v>2121</v>
      </c>
      <c r="AS611" s="11">
        <v>41907</v>
      </c>
      <c r="AT611" s="1" t="s">
        <v>49</v>
      </c>
      <c r="AU611" s="1" t="s">
        <v>4171</v>
      </c>
    </row>
    <row r="612" spans="1:47" ht="15" customHeight="1" x14ac:dyDescent="0.25">
      <c r="A612" s="1">
        <v>611</v>
      </c>
      <c r="B612" s="1" t="s">
        <v>1258</v>
      </c>
      <c r="C612" s="1" t="s">
        <v>38</v>
      </c>
      <c r="D612" s="1" t="s">
        <v>2122</v>
      </c>
      <c r="E612" s="5">
        <v>41838</v>
      </c>
      <c r="F612" s="1" t="s">
        <v>585</v>
      </c>
      <c r="G612" s="1" t="s">
        <v>40</v>
      </c>
      <c r="H612" s="1" t="s">
        <v>41</v>
      </c>
      <c r="I612" s="1" t="s">
        <v>2809</v>
      </c>
      <c r="J612" s="1" t="s">
        <v>2764</v>
      </c>
      <c r="K612" s="1">
        <v>38237090</v>
      </c>
      <c r="L612" s="6">
        <v>12</v>
      </c>
      <c r="M612" s="1" t="s">
        <v>70</v>
      </c>
      <c r="N612" s="7" t="s">
        <v>67</v>
      </c>
      <c r="O612" s="1" t="s">
        <v>53</v>
      </c>
      <c r="P612" s="8">
        <v>1465</v>
      </c>
      <c r="Q612" s="17">
        <f t="shared" si="65"/>
        <v>17580</v>
      </c>
      <c r="R612" s="9">
        <v>0</v>
      </c>
      <c r="S612" s="9">
        <v>0</v>
      </c>
      <c r="T612" s="9">
        <v>0</v>
      </c>
      <c r="U612" s="10">
        <v>0</v>
      </c>
      <c r="V612" s="1" t="s">
        <v>46</v>
      </c>
      <c r="W612" s="1" t="s">
        <v>143</v>
      </c>
      <c r="X612" s="1">
        <v>3868987</v>
      </c>
      <c r="Y612" s="11">
        <v>41835</v>
      </c>
      <c r="Z612" s="11">
        <v>41836</v>
      </c>
      <c r="AA612" s="9">
        <f t="shared" si="68"/>
        <v>17580</v>
      </c>
      <c r="AB612" s="12">
        <v>59.1</v>
      </c>
      <c r="AC612" s="9">
        <f t="shared" si="66"/>
        <v>1038978</v>
      </c>
      <c r="AD612" s="9">
        <f t="shared" si="67"/>
        <v>1038978</v>
      </c>
      <c r="AE612" s="1" t="s">
        <v>48</v>
      </c>
      <c r="AF612" s="1" t="s">
        <v>53</v>
      </c>
      <c r="AG612" s="4">
        <f t="shared" si="63"/>
        <v>17580</v>
      </c>
      <c r="AH612" s="10">
        <v>17580</v>
      </c>
      <c r="AI612" s="9">
        <v>0</v>
      </c>
      <c r="AJ612" s="9">
        <v>0</v>
      </c>
      <c r="AK612" s="9">
        <v>0</v>
      </c>
      <c r="AL612" s="9">
        <f t="shared" si="64"/>
        <v>17580</v>
      </c>
      <c r="AM612" s="1"/>
      <c r="AN612" s="1"/>
      <c r="AO612" s="12" t="e">
        <f>AB612/#REF!</f>
        <v>#REF!</v>
      </c>
      <c r="AP612" s="1" t="s">
        <v>2123</v>
      </c>
      <c r="AQ612" s="11">
        <v>41876</v>
      </c>
      <c r="AR612" s="1" t="s">
        <v>2124</v>
      </c>
      <c r="AS612" s="11">
        <v>41877</v>
      </c>
      <c r="AT612" s="1" t="s">
        <v>49</v>
      </c>
      <c r="AU612" s="1" t="s">
        <v>4171</v>
      </c>
    </row>
    <row r="613" spans="1:47" ht="15" customHeight="1" x14ac:dyDescent="0.25">
      <c r="A613" s="1">
        <v>612</v>
      </c>
      <c r="B613" s="1" t="s">
        <v>1258</v>
      </c>
      <c r="C613" s="1" t="s">
        <v>38</v>
      </c>
      <c r="D613" s="1" t="s">
        <v>2122</v>
      </c>
      <c r="E613" s="5">
        <v>41838</v>
      </c>
      <c r="F613" s="1" t="s">
        <v>585</v>
      </c>
      <c r="G613" s="1" t="s">
        <v>40</v>
      </c>
      <c r="H613" s="1" t="s">
        <v>41</v>
      </c>
      <c r="I613" s="1" t="s">
        <v>2809</v>
      </c>
      <c r="J613" s="1" t="s">
        <v>2764</v>
      </c>
      <c r="K613" s="1">
        <v>29051700</v>
      </c>
      <c r="L613" s="6">
        <v>1.8</v>
      </c>
      <c r="M613" s="1" t="s">
        <v>70</v>
      </c>
      <c r="N613" s="7" t="s">
        <v>67</v>
      </c>
      <c r="O613" s="1" t="s">
        <v>53</v>
      </c>
      <c r="P613" s="8">
        <v>1750</v>
      </c>
      <c r="Q613" s="17">
        <f t="shared" si="65"/>
        <v>3150</v>
      </c>
      <c r="R613" s="9">
        <v>0</v>
      </c>
      <c r="S613" s="9">
        <v>0</v>
      </c>
      <c r="T613" s="9">
        <v>0</v>
      </c>
      <c r="U613" s="10">
        <v>0</v>
      </c>
      <c r="V613" s="1" t="s">
        <v>46</v>
      </c>
      <c r="W613" s="1" t="s">
        <v>143</v>
      </c>
      <c r="X613" s="1">
        <v>3868987</v>
      </c>
      <c r="Y613" s="11">
        <v>41835</v>
      </c>
      <c r="Z613" s="11">
        <v>41836</v>
      </c>
      <c r="AA613" s="9">
        <f t="shared" si="68"/>
        <v>3150</v>
      </c>
      <c r="AB613" s="12">
        <v>59.1</v>
      </c>
      <c r="AC613" s="9">
        <f t="shared" si="66"/>
        <v>186165</v>
      </c>
      <c r="AD613" s="9">
        <f t="shared" si="67"/>
        <v>186165</v>
      </c>
      <c r="AE613" s="1" t="s">
        <v>48</v>
      </c>
      <c r="AF613" s="1" t="s">
        <v>53</v>
      </c>
      <c r="AG613" s="4">
        <f t="shared" si="63"/>
        <v>3150</v>
      </c>
      <c r="AH613" s="10">
        <v>3130</v>
      </c>
      <c r="AI613" s="9">
        <v>0</v>
      </c>
      <c r="AJ613" s="9">
        <v>0</v>
      </c>
      <c r="AK613" s="9">
        <v>0</v>
      </c>
      <c r="AL613" s="9">
        <f t="shared" si="64"/>
        <v>3130</v>
      </c>
      <c r="AM613" s="1"/>
      <c r="AN613" s="1"/>
      <c r="AO613" s="12" t="e">
        <f>AB613/#REF!</f>
        <v>#REF!</v>
      </c>
      <c r="AP613" s="1" t="s">
        <v>2123</v>
      </c>
      <c r="AQ613" s="11">
        <v>41876</v>
      </c>
      <c r="AR613" s="1" t="s">
        <v>2124</v>
      </c>
      <c r="AS613" s="11">
        <v>41877</v>
      </c>
      <c r="AT613" s="1" t="s">
        <v>49</v>
      </c>
      <c r="AU613" s="1" t="s">
        <v>4171</v>
      </c>
    </row>
    <row r="614" spans="1:47" ht="15" customHeight="1" x14ac:dyDescent="0.25">
      <c r="A614" s="1">
        <v>613</v>
      </c>
      <c r="B614" s="1" t="s">
        <v>1258</v>
      </c>
      <c r="C614" s="1" t="s">
        <v>38</v>
      </c>
      <c r="D614" s="1">
        <v>9103550443</v>
      </c>
      <c r="E614" s="5">
        <v>41844</v>
      </c>
      <c r="F614" s="1" t="s">
        <v>588</v>
      </c>
      <c r="G614" s="1" t="s">
        <v>40</v>
      </c>
      <c r="H614" s="1" t="s">
        <v>41</v>
      </c>
      <c r="I614" s="1" t="s">
        <v>2809</v>
      </c>
      <c r="J614" s="1" t="s">
        <v>221</v>
      </c>
      <c r="K614" s="1">
        <v>38237090</v>
      </c>
      <c r="L614" s="6">
        <v>5</v>
      </c>
      <c r="M614" s="1" t="s">
        <v>70</v>
      </c>
      <c r="N614" s="7" t="s">
        <v>44</v>
      </c>
      <c r="O614" s="1" t="s">
        <v>53</v>
      </c>
      <c r="P614" s="8">
        <v>1900</v>
      </c>
      <c r="Q614" s="17">
        <f t="shared" si="65"/>
        <v>9500</v>
      </c>
      <c r="R614" s="9">
        <v>350</v>
      </c>
      <c r="S614" s="9">
        <v>1.88</v>
      </c>
      <c r="T614" s="9">
        <v>0</v>
      </c>
      <c r="U614" s="10">
        <v>0</v>
      </c>
      <c r="V614" s="1" t="s">
        <v>46</v>
      </c>
      <c r="W614" s="1" t="s">
        <v>205</v>
      </c>
      <c r="X614" s="1">
        <v>3851777</v>
      </c>
      <c r="Y614" s="11">
        <v>41834</v>
      </c>
      <c r="Z614" s="11">
        <v>41836</v>
      </c>
      <c r="AA614" s="9">
        <f t="shared" si="68"/>
        <v>9148.1200000000008</v>
      </c>
      <c r="AB614" s="12">
        <v>59.1</v>
      </c>
      <c r="AC614" s="9">
        <f t="shared" si="66"/>
        <v>561450</v>
      </c>
      <c r="AD614" s="9">
        <f t="shared" si="67"/>
        <v>540653.89200000011</v>
      </c>
      <c r="AE614" s="1" t="s">
        <v>48</v>
      </c>
      <c r="AF614" s="1" t="s">
        <v>53</v>
      </c>
      <c r="AG614" s="4">
        <f t="shared" si="63"/>
        <v>9500</v>
      </c>
      <c r="AH614" s="10">
        <v>9485</v>
      </c>
      <c r="AI614" s="10">
        <v>220.41</v>
      </c>
      <c r="AJ614" s="10">
        <v>1.87</v>
      </c>
      <c r="AK614" s="10">
        <v>0</v>
      </c>
      <c r="AL614" s="9">
        <f t="shared" si="64"/>
        <v>9262.7199999999993</v>
      </c>
      <c r="AM614" s="1"/>
      <c r="AN614" s="1"/>
      <c r="AO614" s="12" t="e">
        <f>AB614/#REF!</f>
        <v>#REF!</v>
      </c>
      <c r="AP614" s="1" t="s">
        <v>2125</v>
      </c>
      <c r="AQ614" s="11">
        <v>41865</v>
      </c>
      <c r="AR614" s="1" t="s">
        <v>2126</v>
      </c>
      <c r="AS614" s="11">
        <v>41867</v>
      </c>
      <c r="AT614" s="1" t="s">
        <v>49</v>
      </c>
      <c r="AU614" s="1" t="s">
        <v>4171</v>
      </c>
    </row>
    <row r="615" spans="1:47" ht="15" customHeight="1" x14ac:dyDescent="0.25">
      <c r="A615" s="1">
        <v>614</v>
      </c>
      <c r="B615" s="1" t="s">
        <v>1258</v>
      </c>
      <c r="C615" s="1" t="s">
        <v>38</v>
      </c>
      <c r="D615" s="1">
        <v>9103550444</v>
      </c>
      <c r="E615" s="5">
        <v>41843</v>
      </c>
      <c r="F615" s="1" t="s">
        <v>568</v>
      </c>
      <c r="G615" s="1" t="s">
        <v>40</v>
      </c>
      <c r="H615" s="1" t="s">
        <v>41</v>
      </c>
      <c r="I615" s="1" t="s">
        <v>2810</v>
      </c>
      <c r="J615" s="1" t="s">
        <v>1116</v>
      </c>
      <c r="K615" s="1">
        <v>38231200</v>
      </c>
      <c r="L615" s="6">
        <v>14.4</v>
      </c>
      <c r="M615" s="1" t="s">
        <v>70</v>
      </c>
      <c r="N615" s="7" t="s">
        <v>67</v>
      </c>
      <c r="O615" s="1" t="s">
        <v>1117</v>
      </c>
      <c r="P615" s="8">
        <v>94500</v>
      </c>
      <c r="Q615" s="17">
        <f t="shared" si="65"/>
        <v>1360800</v>
      </c>
      <c r="R615" s="9">
        <v>0</v>
      </c>
      <c r="S615" s="9">
        <v>0</v>
      </c>
      <c r="T615" s="9">
        <v>79334.64</v>
      </c>
      <c r="U615" s="10">
        <v>0</v>
      </c>
      <c r="V615" s="1" t="s">
        <v>46</v>
      </c>
      <c r="W615" s="1" t="s">
        <v>361</v>
      </c>
      <c r="X615" s="1">
        <v>3903539</v>
      </c>
      <c r="Y615" s="11">
        <v>41836</v>
      </c>
      <c r="Z615" s="11">
        <v>41837</v>
      </c>
      <c r="AA615" s="9">
        <f t="shared" si="68"/>
        <v>1360800</v>
      </c>
      <c r="AB615" s="12">
        <v>1</v>
      </c>
      <c r="AC615" s="9">
        <f t="shared" si="66"/>
        <v>1360800</v>
      </c>
      <c r="AD615" s="9">
        <f t="shared" si="67"/>
        <v>1360800</v>
      </c>
      <c r="AE615" s="1" t="s">
        <v>4162</v>
      </c>
      <c r="AF615" s="1" t="s">
        <v>1117</v>
      </c>
      <c r="AG615" s="4">
        <f t="shared" si="63"/>
        <v>1360800</v>
      </c>
      <c r="AH615" s="10">
        <v>1360800</v>
      </c>
      <c r="AI615" s="10"/>
      <c r="AJ615" s="10"/>
      <c r="AK615" s="10"/>
      <c r="AL615" s="9">
        <f t="shared" si="64"/>
        <v>1360800</v>
      </c>
      <c r="AM615" s="1"/>
      <c r="AN615" s="1"/>
      <c r="AO615" s="12"/>
      <c r="AP615" s="1" t="s">
        <v>4110</v>
      </c>
      <c r="AQ615" s="11" t="s">
        <v>3918</v>
      </c>
      <c r="AR615" s="1" t="s">
        <v>4109</v>
      </c>
      <c r="AS615" s="1" t="s">
        <v>3920</v>
      </c>
      <c r="AT615" s="1" t="s">
        <v>49</v>
      </c>
      <c r="AU615" s="1" t="s">
        <v>4171</v>
      </c>
    </row>
    <row r="616" spans="1:47" ht="15" customHeight="1" x14ac:dyDescent="0.25">
      <c r="A616" s="1">
        <v>615</v>
      </c>
      <c r="B616" s="1" t="s">
        <v>1258</v>
      </c>
      <c r="C616" s="1" t="s">
        <v>38</v>
      </c>
      <c r="D616" s="1">
        <v>9103550445</v>
      </c>
      <c r="E616" s="5">
        <v>41840</v>
      </c>
      <c r="F616" s="1" t="s">
        <v>581</v>
      </c>
      <c r="G616" s="1" t="s">
        <v>40</v>
      </c>
      <c r="H616" s="1" t="s">
        <v>41</v>
      </c>
      <c r="I616" s="1" t="s">
        <v>2809</v>
      </c>
      <c r="J616" s="1" t="s">
        <v>835</v>
      </c>
      <c r="K616" s="1">
        <v>38237090</v>
      </c>
      <c r="L616" s="6">
        <v>3</v>
      </c>
      <c r="M616" s="1" t="s">
        <v>70</v>
      </c>
      <c r="N616" s="7" t="s">
        <v>44</v>
      </c>
      <c r="O616" s="1" t="s">
        <v>53</v>
      </c>
      <c r="P616" s="8">
        <v>1885</v>
      </c>
      <c r="Q616" s="17">
        <f t="shared" si="65"/>
        <v>5655</v>
      </c>
      <c r="R616" s="9">
        <v>228.75</v>
      </c>
      <c r="S616" s="9">
        <v>0.81</v>
      </c>
      <c r="T616" s="9">
        <v>0</v>
      </c>
      <c r="U616" s="10">
        <v>0</v>
      </c>
      <c r="V616" s="1" t="s">
        <v>46</v>
      </c>
      <c r="W616" s="1" t="s">
        <v>146</v>
      </c>
      <c r="X616" s="1">
        <v>3900496</v>
      </c>
      <c r="Y616" s="11">
        <v>41836</v>
      </c>
      <c r="Z616" s="11">
        <v>41837</v>
      </c>
      <c r="AA616" s="9">
        <f t="shared" si="68"/>
        <v>5425.44</v>
      </c>
      <c r="AB616" s="12">
        <v>59.1</v>
      </c>
      <c r="AC616" s="9">
        <f t="shared" si="66"/>
        <v>334210.5</v>
      </c>
      <c r="AD616" s="9">
        <f t="shared" si="67"/>
        <v>320643.50399999996</v>
      </c>
      <c r="AE616" s="1" t="s">
        <v>48</v>
      </c>
      <c r="AF616" s="1" t="s">
        <v>53</v>
      </c>
      <c r="AG616" s="4">
        <f t="shared" si="63"/>
        <v>5655</v>
      </c>
      <c r="AH616" s="10">
        <v>5650</v>
      </c>
      <c r="AI616" s="10">
        <v>241.95</v>
      </c>
      <c r="AJ616" s="10">
        <v>0.80800000000000005</v>
      </c>
      <c r="AK616" s="10">
        <v>0</v>
      </c>
      <c r="AL616" s="9">
        <f t="shared" si="64"/>
        <v>5407.2420000000002</v>
      </c>
      <c r="AM616" s="1"/>
      <c r="AN616" s="1"/>
      <c r="AO616" s="12" t="e">
        <f>AB616/#REF!</f>
        <v>#REF!</v>
      </c>
      <c r="AP616" s="1" t="s">
        <v>2127</v>
      </c>
      <c r="AQ616" s="11">
        <v>41891</v>
      </c>
      <c r="AR616" s="1" t="s">
        <v>2128</v>
      </c>
      <c r="AS616" s="11">
        <v>41892</v>
      </c>
      <c r="AT616" s="1" t="s">
        <v>49</v>
      </c>
      <c r="AU616" s="1" t="s">
        <v>4171</v>
      </c>
    </row>
    <row r="617" spans="1:47" ht="15" customHeight="1" x14ac:dyDescent="0.25">
      <c r="A617" s="1">
        <v>616</v>
      </c>
      <c r="B617" s="1" t="s">
        <v>1258</v>
      </c>
      <c r="C617" s="1" t="s">
        <v>38</v>
      </c>
      <c r="D617" s="1">
        <v>9103550445</v>
      </c>
      <c r="E617" s="5">
        <v>41840</v>
      </c>
      <c r="F617" s="1" t="s">
        <v>581</v>
      </c>
      <c r="G617" s="1" t="s">
        <v>40</v>
      </c>
      <c r="H617" s="1" t="s">
        <v>41</v>
      </c>
      <c r="I617" s="1" t="s">
        <v>2809</v>
      </c>
      <c r="J617" s="1" t="s">
        <v>835</v>
      </c>
      <c r="K617" s="1">
        <v>38237090</v>
      </c>
      <c r="L617" s="6">
        <v>9</v>
      </c>
      <c r="M617" s="1" t="s">
        <v>70</v>
      </c>
      <c r="N617" s="7" t="s">
        <v>44</v>
      </c>
      <c r="O617" s="1" t="s">
        <v>53</v>
      </c>
      <c r="P617" s="8">
        <v>1735</v>
      </c>
      <c r="Q617" s="17">
        <f t="shared" si="65"/>
        <v>15615</v>
      </c>
      <c r="R617" s="9">
        <v>686.25</v>
      </c>
      <c r="S617" s="9">
        <v>2.23</v>
      </c>
      <c r="T617" s="9">
        <v>0</v>
      </c>
      <c r="U617" s="10">
        <v>0</v>
      </c>
      <c r="V617" s="1" t="s">
        <v>46</v>
      </c>
      <c r="W617" s="1" t="s">
        <v>146</v>
      </c>
      <c r="X617" s="1">
        <v>3900496</v>
      </c>
      <c r="Y617" s="11">
        <v>41836</v>
      </c>
      <c r="Z617" s="11">
        <v>41837</v>
      </c>
      <c r="AA617" s="9">
        <f t="shared" si="68"/>
        <v>14926.52</v>
      </c>
      <c r="AB617" s="12">
        <v>59.1</v>
      </c>
      <c r="AC617" s="9">
        <f t="shared" si="66"/>
        <v>922846.5</v>
      </c>
      <c r="AD617" s="9">
        <f t="shared" si="67"/>
        <v>882157.33200000005</v>
      </c>
      <c r="AE617" s="1" t="s">
        <v>48</v>
      </c>
      <c r="AF617" s="1" t="s">
        <v>53</v>
      </c>
      <c r="AG617" s="4">
        <f t="shared" si="63"/>
        <v>15615</v>
      </c>
      <c r="AH617" s="10">
        <v>15600</v>
      </c>
      <c r="AI617" s="10">
        <v>668.05</v>
      </c>
      <c r="AJ617" s="10">
        <v>2.23</v>
      </c>
      <c r="AK617" s="10">
        <v>0</v>
      </c>
      <c r="AL617" s="9">
        <f t="shared" si="64"/>
        <v>14929.72</v>
      </c>
      <c r="AM617" s="1"/>
      <c r="AN617" s="1"/>
      <c r="AO617" s="12" t="e">
        <f>AB617/#REF!</f>
        <v>#REF!</v>
      </c>
      <c r="AP617" s="1" t="s">
        <v>2127</v>
      </c>
      <c r="AQ617" s="11">
        <v>41891</v>
      </c>
      <c r="AR617" s="1" t="s">
        <v>2128</v>
      </c>
      <c r="AS617" s="11">
        <v>41892</v>
      </c>
      <c r="AT617" s="1" t="s">
        <v>49</v>
      </c>
      <c r="AU617" s="1" t="s">
        <v>4171</v>
      </c>
    </row>
    <row r="618" spans="1:47" ht="15" customHeight="1" x14ac:dyDescent="0.25">
      <c r="A618" s="1">
        <v>617</v>
      </c>
      <c r="B618" s="1" t="s">
        <v>1258</v>
      </c>
      <c r="C618" s="1" t="s">
        <v>38</v>
      </c>
      <c r="D618" s="1">
        <v>9103550446</v>
      </c>
      <c r="E618" s="5">
        <v>41844</v>
      </c>
      <c r="F618" s="1" t="s">
        <v>2983</v>
      </c>
      <c r="G618" s="1" t="s">
        <v>40</v>
      </c>
      <c r="H618" s="1" t="s">
        <v>41</v>
      </c>
      <c r="I618" s="1" t="s">
        <v>2809</v>
      </c>
      <c r="J618" s="1" t="s">
        <v>924</v>
      </c>
      <c r="K618" s="1">
        <v>38237090</v>
      </c>
      <c r="L618" s="6">
        <v>48</v>
      </c>
      <c r="M618" s="1" t="s">
        <v>70</v>
      </c>
      <c r="N618" s="7" t="s">
        <v>44</v>
      </c>
      <c r="O618" s="1" t="s">
        <v>53</v>
      </c>
      <c r="P618" s="8">
        <v>1685</v>
      </c>
      <c r="Q618" s="17">
        <f t="shared" si="65"/>
        <v>80880</v>
      </c>
      <c r="R618" s="9">
        <v>3600</v>
      </c>
      <c r="S618" s="9">
        <v>11.57</v>
      </c>
      <c r="T618" s="9">
        <v>1492.8</v>
      </c>
      <c r="U618" s="10">
        <v>0</v>
      </c>
      <c r="V618" s="1" t="s">
        <v>46</v>
      </c>
      <c r="W618" s="1" t="s">
        <v>123</v>
      </c>
      <c r="X618" s="1">
        <v>3922357</v>
      </c>
      <c r="Y618" s="11">
        <v>41837</v>
      </c>
      <c r="Z618" s="11">
        <v>41839</v>
      </c>
      <c r="AA618" s="9">
        <f t="shared" si="68"/>
        <v>77268.429999999993</v>
      </c>
      <c r="AB618" s="12">
        <v>59.1</v>
      </c>
      <c r="AC618" s="9">
        <f t="shared" si="66"/>
        <v>4780008</v>
      </c>
      <c r="AD618" s="9">
        <f t="shared" si="67"/>
        <v>4566564.2129999995</v>
      </c>
      <c r="AE618" s="1" t="s">
        <v>48</v>
      </c>
      <c r="AF618" s="1" t="s">
        <v>53</v>
      </c>
      <c r="AG618" s="4">
        <f t="shared" si="63"/>
        <v>80880</v>
      </c>
      <c r="AH618" s="10">
        <v>80880</v>
      </c>
      <c r="AI618" s="10">
        <f>2550+976</f>
        <v>3526</v>
      </c>
      <c r="AJ618" s="10">
        <f>8.36+3.21</f>
        <v>11.57</v>
      </c>
      <c r="AK618" s="10">
        <f>1412+1080</f>
        <v>2492</v>
      </c>
      <c r="AL618" s="9">
        <f t="shared" si="64"/>
        <v>74850.429999999993</v>
      </c>
      <c r="AM618" s="1"/>
      <c r="AN618" s="1"/>
      <c r="AO618" s="12" t="e">
        <f>AB618/#REF!</f>
        <v>#REF!</v>
      </c>
      <c r="AP618" s="1"/>
      <c r="AQ618" s="11">
        <v>42003</v>
      </c>
      <c r="AR618" s="1" t="s">
        <v>3337</v>
      </c>
      <c r="AS618" s="11">
        <v>42004</v>
      </c>
      <c r="AT618" s="1" t="s">
        <v>49</v>
      </c>
      <c r="AU618" s="1" t="s">
        <v>4171</v>
      </c>
    </row>
    <row r="619" spans="1:47" ht="15" customHeight="1" x14ac:dyDescent="0.25">
      <c r="A619" s="1">
        <v>618</v>
      </c>
      <c r="B619" s="1" t="s">
        <v>1258</v>
      </c>
      <c r="C619" s="1" t="s">
        <v>38</v>
      </c>
      <c r="D619" s="1" t="s">
        <v>2129</v>
      </c>
      <c r="E619" s="5">
        <v>41845</v>
      </c>
      <c r="F619" s="1" t="s">
        <v>574</v>
      </c>
      <c r="G619" s="1" t="s">
        <v>40</v>
      </c>
      <c r="H619" s="1" t="s">
        <v>41</v>
      </c>
      <c r="I619" s="1" t="s">
        <v>2809</v>
      </c>
      <c r="J619" s="1" t="s">
        <v>2708</v>
      </c>
      <c r="K619" s="1">
        <v>29159090</v>
      </c>
      <c r="L619" s="6">
        <v>15</v>
      </c>
      <c r="M619" s="1" t="s">
        <v>70</v>
      </c>
      <c r="N619" s="7" t="s">
        <v>44</v>
      </c>
      <c r="O619" s="1" t="s">
        <v>53</v>
      </c>
      <c r="P619" s="8">
        <v>3490</v>
      </c>
      <c r="Q619" s="17">
        <f t="shared" si="65"/>
        <v>52350</v>
      </c>
      <c r="R619" s="9">
        <v>50</v>
      </c>
      <c r="S619" s="9">
        <v>7.49</v>
      </c>
      <c r="T619" s="9">
        <v>0</v>
      </c>
      <c r="U619" s="10">
        <v>0</v>
      </c>
      <c r="V619" s="1" t="s">
        <v>46</v>
      </c>
      <c r="W619" s="1" t="s">
        <v>54</v>
      </c>
      <c r="X619" s="1">
        <v>3921410</v>
      </c>
      <c r="Y619" s="11">
        <v>41837</v>
      </c>
      <c r="Z619" s="11">
        <v>41838</v>
      </c>
      <c r="AA619" s="9">
        <f t="shared" si="68"/>
        <v>52292.51</v>
      </c>
      <c r="AB619" s="12">
        <v>59.1</v>
      </c>
      <c r="AC619" s="9">
        <f t="shared" si="66"/>
        <v>3093885</v>
      </c>
      <c r="AD619" s="9">
        <f t="shared" si="67"/>
        <v>3090487.341</v>
      </c>
      <c r="AE619" s="1" t="s">
        <v>48</v>
      </c>
      <c r="AF619" s="1" t="s">
        <v>53</v>
      </c>
      <c r="AG619" s="4">
        <f t="shared" si="63"/>
        <v>52350</v>
      </c>
      <c r="AH619" s="10">
        <v>52350</v>
      </c>
      <c r="AI619" s="10">
        <v>55</v>
      </c>
      <c r="AJ619" s="9">
        <v>7.48</v>
      </c>
      <c r="AK619" s="10">
        <v>0</v>
      </c>
      <c r="AL619" s="9">
        <f t="shared" si="64"/>
        <v>52287.519999999997</v>
      </c>
      <c r="AM619" s="1"/>
      <c r="AN619" s="1"/>
      <c r="AO619" s="12" t="e">
        <f>AB619/#REF!</f>
        <v>#REF!</v>
      </c>
      <c r="AP619" s="1" t="s">
        <v>2130</v>
      </c>
      <c r="AQ619" s="11">
        <v>41864</v>
      </c>
      <c r="AR619" s="1" t="s">
        <v>2131</v>
      </c>
      <c r="AS619" s="11">
        <v>41865</v>
      </c>
      <c r="AT619" s="1" t="s">
        <v>49</v>
      </c>
      <c r="AU619" s="1" t="s">
        <v>4171</v>
      </c>
    </row>
    <row r="620" spans="1:47" ht="15" customHeight="1" x14ac:dyDescent="0.25">
      <c r="A620" s="1">
        <v>619</v>
      </c>
      <c r="B620" s="1" t="s">
        <v>1258</v>
      </c>
      <c r="C620" s="1" t="s">
        <v>38</v>
      </c>
      <c r="D620" s="1" t="s">
        <v>2129</v>
      </c>
      <c r="E620" s="5">
        <v>41845</v>
      </c>
      <c r="F620" s="1" t="s">
        <v>584</v>
      </c>
      <c r="G620" s="1" t="s">
        <v>40</v>
      </c>
      <c r="H620" s="1" t="s">
        <v>41</v>
      </c>
      <c r="I620" s="1" t="s">
        <v>2809</v>
      </c>
      <c r="J620" s="1" t="s">
        <v>2708</v>
      </c>
      <c r="K620" s="1">
        <v>29159090</v>
      </c>
      <c r="L620" s="6">
        <v>15</v>
      </c>
      <c r="M620" s="1" t="s">
        <v>70</v>
      </c>
      <c r="N620" s="7" t="s">
        <v>44</v>
      </c>
      <c r="O620" s="1" t="s">
        <v>53</v>
      </c>
      <c r="P620" s="8">
        <v>3490</v>
      </c>
      <c r="Q620" s="17">
        <f t="shared" si="65"/>
        <v>52350</v>
      </c>
      <c r="R620" s="9">
        <v>50</v>
      </c>
      <c r="S620" s="9">
        <v>7.49</v>
      </c>
      <c r="T620" s="9">
        <v>0</v>
      </c>
      <c r="U620" s="10">
        <v>0</v>
      </c>
      <c r="V620" s="1" t="s">
        <v>46</v>
      </c>
      <c r="W620" s="1" t="s">
        <v>54</v>
      </c>
      <c r="X620" s="1">
        <v>3940248</v>
      </c>
      <c r="Y620" s="11">
        <v>41838</v>
      </c>
      <c r="Z620" s="11">
        <v>41839</v>
      </c>
      <c r="AA620" s="9">
        <f t="shared" si="68"/>
        <v>52292.51</v>
      </c>
      <c r="AB620" s="12">
        <v>59.7</v>
      </c>
      <c r="AC620" s="9">
        <f t="shared" si="66"/>
        <v>3125295</v>
      </c>
      <c r="AD620" s="9">
        <f t="shared" si="67"/>
        <v>3121862.8470000001</v>
      </c>
      <c r="AE620" s="1" t="s">
        <v>48</v>
      </c>
      <c r="AF620" s="1" t="s">
        <v>53</v>
      </c>
      <c r="AG620" s="4">
        <f t="shared" si="63"/>
        <v>52350</v>
      </c>
      <c r="AH620" s="10">
        <v>52350</v>
      </c>
      <c r="AI620" s="10">
        <v>55</v>
      </c>
      <c r="AJ620" s="9">
        <v>7.49</v>
      </c>
      <c r="AK620" s="10">
        <v>0</v>
      </c>
      <c r="AL620" s="9">
        <f t="shared" si="64"/>
        <v>52287.51</v>
      </c>
      <c r="AM620" s="1"/>
      <c r="AN620" s="1"/>
      <c r="AO620" s="12" t="e">
        <f>AB620/#REF!</f>
        <v>#REF!</v>
      </c>
      <c r="AP620" s="1" t="s">
        <v>2130</v>
      </c>
      <c r="AQ620" s="11">
        <v>41864</v>
      </c>
      <c r="AR620" s="1" t="s">
        <v>2132</v>
      </c>
      <c r="AS620" s="11">
        <v>41865</v>
      </c>
      <c r="AT620" s="1" t="s">
        <v>49</v>
      </c>
      <c r="AU620" s="1" t="s">
        <v>4171</v>
      </c>
    </row>
    <row r="621" spans="1:47" ht="15" customHeight="1" x14ac:dyDescent="0.25">
      <c r="A621" s="1">
        <v>620</v>
      </c>
      <c r="B621" s="1" t="s">
        <v>1258</v>
      </c>
      <c r="C621" s="1" t="s">
        <v>38</v>
      </c>
      <c r="D621" s="1">
        <v>9103550449</v>
      </c>
      <c r="E621" s="5">
        <v>41844</v>
      </c>
      <c r="F621" s="1" t="s">
        <v>577</v>
      </c>
      <c r="G621" s="1" t="s">
        <v>40</v>
      </c>
      <c r="H621" s="1" t="s">
        <v>41</v>
      </c>
      <c r="I621" s="1" t="s">
        <v>2809</v>
      </c>
      <c r="J621" s="1" t="s">
        <v>50</v>
      </c>
      <c r="K621" s="1">
        <v>38237090</v>
      </c>
      <c r="L621" s="6">
        <v>5.5</v>
      </c>
      <c r="M621" s="1" t="s">
        <v>70</v>
      </c>
      <c r="N621" s="7" t="s">
        <v>52</v>
      </c>
      <c r="O621" s="1" t="s">
        <v>53</v>
      </c>
      <c r="P621" s="8">
        <v>1760</v>
      </c>
      <c r="Q621" s="17">
        <f t="shared" si="65"/>
        <v>9680</v>
      </c>
      <c r="R621" s="9">
        <v>555.04999999999995</v>
      </c>
      <c r="S621" s="9">
        <v>0</v>
      </c>
      <c r="T621" s="9">
        <v>0</v>
      </c>
      <c r="U621" s="10">
        <v>0</v>
      </c>
      <c r="V621" s="1" t="s">
        <v>46</v>
      </c>
      <c r="W621" s="1" t="s">
        <v>90</v>
      </c>
      <c r="X621" s="1">
        <v>3944543</v>
      </c>
      <c r="Y621" s="11">
        <v>41838</v>
      </c>
      <c r="Z621" s="11">
        <v>41839</v>
      </c>
      <c r="AA621" s="9">
        <f t="shared" si="68"/>
        <v>9124.9500000000007</v>
      </c>
      <c r="AB621" s="12">
        <v>59.7</v>
      </c>
      <c r="AC621" s="9">
        <f t="shared" si="66"/>
        <v>577896</v>
      </c>
      <c r="AD621" s="9">
        <f t="shared" si="67"/>
        <v>544759.51500000001</v>
      </c>
      <c r="AE621" s="1" t="s">
        <v>284</v>
      </c>
      <c r="AF621" s="1" t="s">
        <v>53</v>
      </c>
      <c r="AG621" s="4">
        <f t="shared" si="63"/>
        <v>9680</v>
      </c>
      <c r="AH621" s="10">
        <v>9680</v>
      </c>
      <c r="AI621" s="10">
        <v>547.24</v>
      </c>
      <c r="AJ621" s="10">
        <v>0</v>
      </c>
      <c r="AK621" s="10">
        <v>0</v>
      </c>
      <c r="AL621" s="9">
        <f t="shared" si="64"/>
        <v>9132.76</v>
      </c>
      <c r="AM621" s="1"/>
      <c r="AN621" s="1"/>
      <c r="AO621" s="12" t="e">
        <f>AB621/#REF!</f>
        <v>#REF!</v>
      </c>
      <c r="AP621" s="1" t="s">
        <v>2133</v>
      </c>
      <c r="AQ621" s="11">
        <v>41912</v>
      </c>
      <c r="AR621" s="1" t="s">
        <v>2134</v>
      </c>
      <c r="AS621" s="11">
        <v>41912</v>
      </c>
      <c r="AT621" s="1" t="s">
        <v>49</v>
      </c>
      <c r="AU621" s="1" t="s">
        <v>4171</v>
      </c>
    </row>
    <row r="622" spans="1:47" ht="15" customHeight="1" x14ac:dyDescent="0.25">
      <c r="A622" s="1">
        <v>621</v>
      </c>
      <c r="B622" s="1" t="s">
        <v>1258</v>
      </c>
      <c r="C622" s="1" t="s">
        <v>38</v>
      </c>
      <c r="D622" s="1">
        <v>9103550449</v>
      </c>
      <c r="E622" s="5">
        <v>41844</v>
      </c>
      <c r="F622" s="1" t="s">
        <v>577</v>
      </c>
      <c r="G622" s="1" t="s">
        <v>40</v>
      </c>
      <c r="H622" s="1" t="s">
        <v>41</v>
      </c>
      <c r="I622" s="1" t="s">
        <v>2809</v>
      </c>
      <c r="J622" s="1" t="s">
        <v>50</v>
      </c>
      <c r="K622" s="1">
        <v>29051700</v>
      </c>
      <c r="L622" s="6">
        <v>5.4</v>
      </c>
      <c r="M622" s="1" t="s">
        <v>70</v>
      </c>
      <c r="N622" s="7" t="s">
        <v>52</v>
      </c>
      <c r="O622" s="1" t="s">
        <v>53</v>
      </c>
      <c r="P622" s="8">
        <v>1795</v>
      </c>
      <c r="Q622" s="17">
        <f t="shared" si="65"/>
        <v>9693</v>
      </c>
      <c r="R622" s="9">
        <v>544.95000000000005</v>
      </c>
      <c r="S622" s="9">
        <v>0</v>
      </c>
      <c r="T622" s="9">
        <v>0</v>
      </c>
      <c r="U622" s="10">
        <v>0</v>
      </c>
      <c r="V622" s="1" t="s">
        <v>46</v>
      </c>
      <c r="W622" s="1" t="s">
        <v>90</v>
      </c>
      <c r="X622" s="1">
        <v>3944543</v>
      </c>
      <c r="Y622" s="11">
        <v>41838</v>
      </c>
      <c r="Z622" s="11">
        <v>41839</v>
      </c>
      <c r="AA622" s="9">
        <f t="shared" si="68"/>
        <v>9148.0499999999993</v>
      </c>
      <c r="AB622" s="12">
        <v>59.7</v>
      </c>
      <c r="AC622" s="9">
        <f t="shared" si="66"/>
        <v>578672.1</v>
      </c>
      <c r="AD622" s="9">
        <f t="shared" si="67"/>
        <v>546138.58499999996</v>
      </c>
      <c r="AE622" s="1" t="s">
        <v>284</v>
      </c>
      <c r="AF622" s="1" t="s">
        <v>53</v>
      </c>
      <c r="AG622" s="4">
        <f t="shared" si="63"/>
        <v>9693</v>
      </c>
      <c r="AH622" s="10">
        <v>9512.2199999999993</v>
      </c>
      <c r="AI622" s="10">
        <v>537.75</v>
      </c>
      <c r="AJ622" s="10">
        <v>0</v>
      </c>
      <c r="AK622" s="10">
        <v>0</v>
      </c>
      <c r="AL622" s="9">
        <f t="shared" si="64"/>
        <v>8974.4699999999993</v>
      </c>
      <c r="AM622" s="1"/>
      <c r="AN622" s="1"/>
      <c r="AO622" s="12" t="e">
        <f>AB622/#REF!</f>
        <v>#REF!</v>
      </c>
      <c r="AP622" s="1" t="s">
        <v>2133</v>
      </c>
      <c r="AQ622" s="11">
        <v>41912</v>
      </c>
      <c r="AR622" s="1" t="s">
        <v>2134</v>
      </c>
      <c r="AS622" s="11">
        <v>41912</v>
      </c>
      <c r="AT622" s="1" t="s">
        <v>49</v>
      </c>
      <c r="AU622" s="1" t="s">
        <v>4171</v>
      </c>
    </row>
    <row r="623" spans="1:47" ht="15" customHeight="1" x14ac:dyDescent="0.25">
      <c r="A623" s="1">
        <v>622</v>
      </c>
      <c r="B623" s="1" t="s">
        <v>1258</v>
      </c>
      <c r="C623" s="1" t="s">
        <v>38</v>
      </c>
      <c r="D623" s="1" t="s">
        <v>2135</v>
      </c>
      <c r="E623" s="5">
        <v>41843</v>
      </c>
      <c r="F623" s="1" t="s">
        <v>575</v>
      </c>
      <c r="G623" s="1" t="s">
        <v>40</v>
      </c>
      <c r="H623" s="1" t="s">
        <v>41</v>
      </c>
      <c r="I623" s="1" t="s">
        <v>2810</v>
      </c>
      <c r="J623" s="1" t="s">
        <v>1116</v>
      </c>
      <c r="K623" s="1">
        <v>38237090</v>
      </c>
      <c r="L623" s="6">
        <v>138.61000000000001</v>
      </c>
      <c r="M623" s="1" t="s">
        <v>70</v>
      </c>
      <c r="N623" s="7" t="s">
        <v>67</v>
      </c>
      <c r="O623" s="1" t="s">
        <v>1117</v>
      </c>
      <c r="P623" s="8">
        <v>108000</v>
      </c>
      <c r="Q623" s="17">
        <f t="shared" si="65"/>
        <v>14969880.000000002</v>
      </c>
      <c r="R623" s="9">
        <v>0</v>
      </c>
      <c r="S623" s="9">
        <v>0</v>
      </c>
      <c r="T623" s="9">
        <v>707027.43</v>
      </c>
      <c r="U623" s="10">
        <v>0</v>
      </c>
      <c r="V623" s="1" t="s">
        <v>46</v>
      </c>
      <c r="W623" s="1" t="s">
        <v>361</v>
      </c>
      <c r="X623" s="1">
        <v>3925489</v>
      </c>
      <c r="Y623" s="11">
        <v>41837</v>
      </c>
      <c r="Z623" s="11">
        <v>41839</v>
      </c>
      <c r="AA623" s="9">
        <f t="shared" si="68"/>
        <v>14969880.000000002</v>
      </c>
      <c r="AB623" s="12">
        <v>1</v>
      </c>
      <c r="AC623" s="9">
        <f t="shared" si="66"/>
        <v>14969880.000000002</v>
      </c>
      <c r="AD623" s="9">
        <f t="shared" si="67"/>
        <v>14969880.000000002</v>
      </c>
      <c r="AE623" s="1" t="s">
        <v>4162</v>
      </c>
      <c r="AF623" s="1" t="s">
        <v>1117</v>
      </c>
      <c r="AG623" s="4">
        <f t="shared" si="63"/>
        <v>14969880.000000002</v>
      </c>
      <c r="AH623" s="10">
        <v>14969880</v>
      </c>
      <c r="AI623" s="10"/>
      <c r="AJ623" s="10"/>
      <c r="AK623" s="10"/>
      <c r="AL623" s="9">
        <f t="shared" si="64"/>
        <v>14969880</v>
      </c>
      <c r="AM623" s="1"/>
      <c r="AN623" s="1"/>
      <c r="AO623" s="12"/>
      <c r="AP623" s="1" t="s">
        <v>3919</v>
      </c>
      <c r="AQ623" s="11">
        <v>42250</v>
      </c>
      <c r="AR623" s="1" t="s">
        <v>4312</v>
      </c>
      <c r="AS623" s="11">
        <v>42251</v>
      </c>
      <c r="AT623" s="1" t="s">
        <v>49</v>
      </c>
      <c r="AU623" s="1" t="s">
        <v>4171</v>
      </c>
    </row>
    <row r="624" spans="1:47" ht="15" customHeight="1" x14ac:dyDescent="0.25">
      <c r="A624" s="1">
        <v>623</v>
      </c>
      <c r="B624" s="1" t="s">
        <v>1258</v>
      </c>
      <c r="C624" s="1" t="s">
        <v>38</v>
      </c>
      <c r="D624" s="1" t="s">
        <v>2135</v>
      </c>
      <c r="E624" s="5">
        <v>41843</v>
      </c>
      <c r="F624" s="1" t="s">
        <v>586</v>
      </c>
      <c r="G624" s="1" t="s">
        <v>40</v>
      </c>
      <c r="H624" s="1" t="s">
        <v>41</v>
      </c>
      <c r="I624" s="1" t="s">
        <v>2810</v>
      </c>
      <c r="J624" s="1" t="s">
        <v>1116</v>
      </c>
      <c r="K624" s="1">
        <v>38237090</v>
      </c>
      <c r="L624" s="6">
        <v>78.680000000000007</v>
      </c>
      <c r="M624" s="1" t="s">
        <v>70</v>
      </c>
      <c r="N624" s="7" t="s">
        <v>67</v>
      </c>
      <c r="O624" s="1" t="s">
        <v>1117</v>
      </c>
      <c r="P624" s="8">
        <v>108000</v>
      </c>
      <c r="Q624" s="17">
        <f t="shared" si="65"/>
        <v>8497440</v>
      </c>
      <c r="R624" s="9">
        <v>0</v>
      </c>
      <c r="S624" s="9">
        <v>0</v>
      </c>
      <c r="T624" s="9">
        <v>401334.09</v>
      </c>
      <c r="U624" s="10">
        <v>0</v>
      </c>
      <c r="V624" s="1" t="s">
        <v>46</v>
      </c>
      <c r="W624" s="1" t="s">
        <v>361</v>
      </c>
      <c r="X624" s="1">
        <v>3944186</v>
      </c>
      <c r="Y624" s="11">
        <v>41838</v>
      </c>
      <c r="Z624" s="11">
        <v>41839</v>
      </c>
      <c r="AA624" s="9">
        <f t="shared" si="68"/>
        <v>8497440</v>
      </c>
      <c r="AB624" s="12">
        <v>1</v>
      </c>
      <c r="AC624" s="9">
        <f t="shared" si="66"/>
        <v>8497440</v>
      </c>
      <c r="AD624" s="9">
        <f t="shared" si="67"/>
        <v>8497440</v>
      </c>
      <c r="AE624" s="1" t="s">
        <v>4162</v>
      </c>
      <c r="AF624" s="1" t="s">
        <v>1117</v>
      </c>
      <c r="AG624" s="4">
        <f t="shared" si="63"/>
        <v>8497440</v>
      </c>
      <c r="AH624" s="10">
        <v>8497440</v>
      </c>
      <c r="AI624" s="10"/>
      <c r="AJ624" s="10"/>
      <c r="AK624" s="10"/>
      <c r="AL624" s="9">
        <f t="shared" si="64"/>
        <v>8497440</v>
      </c>
      <c r="AM624" s="1"/>
      <c r="AN624" s="1"/>
      <c r="AO624" s="12"/>
      <c r="AP624" s="1" t="s">
        <v>3919</v>
      </c>
      <c r="AQ624" s="11" t="s">
        <v>4060</v>
      </c>
      <c r="AR624" s="1" t="s">
        <v>4170</v>
      </c>
      <c r="AS624" s="1" t="s">
        <v>4087</v>
      </c>
      <c r="AT624" s="1" t="s">
        <v>49</v>
      </c>
      <c r="AU624" s="1" t="s">
        <v>4171</v>
      </c>
    </row>
    <row r="625" spans="1:47" ht="15" customHeight="1" x14ac:dyDescent="0.25">
      <c r="A625" s="1">
        <v>624</v>
      </c>
      <c r="B625" s="1" t="s">
        <v>1258</v>
      </c>
      <c r="C625" s="1" t="s">
        <v>38</v>
      </c>
      <c r="D625" s="1">
        <v>9103550452</v>
      </c>
      <c r="E625" s="5">
        <v>41845</v>
      </c>
      <c r="F625" s="1" t="s">
        <v>576</v>
      </c>
      <c r="G625" s="1" t="s">
        <v>40</v>
      </c>
      <c r="H625" s="1" t="s">
        <v>41</v>
      </c>
      <c r="I625" s="1" t="s">
        <v>2809</v>
      </c>
      <c r="J625" s="1" t="s">
        <v>2708</v>
      </c>
      <c r="K625" s="1">
        <v>29161990</v>
      </c>
      <c r="L625" s="6">
        <v>32</v>
      </c>
      <c r="M625" s="1" t="s">
        <v>70</v>
      </c>
      <c r="N625" s="7" t="s">
        <v>44</v>
      </c>
      <c r="O625" s="1" t="s">
        <v>53</v>
      </c>
      <c r="P625" s="8">
        <v>2905</v>
      </c>
      <c r="Q625" s="17">
        <f t="shared" si="65"/>
        <v>92960</v>
      </c>
      <c r="R625" s="9">
        <v>100</v>
      </c>
      <c r="S625" s="9">
        <v>13.29</v>
      </c>
      <c r="T625" s="9">
        <v>0</v>
      </c>
      <c r="U625" s="10">
        <v>0</v>
      </c>
      <c r="V625" s="1" t="s">
        <v>46</v>
      </c>
      <c r="W625" s="1" t="s">
        <v>54</v>
      </c>
      <c r="X625" s="1">
        <v>3947133</v>
      </c>
      <c r="Y625" s="11">
        <v>41838</v>
      </c>
      <c r="Z625" s="11">
        <v>41839</v>
      </c>
      <c r="AA625" s="9">
        <f t="shared" si="68"/>
        <v>92846.71</v>
      </c>
      <c r="AB625" s="12">
        <v>59.7</v>
      </c>
      <c r="AC625" s="9">
        <f t="shared" si="66"/>
        <v>5549712</v>
      </c>
      <c r="AD625" s="9">
        <f t="shared" si="67"/>
        <v>5542948.5870000003</v>
      </c>
      <c r="AE625" s="1" t="s">
        <v>48</v>
      </c>
      <c r="AF625" s="1" t="s">
        <v>53</v>
      </c>
      <c r="AG625" s="4">
        <f t="shared" si="63"/>
        <v>92960</v>
      </c>
      <c r="AH625" s="10">
        <v>92829</v>
      </c>
      <c r="AI625" s="10">
        <v>80</v>
      </c>
      <c r="AJ625" s="10">
        <v>13.26</v>
      </c>
      <c r="AK625" s="10">
        <v>0</v>
      </c>
      <c r="AL625" s="9">
        <f t="shared" si="64"/>
        <v>92735.74</v>
      </c>
      <c r="AM625" s="1"/>
      <c r="AN625" s="1"/>
      <c r="AO625" s="12" t="e">
        <f>AB625/#REF!</f>
        <v>#REF!</v>
      </c>
      <c r="AP625" s="1" t="s">
        <v>2136</v>
      </c>
      <c r="AQ625" s="11">
        <v>41864</v>
      </c>
      <c r="AR625" s="1" t="s">
        <v>2137</v>
      </c>
      <c r="AS625" s="11">
        <v>41865</v>
      </c>
      <c r="AT625" s="1" t="s">
        <v>49</v>
      </c>
      <c r="AU625" s="1" t="s">
        <v>4171</v>
      </c>
    </row>
    <row r="626" spans="1:47" ht="15" customHeight="1" x14ac:dyDescent="0.25">
      <c r="A626" s="1">
        <v>625</v>
      </c>
      <c r="B626" s="1" t="s">
        <v>1258</v>
      </c>
      <c r="C626" s="1" t="s">
        <v>38</v>
      </c>
      <c r="D626" s="1">
        <v>9103550453</v>
      </c>
      <c r="E626" s="5">
        <v>41844</v>
      </c>
      <c r="F626" s="1" t="s">
        <v>578</v>
      </c>
      <c r="G626" s="1" t="s">
        <v>40</v>
      </c>
      <c r="H626" s="1" t="s">
        <v>41</v>
      </c>
      <c r="I626" s="1" t="s">
        <v>2809</v>
      </c>
      <c r="J626" s="1" t="s">
        <v>2138</v>
      </c>
      <c r="K626" s="1">
        <v>38237090</v>
      </c>
      <c r="L626" s="6">
        <v>12</v>
      </c>
      <c r="M626" s="1" t="s">
        <v>70</v>
      </c>
      <c r="N626" s="7" t="s">
        <v>44</v>
      </c>
      <c r="O626" s="1" t="s">
        <v>53</v>
      </c>
      <c r="P626" s="8">
        <v>1675</v>
      </c>
      <c r="Q626" s="17">
        <f t="shared" si="65"/>
        <v>20100</v>
      </c>
      <c r="R626" s="9">
        <v>975</v>
      </c>
      <c r="S626" s="9">
        <v>2.87</v>
      </c>
      <c r="T626" s="9">
        <v>0</v>
      </c>
      <c r="U626" s="10">
        <v>0</v>
      </c>
      <c r="V626" s="1" t="s">
        <v>46</v>
      </c>
      <c r="W626" s="1" t="s">
        <v>205</v>
      </c>
      <c r="X626" s="1">
        <v>3947861</v>
      </c>
      <c r="Y626" s="11">
        <v>41838</v>
      </c>
      <c r="Z626" s="11">
        <v>41839</v>
      </c>
      <c r="AA626" s="9">
        <f t="shared" si="68"/>
        <v>19122.13</v>
      </c>
      <c r="AB626" s="12">
        <v>59.7</v>
      </c>
      <c r="AC626" s="9">
        <f t="shared" si="66"/>
        <v>1199970</v>
      </c>
      <c r="AD626" s="9">
        <f t="shared" si="67"/>
        <v>1141591.1610000001</v>
      </c>
      <c r="AE626" s="1" t="s">
        <v>48</v>
      </c>
      <c r="AF626" s="1" t="s">
        <v>53</v>
      </c>
      <c r="AG626" s="4">
        <f t="shared" si="63"/>
        <v>20100</v>
      </c>
      <c r="AH626" s="10">
        <v>20033</v>
      </c>
      <c r="AI626" s="10">
        <v>975</v>
      </c>
      <c r="AJ626" s="10">
        <v>2.85</v>
      </c>
      <c r="AK626" s="10">
        <v>0</v>
      </c>
      <c r="AL626" s="9">
        <f t="shared" si="64"/>
        <v>19055.150000000001</v>
      </c>
      <c r="AM626" s="1"/>
      <c r="AN626" s="1"/>
      <c r="AO626" s="12" t="e">
        <f>AB626/#REF!</f>
        <v>#REF!</v>
      </c>
      <c r="AP626" s="1" t="s">
        <v>2139</v>
      </c>
      <c r="AQ626" s="11">
        <v>41870</v>
      </c>
      <c r="AR626" s="1" t="s">
        <v>2140</v>
      </c>
      <c r="AS626" s="11">
        <v>41871</v>
      </c>
      <c r="AT626" s="1" t="s">
        <v>49</v>
      </c>
      <c r="AU626" s="1" t="s">
        <v>4171</v>
      </c>
    </row>
    <row r="627" spans="1:47" ht="15" customHeight="1" x14ac:dyDescent="0.25">
      <c r="A627" s="1">
        <v>626</v>
      </c>
      <c r="B627" s="1" t="s">
        <v>1258</v>
      </c>
      <c r="C627" s="1" t="s">
        <v>38</v>
      </c>
      <c r="D627" s="1">
        <v>9103550454</v>
      </c>
      <c r="E627" s="5">
        <v>41844</v>
      </c>
      <c r="F627" s="1" t="s">
        <v>579</v>
      </c>
      <c r="G627" s="1" t="s">
        <v>40</v>
      </c>
      <c r="H627" s="1" t="s">
        <v>41</v>
      </c>
      <c r="I627" s="1" t="s">
        <v>2809</v>
      </c>
      <c r="J627" s="1" t="s">
        <v>1121</v>
      </c>
      <c r="K627" s="1">
        <v>38237090</v>
      </c>
      <c r="L627" s="6">
        <v>15</v>
      </c>
      <c r="M627" s="1" t="s">
        <v>70</v>
      </c>
      <c r="N627" s="7" t="s">
        <v>44</v>
      </c>
      <c r="O627" s="1" t="s">
        <v>53</v>
      </c>
      <c r="P627" s="8">
        <v>1670</v>
      </c>
      <c r="Q627" s="17">
        <f t="shared" si="65"/>
        <v>25050</v>
      </c>
      <c r="R627" s="9">
        <v>1000</v>
      </c>
      <c r="S627" s="9">
        <v>3.58</v>
      </c>
      <c r="T627" s="9">
        <v>0</v>
      </c>
      <c r="U627" s="10">
        <v>0</v>
      </c>
      <c r="V627" s="1" t="s">
        <v>46</v>
      </c>
      <c r="W627" s="1" t="s">
        <v>137</v>
      </c>
      <c r="X627" s="1">
        <v>3958666</v>
      </c>
      <c r="Y627" s="11">
        <v>41839</v>
      </c>
      <c r="Z627" s="11">
        <v>41841</v>
      </c>
      <c r="AA627" s="9">
        <f t="shared" si="68"/>
        <v>24046.42</v>
      </c>
      <c r="AB627" s="12">
        <v>59.7</v>
      </c>
      <c r="AC627" s="9">
        <f t="shared" si="66"/>
        <v>1495485</v>
      </c>
      <c r="AD627" s="9">
        <f t="shared" si="67"/>
        <v>1435571.274</v>
      </c>
      <c r="AE627" s="1" t="s">
        <v>48</v>
      </c>
      <c r="AF627" s="1" t="s">
        <v>53</v>
      </c>
      <c r="AG627" s="4">
        <f t="shared" si="63"/>
        <v>25050</v>
      </c>
      <c r="AH627" s="10">
        <v>24998</v>
      </c>
      <c r="AI627" s="10">
        <v>1000</v>
      </c>
      <c r="AJ627" s="10">
        <v>3.58</v>
      </c>
      <c r="AK627" s="10">
        <v>0</v>
      </c>
      <c r="AL627" s="9">
        <f t="shared" si="64"/>
        <v>23994.42</v>
      </c>
      <c r="AM627" s="1"/>
      <c r="AN627" s="1"/>
      <c r="AO627" s="12" t="e">
        <f>AB627/#REF!</f>
        <v>#REF!</v>
      </c>
      <c r="AP627" s="1" t="s">
        <v>2141</v>
      </c>
      <c r="AQ627" s="11">
        <v>41900</v>
      </c>
      <c r="AR627" s="1" t="s">
        <v>2142</v>
      </c>
      <c r="AS627" s="11">
        <v>41901</v>
      </c>
      <c r="AT627" s="1" t="s">
        <v>49</v>
      </c>
      <c r="AU627" s="1" t="s">
        <v>4171</v>
      </c>
    </row>
    <row r="628" spans="1:47" ht="15" customHeight="1" x14ac:dyDescent="0.25">
      <c r="A628" s="1">
        <v>627</v>
      </c>
      <c r="B628" s="1" t="s">
        <v>1258</v>
      </c>
      <c r="C628" s="1" t="s">
        <v>38</v>
      </c>
      <c r="D628" s="1">
        <v>9103550455</v>
      </c>
      <c r="E628" s="5">
        <v>41844</v>
      </c>
      <c r="F628" s="1" t="s">
        <v>2982</v>
      </c>
      <c r="G628" s="1" t="s">
        <v>40</v>
      </c>
      <c r="H628" s="1" t="s">
        <v>41</v>
      </c>
      <c r="I628" s="1" t="s">
        <v>2809</v>
      </c>
      <c r="J628" s="1" t="s">
        <v>924</v>
      </c>
      <c r="K628" s="1">
        <v>38237090</v>
      </c>
      <c r="L628" s="6">
        <v>24</v>
      </c>
      <c r="M628" s="1" t="s">
        <v>70</v>
      </c>
      <c r="N628" s="7" t="s">
        <v>67</v>
      </c>
      <c r="O628" s="1" t="s">
        <v>53</v>
      </c>
      <c r="P628" s="8">
        <v>1590</v>
      </c>
      <c r="Q628" s="17">
        <f t="shared" si="65"/>
        <v>38160</v>
      </c>
      <c r="R628" s="9">
        <v>0</v>
      </c>
      <c r="S628" s="9">
        <v>0</v>
      </c>
      <c r="T628" s="9">
        <v>763.2</v>
      </c>
      <c r="U628" s="10">
        <v>0</v>
      </c>
      <c r="V628" s="1" t="s">
        <v>46</v>
      </c>
      <c r="W628" s="1" t="s">
        <v>123</v>
      </c>
      <c r="X628" s="1">
        <v>3959254</v>
      </c>
      <c r="Y628" s="11">
        <v>41839</v>
      </c>
      <c r="Z628" s="11">
        <v>41841</v>
      </c>
      <c r="AA628" s="9">
        <f t="shared" si="68"/>
        <v>38160</v>
      </c>
      <c r="AB628" s="12">
        <v>59.7</v>
      </c>
      <c r="AC628" s="9">
        <f t="shared" si="66"/>
        <v>2278152</v>
      </c>
      <c r="AD628" s="9">
        <f t="shared" si="67"/>
        <v>2278152</v>
      </c>
      <c r="AE628" s="1" t="s">
        <v>48</v>
      </c>
      <c r="AF628" s="1" t="s">
        <v>53</v>
      </c>
      <c r="AG628" s="4">
        <f t="shared" si="63"/>
        <v>38160</v>
      </c>
      <c r="AH628" s="10">
        <v>38160</v>
      </c>
      <c r="AI628" s="10">
        <v>0</v>
      </c>
      <c r="AJ628" s="10">
        <v>0</v>
      </c>
      <c r="AK628" s="10">
        <v>763.2</v>
      </c>
      <c r="AL628" s="9">
        <f t="shared" si="64"/>
        <v>37396.800000000003</v>
      </c>
      <c r="AM628" s="1"/>
      <c r="AN628" s="1"/>
      <c r="AO628" s="12" t="e">
        <f>AB628/#REF!</f>
        <v>#REF!</v>
      </c>
      <c r="AP628" s="1"/>
      <c r="AQ628" s="11">
        <v>41996</v>
      </c>
      <c r="AR628" s="1" t="s">
        <v>3338</v>
      </c>
      <c r="AS628" s="11">
        <v>41997</v>
      </c>
      <c r="AT628" s="1" t="s">
        <v>49</v>
      </c>
      <c r="AU628" s="1" t="s">
        <v>4171</v>
      </c>
    </row>
    <row r="629" spans="1:47" ht="15" customHeight="1" x14ac:dyDescent="0.25">
      <c r="A629" s="1">
        <v>628</v>
      </c>
      <c r="B629" s="1" t="s">
        <v>1258</v>
      </c>
      <c r="C629" s="1" t="s">
        <v>38</v>
      </c>
      <c r="D629" s="1">
        <v>9103550456</v>
      </c>
      <c r="E629" s="5">
        <v>41845</v>
      </c>
      <c r="F629" s="1" t="s">
        <v>589</v>
      </c>
      <c r="G629" s="1" t="s">
        <v>40</v>
      </c>
      <c r="H629" s="1" t="s">
        <v>41</v>
      </c>
      <c r="I629" s="1" t="s">
        <v>2809</v>
      </c>
      <c r="J629" s="1" t="s">
        <v>55</v>
      </c>
      <c r="K629" s="1">
        <v>29051700</v>
      </c>
      <c r="L629" s="6">
        <v>18.14</v>
      </c>
      <c r="M629" s="1" t="s">
        <v>70</v>
      </c>
      <c r="N629" s="7" t="s">
        <v>44</v>
      </c>
      <c r="O629" s="1" t="s">
        <v>53</v>
      </c>
      <c r="P629" s="8">
        <v>1975</v>
      </c>
      <c r="Q629" s="17">
        <f t="shared" si="65"/>
        <v>35826.5</v>
      </c>
      <c r="R629" s="9">
        <v>3200</v>
      </c>
      <c r="S629" s="9">
        <v>5.12</v>
      </c>
      <c r="T629" s="9">
        <v>0</v>
      </c>
      <c r="U629" s="10">
        <v>0</v>
      </c>
      <c r="V629" s="1" t="s">
        <v>46</v>
      </c>
      <c r="W629" s="1" t="s">
        <v>56</v>
      </c>
      <c r="X629" s="1">
        <v>3959617</v>
      </c>
      <c r="Y629" s="11">
        <v>41839</v>
      </c>
      <c r="Z629" s="11">
        <v>41841</v>
      </c>
      <c r="AA629" s="9">
        <f t="shared" si="68"/>
        <v>32621.38</v>
      </c>
      <c r="AB629" s="12">
        <v>59.7</v>
      </c>
      <c r="AC629" s="9">
        <f t="shared" si="66"/>
        <v>2138842.0500000003</v>
      </c>
      <c r="AD629" s="9">
        <f t="shared" si="67"/>
        <v>1947496.3860000002</v>
      </c>
      <c r="AE629" s="1" t="s">
        <v>284</v>
      </c>
      <c r="AF629" s="1" t="s">
        <v>53</v>
      </c>
      <c r="AG629" s="4">
        <f t="shared" si="63"/>
        <v>35826.5</v>
      </c>
      <c r="AH629" s="10">
        <v>35779.5</v>
      </c>
      <c r="AI629" s="10">
        <v>3175</v>
      </c>
      <c r="AJ629" s="10">
        <v>5.12</v>
      </c>
      <c r="AK629" s="10">
        <v>0</v>
      </c>
      <c r="AL629" s="9">
        <f t="shared" si="64"/>
        <v>32599.38</v>
      </c>
      <c r="AM629" s="1"/>
      <c r="AN629" s="1"/>
      <c r="AO629" s="12" t="e">
        <f>AB629/#REF!</f>
        <v>#REF!</v>
      </c>
      <c r="AP629" s="1" t="s">
        <v>2143</v>
      </c>
      <c r="AQ629" s="11">
        <v>41893</v>
      </c>
      <c r="AR629" s="1" t="s">
        <v>2144</v>
      </c>
      <c r="AS629" s="11">
        <v>41893</v>
      </c>
      <c r="AT629" s="1" t="s">
        <v>49</v>
      </c>
      <c r="AU629" s="1" t="s">
        <v>4171</v>
      </c>
    </row>
    <row r="630" spans="1:47" ht="15" customHeight="1" x14ac:dyDescent="0.25">
      <c r="A630" s="1">
        <v>629</v>
      </c>
      <c r="B630" s="1" t="s">
        <v>1258</v>
      </c>
      <c r="C630" s="1" t="s">
        <v>38</v>
      </c>
      <c r="D630" s="1">
        <v>9103550457</v>
      </c>
      <c r="E630" s="5">
        <v>41845</v>
      </c>
      <c r="F630" s="1" t="s">
        <v>583</v>
      </c>
      <c r="G630" s="1" t="s">
        <v>40</v>
      </c>
      <c r="H630" s="1" t="s">
        <v>41</v>
      </c>
      <c r="I630" s="1" t="s">
        <v>2809</v>
      </c>
      <c r="J630" s="1" t="s">
        <v>187</v>
      </c>
      <c r="K630" s="1">
        <v>29051700</v>
      </c>
      <c r="L630" s="6">
        <v>36.28</v>
      </c>
      <c r="M630" s="1" t="s">
        <v>70</v>
      </c>
      <c r="N630" s="7" t="s">
        <v>44</v>
      </c>
      <c r="O630" s="1" t="s">
        <v>53</v>
      </c>
      <c r="P630" s="8">
        <v>1822</v>
      </c>
      <c r="Q630" s="17">
        <f t="shared" si="65"/>
        <v>66102.16</v>
      </c>
      <c r="R630" s="9">
        <v>4900</v>
      </c>
      <c r="S630" s="9">
        <v>9.4499999999999993</v>
      </c>
      <c r="T630" s="9">
        <v>0</v>
      </c>
      <c r="U630" s="10">
        <v>0</v>
      </c>
      <c r="V630" s="1" t="s">
        <v>46</v>
      </c>
      <c r="W630" s="1" t="s">
        <v>56</v>
      </c>
      <c r="X630" s="1">
        <v>3960899</v>
      </c>
      <c r="Y630" s="11">
        <v>41839</v>
      </c>
      <c r="Z630" s="11">
        <v>41841</v>
      </c>
      <c r="AA630" s="9">
        <f t="shared" si="68"/>
        <v>61192.710000000006</v>
      </c>
      <c r="AB630" s="12">
        <v>59.7</v>
      </c>
      <c r="AC630" s="9">
        <f t="shared" si="66"/>
        <v>3946298.9520000005</v>
      </c>
      <c r="AD630" s="9">
        <f t="shared" si="67"/>
        <v>3653204.7870000005</v>
      </c>
      <c r="AE630" s="1" t="s">
        <v>48</v>
      </c>
      <c r="AF630" s="1" t="s">
        <v>53</v>
      </c>
      <c r="AG630" s="4">
        <f t="shared" si="63"/>
        <v>66102.16</v>
      </c>
      <c r="AH630" s="10">
        <v>66102.16</v>
      </c>
      <c r="AI630" s="10">
        <v>4912</v>
      </c>
      <c r="AJ630" s="10">
        <v>9.4499999999999993</v>
      </c>
      <c r="AK630" s="10">
        <v>0</v>
      </c>
      <c r="AL630" s="9">
        <f t="shared" si="64"/>
        <v>61180.710000000006</v>
      </c>
      <c r="AM630" s="1"/>
      <c r="AN630" s="1"/>
      <c r="AO630" s="12" t="e">
        <f>AB630/#REF!</f>
        <v>#REF!</v>
      </c>
      <c r="AP630" s="1" t="s">
        <v>2145</v>
      </c>
      <c r="AQ630" s="11">
        <v>41893</v>
      </c>
      <c r="AR630" s="1" t="s">
        <v>2146</v>
      </c>
      <c r="AS630" s="11">
        <v>41894</v>
      </c>
      <c r="AT630" s="1" t="s">
        <v>49</v>
      </c>
      <c r="AU630" s="1" t="s">
        <v>4171</v>
      </c>
    </row>
    <row r="631" spans="1:47" ht="15" customHeight="1" x14ac:dyDescent="0.25">
      <c r="A631" s="1">
        <v>630</v>
      </c>
      <c r="B631" s="1" t="s">
        <v>1258</v>
      </c>
      <c r="C631" s="1" t="s">
        <v>38</v>
      </c>
      <c r="D631" s="1">
        <v>9103550458</v>
      </c>
      <c r="E631" s="5">
        <v>41845</v>
      </c>
      <c r="F631" s="1" t="s">
        <v>595</v>
      </c>
      <c r="G631" s="1" t="s">
        <v>40</v>
      </c>
      <c r="H631" s="1" t="s">
        <v>41</v>
      </c>
      <c r="I631" s="1" t="s">
        <v>2809</v>
      </c>
      <c r="J631" s="1" t="s">
        <v>55</v>
      </c>
      <c r="K631" s="1">
        <v>29051700</v>
      </c>
      <c r="L631" s="6">
        <v>18.14</v>
      </c>
      <c r="M631" s="1" t="s">
        <v>70</v>
      </c>
      <c r="N631" s="7" t="s">
        <v>44</v>
      </c>
      <c r="O631" s="1" t="s">
        <v>53</v>
      </c>
      <c r="P631" s="8">
        <v>1850</v>
      </c>
      <c r="Q631" s="17">
        <f t="shared" si="65"/>
        <v>33559</v>
      </c>
      <c r="R631" s="9">
        <v>3200</v>
      </c>
      <c r="S631" s="9">
        <v>4.8</v>
      </c>
      <c r="T631" s="9">
        <v>0</v>
      </c>
      <c r="U631" s="10">
        <v>0</v>
      </c>
      <c r="V631" s="1" t="s">
        <v>46</v>
      </c>
      <c r="W631" s="1" t="s">
        <v>56</v>
      </c>
      <c r="X631" s="1">
        <v>3959498</v>
      </c>
      <c r="Y631" s="11">
        <v>41839</v>
      </c>
      <c r="Z631" s="11">
        <v>41841</v>
      </c>
      <c r="AA631" s="9">
        <f t="shared" si="68"/>
        <v>30354.2</v>
      </c>
      <c r="AB631" s="12">
        <v>59.7</v>
      </c>
      <c r="AC631" s="9">
        <f t="shared" si="66"/>
        <v>2003472.3</v>
      </c>
      <c r="AD631" s="9">
        <f t="shared" si="67"/>
        <v>1812145.7400000002</v>
      </c>
      <c r="AE631" s="1" t="s">
        <v>284</v>
      </c>
      <c r="AF631" s="1" t="s">
        <v>53</v>
      </c>
      <c r="AG631" s="4">
        <f t="shared" si="63"/>
        <v>33559</v>
      </c>
      <c r="AH631" s="10">
        <v>33559</v>
      </c>
      <c r="AI631" s="10">
        <v>3175</v>
      </c>
      <c r="AJ631" s="10">
        <v>4.8</v>
      </c>
      <c r="AK631" s="10">
        <v>0</v>
      </c>
      <c r="AL631" s="9">
        <f t="shared" si="64"/>
        <v>30379.200000000001</v>
      </c>
      <c r="AM631" s="1"/>
      <c r="AN631" s="1"/>
      <c r="AO631" s="12" t="e">
        <f>AB631/#REF!</f>
        <v>#REF!</v>
      </c>
      <c r="AP631" s="1" t="s">
        <v>2147</v>
      </c>
      <c r="AQ631" s="11">
        <v>41893</v>
      </c>
      <c r="AR631" s="1" t="s">
        <v>2148</v>
      </c>
      <c r="AS631" s="11">
        <v>41893</v>
      </c>
      <c r="AT631" s="1" t="s">
        <v>49</v>
      </c>
      <c r="AU631" s="1" t="s">
        <v>4171</v>
      </c>
    </row>
    <row r="632" spans="1:47" ht="15" customHeight="1" x14ac:dyDescent="0.25">
      <c r="A632" s="1">
        <v>631</v>
      </c>
      <c r="B632" s="1" t="s">
        <v>1258</v>
      </c>
      <c r="C632" s="1" t="s">
        <v>38</v>
      </c>
      <c r="D632" s="1">
        <v>9103550459</v>
      </c>
      <c r="E632" s="5">
        <v>41847</v>
      </c>
      <c r="F632" s="1" t="s">
        <v>596</v>
      </c>
      <c r="G632" s="1" t="s">
        <v>40</v>
      </c>
      <c r="H632" s="1" t="s">
        <v>41</v>
      </c>
      <c r="I632" s="1" t="s">
        <v>2809</v>
      </c>
      <c r="J632" s="1" t="s">
        <v>415</v>
      </c>
      <c r="K632" s="1">
        <v>38231190</v>
      </c>
      <c r="L632" s="6">
        <v>25.5</v>
      </c>
      <c r="M632" s="1" t="s">
        <v>70</v>
      </c>
      <c r="N632" s="7" t="s">
        <v>67</v>
      </c>
      <c r="O632" s="1" t="s">
        <v>53</v>
      </c>
      <c r="P632" s="8">
        <v>1320</v>
      </c>
      <c r="Q632" s="17">
        <f t="shared" si="65"/>
        <v>33660</v>
      </c>
      <c r="R632" s="9">
        <v>0</v>
      </c>
      <c r="S632" s="9">
        <v>0</v>
      </c>
      <c r="T632" s="9">
        <v>0</v>
      </c>
      <c r="U632" s="10">
        <v>0</v>
      </c>
      <c r="V632" s="1" t="s">
        <v>46</v>
      </c>
      <c r="W632" s="1" t="s">
        <v>416</v>
      </c>
      <c r="X632" s="1">
        <v>3985955</v>
      </c>
      <c r="Y632" s="11">
        <v>41841</v>
      </c>
      <c r="Z632" s="11">
        <v>41842</v>
      </c>
      <c r="AA632" s="9">
        <f t="shared" si="68"/>
        <v>33660</v>
      </c>
      <c r="AB632" s="12">
        <v>59.7</v>
      </c>
      <c r="AC632" s="9">
        <f t="shared" si="66"/>
        <v>2009502</v>
      </c>
      <c r="AD632" s="9">
        <f t="shared" si="67"/>
        <v>2009502</v>
      </c>
      <c r="AE632" s="1"/>
      <c r="AF632" s="1" t="s">
        <v>53</v>
      </c>
      <c r="AG632" s="4">
        <f t="shared" si="63"/>
        <v>33660</v>
      </c>
      <c r="AH632" s="10">
        <v>33635</v>
      </c>
      <c r="AI632" s="10">
        <v>0</v>
      </c>
      <c r="AJ632" s="10">
        <v>0</v>
      </c>
      <c r="AK632" s="10">
        <v>0</v>
      </c>
      <c r="AL632" s="9">
        <f t="shared" si="64"/>
        <v>33635</v>
      </c>
      <c r="AM632" s="1"/>
      <c r="AN632" s="1"/>
      <c r="AO632" s="12" t="e">
        <f>AB632/#REF!</f>
        <v>#REF!</v>
      </c>
      <c r="AP632" s="1" t="s">
        <v>4226</v>
      </c>
      <c r="AQ632" s="11">
        <v>41862</v>
      </c>
      <c r="AR632" s="1" t="s">
        <v>4227</v>
      </c>
      <c r="AS632" s="11">
        <v>42399</v>
      </c>
      <c r="AT632" s="1" t="s">
        <v>49</v>
      </c>
      <c r="AU632" s="1" t="s">
        <v>4171</v>
      </c>
    </row>
    <row r="633" spans="1:47" ht="15" customHeight="1" x14ac:dyDescent="0.25">
      <c r="A633" s="1">
        <v>632</v>
      </c>
      <c r="B633" s="1" t="s">
        <v>1258</v>
      </c>
      <c r="C633" s="1" t="s">
        <v>38</v>
      </c>
      <c r="D633" s="1">
        <v>9103550460</v>
      </c>
      <c r="E633" s="5">
        <v>41849</v>
      </c>
      <c r="F633" s="1" t="s">
        <v>2921</v>
      </c>
      <c r="G633" s="1" t="s">
        <v>40</v>
      </c>
      <c r="H633" s="1" t="s">
        <v>41</v>
      </c>
      <c r="I633" s="1" t="s">
        <v>2809</v>
      </c>
      <c r="J633" s="1" t="s">
        <v>2149</v>
      </c>
      <c r="K633" s="1">
        <v>29159090</v>
      </c>
      <c r="L633" s="6">
        <v>12</v>
      </c>
      <c r="M633" s="1" t="s">
        <v>70</v>
      </c>
      <c r="N633" s="7" t="s">
        <v>44</v>
      </c>
      <c r="O633" s="1" t="s">
        <v>53</v>
      </c>
      <c r="P633" s="8">
        <v>4050</v>
      </c>
      <c r="Q633" s="17">
        <f t="shared" si="65"/>
        <v>48600</v>
      </c>
      <c r="R633" s="9">
        <v>2300</v>
      </c>
      <c r="S633" s="9">
        <v>6.95</v>
      </c>
      <c r="T633" s="9">
        <v>0</v>
      </c>
      <c r="U633" s="10">
        <v>0</v>
      </c>
      <c r="V633" s="1" t="s">
        <v>46</v>
      </c>
      <c r="W633" s="1" t="s">
        <v>188</v>
      </c>
      <c r="X633" s="1">
        <v>3989022</v>
      </c>
      <c r="Y633" s="11">
        <v>41841</v>
      </c>
      <c r="Z633" s="11">
        <v>41843</v>
      </c>
      <c r="AA633" s="9">
        <f t="shared" si="68"/>
        <v>46293.05</v>
      </c>
      <c r="AB633" s="12">
        <v>59.7</v>
      </c>
      <c r="AC633" s="9">
        <f t="shared" si="66"/>
        <v>2901420</v>
      </c>
      <c r="AD633" s="9">
        <f t="shared" si="67"/>
        <v>2763695.0850000004</v>
      </c>
      <c r="AE633" s="1" t="s">
        <v>48</v>
      </c>
      <c r="AF633" s="1" t="s">
        <v>53</v>
      </c>
      <c r="AG633" s="4">
        <f t="shared" si="63"/>
        <v>48600</v>
      </c>
      <c r="AH633" s="10">
        <v>48563</v>
      </c>
      <c r="AI633" s="10">
        <v>2200</v>
      </c>
      <c r="AJ633" s="10">
        <v>6.95</v>
      </c>
      <c r="AK633" s="10">
        <v>0</v>
      </c>
      <c r="AL633" s="9">
        <f t="shared" si="64"/>
        <v>46356.05</v>
      </c>
      <c r="AM633" s="1"/>
      <c r="AN633" s="1"/>
      <c r="AO633" s="12" t="e">
        <f>AB633/#REF!</f>
        <v>#REF!</v>
      </c>
      <c r="AP633" s="1"/>
      <c r="AQ633" s="11">
        <v>41901</v>
      </c>
      <c r="AR633" s="1" t="s">
        <v>3339</v>
      </c>
      <c r="AS633" s="11">
        <v>41900</v>
      </c>
      <c r="AT633" s="1" t="s">
        <v>49</v>
      </c>
      <c r="AU633" s="1" t="s">
        <v>4171</v>
      </c>
    </row>
    <row r="634" spans="1:47" ht="15" customHeight="1" x14ac:dyDescent="0.25">
      <c r="A634" s="1">
        <v>633</v>
      </c>
      <c r="B634" s="1" t="s">
        <v>1258</v>
      </c>
      <c r="C634" s="1" t="s">
        <v>38</v>
      </c>
      <c r="D634" s="1">
        <v>9103550461</v>
      </c>
      <c r="E634" s="5">
        <v>41847</v>
      </c>
      <c r="F634" s="1" t="s">
        <v>582</v>
      </c>
      <c r="G634" s="1" t="s">
        <v>40</v>
      </c>
      <c r="H634" s="1" t="s">
        <v>41</v>
      </c>
      <c r="I634" s="1" t="s">
        <v>2809</v>
      </c>
      <c r="J634" s="1" t="s">
        <v>2149</v>
      </c>
      <c r="K634" s="1">
        <v>29051700</v>
      </c>
      <c r="L634" s="6">
        <v>24</v>
      </c>
      <c r="M634" s="1" t="s">
        <v>70</v>
      </c>
      <c r="N634" s="7" t="s">
        <v>44</v>
      </c>
      <c r="O634" s="1" t="s">
        <v>53</v>
      </c>
      <c r="P634" s="8">
        <v>1915</v>
      </c>
      <c r="Q634" s="17">
        <f t="shared" si="65"/>
        <v>45960</v>
      </c>
      <c r="R634" s="9">
        <v>3200</v>
      </c>
      <c r="S634" s="9">
        <v>6.57</v>
      </c>
      <c r="T634" s="9">
        <v>0</v>
      </c>
      <c r="U634" s="10">
        <v>0</v>
      </c>
      <c r="V634" s="1" t="s">
        <v>46</v>
      </c>
      <c r="W634" s="1" t="s">
        <v>188</v>
      </c>
      <c r="X634" s="1">
        <v>3988595</v>
      </c>
      <c r="Y634" s="11">
        <v>41841</v>
      </c>
      <c r="Z634" s="11">
        <v>41842</v>
      </c>
      <c r="AA634" s="9">
        <f t="shared" si="68"/>
        <v>42753.43</v>
      </c>
      <c r="AB634" s="12">
        <v>59.7</v>
      </c>
      <c r="AC634" s="9">
        <f t="shared" si="66"/>
        <v>2743812</v>
      </c>
      <c r="AD634" s="9">
        <f t="shared" si="67"/>
        <v>2552379.7710000002</v>
      </c>
      <c r="AE634" s="1" t="s">
        <v>48</v>
      </c>
      <c r="AF634" s="1" t="s">
        <v>53</v>
      </c>
      <c r="AG634" s="4">
        <f t="shared" si="63"/>
        <v>45960</v>
      </c>
      <c r="AH634" s="10">
        <v>45960</v>
      </c>
      <c r="AI634" s="10">
        <v>3126</v>
      </c>
      <c r="AJ634" s="10">
        <v>6.57</v>
      </c>
      <c r="AK634" s="10">
        <v>0</v>
      </c>
      <c r="AL634" s="9">
        <f t="shared" si="64"/>
        <v>42827.43</v>
      </c>
      <c r="AM634" s="1"/>
      <c r="AN634" s="1"/>
      <c r="AO634" s="12" t="e">
        <f>AB634/#REF!</f>
        <v>#REF!</v>
      </c>
      <c r="AP634" s="1" t="s">
        <v>2150</v>
      </c>
      <c r="AQ634" s="11">
        <v>41900</v>
      </c>
      <c r="AR634" s="1" t="s">
        <v>2151</v>
      </c>
      <c r="AS634" s="11">
        <v>41901</v>
      </c>
      <c r="AT634" s="1" t="s">
        <v>49</v>
      </c>
      <c r="AU634" s="1" t="s">
        <v>4171</v>
      </c>
    </row>
    <row r="635" spans="1:47" ht="15" customHeight="1" x14ac:dyDescent="0.25">
      <c r="A635" s="1">
        <v>634</v>
      </c>
      <c r="B635" s="1" t="s">
        <v>1258</v>
      </c>
      <c r="C635" s="1" t="s">
        <v>38</v>
      </c>
      <c r="D635" s="1" t="s">
        <v>2152</v>
      </c>
      <c r="E635" s="5">
        <v>41847</v>
      </c>
      <c r="F635" s="1" t="s">
        <v>590</v>
      </c>
      <c r="G635" s="1" t="s">
        <v>40</v>
      </c>
      <c r="H635" s="1" t="s">
        <v>41</v>
      </c>
      <c r="I635" s="1" t="s">
        <v>2809</v>
      </c>
      <c r="J635" s="1" t="s">
        <v>2153</v>
      </c>
      <c r="K635" s="1">
        <v>38231900</v>
      </c>
      <c r="L635" s="6">
        <v>19.72</v>
      </c>
      <c r="M635" s="1" t="s">
        <v>70</v>
      </c>
      <c r="N635" s="7" t="s">
        <v>44</v>
      </c>
      <c r="O635" s="1" t="s">
        <v>45</v>
      </c>
      <c r="P635" s="8">
        <v>2940</v>
      </c>
      <c r="Q635" s="17">
        <f t="shared" si="65"/>
        <v>57976.799999999996</v>
      </c>
      <c r="R635" s="9">
        <v>1001.8</v>
      </c>
      <c r="S635" s="9">
        <v>8.2899999999999991</v>
      </c>
      <c r="T635" s="9">
        <v>0</v>
      </c>
      <c r="U635" s="10">
        <v>0</v>
      </c>
      <c r="V635" s="1" t="s">
        <v>46</v>
      </c>
      <c r="W635" s="1" t="s">
        <v>47</v>
      </c>
      <c r="X635" s="1">
        <v>3989399</v>
      </c>
      <c r="Y635" s="11">
        <v>41841</v>
      </c>
      <c r="Z635" s="11">
        <v>41843</v>
      </c>
      <c r="AA635" s="9">
        <f t="shared" si="68"/>
        <v>56966.709999999992</v>
      </c>
      <c r="AB635" s="12">
        <v>80.45</v>
      </c>
      <c r="AC635" s="9">
        <f t="shared" si="66"/>
        <v>4664233.5599999996</v>
      </c>
      <c r="AD635" s="9">
        <f t="shared" si="67"/>
        <v>4582971.8194999993</v>
      </c>
      <c r="AE635" s="1" t="s">
        <v>48</v>
      </c>
      <c r="AF635" s="1" t="s">
        <v>45</v>
      </c>
      <c r="AG635" s="4">
        <f t="shared" si="63"/>
        <v>57976.799999999996</v>
      </c>
      <c r="AH635" s="10">
        <v>57976.800000000003</v>
      </c>
      <c r="AI635" s="10">
        <v>1052.23</v>
      </c>
      <c r="AJ635" s="10">
        <v>8.2899999999999991</v>
      </c>
      <c r="AK635" s="10">
        <v>0</v>
      </c>
      <c r="AL635" s="9">
        <f t="shared" si="64"/>
        <v>56916.280000000006</v>
      </c>
      <c r="AM635" s="1"/>
      <c r="AN635" s="1"/>
      <c r="AO635" s="12" t="e">
        <f>AB635/#REF!</f>
        <v>#REF!</v>
      </c>
      <c r="AP635" s="1" t="s">
        <v>2154</v>
      </c>
      <c r="AQ635" s="11">
        <v>41904</v>
      </c>
      <c r="AR635" s="1" t="s">
        <v>2155</v>
      </c>
      <c r="AS635" s="11">
        <v>41905</v>
      </c>
      <c r="AT635" s="1" t="s">
        <v>49</v>
      </c>
      <c r="AU635" s="1" t="s">
        <v>4171</v>
      </c>
    </row>
    <row r="636" spans="1:47" ht="15" customHeight="1" x14ac:dyDescent="0.25">
      <c r="A636" s="1">
        <v>635</v>
      </c>
      <c r="B636" s="1" t="s">
        <v>1258</v>
      </c>
      <c r="C636" s="1" t="s">
        <v>38</v>
      </c>
      <c r="D636" s="1" t="s">
        <v>2152</v>
      </c>
      <c r="E636" s="5">
        <v>41847</v>
      </c>
      <c r="F636" s="1" t="s">
        <v>591</v>
      </c>
      <c r="G636" s="1" t="s">
        <v>40</v>
      </c>
      <c r="H636" s="1" t="s">
        <v>41</v>
      </c>
      <c r="I636" s="1" t="s">
        <v>2809</v>
      </c>
      <c r="J636" s="1" t="s">
        <v>2153</v>
      </c>
      <c r="K636" s="1">
        <v>38231900</v>
      </c>
      <c r="L636" s="6">
        <v>39.81</v>
      </c>
      <c r="M636" s="1" t="s">
        <v>70</v>
      </c>
      <c r="N636" s="7" t="s">
        <v>44</v>
      </c>
      <c r="O636" s="1" t="s">
        <v>45</v>
      </c>
      <c r="P636" s="8">
        <v>2940</v>
      </c>
      <c r="Q636" s="17">
        <f t="shared" si="65"/>
        <v>117041.40000000001</v>
      </c>
      <c r="R636" s="9">
        <v>2003.6</v>
      </c>
      <c r="S636" s="9">
        <v>16.739999999999998</v>
      </c>
      <c r="T636" s="9">
        <v>0</v>
      </c>
      <c r="U636" s="10">
        <v>0</v>
      </c>
      <c r="V636" s="1" t="s">
        <v>46</v>
      </c>
      <c r="W636" s="1" t="s">
        <v>47</v>
      </c>
      <c r="X636" s="1">
        <v>4000578</v>
      </c>
      <c r="Y636" s="11">
        <v>41842</v>
      </c>
      <c r="Z636" s="11">
        <v>41843</v>
      </c>
      <c r="AA636" s="9">
        <f t="shared" si="68"/>
        <v>115021.06</v>
      </c>
      <c r="AB636" s="12">
        <v>80.45</v>
      </c>
      <c r="AC636" s="9">
        <f t="shared" si="66"/>
        <v>9415980.6300000008</v>
      </c>
      <c r="AD636" s="9">
        <f t="shared" si="67"/>
        <v>9253444.2770000007</v>
      </c>
      <c r="AE636" s="1" t="s">
        <v>48</v>
      </c>
      <c r="AF636" s="1" t="s">
        <v>45</v>
      </c>
      <c r="AG636" s="4">
        <f t="shared" si="63"/>
        <v>117041.40000000001</v>
      </c>
      <c r="AH636" s="10">
        <v>117041.4</v>
      </c>
      <c r="AI636" s="10">
        <v>2124.1999999999998</v>
      </c>
      <c r="AJ636" s="10">
        <v>16.739999999999998</v>
      </c>
      <c r="AK636" s="10">
        <v>0</v>
      </c>
      <c r="AL636" s="9">
        <f t="shared" si="64"/>
        <v>114900.45999999999</v>
      </c>
      <c r="AM636" s="1"/>
      <c r="AN636" s="1"/>
      <c r="AO636" s="12" t="e">
        <f>AB636/#REF!</f>
        <v>#REF!</v>
      </c>
      <c r="AP636" s="1" t="s">
        <v>2154</v>
      </c>
      <c r="AQ636" s="11">
        <v>41904</v>
      </c>
      <c r="AR636" s="1" t="s">
        <v>2156</v>
      </c>
      <c r="AS636" s="11">
        <v>41905</v>
      </c>
      <c r="AT636" s="1" t="s">
        <v>49</v>
      </c>
      <c r="AU636" s="1" t="s">
        <v>4171</v>
      </c>
    </row>
    <row r="637" spans="1:47" ht="15" customHeight="1" x14ac:dyDescent="0.25">
      <c r="A637" s="1">
        <v>636</v>
      </c>
      <c r="B637" s="1" t="s">
        <v>1258</v>
      </c>
      <c r="C637" s="1" t="s">
        <v>38</v>
      </c>
      <c r="D637" s="1">
        <v>9103550464</v>
      </c>
      <c r="E637" s="5">
        <v>41847</v>
      </c>
      <c r="F637" s="1" t="s">
        <v>592</v>
      </c>
      <c r="G637" s="1" t="s">
        <v>40</v>
      </c>
      <c r="H637" s="1" t="s">
        <v>41</v>
      </c>
      <c r="I637" s="1" t="s">
        <v>2809</v>
      </c>
      <c r="J637" s="1" t="s">
        <v>2153</v>
      </c>
      <c r="K637" s="1">
        <v>38231900</v>
      </c>
      <c r="L637" s="6">
        <v>39.64</v>
      </c>
      <c r="M637" s="1" t="s">
        <v>70</v>
      </c>
      <c r="N637" s="7" t="s">
        <v>44</v>
      </c>
      <c r="O637" s="1" t="s">
        <v>45</v>
      </c>
      <c r="P637" s="8">
        <v>2940</v>
      </c>
      <c r="Q637" s="17">
        <f t="shared" si="65"/>
        <v>116541.6</v>
      </c>
      <c r="R637" s="9">
        <v>2003.6</v>
      </c>
      <c r="S637" s="9">
        <v>16.670000000000002</v>
      </c>
      <c r="T637" s="9">
        <v>0</v>
      </c>
      <c r="U637" s="10">
        <v>0</v>
      </c>
      <c r="V637" s="1" t="s">
        <v>46</v>
      </c>
      <c r="W637" s="1" t="s">
        <v>47</v>
      </c>
      <c r="X637" s="1">
        <v>4011274</v>
      </c>
      <c r="Y637" s="11">
        <v>41842</v>
      </c>
      <c r="Z637" s="11">
        <v>41843</v>
      </c>
      <c r="AA637" s="9">
        <f t="shared" si="68"/>
        <v>114521.33</v>
      </c>
      <c r="AB637" s="12">
        <v>80.45</v>
      </c>
      <c r="AC637" s="9">
        <f t="shared" si="66"/>
        <v>9375771.7200000007</v>
      </c>
      <c r="AD637" s="9">
        <f t="shared" si="67"/>
        <v>9213240.9985000007</v>
      </c>
      <c r="AE637" s="1" t="s">
        <v>48</v>
      </c>
      <c r="AF637" s="1" t="s">
        <v>45</v>
      </c>
      <c r="AG637" s="4">
        <f t="shared" si="63"/>
        <v>116541.6</v>
      </c>
      <c r="AH637" s="10">
        <v>116541.6</v>
      </c>
      <c r="AI637" s="10">
        <v>2112.65</v>
      </c>
      <c r="AJ637" s="10">
        <v>16.649999999999999</v>
      </c>
      <c r="AK637" s="10">
        <v>0</v>
      </c>
      <c r="AL637" s="9">
        <f t="shared" si="64"/>
        <v>114412.3</v>
      </c>
      <c r="AM637" s="1"/>
      <c r="AN637" s="1"/>
      <c r="AO637" s="12" t="e">
        <f>AB637/#REF!</f>
        <v>#REF!</v>
      </c>
      <c r="AP637" s="1" t="s">
        <v>2157</v>
      </c>
      <c r="AQ637" s="11">
        <v>41904</v>
      </c>
      <c r="AR637" s="1" t="s">
        <v>2158</v>
      </c>
      <c r="AS637" s="11">
        <v>41905</v>
      </c>
      <c r="AT637" s="1" t="s">
        <v>49</v>
      </c>
      <c r="AU637" s="1" t="s">
        <v>4171</v>
      </c>
    </row>
    <row r="638" spans="1:47" ht="15" customHeight="1" x14ac:dyDescent="0.25">
      <c r="A638" s="1">
        <v>637</v>
      </c>
      <c r="B638" s="1" t="s">
        <v>1258</v>
      </c>
      <c r="C638" s="1" t="s">
        <v>38</v>
      </c>
      <c r="D638" s="1">
        <v>9103550464</v>
      </c>
      <c r="E638" s="5">
        <v>41847</v>
      </c>
      <c r="F638" s="1" t="s">
        <v>597</v>
      </c>
      <c r="G638" s="1" t="s">
        <v>40</v>
      </c>
      <c r="H638" s="1" t="s">
        <v>41</v>
      </c>
      <c r="I638" s="1" t="s">
        <v>2809</v>
      </c>
      <c r="J638" s="1" t="s">
        <v>2153</v>
      </c>
      <c r="K638" s="1">
        <v>38231900</v>
      </c>
      <c r="L638" s="6">
        <v>19.96</v>
      </c>
      <c r="M638" s="1" t="s">
        <v>70</v>
      </c>
      <c r="N638" s="7" t="s">
        <v>44</v>
      </c>
      <c r="O638" s="1" t="s">
        <v>45</v>
      </c>
      <c r="P638" s="8">
        <v>2940</v>
      </c>
      <c r="Q638" s="17">
        <f t="shared" si="65"/>
        <v>58682.400000000001</v>
      </c>
      <c r="R638" s="9">
        <v>1001.8</v>
      </c>
      <c r="S638" s="9">
        <v>8.39</v>
      </c>
      <c r="T638" s="9">
        <v>0</v>
      </c>
      <c r="U638" s="10">
        <v>0</v>
      </c>
      <c r="V638" s="1" t="s">
        <v>46</v>
      </c>
      <c r="W638" s="1" t="s">
        <v>47</v>
      </c>
      <c r="X638" s="1">
        <v>4011273</v>
      </c>
      <c r="Y638" s="11">
        <v>41842</v>
      </c>
      <c r="Z638" s="11">
        <v>41843</v>
      </c>
      <c r="AA638" s="9">
        <f t="shared" si="68"/>
        <v>57672.21</v>
      </c>
      <c r="AB638" s="12">
        <v>80.45</v>
      </c>
      <c r="AC638" s="9">
        <f t="shared" si="66"/>
        <v>4720999.08</v>
      </c>
      <c r="AD638" s="9">
        <f t="shared" si="67"/>
        <v>4639729.2944999998</v>
      </c>
      <c r="AE638" s="1" t="s">
        <v>48</v>
      </c>
      <c r="AF638" s="1" t="s">
        <v>45</v>
      </c>
      <c r="AG638" s="4">
        <f t="shared" si="63"/>
        <v>58682.400000000001</v>
      </c>
      <c r="AH638" s="10">
        <v>58682.400000000001</v>
      </c>
      <c r="AI638" s="10">
        <v>1063.78</v>
      </c>
      <c r="AJ638" s="10">
        <v>8.3699999999999992</v>
      </c>
      <c r="AK638" s="10">
        <v>0</v>
      </c>
      <c r="AL638" s="9">
        <f t="shared" si="64"/>
        <v>57610.25</v>
      </c>
      <c r="AM638" s="1"/>
      <c r="AN638" s="1"/>
      <c r="AO638" s="12" t="e">
        <f>AB638/#REF!</f>
        <v>#REF!</v>
      </c>
      <c r="AP638" s="1" t="s">
        <v>2157</v>
      </c>
      <c r="AQ638" s="11">
        <v>41904</v>
      </c>
      <c r="AR638" s="1" t="s">
        <v>2159</v>
      </c>
      <c r="AS638" s="11">
        <v>41905</v>
      </c>
      <c r="AT638" s="1" t="s">
        <v>49</v>
      </c>
      <c r="AU638" s="1" t="s">
        <v>4171</v>
      </c>
    </row>
    <row r="639" spans="1:47" ht="15" customHeight="1" x14ac:dyDescent="0.25">
      <c r="A639" s="1">
        <v>638</v>
      </c>
      <c r="B639" s="1" t="s">
        <v>1258</v>
      </c>
      <c r="C639" s="1" t="s">
        <v>38</v>
      </c>
      <c r="D639" s="1" t="s">
        <v>2160</v>
      </c>
      <c r="E639" s="5">
        <v>41846</v>
      </c>
      <c r="F639" s="1" t="s">
        <v>594</v>
      </c>
      <c r="G639" s="1" t="s">
        <v>40</v>
      </c>
      <c r="H639" s="1" t="s">
        <v>41</v>
      </c>
      <c r="I639" s="1" t="s">
        <v>2809</v>
      </c>
      <c r="J639" s="1" t="s">
        <v>2641</v>
      </c>
      <c r="K639" s="1">
        <v>38237090</v>
      </c>
      <c r="L639" s="6">
        <v>72</v>
      </c>
      <c r="M639" s="1" t="s">
        <v>70</v>
      </c>
      <c r="N639" s="7" t="s">
        <v>44</v>
      </c>
      <c r="O639" s="1" t="s">
        <v>53</v>
      </c>
      <c r="P639" s="8">
        <v>3828</v>
      </c>
      <c r="Q639" s="17">
        <f t="shared" si="65"/>
        <v>275616</v>
      </c>
      <c r="R639" s="9">
        <v>300</v>
      </c>
      <c r="S639" s="9">
        <v>39.409999999999997</v>
      </c>
      <c r="T639" s="9">
        <v>0</v>
      </c>
      <c r="U639" s="10">
        <v>0</v>
      </c>
      <c r="V639" s="1" t="s">
        <v>46</v>
      </c>
      <c r="W639" s="1" t="s">
        <v>54</v>
      </c>
      <c r="X639" s="1">
        <v>4007095</v>
      </c>
      <c r="Y639" s="11">
        <v>41842</v>
      </c>
      <c r="Z639" s="11">
        <v>41843</v>
      </c>
      <c r="AA639" s="9">
        <f t="shared" si="68"/>
        <v>275276.59000000003</v>
      </c>
      <c r="AB639" s="12">
        <v>59.7</v>
      </c>
      <c r="AC639" s="9">
        <f t="shared" si="66"/>
        <v>16454275.200000001</v>
      </c>
      <c r="AD639" s="9">
        <f t="shared" si="67"/>
        <v>16434012.423000002</v>
      </c>
      <c r="AE639" s="1" t="s">
        <v>48</v>
      </c>
      <c r="AF639" s="1" t="s">
        <v>53</v>
      </c>
      <c r="AG639" s="4">
        <f t="shared" si="63"/>
        <v>275616</v>
      </c>
      <c r="AH639" s="10">
        <v>275616</v>
      </c>
      <c r="AI639" s="10">
        <v>300</v>
      </c>
      <c r="AJ639" s="10">
        <v>39.409999999999997</v>
      </c>
      <c r="AK639" s="10">
        <v>0</v>
      </c>
      <c r="AL639" s="9">
        <f t="shared" si="64"/>
        <v>275276.59000000003</v>
      </c>
      <c r="AM639" s="1"/>
      <c r="AN639" s="1"/>
      <c r="AO639" s="12" t="e">
        <f>AB639/#REF!</f>
        <v>#REF!</v>
      </c>
      <c r="AP639" s="1" t="s">
        <v>2161</v>
      </c>
      <c r="AQ639" s="11">
        <v>41939</v>
      </c>
      <c r="AR639" s="1" t="s">
        <v>2162</v>
      </c>
      <c r="AS639" s="11">
        <v>41940</v>
      </c>
      <c r="AT639" s="1" t="s">
        <v>49</v>
      </c>
      <c r="AU639" s="1" t="s">
        <v>4171</v>
      </c>
    </row>
    <row r="640" spans="1:47" ht="15" customHeight="1" x14ac:dyDescent="0.25">
      <c r="A640" s="1">
        <v>639</v>
      </c>
      <c r="B640" s="1" t="s">
        <v>1258</v>
      </c>
      <c r="C640" s="1" t="s">
        <v>38</v>
      </c>
      <c r="D640" s="1" t="s">
        <v>2160</v>
      </c>
      <c r="E640" s="5">
        <v>41846</v>
      </c>
      <c r="F640" s="1" t="s">
        <v>593</v>
      </c>
      <c r="G640" s="1" t="s">
        <v>40</v>
      </c>
      <c r="H640" s="1" t="s">
        <v>41</v>
      </c>
      <c r="I640" s="1" t="s">
        <v>2809</v>
      </c>
      <c r="J640" s="1" t="s">
        <v>2641</v>
      </c>
      <c r="K640" s="1">
        <v>38237090</v>
      </c>
      <c r="L640" s="6">
        <v>12</v>
      </c>
      <c r="M640" s="1" t="s">
        <v>70</v>
      </c>
      <c r="N640" s="7" t="s">
        <v>44</v>
      </c>
      <c r="O640" s="1" t="s">
        <v>53</v>
      </c>
      <c r="P640" s="8">
        <v>3828</v>
      </c>
      <c r="Q640" s="17">
        <f t="shared" si="65"/>
        <v>45936</v>
      </c>
      <c r="R640" s="9">
        <v>50</v>
      </c>
      <c r="S640" s="9">
        <v>6.57</v>
      </c>
      <c r="T640" s="9">
        <v>0</v>
      </c>
      <c r="U640" s="10">
        <v>0</v>
      </c>
      <c r="V640" s="1" t="s">
        <v>46</v>
      </c>
      <c r="W640" s="1" t="s">
        <v>54</v>
      </c>
      <c r="X640" s="1">
        <v>4011268</v>
      </c>
      <c r="Y640" s="11">
        <v>41842</v>
      </c>
      <c r="Z640" s="11">
        <v>41843</v>
      </c>
      <c r="AA640" s="9">
        <f t="shared" si="68"/>
        <v>45879.43</v>
      </c>
      <c r="AB640" s="12">
        <v>59.7</v>
      </c>
      <c r="AC640" s="9">
        <f t="shared" si="66"/>
        <v>2742379.2</v>
      </c>
      <c r="AD640" s="9">
        <f t="shared" si="67"/>
        <v>2739001.9710000004</v>
      </c>
      <c r="AE640" s="1" t="s">
        <v>48</v>
      </c>
      <c r="AF640" s="1" t="s">
        <v>53</v>
      </c>
      <c r="AG640" s="4">
        <f t="shared" si="63"/>
        <v>45936</v>
      </c>
      <c r="AH640" s="10">
        <v>45936</v>
      </c>
      <c r="AI640" s="10">
        <v>50</v>
      </c>
      <c r="AJ640" s="10">
        <v>6.57</v>
      </c>
      <c r="AK640" s="10">
        <v>0</v>
      </c>
      <c r="AL640" s="9">
        <f t="shared" si="64"/>
        <v>45879.43</v>
      </c>
      <c r="AM640" s="1"/>
      <c r="AN640" s="1"/>
      <c r="AO640" s="12" t="e">
        <f>AB640/#REF!</f>
        <v>#REF!</v>
      </c>
      <c r="AP640" s="1" t="s">
        <v>2161</v>
      </c>
      <c r="AQ640" s="11">
        <v>41939</v>
      </c>
      <c r="AR640" s="1" t="s">
        <v>2163</v>
      </c>
      <c r="AS640" s="11">
        <v>41940</v>
      </c>
      <c r="AT640" s="1" t="s">
        <v>49</v>
      </c>
      <c r="AU640" s="1" t="s">
        <v>4171</v>
      </c>
    </row>
    <row r="641" spans="1:47" ht="15" customHeight="1" x14ac:dyDescent="0.25">
      <c r="A641" s="1">
        <v>640</v>
      </c>
      <c r="B641" s="1" t="s">
        <v>1258</v>
      </c>
      <c r="C641" s="1" t="s">
        <v>38</v>
      </c>
      <c r="D641" s="1" t="s">
        <v>2160</v>
      </c>
      <c r="E641" s="5">
        <v>41846</v>
      </c>
      <c r="F641" s="1" t="s">
        <v>599</v>
      </c>
      <c r="G641" s="1" t="s">
        <v>40</v>
      </c>
      <c r="H641" s="1" t="s">
        <v>41</v>
      </c>
      <c r="I641" s="1" t="s">
        <v>2809</v>
      </c>
      <c r="J641" s="1" t="s">
        <v>2641</v>
      </c>
      <c r="K641" s="1">
        <v>38237090</v>
      </c>
      <c r="L641" s="6">
        <v>36</v>
      </c>
      <c r="M641" s="1" t="s">
        <v>70</v>
      </c>
      <c r="N641" s="7" t="s">
        <v>44</v>
      </c>
      <c r="O641" s="1" t="s">
        <v>53</v>
      </c>
      <c r="P641" s="8">
        <v>3828</v>
      </c>
      <c r="Q641" s="17">
        <f t="shared" si="65"/>
        <v>137808</v>
      </c>
      <c r="R641" s="9">
        <v>150</v>
      </c>
      <c r="S641" s="9">
        <v>19.71</v>
      </c>
      <c r="T641" s="9">
        <v>0</v>
      </c>
      <c r="U641" s="10">
        <v>0</v>
      </c>
      <c r="V641" s="1" t="s">
        <v>46</v>
      </c>
      <c r="W641" s="1" t="s">
        <v>54</v>
      </c>
      <c r="X641" s="1">
        <v>4022493</v>
      </c>
      <c r="Y641" s="11">
        <v>41843</v>
      </c>
      <c r="Z641" s="11">
        <v>41844</v>
      </c>
      <c r="AA641" s="9">
        <f t="shared" si="68"/>
        <v>137638.29</v>
      </c>
      <c r="AB641" s="12">
        <v>59.7</v>
      </c>
      <c r="AC641" s="9">
        <f t="shared" si="66"/>
        <v>8227137.6000000006</v>
      </c>
      <c r="AD641" s="9">
        <f t="shared" si="67"/>
        <v>8217005.9130000006</v>
      </c>
      <c r="AE641" s="1" t="s">
        <v>48</v>
      </c>
      <c r="AF641" s="1" t="s">
        <v>53</v>
      </c>
      <c r="AG641" s="4">
        <f t="shared" si="63"/>
        <v>137808</v>
      </c>
      <c r="AH641" s="10">
        <v>137808</v>
      </c>
      <c r="AI641" s="10">
        <v>150</v>
      </c>
      <c r="AJ641" s="10">
        <v>19.71</v>
      </c>
      <c r="AK641" s="10">
        <v>0</v>
      </c>
      <c r="AL641" s="9">
        <f t="shared" si="64"/>
        <v>137638.29</v>
      </c>
      <c r="AM641" s="1"/>
      <c r="AN641" s="1"/>
      <c r="AO641" s="12" t="e">
        <f>AB641/#REF!</f>
        <v>#REF!</v>
      </c>
      <c r="AP641" s="1" t="s">
        <v>2161</v>
      </c>
      <c r="AQ641" s="11">
        <v>41939</v>
      </c>
      <c r="AR641" s="1" t="s">
        <v>2164</v>
      </c>
      <c r="AS641" s="11">
        <v>41940</v>
      </c>
      <c r="AT641" s="1" t="s">
        <v>49</v>
      </c>
      <c r="AU641" s="1" t="s">
        <v>4171</v>
      </c>
    </row>
    <row r="642" spans="1:47" ht="15" customHeight="1" x14ac:dyDescent="0.25">
      <c r="A642" s="1">
        <v>641</v>
      </c>
      <c r="B642" s="1" t="s">
        <v>1258</v>
      </c>
      <c r="C642" s="1" t="s">
        <v>38</v>
      </c>
      <c r="D642" s="1">
        <v>9103550467</v>
      </c>
      <c r="E642" s="5">
        <v>41848</v>
      </c>
      <c r="F642" s="1" t="s">
        <v>598</v>
      </c>
      <c r="G642" s="1" t="s">
        <v>40</v>
      </c>
      <c r="H642" s="1" t="s">
        <v>41</v>
      </c>
      <c r="I642" s="1" t="s">
        <v>2809</v>
      </c>
      <c r="J642" s="1" t="s">
        <v>256</v>
      </c>
      <c r="K642" s="1">
        <v>38237090</v>
      </c>
      <c r="L642" s="6">
        <v>12</v>
      </c>
      <c r="M642" s="1" t="s">
        <v>70</v>
      </c>
      <c r="N642" s="7" t="s">
        <v>67</v>
      </c>
      <c r="O642" s="1" t="s">
        <v>53</v>
      </c>
      <c r="P642" s="8">
        <v>2050</v>
      </c>
      <c r="Q642" s="17">
        <f t="shared" si="65"/>
        <v>24600</v>
      </c>
      <c r="R642" s="9">
        <v>0</v>
      </c>
      <c r="S642" s="9">
        <v>0</v>
      </c>
      <c r="T642" s="9">
        <v>0</v>
      </c>
      <c r="U642" s="10">
        <v>0</v>
      </c>
      <c r="V642" s="1" t="s">
        <v>46</v>
      </c>
      <c r="W642" s="1" t="s">
        <v>257</v>
      </c>
      <c r="X642" s="1">
        <v>4032464</v>
      </c>
      <c r="Y642" s="11">
        <v>41843</v>
      </c>
      <c r="Z642" s="11">
        <v>41845</v>
      </c>
      <c r="AA642" s="9">
        <f t="shared" si="68"/>
        <v>24600</v>
      </c>
      <c r="AB642" s="12">
        <v>59.7</v>
      </c>
      <c r="AC642" s="9">
        <f t="shared" si="66"/>
        <v>1468620</v>
      </c>
      <c r="AD642" s="9">
        <f t="shared" si="67"/>
        <v>1468620</v>
      </c>
      <c r="AE642" s="1" t="s">
        <v>48</v>
      </c>
      <c r="AF642" s="1" t="s">
        <v>53</v>
      </c>
      <c r="AG642" s="4">
        <f t="shared" ref="AG642:AG705" si="69">Q642</f>
        <v>24600</v>
      </c>
      <c r="AH642" s="10">
        <v>24585</v>
      </c>
      <c r="AI642" s="10">
        <v>0</v>
      </c>
      <c r="AJ642" s="10">
        <v>0</v>
      </c>
      <c r="AK642" s="10">
        <v>0</v>
      </c>
      <c r="AL642" s="9">
        <f t="shared" ref="AL642:AL705" si="70">AH642-(AI642+AJ642+AK642)</f>
        <v>24585</v>
      </c>
      <c r="AM642" s="1"/>
      <c r="AN642" s="1"/>
      <c r="AO642" s="12" t="e">
        <f>AB642/#REF!</f>
        <v>#REF!</v>
      </c>
      <c r="AP642" s="1" t="s">
        <v>2165</v>
      </c>
      <c r="AQ642" s="11">
        <v>41894</v>
      </c>
      <c r="AR642" s="1" t="s">
        <v>2166</v>
      </c>
      <c r="AS642" s="11">
        <v>41895</v>
      </c>
      <c r="AT642" s="1" t="s">
        <v>49</v>
      </c>
      <c r="AU642" s="1" t="s">
        <v>4171</v>
      </c>
    </row>
    <row r="643" spans="1:47" ht="15" customHeight="1" x14ac:dyDescent="0.25">
      <c r="A643" s="1">
        <v>642</v>
      </c>
      <c r="B643" s="1" t="s">
        <v>1258</v>
      </c>
      <c r="C643" s="1" t="s">
        <v>38</v>
      </c>
      <c r="D643" s="1">
        <v>9103550468</v>
      </c>
      <c r="E643" s="5">
        <v>41848</v>
      </c>
      <c r="F643" s="1" t="s">
        <v>602</v>
      </c>
      <c r="G643" s="1" t="s">
        <v>40</v>
      </c>
      <c r="H643" s="1" t="s">
        <v>41</v>
      </c>
      <c r="I643" s="1" t="s">
        <v>2809</v>
      </c>
      <c r="J643" s="1" t="s">
        <v>256</v>
      </c>
      <c r="K643" s="1">
        <v>38237090</v>
      </c>
      <c r="L643" s="6">
        <v>12</v>
      </c>
      <c r="M643" s="1" t="s">
        <v>70</v>
      </c>
      <c r="N643" s="7" t="s">
        <v>67</v>
      </c>
      <c r="O643" s="1" t="s">
        <v>53</v>
      </c>
      <c r="P643" s="8">
        <v>2050</v>
      </c>
      <c r="Q643" s="17">
        <f t="shared" si="65"/>
        <v>24600</v>
      </c>
      <c r="R643" s="9">
        <v>0</v>
      </c>
      <c r="S643" s="9">
        <v>0</v>
      </c>
      <c r="T643" s="9">
        <v>0</v>
      </c>
      <c r="U643" s="10">
        <v>0</v>
      </c>
      <c r="V643" s="1" t="s">
        <v>46</v>
      </c>
      <c r="W643" s="1" t="s">
        <v>257</v>
      </c>
      <c r="X643" s="1">
        <v>4032473</v>
      </c>
      <c r="Y643" s="11">
        <v>41843</v>
      </c>
      <c r="Z643" s="11">
        <v>41845</v>
      </c>
      <c r="AA643" s="9">
        <f t="shared" si="68"/>
        <v>24600</v>
      </c>
      <c r="AB643" s="12">
        <v>59.7</v>
      </c>
      <c r="AC643" s="9">
        <f t="shared" si="66"/>
        <v>1468620</v>
      </c>
      <c r="AD643" s="9">
        <f t="shared" si="67"/>
        <v>1468620</v>
      </c>
      <c r="AE643" s="1" t="s">
        <v>48</v>
      </c>
      <c r="AF643" s="1" t="s">
        <v>53</v>
      </c>
      <c r="AG643" s="4">
        <f t="shared" si="69"/>
        <v>24600</v>
      </c>
      <c r="AH643" s="10">
        <v>24585</v>
      </c>
      <c r="AI643" s="10">
        <v>0</v>
      </c>
      <c r="AJ643" s="10">
        <v>0</v>
      </c>
      <c r="AK643" s="10">
        <v>0</v>
      </c>
      <c r="AL643" s="9">
        <f t="shared" si="70"/>
        <v>24585</v>
      </c>
      <c r="AM643" s="1"/>
      <c r="AN643" s="1"/>
      <c r="AO643" s="12" t="e">
        <f>AB643/#REF!</f>
        <v>#REF!</v>
      </c>
      <c r="AP643" s="1" t="s">
        <v>2167</v>
      </c>
      <c r="AQ643" s="11">
        <v>41883</v>
      </c>
      <c r="AR643" s="1" t="s">
        <v>2168</v>
      </c>
      <c r="AS643" s="11">
        <v>41884</v>
      </c>
      <c r="AT643" s="1" t="s">
        <v>49</v>
      </c>
      <c r="AU643" s="1" t="s">
        <v>4171</v>
      </c>
    </row>
    <row r="644" spans="1:47" ht="15" customHeight="1" x14ac:dyDescent="0.25">
      <c r="A644" s="1">
        <v>643</v>
      </c>
      <c r="B644" s="1" t="s">
        <v>1258</v>
      </c>
      <c r="C644" s="1" t="s">
        <v>38</v>
      </c>
      <c r="D644" s="1" t="s">
        <v>2169</v>
      </c>
      <c r="E644" s="5">
        <v>41847</v>
      </c>
      <c r="F644" s="1" t="s">
        <v>601</v>
      </c>
      <c r="G644" s="1" t="s">
        <v>40</v>
      </c>
      <c r="H644" s="1" t="s">
        <v>41</v>
      </c>
      <c r="I644" s="1" t="s">
        <v>2809</v>
      </c>
      <c r="J644" s="1" t="s">
        <v>2153</v>
      </c>
      <c r="K644" s="1">
        <v>38231900</v>
      </c>
      <c r="L644" s="6">
        <v>19.88</v>
      </c>
      <c r="M644" s="1" t="s">
        <v>70</v>
      </c>
      <c r="N644" s="7" t="s">
        <v>44</v>
      </c>
      <c r="O644" s="1" t="s">
        <v>45</v>
      </c>
      <c r="P644" s="8">
        <v>2940</v>
      </c>
      <c r="Q644" s="17">
        <f t="shared" si="65"/>
        <v>58447.199999999997</v>
      </c>
      <c r="R644" s="9">
        <v>1001.8</v>
      </c>
      <c r="S644" s="9">
        <v>8.36</v>
      </c>
      <c r="T644" s="9">
        <v>0</v>
      </c>
      <c r="U644" s="10">
        <v>0</v>
      </c>
      <c r="V644" s="1" t="s">
        <v>46</v>
      </c>
      <c r="W644" s="1" t="s">
        <v>47</v>
      </c>
      <c r="X644" s="1">
        <v>4033502</v>
      </c>
      <c r="Y644" s="11">
        <v>41843</v>
      </c>
      <c r="Z644" s="11">
        <v>41844</v>
      </c>
      <c r="AA644" s="9">
        <f t="shared" si="68"/>
        <v>57437.039999999994</v>
      </c>
      <c r="AB644" s="12">
        <v>80.45</v>
      </c>
      <c r="AC644" s="9">
        <f t="shared" si="66"/>
        <v>4702077.24</v>
      </c>
      <c r="AD644" s="9">
        <f t="shared" si="67"/>
        <v>4620809.8679999998</v>
      </c>
      <c r="AE644" s="1" t="s">
        <v>48</v>
      </c>
      <c r="AF644" s="1" t="s">
        <v>45</v>
      </c>
      <c r="AG644" s="4">
        <f t="shared" si="69"/>
        <v>58447.199999999997</v>
      </c>
      <c r="AH644" s="10">
        <v>58447.199999999997</v>
      </c>
      <c r="AI644" s="10">
        <v>1060.05</v>
      </c>
      <c r="AJ644" s="10">
        <v>8.32</v>
      </c>
      <c r="AK644" s="10">
        <v>0</v>
      </c>
      <c r="AL644" s="9">
        <f t="shared" si="70"/>
        <v>57378.829999999994</v>
      </c>
      <c r="AM644" s="1"/>
      <c r="AN644" s="1"/>
      <c r="AO644" s="12" t="e">
        <f>AB644/#REF!</f>
        <v>#REF!</v>
      </c>
      <c r="AP644" s="1" t="s">
        <v>2170</v>
      </c>
      <c r="AQ644" s="11">
        <v>41904</v>
      </c>
      <c r="AR644" s="1" t="s">
        <v>2171</v>
      </c>
      <c r="AS644" s="11">
        <v>41905</v>
      </c>
      <c r="AT644" s="1" t="s">
        <v>49</v>
      </c>
      <c r="AU644" s="1" t="s">
        <v>4171</v>
      </c>
    </row>
    <row r="645" spans="1:47" ht="15" customHeight="1" x14ac:dyDescent="0.25">
      <c r="A645" s="1">
        <v>644</v>
      </c>
      <c r="B645" s="1" t="s">
        <v>1258</v>
      </c>
      <c r="C645" s="1" t="s">
        <v>38</v>
      </c>
      <c r="D645" s="1" t="s">
        <v>2169</v>
      </c>
      <c r="E645" s="5">
        <v>41847</v>
      </c>
      <c r="F645" s="1" t="s">
        <v>603</v>
      </c>
      <c r="G645" s="1" t="s">
        <v>40</v>
      </c>
      <c r="H645" s="1" t="s">
        <v>41</v>
      </c>
      <c r="I645" s="1" t="s">
        <v>2809</v>
      </c>
      <c r="J645" s="1" t="s">
        <v>2153</v>
      </c>
      <c r="K645" s="1">
        <v>38231900</v>
      </c>
      <c r="L645" s="6">
        <v>39.69</v>
      </c>
      <c r="M645" s="1" t="s">
        <v>70</v>
      </c>
      <c r="N645" s="7" t="s">
        <v>44</v>
      </c>
      <c r="O645" s="1" t="s">
        <v>45</v>
      </c>
      <c r="P645" s="8">
        <v>2940</v>
      </c>
      <c r="Q645" s="17">
        <f t="shared" si="65"/>
        <v>116688.59999999999</v>
      </c>
      <c r="R645" s="9">
        <v>2003.6</v>
      </c>
      <c r="S645" s="9">
        <v>16.690000000000001</v>
      </c>
      <c r="T645" s="9">
        <v>0</v>
      </c>
      <c r="U645" s="10">
        <v>0</v>
      </c>
      <c r="V645" s="1" t="s">
        <v>46</v>
      </c>
      <c r="W645" s="1" t="s">
        <v>47</v>
      </c>
      <c r="X645" s="1">
        <v>4042896</v>
      </c>
      <c r="Y645" s="11">
        <v>41844</v>
      </c>
      <c r="Z645" s="11">
        <v>41845</v>
      </c>
      <c r="AA645" s="9">
        <f t="shared" si="68"/>
        <v>114668.30999999998</v>
      </c>
      <c r="AB645" s="12">
        <v>80.45</v>
      </c>
      <c r="AC645" s="9">
        <f t="shared" si="66"/>
        <v>9387597.8699999992</v>
      </c>
      <c r="AD645" s="9">
        <f t="shared" si="67"/>
        <v>9225065.5394999981</v>
      </c>
      <c r="AE645" s="1" t="s">
        <v>48</v>
      </c>
      <c r="AF645" s="1" t="s">
        <v>45</v>
      </c>
      <c r="AG645" s="4">
        <f t="shared" si="69"/>
        <v>116688.59999999999</v>
      </c>
      <c r="AH645" s="10">
        <v>116688.6</v>
      </c>
      <c r="AI645" s="10">
        <v>2116.37</v>
      </c>
      <c r="AJ645" s="10">
        <v>16.579999999999998</v>
      </c>
      <c r="AK645" s="10">
        <v>0</v>
      </c>
      <c r="AL645" s="9">
        <f t="shared" si="70"/>
        <v>114555.65000000001</v>
      </c>
      <c r="AM645" s="1"/>
      <c r="AN645" s="1"/>
      <c r="AO645" s="12" t="e">
        <f>AB645/#REF!</f>
        <v>#REF!</v>
      </c>
      <c r="AP645" s="1" t="s">
        <v>2170</v>
      </c>
      <c r="AQ645" s="11">
        <v>41904</v>
      </c>
      <c r="AR645" s="1" t="s">
        <v>2172</v>
      </c>
      <c r="AS645" s="11">
        <v>41905</v>
      </c>
      <c r="AT645" s="1" t="s">
        <v>49</v>
      </c>
      <c r="AU645" s="1" t="s">
        <v>4171</v>
      </c>
    </row>
    <row r="646" spans="1:47" ht="15" customHeight="1" x14ac:dyDescent="0.25">
      <c r="A646" s="1">
        <v>645</v>
      </c>
      <c r="B646" s="1" t="s">
        <v>1258</v>
      </c>
      <c r="C646" s="1" t="s">
        <v>38</v>
      </c>
      <c r="D646" s="1">
        <v>9103550471</v>
      </c>
      <c r="E646" s="5">
        <v>41847</v>
      </c>
      <c r="F646" s="1" t="s">
        <v>607</v>
      </c>
      <c r="G646" s="1" t="s">
        <v>40</v>
      </c>
      <c r="H646" s="1" t="s">
        <v>41</v>
      </c>
      <c r="I646" s="1" t="s">
        <v>2809</v>
      </c>
      <c r="J646" s="1" t="s">
        <v>2153</v>
      </c>
      <c r="K646" s="1">
        <v>38231900</v>
      </c>
      <c r="L646" s="6">
        <v>19.97</v>
      </c>
      <c r="M646" s="1" t="s">
        <v>70</v>
      </c>
      <c r="N646" s="7" t="s">
        <v>44</v>
      </c>
      <c r="O646" s="1" t="s">
        <v>45</v>
      </c>
      <c r="P646" s="8">
        <v>2940</v>
      </c>
      <c r="Q646" s="17">
        <f t="shared" si="65"/>
        <v>58711.799999999996</v>
      </c>
      <c r="R646" s="9">
        <v>1001.8</v>
      </c>
      <c r="S646" s="9">
        <v>8.4</v>
      </c>
      <c r="T646" s="9">
        <v>0</v>
      </c>
      <c r="U646" s="10">
        <v>0</v>
      </c>
      <c r="V646" s="1" t="s">
        <v>46</v>
      </c>
      <c r="W646" s="1" t="s">
        <v>47</v>
      </c>
      <c r="X646" s="1">
        <v>4043067</v>
      </c>
      <c r="Y646" s="11">
        <v>41844</v>
      </c>
      <c r="Z646" s="11">
        <v>41845</v>
      </c>
      <c r="AA646" s="9">
        <f t="shared" si="68"/>
        <v>57701.599999999991</v>
      </c>
      <c r="AB646" s="12">
        <v>80.45</v>
      </c>
      <c r="AC646" s="9">
        <f t="shared" si="66"/>
        <v>4723364.3099999996</v>
      </c>
      <c r="AD646" s="9">
        <f t="shared" si="67"/>
        <v>4642093.72</v>
      </c>
      <c r="AE646" s="1" t="s">
        <v>48</v>
      </c>
      <c r="AF646" s="1" t="s">
        <v>45</v>
      </c>
      <c r="AG646" s="4">
        <f t="shared" si="69"/>
        <v>58711.799999999996</v>
      </c>
      <c r="AH646" s="10">
        <v>58711.8</v>
      </c>
      <c r="AI646" s="10">
        <v>1058.8</v>
      </c>
      <c r="AJ646" s="10">
        <v>8.4</v>
      </c>
      <c r="AK646" s="10">
        <v>0</v>
      </c>
      <c r="AL646" s="9">
        <f t="shared" si="70"/>
        <v>57644.600000000006</v>
      </c>
      <c r="AM646" s="1"/>
      <c r="AN646" s="1"/>
      <c r="AO646" s="12" t="e">
        <f>AB646/#REF!</f>
        <v>#REF!</v>
      </c>
      <c r="AP646" s="1" t="s">
        <v>2173</v>
      </c>
      <c r="AQ646" s="11">
        <v>41904</v>
      </c>
      <c r="AR646" s="1" t="s">
        <v>2174</v>
      </c>
      <c r="AS646" s="11">
        <v>41905</v>
      </c>
      <c r="AT646" s="1" t="s">
        <v>49</v>
      </c>
      <c r="AU646" s="1" t="s">
        <v>4171</v>
      </c>
    </row>
    <row r="647" spans="1:47" ht="15" customHeight="1" x14ac:dyDescent="0.25">
      <c r="A647" s="1">
        <v>646</v>
      </c>
      <c r="B647" s="1" t="s">
        <v>1258</v>
      </c>
      <c r="C647" s="1" t="s">
        <v>38</v>
      </c>
      <c r="D647" s="1">
        <v>9103550472</v>
      </c>
      <c r="E647" s="5">
        <v>41848</v>
      </c>
      <c r="F647" s="1" t="s">
        <v>604</v>
      </c>
      <c r="G647" s="1" t="s">
        <v>40</v>
      </c>
      <c r="H647" s="1" t="s">
        <v>41</v>
      </c>
      <c r="I647" s="1" t="s">
        <v>2809</v>
      </c>
      <c r="J647" s="1" t="s">
        <v>187</v>
      </c>
      <c r="K647" s="1">
        <v>38237090</v>
      </c>
      <c r="L647" s="6">
        <v>36.53</v>
      </c>
      <c r="M647" s="1" t="s">
        <v>70</v>
      </c>
      <c r="N647" s="7" t="s">
        <v>44</v>
      </c>
      <c r="O647" s="1" t="s">
        <v>53</v>
      </c>
      <c r="P647" s="8">
        <v>1643</v>
      </c>
      <c r="Q647" s="17">
        <f t="shared" si="65"/>
        <v>60018.79</v>
      </c>
      <c r="R647" s="9">
        <v>6000</v>
      </c>
      <c r="S647" s="9">
        <v>8.58</v>
      </c>
      <c r="T647" s="9">
        <v>0</v>
      </c>
      <c r="U647" s="10">
        <v>0</v>
      </c>
      <c r="V647" s="1" t="s">
        <v>46</v>
      </c>
      <c r="W647" s="1" t="s">
        <v>56</v>
      </c>
      <c r="X647" s="1">
        <v>4043068</v>
      </c>
      <c r="Y647" s="11">
        <v>41844</v>
      </c>
      <c r="Z647" s="11">
        <v>41845</v>
      </c>
      <c r="AA647" s="9">
        <f t="shared" si="68"/>
        <v>54010.21</v>
      </c>
      <c r="AB647" s="12">
        <v>59.7</v>
      </c>
      <c r="AC647" s="9">
        <f t="shared" si="66"/>
        <v>3583121.7630000003</v>
      </c>
      <c r="AD647" s="9">
        <f t="shared" si="67"/>
        <v>3224409.537</v>
      </c>
      <c r="AE647" s="1" t="s">
        <v>48</v>
      </c>
      <c r="AF647" s="1" t="s">
        <v>53</v>
      </c>
      <c r="AG647" s="4">
        <f t="shared" si="69"/>
        <v>60018.79</v>
      </c>
      <c r="AH647" s="10">
        <v>60018.79</v>
      </c>
      <c r="AI647" s="10">
        <v>5800</v>
      </c>
      <c r="AJ647" s="10">
        <v>8.59</v>
      </c>
      <c r="AK647" s="10">
        <v>0</v>
      </c>
      <c r="AL647" s="9">
        <f t="shared" si="70"/>
        <v>54210.2</v>
      </c>
      <c r="AM647" s="1"/>
      <c r="AN647" s="1"/>
      <c r="AO647" s="12" t="e">
        <f>AB647/#REF!</f>
        <v>#REF!</v>
      </c>
      <c r="AP647" s="1" t="s">
        <v>2175</v>
      </c>
      <c r="AQ647" s="11">
        <v>41893</v>
      </c>
      <c r="AR647" s="1" t="s">
        <v>2176</v>
      </c>
      <c r="AS647" s="11">
        <v>41894</v>
      </c>
      <c r="AT647" s="1" t="s">
        <v>49</v>
      </c>
      <c r="AU647" s="1" t="s">
        <v>4171</v>
      </c>
    </row>
    <row r="648" spans="1:47" ht="15" customHeight="1" x14ac:dyDescent="0.25">
      <c r="A648" s="1">
        <v>647</v>
      </c>
      <c r="B648" s="1" t="s">
        <v>1258</v>
      </c>
      <c r="C648" s="1" t="s">
        <v>38</v>
      </c>
      <c r="D648" s="1">
        <v>9103550473</v>
      </c>
      <c r="E648" s="5">
        <v>41849</v>
      </c>
      <c r="F648" s="1" t="s">
        <v>600</v>
      </c>
      <c r="G648" s="1" t="s">
        <v>40</v>
      </c>
      <c r="H648" s="1" t="s">
        <v>41</v>
      </c>
      <c r="I648" s="1" t="s">
        <v>2809</v>
      </c>
      <c r="J648" s="1" t="s">
        <v>50</v>
      </c>
      <c r="K648" s="1">
        <v>38237090</v>
      </c>
      <c r="L648" s="6">
        <v>13.6</v>
      </c>
      <c r="M648" s="1" t="s">
        <v>70</v>
      </c>
      <c r="N648" s="7" t="s">
        <v>52</v>
      </c>
      <c r="O648" s="1" t="s">
        <v>53</v>
      </c>
      <c r="P648" s="8">
        <v>1990</v>
      </c>
      <c r="Q648" s="17">
        <f t="shared" si="65"/>
        <v>27064</v>
      </c>
      <c r="R648" s="9">
        <v>925</v>
      </c>
      <c r="S648" s="9">
        <v>0</v>
      </c>
      <c r="T648" s="9">
        <v>0</v>
      </c>
      <c r="U648" s="10">
        <v>0</v>
      </c>
      <c r="V648" s="1" t="s">
        <v>46</v>
      </c>
      <c r="W648" s="1" t="s">
        <v>2657</v>
      </c>
      <c r="X648" s="1">
        <v>4049271</v>
      </c>
      <c r="Y648" s="11">
        <v>41844</v>
      </c>
      <c r="Z648" s="11">
        <v>41845</v>
      </c>
      <c r="AA648" s="9">
        <f t="shared" si="68"/>
        <v>26139</v>
      </c>
      <c r="AB648" s="12">
        <v>59.7</v>
      </c>
      <c r="AC648" s="9">
        <f t="shared" si="66"/>
        <v>1615720.8</v>
      </c>
      <c r="AD648" s="9">
        <f t="shared" si="67"/>
        <v>1560498.3</v>
      </c>
      <c r="AE648" s="1" t="s">
        <v>57</v>
      </c>
      <c r="AF648" s="1" t="s">
        <v>53</v>
      </c>
      <c r="AG648" s="4">
        <f t="shared" si="69"/>
        <v>27064</v>
      </c>
      <c r="AH648" s="10">
        <v>26883.25</v>
      </c>
      <c r="AI648" s="10">
        <v>976</v>
      </c>
      <c r="AJ648" s="10">
        <v>0</v>
      </c>
      <c r="AK648" s="10">
        <v>0</v>
      </c>
      <c r="AL648" s="9">
        <f t="shared" si="70"/>
        <v>25907.25</v>
      </c>
      <c r="AM648" s="1"/>
      <c r="AN648" s="1"/>
      <c r="AO648" s="12" t="e">
        <f>AB648/#REF!</f>
        <v>#REF!</v>
      </c>
      <c r="AP648" s="1"/>
      <c r="AQ648" s="11">
        <v>41913</v>
      </c>
      <c r="AR648" s="1" t="s">
        <v>3340</v>
      </c>
      <c r="AS648" s="11">
        <v>42060</v>
      </c>
      <c r="AT648" s="1" t="s">
        <v>49</v>
      </c>
      <c r="AU648" s="1" t="s">
        <v>4171</v>
      </c>
    </row>
    <row r="649" spans="1:47" ht="15" customHeight="1" x14ac:dyDescent="0.25">
      <c r="A649" s="1">
        <v>648</v>
      </c>
      <c r="B649" s="1" t="s">
        <v>1258</v>
      </c>
      <c r="C649" s="1" t="s">
        <v>38</v>
      </c>
      <c r="D649" s="1">
        <v>9103550474</v>
      </c>
      <c r="E649" s="5">
        <v>41844</v>
      </c>
      <c r="F649" s="1" t="s">
        <v>605</v>
      </c>
      <c r="G649" s="1" t="s">
        <v>40</v>
      </c>
      <c r="H649" s="1" t="s">
        <v>41</v>
      </c>
      <c r="I649" s="1" t="s">
        <v>2809</v>
      </c>
      <c r="J649" s="1" t="s">
        <v>267</v>
      </c>
      <c r="K649" s="1">
        <v>29051700</v>
      </c>
      <c r="L649" s="6">
        <v>6</v>
      </c>
      <c r="M649" s="1" t="s">
        <v>70</v>
      </c>
      <c r="N649" s="7" t="s">
        <v>67</v>
      </c>
      <c r="O649" s="1" t="s">
        <v>53</v>
      </c>
      <c r="P649" s="8">
        <v>1780</v>
      </c>
      <c r="Q649" s="17">
        <f t="shared" si="65"/>
        <v>10680</v>
      </c>
      <c r="R649" s="9">
        <v>0</v>
      </c>
      <c r="S649" s="9">
        <v>0</v>
      </c>
      <c r="T649" s="9">
        <v>0</v>
      </c>
      <c r="U649" s="10">
        <v>0</v>
      </c>
      <c r="V649" s="1" t="s">
        <v>46</v>
      </c>
      <c r="W649" s="1" t="s">
        <v>329</v>
      </c>
      <c r="X649" s="1">
        <v>4052610</v>
      </c>
      <c r="Y649" s="11">
        <v>41844</v>
      </c>
      <c r="Z649" s="11">
        <v>41846</v>
      </c>
      <c r="AA649" s="9">
        <f t="shared" si="68"/>
        <v>10680</v>
      </c>
      <c r="AB649" s="12">
        <v>59.7</v>
      </c>
      <c r="AC649" s="9">
        <f t="shared" si="66"/>
        <v>637596</v>
      </c>
      <c r="AD649" s="9">
        <f t="shared" si="67"/>
        <v>637596</v>
      </c>
      <c r="AE649" s="1" t="s">
        <v>48</v>
      </c>
      <c r="AF649" s="1" t="s">
        <v>53</v>
      </c>
      <c r="AG649" s="4">
        <f t="shared" si="69"/>
        <v>10680</v>
      </c>
      <c r="AH649" s="10">
        <v>10550</v>
      </c>
      <c r="AI649" s="10">
        <v>0</v>
      </c>
      <c r="AJ649" s="10">
        <v>0</v>
      </c>
      <c r="AK649" s="10">
        <v>0</v>
      </c>
      <c r="AL649" s="9">
        <f t="shared" si="70"/>
        <v>10550</v>
      </c>
      <c r="AM649" s="1"/>
      <c r="AN649" s="1"/>
      <c r="AO649" s="12" t="e">
        <f>AB649/#REF!</f>
        <v>#REF!</v>
      </c>
      <c r="AP649" s="1" t="s">
        <v>2177</v>
      </c>
      <c r="AQ649" s="11">
        <v>41932</v>
      </c>
      <c r="AR649" s="74" t="s">
        <v>2178</v>
      </c>
      <c r="AS649" s="11">
        <v>41933</v>
      </c>
      <c r="AT649" s="1" t="s">
        <v>49</v>
      </c>
      <c r="AU649" s="1" t="s">
        <v>4171</v>
      </c>
    </row>
    <row r="650" spans="1:47" ht="15" customHeight="1" x14ac:dyDescent="0.25">
      <c r="A650" s="1">
        <v>649</v>
      </c>
      <c r="B650" s="1" t="s">
        <v>1258</v>
      </c>
      <c r="C650" s="1" t="s">
        <v>38</v>
      </c>
      <c r="D650" s="1">
        <v>9103550474</v>
      </c>
      <c r="E650" s="5">
        <v>41844</v>
      </c>
      <c r="F650" s="1" t="s">
        <v>605</v>
      </c>
      <c r="G650" s="1" t="s">
        <v>40</v>
      </c>
      <c r="H650" s="1" t="s">
        <v>41</v>
      </c>
      <c r="I650" s="1" t="s">
        <v>2809</v>
      </c>
      <c r="J650" s="1" t="s">
        <v>267</v>
      </c>
      <c r="K650" s="1">
        <v>38237090</v>
      </c>
      <c r="L650" s="6">
        <v>6</v>
      </c>
      <c r="M650" s="1" t="s">
        <v>70</v>
      </c>
      <c r="N650" s="7" t="s">
        <v>67</v>
      </c>
      <c r="O650" s="1" t="s">
        <v>53</v>
      </c>
      <c r="P650" s="8">
        <v>1820</v>
      </c>
      <c r="Q650" s="17">
        <f t="shared" si="65"/>
        <v>10920</v>
      </c>
      <c r="R650" s="9">
        <v>0</v>
      </c>
      <c r="S650" s="9">
        <v>0</v>
      </c>
      <c r="T650" s="9">
        <v>0</v>
      </c>
      <c r="U650" s="10">
        <v>0</v>
      </c>
      <c r="V650" s="1" t="s">
        <v>46</v>
      </c>
      <c r="W650" s="1" t="s">
        <v>329</v>
      </c>
      <c r="X650" s="1">
        <v>4052610</v>
      </c>
      <c r="Y650" s="11">
        <v>41844</v>
      </c>
      <c r="Z650" s="11">
        <v>41846</v>
      </c>
      <c r="AA650" s="9">
        <f t="shared" si="68"/>
        <v>10920</v>
      </c>
      <c r="AB650" s="12">
        <v>59.7</v>
      </c>
      <c r="AC650" s="9">
        <f t="shared" si="66"/>
        <v>651924</v>
      </c>
      <c r="AD650" s="9">
        <f t="shared" si="67"/>
        <v>651924</v>
      </c>
      <c r="AE650" s="1" t="s">
        <v>48</v>
      </c>
      <c r="AF650" s="1" t="s">
        <v>53</v>
      </c>
      <c r="AG650" s="4">
        <f t="shared" si="69"/>
        <v>10920</v>
      </c>
      <c r="AH650" s="10">
        <v>10775</v>
      </c>
      <c r="AI650" s="10">
        <v>0</v>
      </c>
      <c r="AJ650" s="10">
        <v>0</v>
      </c>
      <c r="AK650" s="10">
        <v>0</v>
      </c>
      <c r="AL650" s="9">
        <f t="shared" si="70"/>
        <v>10775</v>
      </c>
      <c r="AM650" s="1"/>
      <c r="AN650" s="1"/>
      <c r="AO650" s="12" t="e">
        <f>AB650/#REF!</f>
        <v>#REF!</v>
      </c>
      <c r="AP650" s="1" t="s">
        <v>2177</v>
      </c>
      <c r="AQ650" s="11">
        <v>41932</v>
      </c>
      <c r="AR650" s="74" t="s">
        <v>2178</v>
      </c>
      <c r="AS650" s="11">
        <v>41933</v>
      </c>
      <c r="AT650" s="1" t="s">
        <v>49</v>
      </c>
      <c r="AU650" s="1" t="s">
        <v>4171</v>
      </c>
    </row>
    <row r="651" spans="1:47" ht="15" customHeight="1" x14ac:dyDescent="0.25">
      <c r="A651" s="1">
        <v>650</v>
      </c>
      <c r="B651" s="1" t="s">
        <v>1258</v>
      </c>
      <c r="C651" s="1" t="s">
        <v>38</v>
      </c>
      <c r="D651" s="1" t="s">
        <v>2179</v>
      </c>
      <c r="E651" s="5">
        <v>41851</v>
      </c>
      <c r="F651" s="1" t="s">
        <v>606</v>
      </c>
      <c r="G651" s="1" t="s">
        <v>40</v>
      </c>
      <c r="H651" s="1" t="s">
        <v>41</v>
      </c>
      <c r="I651" s="1" t="s">
        <v>2809</v>
      </c>
      <c r="J651" s="1" t="s">
        <v>122</v>
      </c>
      <c r="K651" s="1">
        <v>38237090</v>
      </c>
      <c r="L651" s="6">
        <v>20.3</v>
      </c>
      <c r="M651" s="1" t="s">
        <v>70</v>
      </c>
      <c r="N651" s="7" t="s">
        <v>44</v>
      </c>
      <c r="O651" s="1" t="s">
        <v>53</v>
      </c>
      <c r="P651" s="8">
        <v>1960</v>
      </c>
      <c r="Q651" s="17">
        <f t="shared" si="65"/>
        <v>39788</v>
      </c>
      <c r="R651" s="9">
        <v>6060</v>
      </c>
      <c r="S651" s="9">
        <v>5.69</v>
      </c>
      <c r="T651" s="9">
        <v>0</v>
      </c>
      <c r="U651" s="10">
        <v>0</v>
      </c>
      <c r="V651" s="1" t="s">
        <v>46</v>
      </c>
      <c r="W651" s="1" t="s">
        <v>123</v>
      </c>
      <c r="X651" s="1">
        <v>4055518</v>
      </c>
      <c r="Y651" s="11">
        <v>41844</v>
      </c>
      <c r="Z651" s="11">
        <v>41846</v>
      </c>
      <c r="AA651" s="9">
        <f t="shared" si="68"/>
        <v>33722.31</v>
      </c>
      <c r="AB651" s="12">
        <v>59.7</v>
      </c>
      <c r="AC651" s="9">
        <f t="shared" si="66"/>
        <v>2375343.6</v>
      </c>
      <c r="AD651" s="9">
        <f t="shared" si="67"/>
        <v>2013221.9069999999</v>
      </c>
      <c r="AE651" s="1" t="s">
        <v>48</v>
      </c>
      <c r="AF651" s="1" t="s">
        <v>53</v>
      </c>
      <c r="AG651" s="4">
        <f t="shared" si="69"/>
        <v>39788</v>
      </c>
      <c r="AH651" s="10">
        <v>39788</v>
      </c>
      <c r="AI651" s="10">
        <v>6053</v>
      </c>
      <c r="AJ651" s="10">
        <v>5.69</v>
      </c>
      <c r="AK651" s="10">
        <v>0</v>
      </c>
      <c r="AL651" s="9">
        <f t="shared" si="70"/>
        <v>33729.31</v>
      </c>
      <c r="AM651" s="1"/>
      <c r="AN651" s="1"/>
      <c r="AO651" s="12" t="e">
        <f>AB651/#REF!</f>
        <v>#REF!</v>
      </c>
      <c r="AP651" s="1" t="s">
        <v>2180</v>
      </c>
      <c r="AQ651" s="11">
        <v>41900</v>
      </c>
      <c r="AR651" s="1" t="s">
        <v>2181</v>
      </c>
      <c r="AS651" s="11">
        <v>41901</v>
      </c>
      <c r="AT651" s="1" t="s">
        <v>49</v>
      </c>
      <c r="AU651" s="1" t="s">
        <v>4171</v>
      </c>
    </row>
    <row r="652" spans="1:47" ht="15" customHeight="1" x14ac:dyDescent="0.25">
      <c r="A652" s="1">
        <v>651</v>
      </c>
      <c r="B652" s="1" t="s">
        <v>1258</v>
      </c>
      <c r="C652" s="1" t="s">
        <v>38</v>
      </c>
      <c r="D652" s="1" t="s">
        <v>2179</v>
      </c>
      <c r="E652" s="5">
        <v>41851</v>
      </c>
      <c r="F652" s="1" t="s">
        <v>620</v>
      </c>
      <c r="G652" s="1" t="s">
        <v>40</v>
      </c>
      <c r="H652" s="1" t="s">
        <v>41</v>
      </c>
      <c r="I652" s="1" t="s">
        <v>2809</v>
      </c>
      <c r="J652" s="1" t="s">
        <v>122</v>
      </c>
      <c r="K652" s="1">
        <v>38237090</v>
      </c>
      <c r="L652" s="6">
        <v>18.68</v>
      </c>
      <c r="M652" s="1" t="s">
        <v>70</v>
      </c>
      <c r="N652" s="7" t="s">
        <v>44</v>
      </c>
      <c r="O652" s="1" t="s">
        <v>53</v>
      </c>
      <c r="P652" s="8">
        <v>1960</v>
      </c>
      <c r="Q652" s="17">
        <f t="shared" si="65"/>
        <v>36612.800000000003</v>
      </c>
      <c r="R652" s="9">
        <v>6060</v>
      </c>
      <c r="S652" s="9">
        <v>5.24</v>
      </c>
      <c r="T652" s="9">
        <v>0</v>
      </c>
      <c r="U652" s="10">
        <v>0</v>
      </c>
      <c r="V652" s="1" t="s">
        <v>46</v>
      </c>
      <c r="W652" s="1" t="s">
        <v>123</v>
      </c>
      <c r="X652" s="1">
        <v>4065024</v>
      </c>
      <c r="Y652" s="11">
        <v>41845</v>
      </c>
      <c r="Z652" s="11">
        <v>41846</v>
      </c>
      <c r="AA652" s="9">
        <f t="shared" si="68"/>
        <v>30547.56</v>
      </c>
      <c r="AB652" s="12">
        <v>59.7</v>
      </c>
      <c r="AC652" s="9">
        <f t="shared" si="66"/>
        <v>2185784.16</v>
      </c>
      <c r="AD652" s="9">
        <f t="shared" si="67"/>
        <v>1823689.3320000002</v>
      </c>
      <c r="AE652" s="1" t="s">
        <v>48</v>
      </c>
      <c r="AF652" s="1" t="s">
        <v>53</v>
      </c>
      <c r="AG652" s="4">
        <f t="shared" si="69"/>
        <v>36612.800000000003</v>
      </c>
      <c r="AH652" s="10">
        <v>36612.800000000003</v>
      </c>
      <c r="AI652" s="10">
        <v>6053</v>
      </c>
      <c r="AJ652" s="10">
        <v>5.24</v>
      </c>
      <c r="AK652" s="10">
        <v>0</v>
      </c>
      <c r="AL652" s="9">
        <f t="shared" si="70"/>
        <v>30554.560000000005</v>
      </c>
      <c r="AM652" s="1"/>
      <c r="AN652" s="1"/>
      <c r="AO652" s="12" t="e">
        <f>AB652/#REF!</f>
        <v>#REF!</v>
      </c>
      <c r="AP652" s="1" t="s">
        <v>2180</v>
      </c>
      <c r="AQ652" s="11">
        <v>41900</v>
      </c>
      <c r="AR652" s="1" t="s">
        <v>2182</v>
      </c>
      <c r="AS652" s="11">
        <v>41901</v>
      </c>
      <c r="AT652" s="1" t="s">
        <v>49</v>
      </c>
      <c r="AU652" s="1" t="s">
        <v>4171</v>
      </c>
    </row>
    <row r="653" spans="1:47" ht="15" customHeight="1" x14ac:dyDescent="0.25">
      <c r="A653" s="1">
        <v>652</v>
      </c>
      <c r="B653" s="1" t="s">
        <v>1258</v>
      </c>
      <c r="C653" s="1" t="s">
        <v>38</v>
      </c>
      <c r="D653" s="1">
        <v>9103550477</v>
      </c>
      <c r="E653" s="5">
        <v>41851</v>
      </c>
      <c r="F653" s="1" t="s">
        <v>608</v>
      </c>
      <c r="G653" s="1" t="s">
        <v>40</v>
      </c>
      <c r="H653" s="1" t="s">
        <v>41</v>
      </c>
      <c r="I653" s="1" t="s">
        <v>2809</v>
      </c>
      <c r="J653" s="1" t="s">
        <v>63</v>
      </c>
      <c r="K653" s="1">
        <v>38231200</v>
      </c>
      <c r="L653" s="6">
        <v>19.59</v>
      </c>
      <c r="M653" s="1" t="s">
        <v>70</v>
      </c>
      <c r="N653" s="7" t="s">
        <v>44</v>
      </c>
      <c r="O653" s="1" t="s">
        <v>53</v>
      </c>
      <c r="P653" s="8">
        <v>1128</v>
      </c>
      <c r="Q653" s="17">
        <f t="shared" si="65"/>
        <v>22097.52</v>
      </c>
      <c r="R653" s="9">
        <v>560</v>
      </c>
      <c r="S653" s="9">
        <v>3.16</v>
      </c>
      <c r="T653" s="9">
        <v>0</v>
      </c>
      <c r="U653" s="10">
        <v>0</v>
      </c>
      <c r="V653" s="1" t="s">
        <v>46</v>
      </c>
      <c r="W653" s="1" t="s">
        <v>64</v>
      </c>
      <c r="X653" s="1">
        <v>4088679</v>
      </c>
      <c r="Y653" s="11">
        <v>41846</v>
      </c>
      <c r="Z653" s="11">
        <v>41848</v>
      </c>
      <c r="AA653" s="9">
        <f t="shared" si="68"/>
        <v>21534.36</v>
      </c>
      <c r="AB653" s="12">
        <v>59.7</v>
      </c>
      <c r="AC653" s="9">
        <f t="shared" si="66"/>
        <v>1319221.9440000001</v>
      </c>
      <c r="AD653" s="9">
        <f t="shared" si="67"/>
        <v>1285601.2920000001</v>
      </c>
      <c r="AE653" s="1" t="s">
        <v>51</v>
      </c>
      <c r="AF653" s="1" t="s">
        <v>53</v>
      </c>
      <c r="AG653" s="4">
        <f t="shared" si="69"/>
        <v>22097.52</v>
      </c>
      <c r="AH653" s="10">
        <v>22098</v>
      </c>
      <c r="AI653" s="10">
        <v>500</v>
      </c>
      <c r="AJ653" s="10">
        <v>3.16</v>
      </c>
      <c r="AK653" s="10">
        <v>0</v>
      </c>
      <c r="AL653" s="9">
        <f t="shared" si="70"/>
        <v>21594.84</v>
      </c>
      <c r="AM653" s="1"/>
      <c r="AN653" s="1"/>
      <c r="AO653" s="12" t="e">
        <f>AB653/#REF!</f>
        <v>#REF!</v>
      </c>
      <c r="AP653" s="1" t="s">
        <v>2183</v>
      </c>
      <c r="AQ653" s="11">
        <v>41886</v>
      </c>
      <c r="AR653" s="1" t="s">
        <v>2184</v>
      </c>
      <c r="AS653" s="11">
        <v>41905</v>
      </c>
      <c r="AT653" s="1" t="s">
        <v>49</v>
      </c>
      <c r="AU653" s="1" t="s">
        <v>4171</v>
      </c>
    </row>
    <row r="654" spans="1:47" ht="15" customHeight="1" x14ac:dyDescent="0.25">
      <c r="A654" s="1">
        <v>653</v>
      </c>
      <c r="B654" s="1" t="s">
        <v>1258</v>
      </c>
      <c r="C654" s="1" t="s">
        <v>38</v>
      </c>
      <c r="D654" s="1">
        <v>9103550478</v>
      </c>
      <c r="E654" s="5">
        <v>41851</v>
      </c>
      <c r="F654" s="1" t="s">
        <v>622</v>
      </c>
      <c r="G654" s="1" t="s">
        <v>40</v>
      </c>
      <c r="H654" s="1" t="s">
        <v>41</v>
      </c>
      <c r="I654" s="1" t="s">
        <v>2809</v>
      </c>
      <c r="J654" s="1" t="s">
        <v>63</v>
      </c>
      <c r="K654" s="1">
        <v>29161990</v>
      </c>
      <c r="L654" s="6">
        <v>19.75</v>
      </c>
      <c r="M654" s="1" t="s">
        <v>70</v>
      </c>
      <c r="N654" s="7" t="s">
        <v>44</v>
      </c>
      <c r="O654" s="1" t="s">
        <v>53</v>
      </c>
      <c r="P654" s="8">
        <v>2570</v>
      </c>
      <c r="Q654" s="17">
        <f t="shared" si="65"/>
        <v>50757.5</v>
      </c>
      <c r="R654" s="9">
        <v>550</v>
      </c>
      <c r="S654" s="9">
        <v>7.26</v>
      </c>
      <c r="T654" s="9">
        <v>0</v>
      </c>
      <c r="U654" s="10">
        <v>0</v>
      </c>
      <c r="V654" s="1" t="s">
        <v>46</v>
      </c>
      <c r="W654" s="1" t="s">
        <v>64</v>
      </c>
      <c r="X654" s="1">
        <v>4072554</v>
      </c>
      <c r="Y654" s="11">
        <v>41845</v>
      </c>
      <c r="Z654" s="11">
        <v>41846</v>
      </c>
      <c r="AA654" s="9">
        <f t="shared" si="68"/>
        <v>50200.24</v>
      </c>
      <c r="AB654" s="12">
        <v>59.7</v>
      </c>
      <c r="AC654" s="9">
        <f t="shared" si="66"/>
        <v>3030222.75</v>
      </c>
      <c r="AD654" s="9">
        <f t="shared" si="67"/>
        <v>2996954.3280000002</v>
      </c>
      <c r="AE654" s="1" t="s">
        <v>51</v>
      </c>
      <c r="AF654" s="1" t="s">
        <v>53</v>
      </c>
      <c r="AG654" s="4">
        <f t="shared" si="69"/>
        <v>50757.5</v>
      </c>
      <c r="AH654" s="10">
        <v>50751</v>
      </c>
      <c r="AI654" s="10">
        <v>550</v>
      </c>
      <c r="AJ654" s="10">
        <v>7.26</v>
      </c>
      <c r="AK654" s="10">
        <v>0</v>
      </c>
      <c r="AL654" s="9">
        <f t="shared" si="70"/>
        <v>50193.74</v>
      </c>
      <c r="AM654" s="1"/>
      <c r="AN654" s="1"/>
      <c r="AO654" s="12" t="e">
        <f>AB654/#REF!</f>
        <v>#REF!</v>
      </c>
      <c r="AP654" s="1"/>
      <c r="AQ654" s="11">
        <v>41879</v>
      </c>
      <c r="AR654" s="1" t="s">
        <v>3341</v>
      </c>
      <c r="AS654" s="11">
        <v>42107</v>
      </c>
      <c r="AT654" s="1" t="s">
        <v>49</v>
      </c>
      <c r="AU654" s="1" t="s">
        <v>4171</v>
      </c>
    </row>
    <row r="655" spans="1:47" ht="15" customHeight="1" x14ac:dyDescent="0.25">
      <c r="A655" s="1">
        <v>654</v>
      </c>
      <c r="B655" s="1" t="s">
        <v>1258</v>
      </c>
      <c r="C655" s="1" t="s">
        <v>38</v>
      </c>
      <c r="D655" s="1">
        <v>9103550479</v>
      </c>
      <c r="E655" s="5">
        <v>41859</v>
      </c>
      <c r="F655" s="1" t="s">
        <v>616</v>
      </c>
      <c r="G655" s="1" t="s">
        <v>40</v>
      </c>
      <c r="H655" s="1" t="s">
        <v>41</v>
      </c>
      <c r="I655" s="1" t="s">
        <v>2809</v>
      </c>
      <c r="J655" s="1" t="s">
        <v>63</v>
      </c>
      <c r="K655" s="1">
        <v>29161990</v>
      </c>
      <c r="L655" s="6">
        <v>19.75</v>
      </c>
      <c r="M655" s="1" t="s">
        <v>70</v>
      </c>
      <c r="N655" s="7" t="s">
        <v>44</v>
      </c>
      <c r="O655" s="1" t="s">
        <v>53</v>
      </c>
      <c r="P655" s="8">
        <v>2570</v>
      </c>
      <c r="Q655" s="17">
        <f t="shared" si="65"/>
        <v>50757.5</v>
      </c>
      <c r="R655" s="9">
        <v>550</v>
      </c>
      <c r="S655" s="9">
        <v>7.26</v>
      </c>
      <c r="T655" s="9">
        <v>0</v>
      </c>
      <c r="U655" s="10">
        <v>0</v>
      </c>
      <c r="V655" s="1" t="s">
        <v>46</v>
      </c>
      <c r="W655" s="1" t="s">
        <v>64</v>
      </c>
      <c r="X655" s="1">
        <v>4102648</v>
      </c>
      <c r="Y655" s="11">
        <v>41848</v>
      </c>
      <c r="Z655" s="11">
        <v>41849</v>
      </c>
      <c r="AA655" s="9">
        <f t="shared" si="68"/>
        <v>50200.24</v>
      </c>
      <c r="AB655" s="12">
        <v>59.7</v>
      </c>
      <c r="AC655" s="9">
        <f t="shared" si="66"/>
        <v>3030222.75</v>
      </c>
      <c r="AD655" s="9">
        <f t="shared" si="67"/>
        <v>2996954.3280000002</v>
      </c>
      <c r="AE655" s="1" t="s">
        <v>51</v>
      </c>
      <c r="AF655" s="1" t="s">
        <v>53</v>
      </c>
      <c r="AG655" s="4">
        <f t="shared" si="69"/>
        <v>50757.5</v>
      </c>
      <c r="AH655" s="10">
        <v>50751</v>
      </c>
      <c r="AI655" s="10">
        <v>550</v>
      </c>
      <c r="AJ655" s="10">
        <v>7.26</v>
      </c>
      <c r="AK655" s="10">
        <v>0</v>
      </c>
      <c r="AL655" s="9">
        <f t="shared" si="70"/>
        <v>50193.74</v>
      </c>
      <c r="AM655" s="1"/>
      <c r="AN655" s="1"/>
      <c r="AO655" s="12" t="e">
        <f>AB655/#REF!</f>
        <v>#REF!</v>
      </c>
      <c r="AP655" s="1"/>
      <c r="AQ655" s="11">
        <v>41879</v>
      </c>
      <c r="AR655" s="1" t="s">
        <v>3342</v>
      </c>
      <c r="AS655" s="11">
        <v>42107</v>
      </c>
      <c r="AT655" s="1" t="s">
        <v>49</v>
      </c>
      <c r="AU655" s="1" t="s">
        <v>4171</v>
      </c>
    </row>
    <row r="656" spans="1:47" ht="15" customHeight="1" x14ac:dyDescent="0.25">
      <c r="A656" s="1">
        <v>655</v>
      </c>
      <c r="B656" s="1" t="s">
        <v>1258</v>
      </c>
      <c r="C656" s="1" t="s">
        <v>38</v>
      </c>
      <c r="D656" s="1">
        <v>9103550480</v>
      </c>
      <c r="E656" s="5">
        <v>41851</v>
      </c>
      <c r="F656" s="1" t="s">
        <v>612</v>
      </c>
      <c r="G656" s="1" t="s">
        <v>40</v>
      </c>
      <c r="H656" s="1" t="s">
        <v>41</v>
      </c>
      <c r="I656" s="1" t="s">
        <v>2809</v>
      </c>
      <c r="J656" s="1" t="s">
        <v>63</v>
      </c>
      <c r="K656" s="1">
        <v>38231200</v>
      </c>
      <c r="L656" s="6">
        <v>59.23</v>
      </c>
      <c r="M656" s="1" t="s">
        <v>70</v>
      </c>
      <c r="N656" s="7" t="s">
        <v>44</v>
      </c>
      <c r="O656" s="1" t="s">
        <v>53</v>
      </c>
      <c r="P656" s="8">
        <v>1330</v>
      </c>
      <c r="Q656" s="17">
        <f t="shared" si="65"/>
        <v>78775.899999999994</v>
      </c>
      <c r="R656" s="9">
        <v>1680</v>
      </c>
      <c r="S656" s="9">
        <v>11.26</v>
      </c>
      <c r="T656" s="9">
        <v>0</v>
      </c>
      <c r="U656" s="10">
        <v>0</v>
      </c>
      <c r="V656" s="1" t="s">
        <v>46</v>
      </c>
      <c r="W656" s="1" t="s">
        <v>64</v>
      </c>
      <c r="X656" s="1">
        <v>4087647</v>
      </c>
      <c r="Y656" s="11">
        <v>41846</v>
      </c>
      <c r="Z656" s="11">
        <v>41848</v>
      </c>
      <c r="AA656" s="9">
        <f t="shared" si="68"/>
        <v>77084.639999999999</v>
      </c>
      <c r="AB656" s="12">
        <v>59.7</v>
      </c>
      <c r="AC656" s="9">
        <f t="shared" si="66"/>
        <v>4702921.2299999995</v>
      </c>
      <c r="AD656" s="9">
        <f t="shared" si="67"/>
        <v>4601953.0080000004</v>
      </c>
      <c r="AE656" s="1" t="s">
        <v>51</v>
      </c>
      <c r="AF656" s="1" t="s">
        <v>53</v>
      </c>
      <c r="AG656" s="4">
        <f t="shared" si="69"/>
        <v>78775.899999999994</v>
      </c>
      <c r="AH656" s="10">
        <v>78735</v>
      </c>
      <c r="AI656" s="10">
        <v>1680</v>
      </c>
      <c r="AJ656" s="10">
        <v>11.26</v>
      </c>
      <c r="AK656" s="10">
        <v>0</v>
      </c>
      <c r="AL656" s="9">
        <f t="shared" si="70"/>
        <v>77043.740000000005</v>
      </c>
      <c r="AM656" s="1"/>
      <c r="AN656" s="1"/>
      <c r="AO656" s="12" t="e">
        <f>AB656/#REF!</f>
        <v>#REF!</v>
      </c>
      <c r="AP656" s="1" t="s">
        <v>2185</v>
      </c>
      <c r="AQ656" s="11">
        <v>41886</v>
      </c>
      <c r="AR656" s="1" t="s">
        <v>2186</v>
      </c>
      <c r="AS656" s="11">
        <v>41905</v>
      </c>
      <c r="AT656" s="1" t="s">
        <v>49</v>
      </c>
      <c r="AU656" s="1" t="s">
        <v>4171</v>
      </c>
    </row>
    <row r="657" spans="1:47" ht="15" customHeight="1" x14ac:dyDescent="0.25">
      <c r="A657" s="1">
        <v>656</v>
      </c>
      <c r="B657" s="1" t="s">
        <v>1258</v>
      </c>
      <c r="C657" s="1" t="s">
        <v>38</v>
      </c>
      <c r="D657" s="1" t="s">
        <v>2187</v>
      </c>
      <c r="E657" s="5">
        <v>41851</v>
      </c>
      <c r="F657" s="1" t="s">
        <v>587</v>
      </c>
      <c r="G657" s="1" t="s">
        <v>40</v>
      </c>
      <c r="H657" s="1" t="s">
        <v>41</v>
      </c>
      <c r="I657" s="1" t="s">
        <v>2809</v>
      </c>
      <c r="J657" s="1" t="s">
        <v>50</v>
      </c>
      <c r="K657" s="1">
        <v>38237090</v>
      </c>
      <c r="L657" s="6">
        <v>74.38</v>
      </c>
      <c r="M657" s="1" t="s">
        <v>70</v>
      </c>
      <c r="N657" s="7" t="s">
        <v>52</v>
      </c>
      <c r="O657" s="1" t="s">
        <v>45</v>
      </c>
      <c r="P657" s="8">
        <v>970</v>
      </c>
      <c r="Q657" s="17">
        <f t="shared" si="65"/>
        <v>72148.599999999991</v>
      </c>
      <c r="R657" s="9">
        <v>3413.55</v>
      </c>
      <c r="S657" s="9">
        <v>0</v>
      </c>
      <c r="T657" s="9">
        <v>0</v>
      </c>
      <c r="U657" s="10">
        <v>0</v>
      </c>
      <c r="V657" s="1" t="s">
        <v>46</v>
      </c>
      <c r="W657" s="1" t="s">
        <v>2657</v>
      </c>
      <c r="X657" s="1">
        <v>4054388</v>
      </c>
      <c r="Y657" s="11">
        <v>41844</v>
      </c>
      <c r="Z657" s="11">
        <v>41845</v>
      </c>
      <c r="AA657" s="9">
        <f t="shared" si="68"/>
        <v>68735.049999999988</v>
      </c>
      <c r="AB657" s="12">
        <v>80.45</v>
      </c>
      <c r="AC657" s="9">
        <f t="shared" si="66"/>
        <v>5804354.8699999992</v>
      </c>
      <c r="AD657" s="9">
        <f t="shared" si="67"/>
        <v>5529734.772499999</v>
      </c>
      <c r="AE657" s="1" t="s">
        <v>48</v>
      </c>
      <c r="AF657" s="1" t="s">
        <v>45</v>
      </c>
      <c r="AG657" s="4">
        <f t="shared" si="69"/>
        <v>72148.599999999991</v>
      </c>
      <c r="AH657" s="10">
        <v>72148.600000000006</v>
      </c>
      <c r="AI657" s="10">
        <v>2997.37</v>
      </c>
      <c r="AJ657" s="10">
        <v>0</v>
      </c>
      <c r="AK657" s="10">
        <v>0</v>
      </c>
      <c r="AL657" s="9">
        <f t="shared" si="70"/>
        <v>69151.23000000001</v>
      </c>
      <c r="AM657" s="1"/>
      <c r="AN657" s="1"/>
      <c r="AO657" s="12" t="e">
        <f>AB657/#REF!</f>
        <v>#REF!</v>
      </c>
      <c r="AP657" s="1" t="s">
        <v>2188</v>
      </c>
      <c r="AQ657" s="11">
        <v>41967</v>
      </c>
      <c r="AR657" s="1" t="s">
        <v>2189</v>
      </c>
      <c r="AS657" s="11">
        <v>41968</v>
      </c>
      <c r="AT657" s="1" t="s">
        <v>49</v>
      </c>
      <c r="AU657" s="1" t="s">
        <v>4171</v>
      </c>
    </row>
    <row r="658" spans="1:47" ht="15" customHeight="1" x14ac:dyDescent="0.25">
      <c r="A658" s="1">
        <v>657</v>
      </c>
      <c r="B658" s="1" t="s">
        <v>1258</v>
      </c>
      <c r="C658" s="1" t="s">
        <v>38</v>
      </c>
      <c r="D658" s="1" t="s">
        <v>2187</v>
      </c>
      <c r="E658" s="5">
        <v>41851</v>
      </c>
      <c r="F658" s="1" t="s">
        <v>621</v>
      </c>
      <c r="G658" s="1" t="s">
        <v>40</v>
      </c>
      <c r="H658" s="1" t="s">
        <v>41</v>
      </c>
      <c r="I658" s="1" t="s">
        <v>2809</v>
      </c>
      <c r="J658" s="1" t="s">
        <v>50</v>
      </c>
      <c r="K658" s="1">
        <v>38237090</v>
      </c>
      <c r="L658" s="6">
        <v>18.88</v>
      </c>
      <c r="M658" s="1" t="s">
        <v>70</v>
      </c>
      <c r="N658" s="7" t="s">
        <v>52</v>
      </c>
      <c r="O658" s="1" t="s">
        <v>45</v>
      </c>
      <c r="P658" s="8">
        <v>970</v>
      </c>
      <c r="Q658" s="17">
        <f t="shared" si="65"/>
        <v>18313.599999999999</v>
      </c>
      <c r="R658" s="9">
        <v>853.39</v>
      </c>
      <c r="S658" s="9">
        <v>0</v>
      </c>
      <c r="T658" s="9">
        <v>0</v>
      </c>
      <c r="U658" s="10">
        <v>0</v>
      </c>
      <c r="V658" s="1" t="s">
        <v>46</v>
      </c>
      <c r="W658" s="1" t="s">
        <v>2657</v>
      </c>
      <c r="X658" s="1">
        <v>4087454</v>
      </c>
      <c r="Y658" s="11">
        <v>41846</v>
      </c>
      <c r="Z658" s="11">
        <v>41848</v>
      </c>
      <c r="AA658" s="9">
        <f t="shared" si="68"/>
        <v>17460.21</v>
      </c>
      <c r="AB658" s="12">
        <v>80.45</v>
      </c>
      <c r="AC658" s="9">
        <f t="shared" si="66"/>
        <v>1473329.1199999999</v>
      </c>
      <c r="AD658" s="9">
        <f t="shared" si="67"/>
        <v>1404673.8944999999</v>
      </c>
      <c r="AE658" s="1" t="s">
        <v>48</v>
      </c>
      <c r="AF658" s="1" t="s">
        <v>45</v>
      </c>
      <c r="AG658" s="4">
        <f t="shared" si="69"/>
        <v>18313.599999999999</v>
      </c>
      <c r="AH658" s="10">
        <v>18313.599999999999</v>
      </c>
      <c r="AI658" s="10">
        <v>760</v>
      </c>
      <c r="AJ658" s="10">
        <v>0</v>
      </c>
      <c r="AK658" s="10">
        <v>0</v>
      </c>
      <c r="AL658" s="9">
        <f t="shared" si="70"/>
        <v>17553.599999999999</v>
      </c>
      <c r="AM658" s="1"/>
      <c r="AN658" s="1"/>
      <c r="AO658" s="12" t="e">
        <f>AB658/#REF!</f>
        <v>#REF!</v>
      </c>
      <c r="AP658" s="1" t="s">
        <v>2188</v>
      </c>
      <c r="AQ658" s="11">
        <v>41967</v>
      </c>
      <c r="AR658" s="1" t="s">
        <v>2190</v>
      </c>
      <c r="AS658" s="11">
        <v>41968</v>
      </c>
      <c r="AT658" s="1" t="s">
        <v>49</v>
      </c>
      <c r="AU658" s="1" t="s">
        <v>4171</v>
      </c>
    </row>
    <row r="659" spans="1:47" ht="15" customHeight="1" x14ac:dyDescent="0.25">
      <c r="A659" s="1">
        <v>658</v>
      </c>
      <c r="B659" s="1" t="s">
        <v>1258</v>
      </c>
      <c r="C659" s="1" t="s">
        <v>38</v>
      </c>
      <c r="D659" s="1">
        <v>9103550483</v>
      </c>
      <c r="E659" s="5">
        <v>41852</v>
      </c>
      <c r="F659" s="1" t="s">
        <v>618</v>
      </c>
      <c r="G659" s="1" t="s">
        <v>40</v>
      </c>
      <c r="H659" s="1" t="s">
        <v>41</v>
      </c>
      <c r="I659" s="1" t="s">
        <v>2809</v>
      </c>
      <c r="J659" s="1" t="s">
        <v>1118</v>
      </c>
      <c r="K659" s="1">
        <v>38237090</v>
      </c>
      <c r="L659" s="6">
        <v>30</v>
      </c>
      <c r="M659" s="1" t="s">
        <v>70</v>
      </c>
      <c r="N659" s="7" t="s">
        <v>52</v>
      </c>
      <c r="O659" s="1" t="s">
        <v>53</v>
      </c>
      <c r="P659" s="8">
        <v>1700</v>
      </c>
      <c r="Q659" s="17">
        <f t="shared" si="65"/>
        <v>51000</v>
      </c>
      <c r="R659" s="9">
        <v>3400</v>
      </c>
      <c r="S659" s="9">
        <v>0</v>
      </c>
      <c r="T659" s="9">
        <v>0</v>
      </c>
      <c r="U659" s="10">
        <v>0</v>
      </c>
      <c r="V659" s="1" t="s">
        <v>46</v>
      </c>
      <c r="W659" s="1" t="s">
        <v>1141</v>
      </c>
      <c r="X659" s="1">
        <v>4113212</v>
      </c>
      <c r="Y659" s="11">
        <v>41848</v>
      </c>
      <c r="Z659" s="11">
        <v>41849</v>
      </c>
      <c r="AA659" s="9">
        <f t="shared" si="68"/>
        <v>47600</v>
      </c>
      <c r="AB659" s="12">
        <v>59.7</v>
      </c>
      <c r="AC659" s="9">
        <f t="shared" si="66"/>
        <v>3044700</v>
      </c>
      <c r="AD659" s="9">
        <f t="shared" si="67"/>
        <v>2841720</v>
      </c>
      <c r="AE659" s="1" t="s">
        <v>48</v>
      </c>
      <c r="AF659" s="1" t="s">
        <v>53</v>
      </c>
      <c r="AG659" s="4">
        <f t="shared" si="69"/>
        <v>51000</v>
      </c>
      <c r="AH659" s="10">
        <v>50979</v>
      </c>
      <c r="AI659" s="10">
        <v>3610</v>
      </c>
      <c r="AJ659" s="10">
        <v>0</v>
      </c>
      <c r="AK659" s="10">
        <v>0</v>
      </c>
      <c r="AL659" s="9">
        <f t="shared" si="70"/>
        <v>47369</v>
      </c>
      <c r="AM659" s="1"/>
      <c r="AN659" s="1"/>
      <c r="AO659" s="12" t="e">
        <f>AB659/#REF!</f>
        <v>#REF!</v>
      </c>
      <c r="AP659" s="1" t="s">
        <v>2191</v>
      </c>
      <c r="AQ659" s="11">
        <v>41872</v>
      </c>
      <c r="AR659" s="1" t="s">
        <v>2192</v>
      </c>
      <c r="AS659" s="11">
        <v>41873</v>
      </c>
      <c r="AT659" s="1" t="s">
        <v>49</v>
      </c>
      <c r="AU659" s="1" t="s">
        <v>4171</v>
      </c>
    </row>
    <row r="660" spans="1:47" ht="15" customHeight="1" x14ac:dyDescent="0.25">
      <c r="A660" s="1">
        <v>659</v>
      </c>
      <c r="B660" s="1" t="s">
        <v>1258</v>
      </c>
      <c r="C660" s="1" t="s">
        <v>38</v>
      </c>
      <c r="D660" s="1" t="s">
        <v>2193</v>
      </c>
      <c r="E660" s="5">
        <v>41853</v>
      </c>
      <c r="F660" s="1" t="s">
        <v>619</v>
      </c>
      <c r="G660" s="1" t="s">
        <v>40</v>
      </c>
      <c r="H660" s="1" t="s">
        <v>41</v>
      </c>
      <c r="I660" s="1" t="s">
        <v>2810</v>
      </c>
      <c r="J660" s="1" t="s">
        <v>1116</v>
      </c>
      <c r="K660" s="1">
        <v>38237090</v>
      </c>
      <c r="L660" s="6">
        <v>132.33000000000001</v>
      </c>
      <c r="M660" s="1" t="s">
        <v>70</v>
      </c>
      <c r="N660" s="7" t="s">
        <v>67</v>
      </c>
      <c r="O660" s="1" t="s">
        <v>1117</v>
      </c>
      <c r="P660" s="8">
        <v>108450</v>
      </c>
      <c r="Q660" s="17">
        <f t="shared" si="65"/>
        <v>14351188.500000002</v>
      </c>
      <c r="R660" s="9">
        <v>0</v>
      </c>
      <c r="S660" s="9">
        <v>0</v>
      </c>
      <c r="T660" s="9">
        <v>549219.98</v>
      </c>
      <c r="U660" s="10">
        <v>0</v>
      </c>
      <c r="V660" s="1" t="s">
        <v>46</v>
      </c>
      <c r="W660" s="1" t="s">
        <v>361</v>
      </c>
      <c r="X660" s="1">
        <v>4120686</v>
      </c>
      <c r="Y660" s="11">
        <v>41848</v>
      </c>
      <c r="Z660" s="11">
        <v>41850</v>
      </c>
      <c r="AA660" s="9">
        <f t="shared" si="68"/>
        <v>14351188.500000002</v>
      </c>
      <c r="AB660" s="12">
        <v>1</v>
      </c>
      <c r="AC660" s="9">
        <f t="shared" si="66"/>
        <v>14351188.500000002</v>
      </c>
      <c r="AD660" s="9">
        <f t="shared" si="67"/>
        <v>14351188.500000002</v>
      </c>
      <c r="AE660" s="1" t="s">
        <v>4162</v>
      </c>
      <c r="AF660" s="1" t="s">
        <v>1117</v>
      </c>
      <c r="AG660" s="4">
        <f t="shared" si="69"/>
        <v>14351188.500000002</v>
      </c>
      <c r="AH660" s="10">
        <v>14351188.5</v>
      </c>
      <c r="AI660" s="10"/>
      <c r="AJ660" s="10"/>
      <c r="AK660" s="10"/>
      <c r="AL660" s="9">
        <f t="shared" si="70"/>
        <v>14351188.5</v>
      </c>
      <c r="AM660" s="1"/>
      <c r="AN660" s="1"/>
      <c r="AO660" s="12"/>
      <c r="AP660" s="1" t="s">
        <v>4092</v>
      </c>
      <c r="AQ660" s="11" t="s">
        <v>4060</v>
      </c>
      <c r="AR660" s="1" t="s">
        <v>4093</v>
      </c>
      <c r="AS660" s="1" t="s">
        <v>4087</v>
      </c>
      <c r="AT660" s="1" t="s">
        <v>49</v>
      </c>
      <c r="AU660" s="1" t="s">
        <v>4171</v>
      </c>
    </row>
    <row r="661" spans="1:47" ht="15" customHeight="1" x14ac:dyDescent="0.25">
      <c r="A661" s="1">
        <v>660</v>
      </c>
      <c r="B661" s="1" t="s">
        <v>1258</v>
      </c>
      <c r="C661" s="1" t="s">
        <v>38</v>
      </c>
      <c r="D661" s="1" t="s">
        <v>2193</v>
      </c>
      <c r="E661" s="5">
        <v>41853</v>
      </c>
      <c r="F661" s="1" t="s">
        <v>611</v>
      </c>
      <c r="G661" s="1" t="s">
        <v>40</v>
      </c>
      <c r="H661" s="1" t="s">
        <v>41</v>
      </c>
      <c r="I661" s="1" t="s">
        <v>2810</v>
      </c>
      <c r="J661" s="1" t="s">
        <v>1116</v>
      </c>
      <c r="K661" s="1">
        <v>38237090</v>
      </c>
      <c r="L661" s="6">
        <v>74.34</v>
      </c>
      <c r="M661" s="1" t="s">
        <v>70</v>
      </c>
      <c r="N661" s="7" t="s">
        <v>67</v>
      </c>
      <c r="O661" s="1" t="s">
        <v>1117</v>
      </c>
      <c r="P661" s="8">
        <v>108450</v>
      </c>
      <c r="Q661" s="17">
        <f t="shared" si="65"/>
        <v>8062173</v>
      </c>
      <c r="R661" s="9">
        <v>0</v>
      </c>
      <c r="S661" s="9">
        <v>0</v>
      </c>
      <c r="T661" s="9">
        <v>308539.36</v>
      </c>
      <c r="U661" s="10">
        <v>0</v>
      </c>
      <c r="V661" s="1" t="s">
        <v>46</v>
      </c>
      <c r="W661" s="1" t="s">
        <v>361</v>
      </c>
      <c r="X661" s="1">
        <v>4127291</v>
      </c>
      <c r="Y661" s="11">
        <v>41849</v>
      </c>
      <c r="Z661" s="11">
        <v>41850</v>
      </c>
      <c r="AA661" s="9">
        <f t="shared" si="68"/>
        <v>8062173</v>
      </c>
      <c r="AB661" s="12">
        <v>1</v>
      </c>
      <c r="AC661" s="9">
        <f t="shared" si="66"/>
        <v>8062173</v>
      </c>
      <c r="AD661" s="9">
        <f t="shared" si="67"/>
        <v>8062173</v>
      </c>
      <c r="AE661" s="1" t="s">
        <v>4162</v>
      </c>
      <c r="AF661" s="1" t="s">
        <v>1117</v>
      </c>
      <c r="AG661" s="4">
        <f t="shared" si="69"/>
        <v>8062173</v>
      </c>
      <c r="AH661" s="10">
        <v>8062173</v>
      </c>
      <c r="AI661" s="10"/>
      <c r="AJ661" s="10"/>
      <c r="AK661" s="10"/>
      <c r="AL661" s="9">
        <f t="shared" si="70"/>
        <v>8062173</v>
      </c>
      <c r="AM661" s="1"/>
      <c r="AN661" s="1"/>
      <c r="AO661" s="12"/>
      <c r="AP661" s="1" t="s">
        <v>4092</v>
      </c>
      <c r="AQ661" s="11" t="s">
        <v>4060</v>
      </c>
      <c r="AR661" s="1" t="s">
        <v>4091</v>
      </c>
      <c r="AS661" s="1" t="s">
        <v>4087</v>
      </c>
      <c r="AT661" s="1" t="s">
        <v>49</v>
      </c>
      <c r="AU661" s="1" t="s">
        <v>4171</v>
      </c>
    </row>
    <row r="662" spans="1:47" ht="15" customHeight="1" x14ac:dyDescent="0.25">
      <c r="A662" s="1">
        <v>661</v>
      </c>
      <c r="B662" s="1" t="s">
        <v>1258</v>
      </c>
      <c r="C662" s="1" t="s">
        <v>38</v>
      </c>
      <c r="D662" s="1" t="s">
        <v>2194</v>
      </c>
      <c r="E662" s="5">
        <v>41855</v>
      </c>
      <c r="F662" s="1" t="s">
        <v>609</v>
      </c>
      <c r="G662" s="1" t="s">
        <v>40</v>
      </c>
      <c r="H662" s="1" t="s">
        <v>41</v>
      </c>
      <c r="I662" s="1" t="s">
        <v>2809</v>
      </c>
      <c r="J662" s="1" t="s">
        <v>2153</v>
      </c>
      <c r="K662" s="1">
        <v>29159090</v>
      </c>
      <c r="L662" s="6">
        <v>19.7</v>
      </c>
      <c r="M662" s="1" t="s">
        <v>70</v>
      </c>
      <c r="N662" s="7" t="s">
        <v>44</v>
      </c>
      <c r="O662" s="1" t="s">
        <v>45</v>
      </c>
      <c r="P662" s="8">
        <v>1280</v>
      </c>
      <c r="Q662" s="17">
        <f t="shared" si="65"/>
        <v>25216</v>
      </c>
      <c r="R662" s="9">
        <v>927.59</v>
      </c>
      <c r="S662" s="9">
        <v>3.61</v>
      </c>
      <c r="T662" s="9">
        <v>0</v>
      </c>
      <c r="U662" s="10">
        <v>0</v>
      </c>
      <c r="V662" s="1" t="s">
        <v>46</v>
      </c>
      <c r="W662" s="1" t="s">
        <v>47</v>
      </c>
      <c r="X662" s="1">
        <v>4117294</v>
      </c>
      <c r="Y662" s="11">
        <v>41848</v>
      </c>
      <c r="Z662" s="11">
        <v>41849</v>
      </c>
      <c r="AA662" s="9">
        <f t="shared" si="68"/>
        <v>24284.799999999999</v>
      </c>
      <c r="AB662" s="12">
        <v>80.45</v>
      </c>
      <c r="AC662" s="9">
        <f t="shared" si="66"/>
        <v>2028627.2000000002</v>
      </c>
      <c r="AD662" s="9">
        <f t="shared" si="67"/>
        <v>1953712.16</v>
      </c>
      <c r="AE662" s="1" t="s">
        <v>48</v>
      </c>
      <c r="AF662" s="1" t="s">
        <v>45</v>
      </c>
      <c r="AG662" s="4">
        <f t="shared" si="69"/>
        <v>25216</v>
      </c>
      <c r="AH662" s="10">
        <v>25216</v>
      </c>
      <c r="AI662" s="10">
        <v>1030.83</v>
      </c>
      <c r="AJ662" s="10">
        <v>3.6</v>
      </c>
      <c r="AK662" s="10">
        <v>0</v>
      </c>
      <c r="AL662" s="9">
        <f t="shared" si="70"/>
        <v>24181.57</v>
      </c>
      <c r="AM662" s="1"/>
      <c r="AN662" s="1"/>
      <c r="AO662" s="12" t="e">
        <f>AB662/#REF!</f>
        <v>#REF!</v>
      </c>
      <c r="AP662" s="1" t="s">
        <v>2195</v>
      </c>
      <c r="AQ662" s="11">
        <v>41981</v>
      </c>
      <c r="AR662" s="1" t="s">
        <v>2196</v>
      </c>
      <c r="AS662" s="11">
        <v>41982</v>
      </c>
      <c r="AT662" s="1" t="s">
        <v>49</v>
      </c>
      <c r="AU662" s="1" t="s">
        <v>4171</v>
      </c>
    </row>
    <row r="663" spans="1:47" ht="15" customHeight="1" x14ac:dyDescent="0.25">
      <c r="A663" s="1">
        <v>662</v>
      </c>
      <c r="B663" s="1" t="s">
        <v>1258</v>
      </c>
      <c r="C663" s="1" t="s">
        <v>38</v>
      </c>
      <c r="D663" s="1" t="s">
        <v>2194</v>
      </c>
      <c r="E663" s="5">
        <v>41855</v>
      </c>
      <c r="F663" s="1" t="s">
        <v>615</v>
      </c>
      <c r="G663" s="1" t="s">
        <v>40</v>
      </c>
      <c r="H663" s="1" t="s">
        <v>41</v>
      </c>
      <c r="I663" s="1" t="s">
        <v>2809</v>
      </c>
      <c r="J663" s="1" t="s">
        <v>2153</v>
      </c>
      <c r="K663" s="1">
        <v>29159090</v>
      </c>
      <c r="L663" s="6">
        <v>78.7</v>
      </c>
      <c r="M663" s="1" t="s">
        <v>70</v>
      </c>
      <c r="N663" s="7" t="s">
        <v>44</v>
      </c>
      <c r="O663" s="1" t="s">
        <v>45</v>
      </c>
      <c r="P663" s="8">
        <v>1280</v>
      </c>
      <c r="Q663" s="17">
        <f t="shared" si="65"/>
        <v>100736</v>
      </c>
      <c r="R663" s="9">
        <v>3710.38</v>
      </c>
      <c r="S663" s="9">
        <v>14.41</v>
      </c>
      <c r="T663" s="9">
        <v>0</v>
      </c>
      <c r="U663" s="10">
        <v>0</v>
      </c>
      <c r="V663" s="1" t="s">
        <v>46</v>
      </c>
      <c r="W663" s="1" t="s">
        <v>47</v>
      </c>
      <c r="X663" s="1">
        <v>4128483</v>
      </c>
      <c r="Y663" s="11">
        <v>41849</v>
      </c>
      <c r="Z663" s="11">
        <v>41850</v>
      </c>
      <c r="AA663" s="9">
        <f t="shared" si="68"/>
        <v>97011.209999999992</v>
      </c>
      <c r="AB663" s="12">
        <v>80.45</v>
      </c>
      <c r="AC663" s="9">
        <f t="shared" si="66"/>
        <v>8104211.2000000002</v>
      </c>
      <c r="AD663" s="9">
        <f t="shared" si="67"/>
        <v>7804551.8444999997</v>
      </c>
      <c r="AE663" s="1" t="s">
        <v>48</v>
      </c>
      <c r="AF663" s="1" t="s">
        <v>45</v>
      </c>
      <c r="AG663" s="4">
        <f t="shared" si="69"/>
        <v>100736</v>
      </c>
      <c r="AH663" s="10">
        <v>100736</v>
      </c>
      <c r="AI663" s="10">
        <v>4118.09</v>
      </c>
      <c r="AJ663" s="10">
        <v>14.41</v>
      </c>
      <c r="AK663" s="10">
        <v>0</v>
      </c>
      <c r="AL663" s="9">
        <f t="shared" si="70"/>
        <v>96603.5</v>
      </c>
      <c r="AM663" s="1"/>
      <c r="AN663" s="1"/>
      <c r="AO663" s="12" t="e">
        <f>AB663/#REF!</f>
        <v>#REF!</v>
      </c>
      <c r="AP663" s="1" t="s">
        <v>2195</v>
      </c>
      <c r="AQ663" s="11">
        <v>41981</v>
      </c>
      <c r="AR663" s="1" t="s">
        <v>2197</v>
      </c>
      <c r="AS663" s="11">
        <v>41982</v>
      </c>
      <c r="AT663" s="1" t="s">
        <v>49</v>
      </c>
      <c r="AU663" s="1" t="s">
        <v>4171</v>
      </c>
    </row>
    <row r="664" spans="1:47" ht="15" customHeight="1" x14ac:dyDescent="0.25">
      <c r="A664" s="1">
        <v>663</v>
      </c>
      <c r="B664" s="1" t="s">
        <v>1258</v>
      </c>
      <c r="C664" s="1" t="s">
        <v>38</v>
      </c>
      <c r="D664" s="1" t="s">
        <v>2194</v>
      </c>
      <c r="E664" s="5">
        <v>41855</v>
      </c>
      <c r="F664" s="1" t="s">
        <v>614</v>
      </c>
      <c r="G664" s="1" t="s">
        <v>40</v>
      </c>
      <c r="H664" s="1" t="s">
        <v>41</v>
      </c>
      <c r="I664" s="1" t="s">
        <v>2809</v>
      </c>
      <c r="J664" s="1" t="s">
        <v>2153</v>
      </c>
      <c r="K664" s="1">
        <v>29159090</v>
      </c>
      <c r="L664" s="6">
        <v>39.69</v>
      </c>
      <c r="M664" s="1" t="s">
        <v>70</v>
      </c>
      <c r="N664" s="7" t="s">
        <v>44</v>
      </c>
      <c r="O664" s="1" t="s">
        <v>45</v>
      </c>
      <c r="P664" s="8">
        <v>1280</v>
      </c>
      <c r="Q664" s="17">
        <f t="shared" ref="Q664:Q727" si="71">+L664*P664</f>
        <v>50803.199999999997</v>
      </c>
      <c r="R664" s="9">
        <v>1855.19</v>
      </c>
      <c r="S664" s="9">
        <v>7.26</v>
      </c>
      <c r="T664" s="9">
        <v>0</v>
      </c>
      <c r="U664" s="10">
        <v>0</v>
      </c>
      <c r="V664" s="1" t="s">
        <v>46</v>
      </c>
      <c r="W664" s="1" t="s">
        <v>47</v>
      </c>
      <c r="X664" s="1">
        <v>4128691</v>
      </c>
      <c r="Y664" s="11">
        <v>41849</v>
      </c>
      <c r="Z664" s="11">
        <v>41850</v>
      </c>
      <c r="AA664" s="9">
        <f t="shared" si="68"/>
        <v>48940.749999999993</v>
      </c>
      <c r="AB664" s="12">
        <v>80.45</v>
      </c>
      <c r="AC664" s="9">
        <f t="shared" ref="AC664:AC727" si="72">+Q664*AB664</f>
        <v>4087117.44</v>
      </c>
      <c r="AD664" s="9">
        <f t="shared" ref="AD664:AD727" si="73">+AA664*AB664</f>
        <v>3937283.3374999994</v>
      </c>
      <c r="AE664" s="1" t="s">
        <v>48</v>
      </c>
      <c r="AF664" s="1" t="s">
        <v>45</v>
      </c>
      <c r="AG664" s="4">
        <f t="shared" si="69"/>
        <v>50803.199999999997</v>
      </c>
      <c r="AH664" s="10">
        <v>50803.199999999997</v>
      </c>
      <c r="AI664" s="10">
        <v>2076.84</v>
      </c>
      <c r="AJ664" s="10">
        <v>7.27</v>
      </c>
      <c r="AK664" s="10">
        <v>0</v>
      </c>
      <c r="AL664" s="9">
        <f t="shared" si="70"/>
        <v>48719.09</v>
      </c>
      <c r="AM664" s="1"/>
      <c r="AN664" s="1"/>
      <c r="AO664" s="12" t="e">
        <f>AB664/#REF!</f>
        <v>#REF!</v>
      </c>
      <c r="AP664" s="1" t="s">
        <v>2195</v>
      </c>
      <c r="AQ664" s="11">
        <v>41981</v>
      </c>
      <c r="AR664" s="1" t="s">
        <v>2198</v>
      </c>
      <c r="AS664" s="11">
        <v>41982</v>
      </c>
      <c r="AT664" s="1" t="s">
        <v>49</v>
      </c>
      <c r="AU664" s="1" t="s">
        <v>4171</v>
      </c>
    </row>
    <row r="665" spans="1:47" ht="15" customHeight="1" x14ac:dyDescent="0.25">
      <c r="A665" s="1">
        <v>664</v>
      </c>
      <c r="B665" s="1" t="s">
        <v>1258</v>
      </c>
      <c r="C665" s="1" t="s">
        <v>38</v>
      </c>
      <c r="D665" s="1" t="s">
        <v>2194</v>
      </c>
      <c r="E665" s="5">
        <v>41855</v>
      </c>
      <c r="F665" s="1" t="s">
        <v>613</v>
      </c>
      <c r="G665" s="1" t="s">
        <v>40</v>
      </c>
      <c r="H665" s="1" t="s">
        <v>41</v>
      </c>
      <c r="I665" s="1" t="s">
        <v>2809</v>
      </c>
      <c r="J665" s="1" t="s">
        <v>2153</v>
      </c>
      <c r="K665" s="1">
        <v>29159090</v>
      </c>
      <c r="L665" s="6">
        <v>19.84</v>
      </c>
      <c r="M665" s="1" t="s">
        <v>70</v>
      </c>
      <c r="N665" s="7" t="s">
        <v>44</v>
      </c>
      <c r="O665" s="1" t="s">
        <v>45</v>
      </c>
      <c r="P665" s="8">
        <v>1280</v>
      </c>
      <c r="Q665" s="17">
        <f t="shared" si="71"/>
        <v>25395.200000000001</v>
      </c>
      <c r="R665" s="9">
        <v>927.59</v>
      </c>
      <c r="S665" s="9">
        <v>3.63</v>
      </c>
      <c r="T665" s="9">
        <v>0</v>
      </c>
      <c r="U665" s="10">
        <v>0</v>
      </c>
      <c r="V665" s="1" t="s">
        <v>46</v>
      </c>
      <c r="W665" s="1" t="s">
        <v>47</v>
      </c>
      <c r="X665" s="1">
        <v>4145822</v>
      </c>
      <c r="Y665" s="11">
        <v>41850</v>
      </c>
      <c r="Z665" s="11">
        <v>41851</v>
      </c>
      <c r="AA665" s="9">
        <f t="shared" ref="AA665:AA728" si="74">Q665-R665-S665</f>
        <v>24463.98</v>
      </c>
      <c r="AB665" s="12">
        <v>80.45</v>
      </c>
      <c r="AC665" s="9">
        <f t="shared" si="72"/>
        <v>2043043.8400000001</v>
      </c>
      <c r="AD665" s="9">
        <f t="shared" si="73"/>
        <v>1968127.1910000001</v>
      </c>
      <c r="AE665" s="1" t="s">
        <v>48</v>
      </c>
      <c r="AF665" s="1" t="s">
        <v>45</v>
      </c>
      <c r="AG665" s="4">
        <f t="shared" si="69"/>
        <v>25395.200000000001</v>
      </c>
      <c r="AH665" s="10">
        <v>25395.200000000001</v>
      </c>
      <c r="AI665" s="10">
        <v>1038.1600000000001</v>
      </c>
      <c r="AJ665" s="10">
        <v>3.63</v>
      </c>
      <c r="AK665" s="10">
        <v>0</v>
      </c>
      <c r="AL665" s="9">
        <f t="shared" si="70"/>
        <v>24353.41</v>
      </c>
      <c r="AM665" s="1"/>
      <c r="AN665" s="1"/>
      <c r="AO665" s="12" t="e">
        <f>AB665/#REF!</f>
        <v>#REF!</v>
      </c>
      <c r="AP665" s="1" t="s">
        <v>2195</v>
      </c>
      <c r="AQ665" s="11">
        <v>41981</v>
      </c>
      <c r="AR665" s="1" t="s">
        <v>2199</v>
      </c>
      <c r="AS665" s="11">
        <v>41982</v>
      </c>
      <c r="AT665" s="1" t="s">
        <v>49</v>
      </c>
      <c r="AU665" s="1" t="s">
        <v>4171</v>
      </c>
    </row>
    <row r="666" spans="1:47" ht="15" customHeight="1" x14ac:dyDescent="0.25">
      <c r="A666" s="1">
        <v>665</v>
      </c>
      <c r="B666" s="1" t="s">
        <v>1258</v>
      </c>
      <c r="C666" s="1" t="s">
        <v>38</v>
      </c>
      <c r="D666" s="1">
        <v>9103550489</v>
      </c>
      <c r="E666" s="5">
        <v>41854</v>
      </c>
      <c r="F666" s="1" t="s">
        <v>617</v>
      </c>
      <c r="G666" s="1" t="s">
        <v>40</v>
      </c>
      <c r="H666" s="1" t="s">
        <v>41</v>
      </c>
      <c r="I666" s="1" t="s">
        <v>2809</v>
      </c>
      <c r="J666" s="1" t="s">
        <v>1092</v>
      </c>
      <c r="K666" s="1">
        <v>38237090</v>
      </c>
      <c r="L666" s="6">
        <v>15</v>
      </c>
      <c r="M666" s="1" t="s">
        <v>70</v>
      </c>
      <c r="N666" s="7" t="s">
        <v>44</v>
      </c>
      <c r="O666" s="1" t="s">
        <v>53</v>
      </c>
      <c r="P666" s="8">
        <v>1670</v>
      </c>
      <c r="Q666" s="17">
        <f t="shared" si="71"/>
        <v>25050</v>
      </c>
      <c r="R666" s="9">
        <v>675</v>
      </c>
      <c r="S666" s="9">
        <v>3.58</v>
      </c>
      <c r="T666" s="9">
        <v>0</v>
      </c>
      <c r="U666" s="10">
        <v>0</v>
      </c>
      <c r="V666" s="1" t="s">
        <v>46</v>
      </c>
      <c r="W666" s="1" t="s">
        <v>143</v>
      </c>
      <c r="X666" s="1">
        <v>4143925</v>
      </c>
      <c r="Y666" s="11">
        <v>41850</v>
      </c>
      <c r="Z666" s="11">
        <v>41851</v>
      </c>
      <c r="AA666" s="9">
        <f t="shared" si="74"/>
        <v>24371.42</v>
      </c>
      <c r="AB666" s="12">
        <v>59.7</v>
      </c>
      <c r="AC666" s="9">
        <f t="shared" si="72"/>
        <v>1495485</v>
      </c>
      <c r="AD666" s="9">
        <f t="shared" si="73"/>
        <v>1454973.774</v>
      </c>
      <c r="AE666" s="1" t="s">
        <v>48</v>
      </c>
      <c r="AF666" s="1" t="s">
        <v>53</v>
      </c>
      <c r="AG666" s="4">
        <f t="shared" si="69"/>
        <v>25050</v>
      </c>
      <c r="AH666" s="10">
        <v>25050</v>
      </c>
      <c r="AI666" s="10">
        <v>707</v>
      </c>
      <c r="AJ666" s="10">
        <v>3.58</v>
      </c>
      <c r="AK666" s="10">
        <v>0</v>
      </c>
      <c r="AL666" s="9">
        <f t="shared" si="70"/>
        <v>24339.42</v>
      </c>
      <c r="AM666" s="1"/>
      <c r="AN666" s="1"/>
      <c r="AO666" s="12" t="e">
        <f>AB666/#REF!</f>
        <v>#REF!</v>
      </c>
      <c r="AP666" s="1" t="s">
        <v>2200</v>
      </c>
      <c r="AQ666" s="11">
        <v>41899</v>
      </c>
      <c r="AR666" s="1" t="s">
        <v>2201</v>
      </c>
      <c r="AS666" s="11">
        <v>41901</v>
      </c>
      <c r="AT666" s="1" t="s">
        <v>49</v>
      </c>
      <c r="AU666" s="1" t="s">
        <v>4171</v>
      </c>
    </row>
    <row r="667" spans="1:47" ht="15" customHeight="1" x14ac:dyDescent="0.25">
      <c r="A667" s="1">
        <v>666</v>
      </c>
      <c r="B667" s="1" t="s">
        <v>1258</v>
      </c>
      <c r="C667" s="1" t="s">
        <v>38</v>
      </c>
      <c r="D667" s="1">
        <v>9103550490</v>
      </c>
      <c r="E667" s="5">
        <v>41853</v>
      </c>
      <c r="F667" s="1" t="s">
        <v>625</v>
      </c>
      <c r="G667" s="1" t="s">
        <v>40</v>
      </c>
      <c r="H667" s="1" t="s">
        <v>41</v>
      </c>
      <c r="I667" s="1" t="s">
        <v>2809</v>
      </c>
      <c r="J667" s="1" t="s">
        <v>1315</v>
      </c>
      <c r="K667" s="1">
        <v>38231900</v>
      </c>
      <c r="L667" s="6">
        <v>60.07</v>
      </c>
      <c r="M667" s="1" t="s">
        <v>70</v>
      </c>
      <c r="N667" s="7" t="s">
        <v>44</v>
      </c>
      <c r="O667" s="1" t="s">
        <v>45</v>
      </c>
      <c r="P667" s="8">
        <v>2920</v>
      </c>
      <c r="Q667" s="17">
        <f t="shared" si="71"/>
        <v>175404.4</v>
      </c>
      <c r="R667" s="9">
        <v>2226.23</v>
      </c>
      <c r="S667" s="9">
        <v>25.08</v>
      </c>
      <c r="T667" s="9">
        <v>0</v>
      </c>
      <c r="U667" s="10">
        <v>0</v>
      </c>
      <c r="V667" s="1" t="s">
        <v>46</v>
      </c>
      <c r="W667" s="1" t="s">
        <v>59</v>
      </c>
      <c r="X667" s="1">
        <v>4149612</v>
      </c>
      <c r="Y667" s="11">
        <v>41850</v>
      </c>
      <c r="Z667" s="11">
        <v>41851</v>
      </c>
      <c r="AA667" s="9">
        <f t="shared" si="74"/>
        <v>173153.09</v>
      </c>
      <c r="AB667" s="12">
        <v>80.45</v>
      </c>
      <c r="AC667" s="9">
        <f t="shared" si="72"/>
        <v>14111283.98</v>
      </c>
      <c r="AD667" s="9">
        <f t="shared" si="73"/>
        <v>13930166.090500001</v>
      </c>
      <c r="AE667" s="1" t="s">
        <v>48</v>
      </c>
      <c r="AF667" s="1" t="s">
        <v>45</v>
      </c>
      <c r="AG667" s="4">
        <f t="shared" si="69"/>
        <v>175404.4</v>
      </c>
      <c r="AH667" s="10">
        <v>175404.4</v>
      </c>
      <c r="AI667" s="10">
        <v>2398.84</v>
      </c>
      <c r="AJ667" s="10">
        <v>25.08</v>
      </c>
      <c r="AK667" s="10">
        <v>0</v>
      </c>
      <c r="AL667" s="9">
        <f t="shared" si="70"/>
        <v>172980.47999999998</v>
      </c>
      <c r="AM667" s="1"/>
      <c r="AN667" s="1"/>
      <c r="AO667" s="12" t="e">
        <f>AB667/#REF!</f>
        <v>#REF!</v>
      </c>
      <c r="AP667" s="1" t="s">
        <v>2202</v>
      </c>
      <c r="AQ667" s="11">
        <v>41886</v>
      </c>
      <c r="AR667" s="1" t="s">
        <v>2203</v>
      </c>
      <c r="AS667" s="11">
        <v>41887</v>
      </c>
      <c r="AT667" s="1" t="s">
        <v>49</v>
      </c>
      <c r="AU667" s="1" t="s">
        <v>4171</v>
      </c>
    </row>
    <row r="668" spans="1:47" ht="15" customHeight="1" x14ac:dyDescent="0.25">
      <c r="A668" s="1">
        <v>667</v>
      </c>
      <c r="B668" s="1" t="s">
        <v>1258</v>
      </c>
      <c r="C668" s="1" t="s">
        <v>38</v>
      </c>
      <c r="D668" s="1">
        <v>9103550491</v>
      </c>
      <c r="E668" s="5">
        <v>41853</v>
      </c>
      <c r="F668" s="1" t="s">
        <v>623</v>
      </c>
      <c r="G668" s="1" t="s">
        <v>40</v>
      </c>
      <c r="H668" s="1" t="s">
        <v>41</v>
      </c>
      <c r="I668" s="1" t="s">
        <v>2809</v>
      </c>
      <c r="J668" s="1" t="s">
        <v>50</v>
      </c>
      <c r="K668" s="1">
        <v>38237090</v>
      </c>
      <c r="L668" s="6">
        <v>56.28</v>
      </c>
      <c r="M668" s="1" t="s">
        <v>70</v>
      </c>
      <c r="N668" s="7" t="s">
        <v>52</v>
      </c>
      <c r="O668" s="1" t="s">
        <v>45</v>
      </c>
      <c r="P668" s="8">
        <v>970</v>
      </c>
      <c r="Q668" s="17">
        <f t="shared" si="71"/>
        <v>54591.6</v>
      </c>
      <c r="R668" s="9">
        <v>2226.23</v>
      </c>
      <c r="S668" s="9">
        <v>0</v>
      </c>
      <c r="T668" s="9">
        <v>0</v>
      </c>
      <c r="U668" s="10">
        <v>0</v>
      </c>
      <c r="V668" s="1" t="s">
        <v>46</v>
      </c>
      <c r="W668" s="1" t="s">
        <v>2657</v>
      </c>
      <c r="X668" s="1">
        <v>4155579</v>
      </c>
      <c r="Y668" s="11">
        <v>41850</v>
      </c>
      <c r="Z668" s="11">
        <v>41851</v>
      </c>
      <c r="AA668" s="9">
        <f t="shared" si="74"/>
        <v>52365.369999999995</v>
      </c>
      <c r="AB668" s="12">
        <v>80.45</v>
      </c>
      <c r="AC668" s="9">
        <f>+Q668*AB668</f>
        <v>4391894.22</v>
      </c>
      <c r="AD668" s="9">
        <f t="shared" si="73"/>
        <v>4212794.0164999999</v>
      </c>
      <c r="AE668" s="1" t="s">
        <v>51</v>
      </c>
      <c r="AF668" s="1" t="s">
        <v>45</v>
      </c>
      <c r="AG668" s="4">
        <f t="shared" si="69"/>
        <v>54591.6</v>
      </c>
      <c r="AH668" s="10">
        <v>54462</v>
      </c>
      <c r="AI668" s="10">
        <v>2281.8200000000002</v>
      </c>
      <c r="AJ668" s="10">
        <v>0</v>
      </c>
      <c r="AK668" s="10">
        <v>0</v>
      </c>
      <c r="AL668" s="9">
        <f t="shared" si="70"/>
        <v>52180.18</v>
      </c>
      <c r="AM668" s="1"/>
      <c r="AN668" s="1"/>
      <c r="AO668" s="12" t="e">
        <f>AB668/#REF!</f>
        <v>#REF!</v>
      </c>
      <c r="AP668" s="1" t="s">
        <v>2204</v>
      </c>
      <c r="AQ668" s="11">
        <v>41914</v>
      </c>
      <c r="AR668" s="1" t="s">
        <v>2205</v>
      </c>
      <c r="AS668" s="11">
        <v>41975</v>
      </c>
      <c r="AT668" s="1" t="s">
        <v>49</v>
      </c>
      <c r="AU668" s="1" t="s">
        <v>4171</v>
      </c>
    </row>
    <row r="669" spans="1:47" ht="15" customHeight="1" x14ac:dyDescent="0.25">
      <c r="A669" s="1">
        <v>668</v>
      </c>
      <c r="B669" s="1" t="s">
        <v>1258</v>
      </c>
      <c r="C669" s="1" t="s">
        <v>38</v>
      </c>
      <c r="D669" s="1">
        <v>9103550492</v>
      </c>
      <c r="E669" s="5">
        <v>41856</v>
      </c>
      <c r="F669" s="1" t="s">
        <v>637</v>
      </c>
      <c r="G669" s="1" t="s">
        <v>40</v>
      </c>
      <c r="H669" s="1" t="s">
        <v>41</v>
      </c>
      <c r="I669" s="1" t="s">
        <v>2809</v>
      </c>
      <c r="J669" s="1" t="s">
        <v>2149</v>
      </c>
      <c r="K669" s="1">
        <v>29159090</v>
      </c>
      <c r="L669" s="6">
        <v>12</v>
      </c>
      <c r="M669" s="1" t="s">
        <v>70</v>
      </c>
      <c r="N669" s="7" t="s">
        <v>44</v>
      </c>
      <c r="O669" s="1" t="s">
        <v>53</v>
      </c>
      <c r="P669" s="8">
        <v>4050</v>
      </c>
      <c r="Q669" s="17">
        <f t="shared" si="71"/>
        <v>48600</v>
      </c>
      <c r="R669" s="9">
        <v>2450</v>
      </c>
      <c r="S669" s="9">
        <v>6.95</v>
      </c>
      <c r="T669" s="9">
        <v>0</v>
      </c>
      <c r="U669" s="10">
        <v>0</v>
      </c>
      <c r="V669" s="1" t="s">
        <v>46</v>
      </c>
      <c r="W669" s="1" t="s">
        <v>188</v>
      </c>
      <c r="X669" s="1">
        <v>4154659</v>
      </c>
      <c r="Y669" s="11">
        <v>41850</v>
      </c>
      <c r="Z669" s="11">
        <v>41851</v>
      </c>
      <c r="AA669" s="9">
        <f t="shared" si="74"/>
        <v>46143.05</v>
      </c>
      <c r="AB669" s="12">
        <v>59.7</v>
      </c>
      <c r="AC669" s="9">
        <f>+Q669*AB669</f>
        <v>2901420</v>
      </c>
      <c r="AD669" s="9">
        <f t="shared" si="73"/>
        <v>2754740.0850000004</v>
      </c>
      <c r="AE669" s="1" t="s">
        <v>48</v>
      </c>
      <c r="AF669" s="1" t="s">
        <v>53</v>
      </c>
      <c r="AG669" s="4">
        <f t="shared" si="69"/>
        <v>48600</v>
      </c>
      <c r="AH669" s="10">
        <v>48565.5</v>
      </c>
      <c r="AI669" s="10">
        <v>2200</v>
      </c>
      <c r="AJ669" s="10">
        <v>6.95</v>
      </c>
      <c r="AK669" s="10">
        <v>0</v>
      </c>
      <c r="AL669" s="9">
        <f t="shared" si="70"/>
        <v>46358.55</v>
      </c>
      <c r="AM669" s="1"/>
      <c r="AN669" s="1"/>
      <c r="AO669" s="12" t="e">
        <f>AB669/#REF!</f>
        <v>#REF!</v>
      </c>
      <c r="AP669" s="1" t="s">
        <v>2206</v>
      </c>
      <c r="AQ669" s="11">
        <v>41906</v>
      </c>
      <c r="AR669" s="1" t="s">
        <v>2207</v>
      </c>
      <c r="AS669" s="11">
        <v>41907</v>
      </c>
      <c r="AT669" s="1" t="s">
        <v>49</v>
      </c>
      <c r="AU669" s="1" t="s">
        <v>4171</v>
      </c>
    </row>
    <row r="670" spans="1:47" ht="15" customHeight="1" x14ac:dyDescent="0.25">
      <c r="A670" s="1">
        <v>669</v>
      </c>
      <c r="B670" s="1" t="s">
        <v>1258</v>
      </c>
      <c r="C670" s="1" t="s">
        <v>38</v>
      </c>
      <c r="D670" s="1">
        <v>9103550493</v>
      </c>
      <c r="E670" s="5">
        <v>41854</v>
      </c>
      <c r="F670" s="1" t="s">
        <v>643</v>
      </c>
      <c r="G670" s="1" t="s">
        <v>40</v>
      </c>
      <c r="H670" s="1" t="s">
        <v>41</v>
      </c>
      <c r="I670" s="1" t="s">
        <v>2809</v>
      </c>
      <c r="J670" s="1" t="s">
        <v>76</v>
      </c>
      <c r="K670" s="1">
        <v>38237090</v>
      </c>
      <c r="L670" s="6">
        <v>15</v>
      </c>
      <c r="M670" s="1" t="s">
        <v>70</v>
      </c>
      <c r="N670" s="7" t="s">
        <v>44</v>
      </c>
      <c r="O670" s="1" t="s">
        <v>53</v>
      </c>
      <c r="P670" s="8">
        <v>1685</v>
      </c>
      <c r="Q670" s="17">
        <f t="shared" si="71"/>
        <v>25275</v>
      </c>
      <c r="R670" s="9">
        <v>931</v>
      </c>
      <c r="S670" s="9">
        <v>3.61</v>
      </c>
      <c r="T670" s="9">
        <v>0</v>
      </c>
      <c r="U670" s="10">
        <v>0</v>
      </c>
      <c r="V670" s="1" t="s">
        <v>46</v>
      </c>
      <c r="W670" s="1" t="s">
        <v>77</v>
      </c>
      <c r="X670" s="1">
        <v>4151186</v>
      </c>
      <c r="Y670" s="11">
        <v>41850</v>
      </c>
      <c r="Z670" s="11">
        <v>41851</v>
      </c>
      <c r="AA670" s="9">
        <f t="shared" si="74"/>
        <v>24340.39</v>
      </c>
      <c r="AB670" s="12">
        <v>59.7</v>
      </c>
      <c r="AC670" s="9">
        <f t="shared" si="72"/>
        <v>1508917.5</v>
      </c>
      <c r="AD670" s="9">
        <f t="shared" si="73"/>
        <v>1453121.2830000001</v>
      </c>
      <c r="AE670" s="1" t="s">
        <v>48</v>
      </c>
      <c r="AF670" s="1" t="s">
        <v>53</v>
      </c>
      <c r="AG670" s="4">
        <f t="shared" si="69"/>
        <v>25275</v>
      </c>
      <c r="AH670" s="10">
        <v>25275</v>
      </c>
      <c r="AI670" s="10">
        <v>928</v>
      </c>
      <c r="AJ670" s="10">
        <v>3.61</v>
      </c>
      <c r="AK670" s="10">
        <v>0</v>
      </c>
      <c r="AL670" s="9">
        <f t="shared" si="70"/>
        <v>24343.39</v>
      </c>
      <c r="AM670" s="1"/>
      <c r="AN670" s="1"/>
      <c r="AO670" s="12" t="e">
        <f>AB670/#REF!</f>
        <v>#REF!</v>
      </c>
      <c r="AP670" s="1" t="s">
        <v>2208</v>
      </c>
      <c r="AQ670" s="11">
        <v>41989</v>
      </c>
      <c r="AR670" s="1" t="s">
        <v>2209</v>
      </c>
      <c r="AS670" s="11">
        <v>41992</v>
      </c>
      <c r="AT670" s="1" t="s">
        <v>49</v>
      </c>
      <c r="AU670" s="1" t="s">
        <v>4171</v>
      </c>
    </row>
    <row r="671" spans="1:47" ht="15" customHeight="1" x14ac:dyDescent="0.25">
      <c r="A671" s="1">
        <v>670</v>
      </c>
      <c r="B671" s="1" t="s">
        <v>1258</v>
      </c>
      <c r="C671" s="1" t="s">
        <v>38</v>
      </c>
      <c r="D671" s="1">
        <v>9103550494</v>
      </c>
      <c r="E671" s="5">
        <v>41864</v>
      </c>
      <c r="F671" s="1" t="s">
        <v>610</v>
      </c>
      <c r="G671" s="1" t="s">
        <v>40</v>
      </c>
      <c r="H671" s="1" t="s">
        <v>41</v>
      </c>
      <c r="I671" s="1" t="s">
        <v>2809</v>
      </c>
      <c r="J671" s="1" t="s">
        <v>2764</v>
      </c>
      <c r="K671" s="1">
        <v>38237090</v>
      </c>
      <c r="L671" s="6">
        <v>12</v>
      </c>
      <c r="M671" s="1" t="s">
        <v>70</v>
      </c>
      <c r="N671" s="7" t="s">
        <v>67</v>
      </c>
      <c r="O671" s="1" t="s">
        <v>53</v>
      </c>
      <c r="P671" s="8">
        <v>1465</v>
      </c>
      <c r="Q671" s="17">
        <f t="shared" si="71"/>
        <v>17580</v>
      </c>
      <c r="R671" s="9">
        <v>0</v>
      </c>
      <c r="S671" s="9">
        <v>0</v>
      </c>
      <c r="T671" s="9">
        <v>0</v>
      </c>
      <c r="U671" s="10">
        <v>0</v>
      </c>
      <c r="V671" s="1" t="s">
        <v>46</v>
      </c>
      <c r="W671" s="1" t="s">
        <v>143</v>
      </c>
      <c r="X671" s="1">
        <v>4130747</v>
      </c>
      <c r="Y671" s="11">
        <v>41849</v>
      </c>
      <c r="Z671" s="11">
        <v>41852</v>
      </c>
      <c r="AA671" s="9">
        <f t="shared" si="74"/>
        <v>17580</v>
      </c>
      <c r="AB671" s="12">
        <v>59.7</v>
      </c>
      <c r="AC671" s="9">
        <f t="shared" si="72"/>
        <v>1049526</v>
      </c>
      <c r="AD671" s="9">
        <f t="shared" si="73"/>
        <v>1049526</v>
      </c>
      <c r="AE671" s="1" t="s">
        <v>48</v>
      </c>
      <c r="AF671" s="1" t="s">
        <v>53</v>
      </c>
      <c r="AG671" s="4">
        <f t="shared" si="69"/>
        <v>17580</v>
      </c>
      <c r="AH671" s="10">
        <v>17560</v>
      </c>
      <c r="AI671" s="10">
        <v>0</v>
      </c>
      <c r="AJ671" s="10">
        <v>0</v>
      </c>
      <c r="AK671" s="10">
        <v>0</v>
      </c>
      <c r="AL671" s="9">
        <f t="shared" si="70"/>
        <v>17560</v>
      </c>
      <c r="AM671" s="1"/>
      <c r="AN671" s="1"/>
      <c r="AO671" s="12" t="e">
        <f>AB671/#REF!</f>
        <v>#REF!</v>
      </c>
      <c r="AP671" s="1" t="s">
        <v>2210</v>
      </c>
      <c r="AQ671" s="11">
        <v>41907</v>
      </c>
      <c r="AR671" s="1" t="s">
        <v>2211</v>
      </c>
      <c r="AS671" s="11">
        <v>41908</v>
      </c>
      <c r="AT671" s="1" t="s">
        <v>49</v>
      </c>
      <c r="AU671" s="1" t="s">
        <v>4171</v>
      </c>
    </row>
    <row r="672" spans="1:47" ht="15" customHeight="1" x14ac:dyDescent="0.25">
      <c r="A672" s="1">
        <v>671</v>
      </c>
      <c r="B672" s="1" t="s">
        <v>1258</v>
      </c>
      <c r="C672" s="1" t="s">
        <v>38</v>
      </c>
      <c r="D672" s="1">
        <v>9103550495</v>
      </c>
      <c r="E672" s="5">
        <v>41853</v>
      </c>
      <c r="F672" s="1" t="s">
        <v>624</v>
      </c>
      <c r="G672" s="1" t="s">
        <v>40</v>
      </c>
      <c r="H672" s="1" t="s">
        <v>41</v>
      </c>
      <c r="I672" s="1" t="s">
        <v>2809</v>
      </c>
      <c r="J672" s="1" t="s">
        <v>1315</v>
      </c>
      <c r="K672" s="1">
        <v>38231900</v>
      </c>
      <c r="L672" s="6">
        <v>59.57</v>
      </c>
      <c r="M672" s="1" t="s">
        <v>70</v>
      </c>
      <c r="N672" s="7" t="s">
        <v>44</v>
      </c>
      <c r="O672" s="1" t="s">
        <v>45</v>
      </c>
      <c r="P672" s="8">
        <v>2920</v>
      </c>
      <c r="Q672" s="17">
        <f t="shared" si="71"/>
        <v>173944.4</v>
      </c>
      <c r="R672" s="9">
        <v>2226.23</v>
      </c>
      <c r="S672" s="9">
        <v>24.87</v>
      </c>
      <c r="T672" s="9">
        <v>0</v>
      </c>
      <c r="U672" s="10">
        <v>0</v>
      </c>
      <c r="V672" s="1" t="s">
        <v>46</v>
      </c>
      <c r="W672" s="1" t="s">
        <v>59</v>
      </c>
      <c r="X672" s="1">
        <v>4168770</v>
      </c>
      <c r="Y672" s="11">
        <v>41851</v>
      </c>
      <c r="Z672" s="11">
        <v>41852</v>
      </c>
      <c r="AA672" s="9">
        <f t="shared" si="74"/>
        <v>171693.3</v>
      </c>
      <c r="AB672" s="12">
        <v>80.45</v>
      </c>
      <c r="AC672" s="9">
        <f t="shared" si="72"/>
        <v>13993826.98</v>
      </c>
      <c r="AD672" s="9">
        <f t="shared" si="73"/>
        <v>13812725.984999999</v>
      </c>
      <c r="AE672" s="1" t="s">
        <v>48</v>
      </c>
      <c r="AF672" s="1" t="s">
        <v>45</v>
      </c>
      <c r="AG672" s="4">
        <f t="shared" si="69"/>
        <v>173944.4</v>
      </c>
      <c r="AH672" s="10">
        <v>173944.4</v>
      </c>
      <c r="AI672" s="10">
        <v>2398.84</v>
      </c>
      <c r="AJ672" s="10">
        <v>24.87</v>
      </c>
      <c r="AK672" s="10">
        <v>0</v>
      </c>
      <c r="AL672" s="9">
        <f t="shared" si="70"/>
        <v>171520.69</v>
      </c>
      <c r="AM672" s="1"/>
      <c r="AN672" s="1"/>
      <c r="AO672" s="12" t="e">
        <f>AB672/#REF!</f>
        <v>#REF!</v>
      </c>
      <c r="AP672" s="1" t="s">
        <v>2212</v>
      </c>
      <c r="AQ672" s="11">
        <v>41886</v>
      </c>
      <c r="AR672" s="1" t="s">
        <v>2213</v>
      </c>
      <c r="AS672" s="11">
        <v>41887</v>
      </c>
      <c r="AT672" s="1" t="s">
        <v>49</v>
      </c>
      <c r="AU672" s="1" t="s">
        <v>4171</v>
      </c>
    </row>
    <row r="673" spans="1:47" ht="15" customHeight="1" x14ac:dyDescent="0.25">
      <c r="A673" s="1">
        <v>672</v>
      </c>
      <c r="B673" s="1" t="s">
        <v>1258</v>
      </c>
      <c r="C673" s="1" t="s">
        <v>38</v>
      </c>
      <c r="D673" s="1" t="s">
        <v>2214</v>
      </c>
      <c r="E673" s="5">
        <v>41853</v>
      </c>
      <c r="F673" s="1" t="s">
        <v>626</v>
      </c>
      <c r="G673" s="1" t="s">
        <v>40</v>
      </c>
      <c r="H673" s="1" t="s">
        <v>41</v>
      </c>
      <c r="I673" s="1" t="s">
        <v>2809</v>
      </c>
      <c r="J673" s="1" t="s">
        <v>2955</v>
      </c>
      <c r="K673" s="1">
        <v>38231900</v>
      </c>
      <c r="L673" s="6">
        <v>19.97</v>
      </c>
      <c r="M673" s="1" t="s">
        <v>70</v>
      </c>
      <c r="N673" s="7" t="s">
        <v>44</v>
      </c>
      <c r="O673" s="1" t="s">
        <v>45</v>
      </c>
      <c r="P673" s="8">
        <v>2920</v>
      </c>
      <c r="Q673" s="17">
        <f t="shared" si="71"/>
        <v>58312.399999999994</v>
      </c>
      <c r="R673" s="9">
        <v>742.08</v>
      </c>
      <c r="S673" s="9">
        <v>8.34</v>
      </c>
      <c r="T673" s="9">
        <v>1118.32</v>
      </c>
      <c r="U673" s="10">
        <v>0</v>
      </c>
      <c r="V673" s="1" t="s">
        <v>46</v>
      </c>
      <c r="W673" s="1" t="s">
        <v>2657</v>
      </c>
      <c r="X673" s="1">
        <v>4150964</v>
      </c>
      <c r="Y673" s="11">
        <v>41850</v>
      </c>
      <c r="Z673" s="11">
        <v>41851</v>
      </c>
      <c r="AA673" s="9">
        <f t="shared" si="74"/>
        <v>57561.979999999996</v>
      </c>
      <c r="AB673" s="12">
        <v>80.45</v>
      </c>
      <c r="AC673" s="9">
        <f t="shared" si="72"/>
        <v>4691232.58</v>
      </c>
      <c r="AD673" s="9">
        <f t="shared" si="73"/>
        <v>4630861.2910000002</v>
      </c>
      <c r="AE673" s="1" t="s">
        <v>57</v>
      </c>
      <c r="AF673" s="1" t="s">
        <v>45</v>
      </c>
      <c r="AG673" s="4">
        <f t="shared" si="69"/>
        <v>58312.399999999994</v>
      </c>
      <c r="AH673" s="10">
        <v>58312.4</v>
      </c>
      <c r="AI673" s="10">
        <v>799.61</v>
      </c>
      <c r="AJ673" s="10">
        <v>8.34</v>
      </c>
      <c r="AK673" s="10">
        <v>1118.32</v>
      </c>
      <c r="AL673" s="9">
        <f t="shared" si="70"/>
        <v>56386.130000000005</v>
      </c>
      <c r="AM673" s="1"/>
      <c r="AN673" s="1"/>
      <c r="AO673" s="12" t="e">
        <f>AB673/#REF!</f>
        <v>#REF!</v>
      </c>
      <c r="AP673" s="1"/>
      <c r="AQ673" s="11">
        <v>41925</v>
      </c>
      <c r="AR673" s="1" t="s">
        <v>3678</v>
      </c>
      <c r="AS673" s="11">
        <v>42060</v>
      </c>
      <c r="AT673" s="1" t="s">
        <v>49</v>
      </c>
      <c r="AU673" s="1" t="s">
        <v>4171</v>
      </c>
    </row>
    <row r="674" spans="1:47" ht="15" customHeight="1" x14ac:dyDescent="0.25">
      <c r="A674" s="1">
        <v>673</v>
      </c>
      <c r="B674" s="1" t="s">
        <v>1258</v>
      </c>
      <c r="C674" s="1" t="s">
        <v>38</v>
      </c>
      <c r="D674" s="1" t="s">
        <v>2214</v>
      </c>
      <c r="E674" s="5">
        <v>41853</v>
      </c>
      <c r="F674" s="1" t="s">
        <v>627</v>
      </c>
      <c r="G674" s="1" t="s">
        <v>40</v>
      </c>
      <c r="H674" s="1" t="s">
        <v>41</v>
      </c>
      <c r="I674" s="1" t="s">
        <v>2809</v>
      </c>
      <c r="J674" s="1" t="s">
        <v>2955</v>
      </c>
      <c r="K674" s="1">
        <v>38231900</v>
      </c>
      <c r="L674" s="6">
        <v>19.91</v>
      </c>
      <c r="M674" s="1" t="s">
        <v>70</v>
      </c>
      <c r="N674" s="7" t="s">
        <v>44</v>
      </c>
      <c r="O674" s="1" t="s">
        <v>45</v>
      </c>
      <c r="P674" s="8">
        <v>2920</v>
      </c>
      <c r="Q674" s="17">
        <f t="shared" si="71"/>
        <v>58137.2</v>
      </c>
      <c r="R674" s="9">
        <v>742.08</v>
      </c>
      <c r="S674" s="9">
        <v>8.31</v>
      </c>
      <c r="T674" s="9">
        <v>1114.96</v>
      </c>
      <c r="U674" s="10">
        <v>0</v>
      </c>
      <c r="V674" s="1" t="s">
        <v>46</v>
      </c>
      <c r="W674" s="1" t="s">
        <v>2657</v>
      </c>
      <c r="X674" s="1">
        <v>4168261</v>
      </c>
      <c r="Y674" s="11">
        <v>41851</v>
      </c>
      <c r="Z674" s="11">
        <v>41852</v>
      </c>
      <c r="AA674" s="9">
        <f t="shared" si="74"/>
        <v>57386.81</v>
      </c>
      <c r="AB674" s="12">
        <v>80.45</v>
      </c>
      <c r="AC674" s="9">
        <f t="shared" si="72"/>
        <v>4677137.74</v>
      </c>
      <c r="AD674" s="9">
        <f t="shared" si="73"/>
        <v>4616768.8645000001</v>
      </c>
      <c r="AE674" s="1" t="s">
        <v>57</v>
      </c>
      <c r="AF674" s="1" t="s">
        <v>45</v>
      </c>
      <c r="AG674" s="4">
        <f t="shared" si="69"/>
        <v>58137.2</v>
      </c>
      <c r="AH674" s="10">
        <v>58137.2</v>
      </c>
      <c r="AI674" s="10">
        <v>799.61</v>
      </c>
      <c r="AJ674" s="10">
        <v>8.31</v>
      </c>
      <c r="AK674" s="10">
        <v>1114.95</v>
      </c>
      <c r="AL674" s="9">
        <f t="shared" si="70"/>
        <v>56214.329999999994</v>
      </c>
      <c r="AM674" s="1"/>
      <c r="AN674" s="1"/>
      <c r="AO674" s="12" t="e">
        <f>AB674/#REF!</f>
        <v>#REF!</v>
      </c>
      <c r="AP674" s="1"/>
      <c r="AQ674" s="11">
        <v>41925</v>
      </c>
      <c r="AR674" s="1" t="s">
        <v>3679</v>
      </c>
      <c r="AS674" s="11">
        <v>42060</v>
      </c>
      <c r="AT674" s="1" t="s">
        <v>49</v>
      </c>
      <c r="AU674" s="1" t="s">
        <v>4171</v>
      </c>
    </row>
    <row r="675" spans="1:47" ht="15" customHeight="1" x14ac:dyDescent="0.25">
      <c r="A675" s="1">
        <v>674</v>
      </c>
      <c r="B675" s="1" t="s">
        <v>1258</v>
      </c>
      <c r="C675" s="1" t="s">
        <v>38</v>
      </c>
      <c r="D675" s="1">
        <v>9103550498</v>
      </c>
      <c r="E675" s="5">
        <v>41858</v>
      </c>
      <c r="F675" s="1" t="s">
        <v>628</v>
      </c>
      <c r="G675" s="1" t="s">
        <v>40</v>
      </c>
      <c r="H675" s="1" t="s">
        <v>41</v>
      </c>
      <c r="I675" s="1" t="s">
        <v>2809</v>
      </c>
      <c r="J675" s="1" t="s">
        <v>2215</v>
      </c>
      <c r="K675" s="1">
        <v>29161990</v>
      </c>
      <c r="L675" s="6">
        <v>19.78</v>
      </c>
      <c r="M675" s="1" t="s">
        <v>70</v>
      </c>
      <c r="N675" s="7" t="s">
        <v>44</v>
      </c>
      <c r="O675" s="1" t="s">
        <v>53</v>
      </c>
      <c r="P675" s="8">
        <v>2650</v>
      </c>
      <c r="Q675" s="17">
        <f t="shared" si="71"/>
        <v>52417</v>
      </c>
      <c r="R675" s="9">
        <v>900</v>
      </c>
      <c r="S675" s="9">
        <v>7.5</v>
      </c>
      <c r="T675" s="9">
        <v>0</v>
      </c>
      <c r="U675" s="10">
        <v>0</v>
      </c>
      <c r="V675" s="1" t="s">
        <v>46</v>
      </c>
      <c r="W675" s="1" t="s">
        <v>127</v>
      </c>
      <c r="X675" s="1">
        <v>4167598</v>
      </c>
      <c r="Y675" s="11">
        <v>41851</v>
      </c>
      <c r="Z675" s="11">
        <v>41852</v>
      </c>
      <c r="AA675" s="9">
        <f t="shared" si="74"/>
        <v>51509.5</v>
      </c>
      <c r="AB675" s="12">
        <v>59.7</v>
      </c>
      <c r="AC675" s="9">
        <f t="shared" si="72"/>
        <v>3129294.9000000004</v>
      </c>
      <c r="AD675" s="9">
        <f t="shared" si="73"/>
        <v>3075117.1500000004</v>
      </c>
      <c r="AE675" s="1" t="s">
        <v>48</v>
      </c>
      <c r="AF675" s="1" t="s">
        <v>53</v>
      </c>
      <c r="AG675" s="4">
        <f t="shared" si="69"/>
        <v>52417</v>
      </c>
      <c r="AH675" s="10">
        <v>52352</v>
      </c>
      <c r="AI675" s="10">
        <v>860</v>
      </c>
      <c r="AJ675" s="10">
        <v>7.5</v>
      </c>
      <c r="AK675" s="10">
        <v>0</v>
      </c>
      <c r="AL675" s="9">
        <f t="shared" si="70"/>
        <v>51484.5</v>
      </c>
      <c r="AM675" s="1"/>
      <c r="AN675" s="1"/>
      <c r="AO675" s="12" t="e">
        <f>AB675/#REF!</f>
        <v>#REF!</v>
      </c>
      <c r="AP675" s="1" t="s">
        <v>2216</v>
      </c>
      <c r="AQ675" s="11">
        <v>41933</v>
      </c>
      <c r="AR675" s="1" t="s">
        <v>2217</v>
      </c>
      <c r="AS675" s="11">
        <v>41934</v>
      </c>
      <c r="AT675" s="1" t="s">
        <v>49</v>
      </c>
      <c r="AU675" s="1" t="s">
        <v>4171</v>
      </c>
    </row>
    <row r="676" spans="1:47" ht="15" customHeight="1" x14ac:dyDescent="0.25">
      <c r="A676" s="1">
        <v>675</v>
      </c>
      <c r="B676" s="1" t="s">
        <v>1258</v>
      </c>
      <c r="C676" s="1" t="s">
        <v>38</v>
      </c>
      <c r="D676" s="1">
        <v>9103550499</v>
      </c>
      <c r="E676" s="5">
        <v>41859</v>
      </c>
      <c r="F676" s="1" t="s">
        <v>650</v>
      </c>
      <c r="G676" s="1" t="s">
        <v>40</v>
      </c>
      <c r="H676" s="1" t="s">
        <v>41</v>
      </c>
      <c r="I676" s="1" t="s">
        <v>2809</v>
      </c>
      <c r="J676" s="1" t="s">
        <v>63</v>
      </c>
      <c r="K676" s="1">
        <v>29159090</v>
      </c>
      <c r="L676" s="6">
        <v>20</v>
      </c>
      <c r="M676" s="1" t="s">
        <v>70</v>
      </c>
      <c r="N676" s="7" t="s">
        <v>52</v>
      </c>
      <c r="O676" s="1" t="s">
        <v>53</v>
      </c>
      <c r="P676" s="8">
        <v>3600</v>
      </c>
      <c r="Q676" s="17">
        <f t="shared" si="71"/>
        <v>72000</v>
      </c>
      <c r="R676" s="9">
        <v>350</v>
      </c>
      <c r="S676" s="9">
        <v>0</v>
      </c>
      <c r="T676" s="9">
        <v>0</v>
      </c>
      <c r="U676" s="10">
        <v>0</v>
      </c>
      <c r="V676" s="1" t="s">
        <v>46</v>
      </c>
      <c r="W676" s="1" t="s">
        <v>75</v>
      </c>
      <c r="X676" s="1">
        <v>4173654</v>
      </c>
      <c r="Y676" s="11">
        <v>41851</v>
      </c>
      <c r="Z676" s="11">
        <v>41852</v>
      </c>
      <c r="AA676" s="9">
        <f t="shared" si="74"/>
        <v>71650</v>
      </c>
      <c r="AB676" s="12">
        <v>59.7</v>
      </c>
      <c r="AC676" s="9">
        <f t="shared" si="72"/>
        <v>4298400</v>
      </c>
      <c r="AD676" s="9">
        <f t="shared" si="73"/>
        <v>4277505</v>
      </c>
      <c r="AE676" s="1" t="s">
        <v>51</v>
      </c>
      <c r="AF676" s="1" t="s">
        <v>53</v>
      </c>
      <c r="AG676" s="4">
        <f t="shared" si="69"/>
        <v>72000</v>
      </c>
      <c r="AH676" s="10">
        <v>72000</v>
      </c>
      <c r="AI676" s="10">
        <v>380</v>
      </c>
      <c r="AJ676" s="10">
        <v>0</v>
      </c>
      <c r="AK676" s="10">
        <v>0</v>
      </c>
      <c r="AL676" s="9">
        <f t="shared" si="70"/>
        <v>71620</v>
      </c>
      <c r="AM676" s="1"/>
      <c r="AN676" s="1"/>
      <c r="AO676" s="12" t="e">
        <f>AB676/#REF!</f>
        <v>#REF!</v>
      </c>
      <c r="AP676" s="1" t="s">
        <v>2218</v>
      </c>
      <c r="AQ676" s="11">
        <v>41891</v>
      </c>
      <c r="AR676" s="1" t="s">
        <v>2219</v>
      </c>
      <c r="AS676" s="11">
        <v>41906</v>
      </c>
      <c r="AT676" s="1" t="s">
        <v>49</v>
      </c>
      <c r="AU676" s="1" t="s">
        <v>4171</v>
      </c>
    </row>
    <row r="677" spans="1:47" ht="15" customHeight="1" x14ac:dyDescent="0.25">
      <c r="A677" s="1">
        <v>676</v>
      </c>
      <c r="B677" s="1" t="s">
        <v>1258</v>
      </c>
      <c r="C677" s="1" t="s">
        <v>38</v>
      </c>
      <c r="D677" s="1">
        <v>9103550500</v>
      </c>
      <c r="E677" s="5">
        <v>41854</v>
      </c>
      <c r="F677" s="1" t="s">
        <v>629</v>
      </c>
      <c r="G677" s="1" t="s">
        <v>40</v>
      </c>
      <c r="H677" s="1" t="s">
        <v>41</v>
      </c>
      <c r="I677" s="1" t="s">
        <v>2809</v>
      </c>
      <c r="J677" s="1" t="s">
        <v>1092</v>
      </c>
      <c r="K677" s="1">
        <v>38237090</v>
      </c>
      <c r="L677" s="6">
        <v>10</v>
      </c>
      <c r="M677" s="1" t="s">
        <v>70</v>
      </c>
      <c r="N677" s="7" t="s">
        <v>44</v>
      </c>
      <c r="O677" s="1" t="s">
        <v>53</v>
      </c>
      <c r="P677" s="8">
        <v>1670</v>
      </c>
      <c r="Q677" s="17">
        <f t="shared" si="71"/>
        <v>16700</v>
      </c>
      <c r="R677" s="9">
        <v>450</v>
      </c>
      <c r="S677" s="9">
        <v>2.39</v>
      </c>
      <c r="T677" s="9">
        <v>0</v>
      </c>
      <c r="U677" s="10">
        <v>0</v>
      </c>
      <c r="V677" s="1" t="s">
        <v>46</v>
      </c>
      <c r="W677" s="1" t="s">
        <v>143</v>
      </c>
      <c r="X677" s="1">
        <v>4177472</v>
      </c>
      <c r="Y677" s="11">
        <v>41851</v>
      </c>
      <c r="Z677" s="11">
        <v>41852</v>
      </c>
      <c r="AA677" s="9">
        <f t="shared" si="74"/>
        <v>16247.61</v>
      </c>
      <c r="AB677" s="12">
        <v>59.7</v>
      </c>
      <c r="AC677" s="9">
        <f t="shared" si="72"/>
        <v>996990</v>
      </c>
      <c r="AD677" s="9">
        <f t="shared" si="73"/>
        <v>969982.31700000004</v>
      </c>
      <c r="AE677" s="1" t="s">
        <v>48</v>
      </c>
      <c r="AF677" s="1" t="s">
        <v>53</v>
      </c>
      <c r="AG677" s="4">
        <f t="shared" si="69"/>
        <v>16700</v>
      </c>
      <c r="AH677" s="10">
        <v>16700</v>
      </c>
      <c r="AI677" s="10">
        <v>353.5</v>
      </c>
      <c r="AJ677" s="10">
        <v>1.85</v>
      </c>
      <c r="AK677" s="10">
        <v>0</v>
      </c>
      <c r="AL677" s="9">
        <f t="shared" si="70"/>
        <v>16344.65</v>
      </c>
      <c r="AM677" s="1"/>
      <c r="AN677" s="1"/>
      <c r="AO677" s="12" t="e">
        <f>AB677/#REF!</f>
        <v>#REF!</v>
      </c>
      <c r="AP677" s="1" t="s">
        <v>2220</v>
      </c>
      <c r="AQ677" s="11">
        <v>41899</v>
      </c>
      <c r="AR677" s="1" t="s">
        <v>2221</v>
      </c>
      <c r="AS677" s="11">
        <v>41901</v>
      </c>
      <c r="AT677" s="1" t="s">
        <v>49</v>
      </c>
      <c r="AU677" s="1" t="s">
        <v>4171</v>
      </c>
    </row>
    <row r="678" spans="1:47" ht="15" customHeight="1" x14ac:dyDescent="0.25">
      <c r="A678" s="1">
        <v>677</v>
      </c>
      <c r="B678" s="1" t="s">
        <v>1258</v>
      </c>
      <c r="C678" s="1" t="s">
        <v>38</v>
      </c>
      <c r="D678" s="1">
        <v>9103550500</v>
      </c>
      <c r="E678" s="5">
        <v>41854</v>
      </c>
      <c r="F678" s="1" t="s">
        <v>629</v>
      </c>
      <c r="G678" s="1" t="s">
        <v>40</v>
      </c>
      <c r="H678" s="1" t="s">
        <v>41</v>
      </c>
      <c r="I678" s="1" t="s">
        <v>2809</v>
      </c>
      <c r="J678" s="1" t="s">
        <v>1092</v>
      </c>
      <c r="K678" s="1">
        <v>29051700</v>
      </c>
      <c r="L678" s="6">
        <v>5</v>
      </c>
      <c r="M678" s="1" t="s">
        <v>70</v>
      </c>
      <c r="N678" s="7" t="s">
        <v>44</v>
      </c>
      <c r="O678" s="1" t="s">
        <v>53</v>
      </c>
      <c r="P678" s="8">
        <v>1835</v>
      </c>
      <c r="Q678" s="17">
        <f t="shared" si="71"/>
        <v>9175</v>
      </c>
      <c r="R678" s="9">
        <v>225</v>
      </c>
      <c r="S678" s="9">
        <v>1.31</v>
      </c>
      <c r="T678" s="9">
        <v>0</v>
      </c>
      <c r="U678" s="10">
        <v>0</v>
      </c>
      <c r="V678" s="1" t="s">
        <v>46</v>
      </c>
      <c r="W678" s="1" t="s">
        <v>143</v>
      </c>
      <c r="X678" s="1">
        <v>4177472</v>
      </c>
      <c r="Y678" s="11">
        <v>41851</v>
      </c>
      <c r="Z678" s="11">
        <v>41852</v>
      </c>
      <c r="AA678" s="9">
        <f t="shared" si="74"/>
        <v>8948.69</v>
      </c>
      <c r="AB678" s="12">
        <v>59.7</v>
      </c>
      <c r="AC678" s="9">
        <f t="shared" si="72"/>
        <v>547747.5</v>
      </c>
      <c r="AD678" s="9">
        <f t="shared" si="73"/>
        <v>534236.79300000006</v>
      </c>
      <c r="AE678" s="1" t="s">
        <v>48</v>
      </c>
      <c r="AF678" s="1" t="s">
        <v>53</v>
      </c>
      <c r="AG678" s="4">
        <f t="shared" si="69"/>
        <v>9175</v>
      </c>
      <c r="AH678" s="10">
        <v>9175</v>
      </c>
      <c r="AI678" s="10">
        <v>353.5</v>
      </c>
      <c r="AJ678" s="10">
        <v>1.85</v>
      </c>
      <c r="AK678" s="10"/>
      <c r="AL678" s="9">
        <f t="shared" si="70"/>
        <v>8819.65</v>
      </c>
      <c r="AM678" s="1"/>
      <c r="AN678" s="1"/>
      <c r="AO678" s="12" t="e">
        <f>AB678/#REF!</f>
        <v>#REF!</v>
      </c>
      <c r="AP678" s="1" t="s">
        <v>2220</v>
      </c>
      <c r="AQ678" s="11">
        <v>41900</v>
      </c>
      <c r="AR678" s="1" t="s">
        <v>2222</v>
      </c>
      <c r="AS678" s="11">
        <v>41901</v>
      </c>
      <c r="AT678" s="1" t="s">
        <v>49</v>
      </c>
      <c r="AU678" s="1" t="s">
        <v>4171</v>
      </c>
    </row>
    <row r="679" spans="1:47" ht="15" customHeight="1" x14ac:dyDescent="0.25">
      <c r="A679" s="1">
        <v>678</v>
      </c>
      <c r="B679" s="1" t="s">
        <v>1258</v>
      </c>
      <c r="C679" s="1" t="s">
        <v>38</v>
      </c>
      <c r="D679" s="1">
        <v>9103550501</v>
      </c>
      <c r="E679" s="5">
        <v>41854</v>
      </c>
      <c r="F679" s="1" t="s">
        <v>651</v>
      </c>
      <c r="G679" s="1" t="s">
        <v>40</v>
      </c>
      <c r="H679" s="1" t="s">
        <v>41</v>
      </c>
      <c r="I679" s="1" t="s">
        <v>2809</v>
      </c>
      <c r="J679" s="1" t="s">
        <v>1092</v>
      </c>
      <c r="K679" s="1">
        <v>38237090</v>
      </c>
      <c r="L679" s="6">
        <v>10</v>
      </c>
      <c r="M679" s="1" t="s">
        <v>70</v>
      </c>
      <c r="N679" s="7" t="s">
        <v>44</v>
      </c>
      <c r="O679" s="1" t="s">
        <v>53</v>
      </c>
      <c r="P679" s="8">
        <v>1670</v>
      </c>
      <c r="Q679" s="17">
        <f t="shared" si="71"/>
        <v>16700</v>
      </c>
      <c r="R679" s="9">
        <v>450</v>
      </c>
      <c r="S679" s="9">
        <v>2.39</v>
      </c>
      <c r="T679" s="9">
        <v>0</v>
      </c>
      <c r="U679" s="10">
        <v>0</v>
      </c>
      <c r="V679" s="1" t="s">
        <v>46</v>
      </c>
      <c r="W679" s="1" t="s">
        <v>143</v>
      </c>
      <c r="X679" s="1">
        <v>4178634</v>
      </c>
      <c r="Y679" s="11">
        <v>41851</v>
      </c>
      <c r="Z679" s="11">
        <v>41852</v>
      </c>
      <c r="AA679" s="9">
        <f t="shared" si="74"/>
        <v>16247.61</v>
      </c>
      <c r="AB679" s="12">
        <v>59.7</v>
      </c>
      <c r="AC679" s="9">
        <f t="shared" si="72"/>
        <v>996990</v>
      </c>
      <c r="AD679" s="9">
        <f t="shared" si="73"/>
        <v>969982.31700000004</v>
      </c>
      <c r="AE679" s="1" t="s">
        <v>48</v>
      </c>
      <c r="AF679" s="1" t="s">
        <v>53</v>
      </c>
      <c r="AG679" s="4">
        <f t="shared" si="69"/>
        <v>16700</v>
      </c>
      <c r="AH679" s="10">
        <v>16700</v>
      </c>
      <c r="AI679" s="10">
        <v>456.3</v>
      </c>
      <c r="AJ679" s="9">
        <v>2.39</v>
      </c>
      <c r="AK679" s="10">
        <v>0</v>
      </c>
      <c r="AL679" s="9">
        <f t="shared" si="70"/>
        <v>16241.31</v>
      </c>
      <c r="AM679" s="1"/>
      <c r="AN679" s="1"/>
      <c r="AO679" s="12" t="e">
        <f>AB679/#REF!</f>
        <v>#REF!</v>
      </c>
      <c r="AP679" s="1" t="s">
        <v>2223</v>
      </c>
      <c r="AQ679" s="11">
        <v>41899</v>
      </c>
      <c r="AR679" s="1" t="s">
        <v>2224</v>
      </c>
      <c r="AS679" s="11">
        <v>41901</v>
      </c>
      <c r="AT679" s="1" t="s">
        <v>49</v>
      </c>
      <c r="AU679" s="1" t="s">
        <v>4171</v>
      </c>
    </row>
    <row r="680" spans="1:47" ht="15" customHeight="1" x14ac:dyDescent="0.25">
      <c r="A680" s="1">
        <v>679</v>
      </c>
      <c r="B680" s="1" t="s">
        <v>1258</v>
      </c>
      <c r="C680" s="1" t="s">
        <v>38</v>
      </c>
      <c r="D680" s="1">
        <v>9103550501</v>
      </c>
      <c r="E680" s="5">
        <v>41854</v>
      </c>
      <c r="F680" s="1" t="s">
        <v>651</v>
      </c>
      <c r="G680" s="1" t="s">
        <v>40</v>
      </c>
      <c r="H680" s="1" t="s">
        <v>41</v>
      </c>
      <c r="I680" s="1" t="s">
        <v>2809</v>
      </c>
      <c r="J680" s="1" t="s">
        <v>1092</v>
      </c>
      <c r="K680" s="1">
        <v>38237090</v>
      </c>
      <c r="L680" s="6">
        <v>5</v>
      </c>
      <c r="M680" s="1" t="s">
        <v>70</v>
      </c>
      <c r="N680" s="7" t="s">
        <v>44</v>
      </c>
      <c r="O680" s="1" t="s">
        <v>53</v>
      </c>
      <c r="P680" s="8">
        <v>1835</v>
      </c>
      <c r="Q680" s="17">
        <f t="shared" si="71"/>
        <v>9175</v>
      </c>
      <c r="R680" s="9">
        <v>225</v>
      </c>
      <c r="S680" s="9">
        <v>1.31</v>
      </c>
      <c r="T680" s="9">
        <v>0</v>
      </c>
      <c r="U680" s="10">
        <v>0</v>
      </c>
      <c r="V680" s="1" t="s">
        <v>46</v>
      </c>
      <c r="W680" s="1" t="s">
        <v>143</v>
      </c>
      <c r="X680" s="1">
        <v>4178634</v>
      </c>
      <c r="Y680" s="11">
        <v>41851</v>
      </c>
      <c r="Z680" s="11">
        <v>41852</v>
      </c>
      <c r="AA680" s="9">
        <f t="shared" si="74"/>
        <v>8948.69</v>
      </c>
      <c r="AB680" s="12">
        <v>59.7</v>
      </c>
      <c r="AC680" s="9">
        <f t="shared" si="72"/>
        <v>547747.5</v>
      </c>
      <c r="AD680" s="9">
        <f t="shared" si="73"/>
        <v>534236.79300000006</v>
      </c>
      <c r="AE680" s="1" t="s">
        <v>48</v>
      </c>
      <c r="AF680" s="1" t="s">
        <v>53</v>
      </c>
      <c r="AG680" s="4">
        <f t="shared" si="69"/>
        <v>9175</v>
      </c>
      <c r="AH680" s="10">
        <v>9175</v>
      </c>
      <c r="AI680" s="10">
        <v>250.7</v>
      </c>
      <c r="AJ680" s="9">
        <v>1.31</v>
      </c>
      <c r="AK680" s="10"/>
      <c r="AL680" s="9">
        <f t="shared" si="70"/>
        <v>8922.99</v>
      </c>
      <c r="AM680" s="1"/>
      <c r="AN680" s="1"/>
      <c r="AO680" s="12" t="e">
        <f>AB680/#REF!</f>
        <v>#REF!</v>
      </c>
      <c r="AP680" s="1" t="s">
        <v>2223</v>
      </c>
      <c r="AQ680" s="11">
        <v>41900</v>
      </c>
      <c r="AR680" s="1" t="s">
        <v>2225</v>
      </c>
      <c r="AS680" s="11">
        <v>41901</v>
      </c>
      <c r="AT680" s="1" t="s">
        <v>49</v>
      </c>
      <c r="AU680" s="1" t="s">
        <v>4171</v>
      </c>
    </row>
    <row r="681" spans="1:47" ht="15" customHeight="1" x14ac:dyDescent="0.25">
      <c r="A681" s="1">
        <v>680</v>
      </c>
      <c r="B681" s="1" t="s">
        <v>1258</v>
      </c>
      <c r="C681" s="1" t="s">
        <v>38</v>
      </c>
      <c r="D681" s="1">
        <v>9103550502</v>
      </c>
      <c r="E681" s="5">
        <v>41855</v>
      </c>
      <c r="F681" s="1" t="s">
        <v>641</v>
      </c>
      <c r="G681" s="1" t="s">
        <v>40</v>
      </c>
      <c r="H681" s="1" t="s">
        <v>41</v>
      </c>
      <c r="I681" s="1" t="s">
        <v>2809</v>
      </c>
      <c r="J681" s="1" t="s">
        <v>187</v>
      </c>
      <c r="K681" s="1">
        <v>38237090</v>
      </c>
      <c r="L681" s="6">
        <v>37.17</v>
      </c>
      <c r="M681" s="1" t="s">
        <v>70</v>
      </c>
      <c r="N681" s="7" t="s">
        <v>44</v>
      </c>
      <c r="O681" s="1" t="s">
        <v>53</v>
      </c>
      <c r="P681" s="8">
        <v>1643</v>
      </c>
      <c r="Q681" s="17">
        <f t="shared" si="71"/>
        <v>61070.310000000005</v>
      </c>
      <c r="R681" s="9">
        <v>6000</v>
      </c>
      <c r="S681" s="9">
        <v>8.73</v>
      </c>
      <c r="T681" s="9">
        <v>0</v>
      </c>
      <c r="U681" s="10">
        <v>0</v>
      </c>
      <c r="V681" s="1" t="s">
        <v>46</v>
      </c>
      <c r="W681" s="1" t="s">
        <v>56</v>
      </c>
      <c r="X681" s="1">
        <v>4179571</v>
      </c>
      <c r="Y681" s="11">
        <v>41851</v>
      </c>
      <c r="Z681" s="11">
        <v>41852</v>
      </c>
      <c r="AA681" s="9">
        <f t="shared" si="74"/>
        <v>55061.58</v>
      </c>
      <c r="AB681" s="12">
        <v>59.7</v>
      </c>
      <c r="AC681" s="9">
        <f t="shared" si="72"/>
        <v>3645897.5070000007</v>
      </c>
      <c r="AD681" s="9">
        <f t="shared" si="73"/>
        <v>3287176.3260000004</v>
      </c>
      <c r="AE681" s="1" t="s">
        <v>48</v>
      </c>
      <c r="AF681" s="1" t="s">
        <v>53</v>
      </c>
      <c r="AG681" s="4">
        <f t="shared" si="69"/>
        <v>61070.310000000005</v>
      </c>
      <c r="AH681" s="10">
        <v>61070.31</v>
      </c>
      <c r="AI681" s="10">
        <v>6000</v>
      </c>
      <c r="AJ681" s="10">
        <v>8.73</v>
      </c>
      <c r="AK681" s="10">
        <v>0</v>
      </c>
      <c r="AL681" s="9">
        <f t="shared" si="70"/>
        <v>55061.58</v>
      </c>
      <c r="AM681" s="1"/>
      <c r="AN681" s="1"/>
      <c r="AO681" s="12" t="e">
        <f>AB681/#REF!</f>
        <v>#REF!</v>
      </c>
      <c r="AP681" s="1" t="s">
        <v>2226</v>
      </c>
      <c r="AQ681" s="11">
        <v>41893</v>
      </c>
      <c r="AR681" s="1" t="s">
        <v>2227</v>
      </c>
      <c r="AS681" s="11">
        <v>41894</v>
      </c>
      <c r="AT681" s="1" t="s">
        <v>49</v>
      </c>
      <c r="AU681" s="1" t="s">
        <v>4171</v>
      </c>
    </row>
    <row r="682" spans="1:47" ht="15" customHeight="1" x14ac:dyDescent="0.25">
      <c r="A682" s="1">
        <v>681</v>
      </c>
      <c r="B682" s="1" t="s">
        <v>1258</v>
      </c>
      <c r="C682" s="1" t="s">
        <v>38</v>
      </c>
      <c r="D682" s="1">
        <v>9103550503</v>
      </c>
      <c r="E682" s="5">
        <v>41859</v>
      </c>
      <c r="F682" s="1" t="s">
        <v>633</v>
      </c>
      <c r="G682" s="1" t="s">
        <v>40</v>
      </c>
      <c r="H682" s="1" t="s">
        <v>41</v>
      </c>
      <c r="I682" s="1" t="s">
        <v>2809</v>
      </c>
      <c r="J682" s="1" t="s">
        <v>63</v>
      </c>
      <c r="K682" s="1">
        <v>29161990</v>
      </c>
      <c r="L682" s="6">
        <v>19.739999999999998</v>
      </c>
      <c r="M682" s="1" t="s">
        <v>70</v>
      </c>
      <c r="N682" s="7" t="s">
        <v>44</v>
      </c>
      <c r="O682" s="1" t="s">
        <v>53</v>
      </c>
      <c r="P682" s="8">
        <v>2570</v>
      </c>
      <c r="Q682" s="17">
        <f t="shared" si="71"/>
        <v>50731.799999999996</v>
      </c>
      <c r="R682" s="9">
        <v>450</v>
      </c>
      <c r="S682" s="9">
        <v>7.25</v>
      </c>
      <c r="T682" s="9">
        <v>0</v>
      </c>
      <c r="U682" s="10">
        <v>0</v>
      </c>
      <c r="V682" s="1" t="s">
        <v>46</v>
      </c>
      <c r="W682" s="1" t="s">
        <v>64</v>
      </c>
      <c r="X682" s="1">
        <v>4180164</v>
      </c>
      <c r="Y682" s="11">
        <v>41851</v>
      </c>
      <c r="Z682" s="11">
        <v>41852</v>
      </c>
      <c r="AA682" s="9">
        <f t="shared" si="74"/>
        <v>50274.549999999996</v>
      </c>
      <c r="AB682" s="12">
        <v>59.7</v>
      </c>
      <c r="AC682" s="9">
        <f t="shared" si="72"/>
        <v>3028688.46</v>
      </c>
      <c r="AD682" s="9">
        <f t="shared" si="73"/>
        <v>3001390.6349999998</v>
      </c>
      <c r="AE682" s="1" t="s">
        <v>51</v>
      </c>
      <c r="AF682" s="1" t="s">
        <v>53</v>
      </c>
      <c r="AG682" s="4">
        <f t="shared" si="69"/>
        <v>50731.799999999996</v>
      </c>
      <c r="AH682" s="10">
        <v>50731</v>
      </c>
      <c r="AI682" s="10">
        <v>450</v>
      </c>
      <c r="AJ682" s="10">
        <v>7.25</v>
      </c>
      <c r="AK682" s="10">
        <v>0</v>
      </c>
      <c r="AL682" s="9">
        <f t="shared" si="70"/>
        <v>50273.75</v>
      </c>
      <c r="AM682" s="1"/>
      <c r="AN682" s="1"/>
      <c r="AO682" s="12" t="e">
        <f>AB682/#REF!</f>
        <v>#REF!</v>
      </c>
      <c r="AP682" s="1"/>
      <c r="AQ682" s="11">
        <v>41879</v>
      </c>
      <c r="AR682" s="1" t="s">
        <v>3343</v>
      </c>
      <c r="AS682" s="11">
        <v>42107</v>
      </c>
      <c r="AT682" s="1" t="s">
        <v>49</v>
      </c>
      <c r="AU682" s="1" t="s">
        <v>4171</v>
      </c>
    </row>
    <row r="683" spans="1:47" ht="15" customHeight="1" x14ac:dyDescent="0.25">
      <c r="A683" s="1">
        <v>682</v>
      </c>
      <c r="B683" s="1" t="s">
        <v>1258</v>
      </c>
      <c r="C683" s="1" t="s">
        <v>38</v>
      </c>
      <c r="D683" s="1">
        <v>9103550507</v>
      </c>
      <c r="E683" s="5">
        <v>41859</v>
      </c>
      <c r="F683" s="1" t="s">
        <v>639</v>
      </c>
      <c r="G683" s="1" t="s">
        <v>40</v>
      </c>
      <c r="H683" s="1" t="s">
        <v>41</v>
      </c>
      <c r="I683" s="1" t="s">
        <v>2809</v>
      </c>
      <c r="J683" s="1" t="s">
        <v>63</v>
      </c>
      <c r="K683" s="1">
        <v>29161990</v>
      </c>
      <c r="L683" s="6">
        <v>19.72</v>
      </c>
      <c r="M683" s="1" t="s">
        <v>70</v>
      </c>
      <c r="N683" s="7" t="s">
        <v>44</v>
      </c>
      <c r="O683" s="1" t="s">
        <v>53</v>
      </c>
      <c r="P683" s="8">
        <v>2570</v>
      </c>
      <c r="Q683" s="17">
        <f t="shared" si="71"/>
        <v>50680.399999999994</v>
      </c>
      <c r="R683" s="9">
        <v>450</v>
      </c>
      <c r="S683" s="9">
        <v>7.25</v>
      </c>
      <c r="T683" s="9">
        <v>0</v>
      </c>
      <c r="U683" s="10">
        <v>0</v>
      </c>
      <c r="V683" s="1" t="s">
        <v>46</v>
      </c>
      <c r="W683" s="1" t="s">
        <v>64</v>
      </c>
      <c r="X683" s="1">
        <v>4209812</v>
      </c>
      <c r="Y683" s="11">
        <v>41853</v>
      </c>
      <c r="Z683" s="11">
        <v>41855</v>
      </c>
      <c r="AA683" s="9">
        <f t="shared" si="74"/>
        <v>50223.149999999994</v>
      </c>
      <c r="AB683" s="12">
        <v>59.7</v>
      </c>
      <c r="AC683" s="9">
        <f t="shared" si="72"/>
        <v>3025619.88</v>
      </c>
      <c r="AD683" s="9">
        <f t="shared" si="73"/>
        <v>2998322.0549999997</v>
      </c>
      <c r="AE683" s="1" t="s">
        <v>51</v>
      </c>
      <c r="AF683" s="1" t="s">
        <v>53</v>
      </c>
      <c r="AG683" s="4">
        <f t="shared" si="69"/>
        <v>50680.399999999994</v>
      </c>
      <c r="AH683" s="10">
        <v>50640</v>
      </c>
      <c r="AI683" s="10">
        <v>450</v>
      </c>
      <c r="AJ683" s="10">
        <v>7.25</v>
      </c>
      <c r="AK683" s="10">
        <v>0</v>
      </c>
      <c r="AL683" s="9">
        <f t="shared" si="70"/>
        <v>50182.75</v>
      </c>
      <c r="AM683" s="1"/>
      <c r="AN683" s="1"/>
      <c r="AO683" s="12" t="e">
        <f>AB683/#REF!</f>
        <v>#REF!</v>
      </c>
      <c r="AP683" s="1"/>
      <c r="AQ683" s="11">
        <v>41879</v>
      </c>
      <c r="AR683" s="1" t="s">
        <v>3344</v>
      </c>
      <c r="AS683" s="11">
        <v>42107</v>
      </c>
      <c r="AT683" s="1" t="s">
        <v>49</v>
      </c>
      <c r="AU683" s="1" t="s">
        <v>4171</v>
      </c>
    </row>
    <row r="684" spans="1:47" ht="15" customHeight="1" x14ac:dyDescent="0.25">
      <c r="A684" s="1">
        <v>683</v>
      </c>
      <c r="B684" s="1" t="s">
        <v>1258</v>
      </c>
      <c r="C684" s="1" t="s">
        <v>38</v>
      </c>
      <c r="D684" s="1">
        <v>9103550504</v>
      </c>
      <c r="E684" s="5">
        <v>41862</v>
      </c>
      <c r="F684" s="1" t="s">
        <v>630</v>
      </c>
      <c r="G684" s="1" t="s">
        <v>40</v>
      </c>
      <c r="H684" s="1" t="s">
        <v>41</v>
      </c>
      <c r="I684" s="1" t="s">
        <v>2809</v>
      </c>
      <c r="J684" s="1" t="s">
        <v>487</v>
      </c>
      <c r="K684" s="1">
        <v>29051700</v>
      </c>
      <c r="L684" s="6">
        <v>12</v>
      </c>
      <c r="M684" s="1" t="s">
        <v>70</v>
      </c>
      <c r="N684" s="7" t="s">
        <v>44</v>
      </c>
      <c r="O684" s="1" t="s">
        <v>53</v>
      </c>
      <c r="P684" s="8">
        <v>1820</v>
      </c>
      <c r="Q684" s="17">
        <f t="shared" si="71"/>
        <v>21840</v>
      </c>
      <c r="R684" s="9">
        <v>880</v>
      </c>
      <c r="S684" s="9">
        <v>3.12</v>
      </c>
      <c r="T684" s="9">
        <v>408</v>
      </c>
      <c r="U684" s="10">
        <v>0</v>
      </c>
      <c r="V684" s="1" t="s">
        <v>46</v>
      </c>
      <c r="W684" s="1" t="s">
        <v>90</v>
      </c>
      <c r="X684" s="1">
        <v>4196018</v>
      </c>
      <c r="Y684" s="11">
        <v>41852</v>
      </c>
      <c r="Z684" s="11">
        <v>41853</v>
      </c>
      <c r="AA684" s="9">
        <f t="shared" si="74"/>
        <v>20956.88</v>
      </c>
      <c r="AB684" s="12">
        <v>59.7</v>
      </c>
      <c r="AC684" s="9">
        <f t="shared" si="72"/>
        <v>1303848</v>
      </c>
      <c r="AD684" s="9">
        <f t="shared" si="73"/>
        <v>1251125.736</v>
      </c>
      <c r="AE684" s="1" t="s">
        <v>48</v>
      </c>
      <c r="AF684" s="1" t="s">
        <v>53</v>
      </c>
      <c r="AG684" s="4">
        <f t="shared" si="69"/>
        <v>21840</v>
      </c>
      <c r="AH684" s="10">
        <v>21800</v>
      </c>
      <c r="AI684" s="10">
        <v>871.2</v>
      </c>
      <c r="AJ684" s="10">
        <v>2.96</v>
      </c>
      <c r="AK684" s="10">
        <v>409.51</v>
      </c>
      <c r="AL684" s="9">
        <f t="shared" si="70"/>
        <v>20516.330000000002</v>
      </c>
      <c r="AM684" s="1"/>
      <c r="AN684" s="1"/>
      <c r="AO684" s="12" t="e">
        <f>AB684/#REF!</f>
        <v>#REF!</v>
      </c>
      <c r="AP684" s="1" t="s">
        <v>2228</v>
      </c>
      <c r="AQ684" s="11">
        <v>41899</v>
      </c>
      <c r="AR684" s="1" t="s">
        <v>2229</v>
      </c>
      <c r="AS684" s="11">
        <v>41901</v>
      </c>
      <c r="AT684" s="1" t="s">
        <v>49</v>
      </c>
      <c r="AU684" s="1" t="s">
        <v>4171</v>
      </c>
    </row>
    <row r="685" spans="1:47" ht="15" customHeight="1" x14ac:dyDescent="0.25">
      <c r="A685" s="1">
        <v>684</v>
      </c>
      <c r="B685" s="1" t="s">
        <v>1258</v>
      </c>
      <c r="C685" s="1" t="s">
        <v>38</v>
      </c>
      <c r="D685" s="1">
        <v>9103550504</v>
      </c>
      <c r="E685" s="5">
        <v>41862</v>
      </c>
      <c r="F685" s="1" t="s">
        <v>630</v>
      </c>
      <c r="G685" s="1" t="s">
        <v>40</v>
      </c>
      <c r="H685" s="1" t="s">
        <v>41</v>
      </c>
      <c r="I685" s="1" t="s">
        <v>2809</v>
      </c>
      <c r="J685" s="1" t="s">
        <v>487</v>
      </c>
      <c r="K685" s="1">
        <v>38237090</v>
      </c>
      <c r="L685" s="6">
        <v>3</v>
      </c>
      <c r="M685" s="1" t="s">
        <v>70</v>
      </c>
      <c r="N685" s="7" t="s">
        <v>44</v>
      </c>
      <c r="O685" s="1" t="s">
        <v>53</v>
      </c>
      <c r="P685" s="8">
        <v>1790</v>
      </c>
      <c r="Q685" s="17">
        <f t="shared" si="71"/>
        <v>5370</v>
      </c>
      <c r="R685" s="9">
        <v>220</v>
      </c>
      <c r="S685" s="9">
        <v>0.77</v>
      </c>
      <c r="T685" s="9">
        <v>102</v>
      </c>
      <c r="U685" s="10">
        <v>0</v>
      </c>
      <c r="V685" s="1" t="s">
        <v>46</v>
      </c>
      <c r="W685" s="1" t="s">
        <v>90</v>
      </c>
      <c r="X685" s="1">
        <v>4196018</v>
      </c>
      <c r="Y685" s="11">
        <v>41852</v>
      </c>
      <c r="Z685" s="11">
        <v>41853</v>
      </c>
      <c r="AA685" s="9">
        <f t="shared" si="74"/>
        <v>5149.2299999999996</v>
      </c>
      <c r="AB685" s="12">
        <v>59.7</v>
      </c>
      <c r="AC685" s="9">
        <f t="shared" si="72"/>
        <v>320589</v>
      </c>
      <c r="AD685" s="9">
        <f t="shared" si="73"/>
        <v>307409.03100000002</v>
      </c>
      <c r="AE685" s="1" t="s">
        <v>48</v>
      </c>
      <c r="AF685" s="1" t="s">
        <v>53</v>
      </c>
      <c r="AG685" s="4">
        <f t="shared" si="69"/>
        <v>5370</v>
      </c>
      <c r="AH685" s="10">
        <v>5350</v>
      </c>
      <c r="AI685" s="10">
        <v>213.8</v>
      </c>
      <c r="AJ685" s="10">
        <v>0.73</v>
      </c>
      <c r="AK685" s="10">
        <v>100.49</v>
      </c>
      <c r="AL685" s="9">
        <f t="shared" si="70"/>
        <v>5034.9799999999996</v>
      </c>
      <c r="AM685" s="1"/>
      <c r="AN685" s="1"/>
      <c r="AO685" s="12" t="e">
        <f>AB685/#REF!</f>
        <v>#REF!</v>
      </c>
      <c r="AP685" s="1" t="s">
        <v>2228</v>
      </c>
      <c r="AQ685" s="11">
        <v>41899</v>
      </c>
      <c r="AR685" s="1" t="s">
        <v>2229</v>
      </c>
      <c r="AS685" s="11">
        <v>41901</v>
      </c>
      <c r="AT685" s="1" t="s">
        <v>49</v>
      </c>
      <c r="AU685" s="1" t="s">
        <v>4171</v>
      </c>
    </row>
    <row r="686" spans="1:47" ht="15" customHeight="1" x14ac:dyDescent="0.25">
      <c r="A686" s="1">
        <v>685</v>
      </c>
      <c r="B686" s="1" t="s">
        <v>1258</v>
      </c>
      <c r="C686" s="1" t="s">
        <v>38</v>
      </c>
      <c r="D686" s="1">
        <v>9103550505</v>
      </c>
      <c r="E686" s="5">
        <v>41856</v>
      </c>
      <c r="F686" s="1" t="s">
        <v>652</v>
      </c>
      <c r="G686" s="1" t="s">
        <v>40</v>
      </c>
      <c r="H686" s="1" t="s">
        <v>41</v>
      </c>
      <c r="I686" s="1" t="s">
        <v>2809</v>
      </c>
      <c r="J686" s="1" t="s">
        <v>76</v>
      </c>
      <c r="K686" s="1">
        <v>29161990</v>
      </c>
      <c r="L686" s="6">
        <v>17.97</v>
      </c>
      <c r="M686" s="1" t="s">
        <v>70</v>
      </c>
      <c r="N686" s="7" t="s">
        <v>44</v>
      </c>
      <c r="O686" s="1" t="s">
        <v>53</v>
      </c>
      <c r="P686" s="8">
        <v>2686</v>
      </c>
      <c r="Q686" s="17">
        <f t="shared" si="71"/>
        <v>48267.42</v>
      </c>
      <c r="R686" s="9">
        <v>450</v>
      </c>
      <c r="S686" s="9">
        <v>6.9</v>
      </c>
      <c r="T686" s="9">
        <v>0</v>
      </c>
      <c r="U686" s="10">
        <v>0</v>
      </c>
      <c r="V686" s="1" t="s">
        <v>46</v>
      </c>
      <c r="W686" s="1" t="s">
        <v>690</v>
      </c>
      <c r="X686" s="1">
        <v>4196019</v>
      </c>
      <c r="Y686" s="11">
        <v>41852</v>
      </c>
      <c r="Z686" s="11">
        <v>41853</v>
      </c>
      <c r="AA686" s="9">
        <f t="shared" si="74"/>
        <v>47810.52</v>
      </c>
      <c r="AB686" s="12">
        <v>59.7</v>
      </c>
      <c r="AC686" s="9">
        <f t="shared" si="72"/>
        <v>2881564.9739999999</v>
      </c>
      <c r="AD686" s="9">
        <f t="shared" si="73"/>
        <v>2854288.0439999998</v>
      </c>
      <c r="AE686" s="1" t="s">
        <v>48</v>
      </c>
      <c r="AF686" s="1" t="s">
        <v>53</v>
      </c>
      <c r="AG686" s="4">
        <f t="shared" si="69"/>
        <v>48267.42</v>
      </c>
      <c r="AH686" s="10">
        <v>48267.42</v>
      </c>
      <c r="AI686" s="10">
        <v>450</v>
      </c>
      <c r="AJ686" s="10">
        <v>6.9</v>
      </c>
      <c r="AK686" s="10">
        <v>0</v>
      </c>
      <c r="AL686" s="9">
        <f t="shared" si="70"/>
        <v>47810.52</v>
      </c>
      <c r="AM686" s="1"/>
      <c r="AN686" s="1"/>
      <c r="AO686" s="12" t="e">
        <f>AB686/#REF!</f>
        <v>#REF!</v>
      </c>
      <c r="AP686" s="1" t="s">
        <v>2230</v>
      </c>
      <c r="AQ686" s="11">
        <v>42032</v>
      </c>
      <c r="AR686" s="1" t="s">
        <v>2231</v>
      </c>
      <c r="AS686" s="11">
        <v>42038</v>
      </c>
      <c r="AT686" s="1" t="s">
        <v>49</v>
      </c>
      <c r="AU686" s="1" t="s">
        <v>4171</v>
      </c>
    </row>
    <row r="687" spans="1:47" ht="15" customHeight="1" x14ac:dyDescent="0.25">
      <c r="A687" s="1">
        <v>686</v>
      </c>
      <c r="B687" s="1" t="s">
        <v>1258</v>
      </c>
      <c r="C687" s="1" t="s">
        <v>38</v>
      </c>
      <c r="D687" s="1">
        <v>9103550506</v>
      </c>
      <c r="E687" s="5">
        <v>41859</v>
      </c>
      <c r="F687" s="1" t="s">
        <v>642</v>
      </c>
      <c r="G687" s="1" t="s">
        <v>40</v>
      </c>
      <c r="H687" s="1" t="s">
        <v>41</v>
      </c>
      <c r="I687" s="1" t="s">
        <v>2809</v>
      </c>
      <c r="J687" s="1" t="s">
        <v>122</v>
      </c>
      <c r="K687" s="1">
        <v>38237090</v>
      </c>
      <c r="L687" s="6">
        <v>18.690000000000001</v>
      </c>
      <c r="M687" s="1" t="s">
        <v>70</v>
      </c>
      <c r="N687" s="7" t="s">
        <v>44</v>
      </c>
      <c r="O687" s="1" t="s">
        <v>53</v>
      </c>
      <c r="P687" s="8">
        <v>1865</v>
      </c>
      <c r="Q687" s="17">
        <f t="shared" si="71"/>
        <v>34856.850000000006</v>
      </c>
      <c r="R687" s="9">
        <v>6100</v>
      </c>
      <c r="S687" s="9">
        <v>4.9800000000000004</v>
      </c>
      <c r="T687" s="9">
        <v>0</v>
      </c>
      <c r="U687" s="10">
        <v>0</v>
      </c>
      <c r="V687" s="1" t="s">
        <v>46</v>
      </c>
      <c r="W687" s="1" t="s">
        <v>123</v>
      </c>
      <c r="X687" s="1">
        <v>4201564</v>
      </c>
      <c r="Y687" s="11">
        <v>41852</v>
      </c>
      <c r="Z687" s="11">
        <v>41853</v>
      </c>
      <c r="AA687" s="9">
        <f t="shared" si="74"/>
        <v>28751.870000000006</v>
      </c>
      <c r="AB687" s="12">
        <v>59.7</v>
      </c>
      <c r="AC687" s="9">
        <f t="shared" si="72"/>
        <v>2080953.9450000005</v>
      </c>
      <c r="AD687" s="9">
        <f t="shared" si="73"/>
        <v>1716486.6390000004</v>
      </c>
      <c r="AE687" s="1" t="s">
        <v>48</v>
      </c>
      <c r="AF687" s="1" t="s">
        <v>53</v>
      </c>
      <c r="AG687" s="4">
        <f t="shared" si="69"/>
        <v>34856.850000000006</v>
      </c>
      <c r="AH687" s="10">
        <v>34835.85</v>
      </c>
      <c r="AI687" s="10">
        <v>6003</v>
      </c>
      <c r="AJ687" s="10">
        <v>4.9800000000000004</v>
      </c>
      <c r="AK687" s="10">
        <v>0</v>
      </c>
      <c r="AL687" s="9">
        <f t="shared" si="70"/>
        <v>28827.87</v>
      </c>
      <c r="AM687" s="1"/>
      <c r="AN687" s="1"/>
      <c r="AO687" s="12" t="e">
        <f>AB687/#REF!</f>
        <v>#REF!</v>
      </c>
      <c r="AP687" s="1" t="s">
        <v>2232</v>
      </c>
      <c r="AQ687" s="11">
        <v>41900</v>
      </c>
      <c r="AR687" s="1" t="s">
        <v>2233</v>
      </c>
      <c r="AS687" s="11">
        <v>41901</v>
      </c>
      <c r="AT687" s="1" t="s">
        <v>49</v>
      </c>
      <c r="AU687" s="1" t="s">
        <v>4171</v>
      </c>
    </row>
    <row r="688" spans="1:47" ht="15" customHeight="1" x14ac:dyDescent="0.25">
      <c r="A688" s="1">
        <v>687</v>
      </c>
      <c r="B688" s="1" t="s">
        <v>1258</v>
      </c>
      <c r="C688" s="1" t="s">
        <v>38</v>
      </c>
      <c r="D688" s="1">
        <v>9103550508</v>
      </c>
      <c r="E688" s="5">
        <v>41860</v>
      </c>
      <c r="F688" s="1" t="s">
        <v>631</v>
      </c>
      <c r="G688" s="1" t="s">
        <v>40</v>
      </c>
      <c r="H688" s="1" t="s">
        <v>41</v>
      </c>
      <c r="I688" s="1" t="s">
        <v>2809</v>
      </c>
      <c r="J688" s="1" t="s">
        <v>187</v>
      </c>
      <c r="K688" s="1">
        <v>29051700</v>
      </c>
      <c r="L688" s="6">
        <v>36.28</v>
      </c>
      <c r="M688" s="1" t="s">
        <v>70</v>
      </c>
      <c r="N688" s="7" t="s">
        <v>44</v>
      </c>
      <c r="O688" s="1" t="s">
        <v>53</v>
      </c>
      <c r="P688" s="8">
        <v>1822</v>
      </c>
      <c r="Q688" s="17">
        <f t="shared" si="71"/>
        <v>66102.16</v>
      </c>
      <c r="R688" s="9">
        <v>5112</v>
      </c>
      <c r="S688" s="9">
        <v>9.4499999999999993</v>
      </c>
      <c r="T688" s="9">
        <v>0</v>
      </c>
      <c r="U688" s="10">
        <v>0</v>
      </c>
      <c r="V688" s="1" t="s">
        <v>46</v>
      </c>
      <c r="W688" s="1" t="s">
        <v>56</v>
      </c>
      <c r="X688" s="1">
        <v>4237026</v>
      </c>
      <c r="Y688" s="11">
        <v>41855</v>
      </c>
      <c r="Z688" s="11">
        <v>41856</v>
      </c>
      <c r="AA688" s="9">
        <f t="shared" si="74"/>
        <v>60980.710000000006</v>
      </c>
      <c r="AB688" s="12">
        <v>59.7</v>
      </c>
      <c r="AC688" s="9">
        <f t="shared" si="72"/>
        <v>3946298.9520000005</v>
      </c>
      <c r="AD688" s="9">
        <f t="shared" si="73"/>
        <v>3640548.3870000006</v>
      </c>
      <c r="AE688" s="1" t="s">
        <v>48</v>
      </c>
      <c r="AF688" s="1" t="s">
        <v>53</v>
      </c>
      <c r="AG688" s="4">
        <f t="shared" si="69"/>
        <v>66102.16</v>
      </c>
      <c r="AH688" s="10">
        <v>66102.16</v>
      </c>
      <c r="AI688" s="10">
        <v>5160</v>
      </c>
      <c r="AJ688" s="10">
        <v>9.4499999999999993</v>
      </c>
      <c r="AK688" s="10">
        <v>0</v>
      </c>
      <c r="AL688" s="9">
        <f t="shared" si="70"/>
        <v>60932.710000000006</v>
      </c>
      <c r="AM688" s="1"/>
      <c r="AN688" s="1"/>
      <c r="AO688" s="12" t="e">
        <f>AB688/#REF!</f>
        <v>#REF!</v>
      </c>
      <c r="AP688" s="1" t="s">
        <v>2234</v>
      </c>
      <c r="AQ688" s="11">
        <v>41893</v>
      </c>
      <c r="AR688" s="1" t="s">
        <v>2235</v>
      </c>
      <c r="AS688" s="11">
        <v>41894</v>
      </c>
      <c r="AT688" s="1" t="s">
        <v>49</v>
      </c>
      <c r="AU688" s="1" t="s">
        <v>4171</v>
      </c>
    </row>
    <row r="689" spans="1:47" ht="15" customHeight="1" x14ac:dyDescent="0.25">
      <c r="A689" s="1">
        <v>688</v>
      </c>
      <c r="B689" s="1" t="s">
        <v>1258</v>
      </c>
      <c r="C689" s="1" t="s">
        <v>38</v>
      </c>
      <c r="D689" s="1">
        <v>9103550509</v>
      </c>
      <c r="E689" s="5">
        <v>41864</v>
      </c>
      <c r="F689" s="1" t="s">
        <v>632</v>
      </c>
      <c r="G689" s="1" t="s">
        <v>40</v>
      </c>
      <c r="H689" s="1" t="s">
        <v>41</v>
      </c>
      <c r="I689" s="1" t="s">
        <v>2809</v>
      </c>
      <c r="J689" s="1" t="s">
        <v>50</v>
      </c>
      <c r="K689" s="1">
        <v>38237090</v>
      </c>
      <c r="L689" s="6">
        <v>15</v>
      </c>
      <c r="M689" s="1" t="s">
        <v>70</v>
      </c>
      <c r="N689" s="7" t="s">
        <v>52</v>
      </c>
      <c r="O689" s="1" t="s">
        <v>53</v>
      </c>
      <c r="P689" s="8">
        <v>1675</v>
      </c>
      <c r="Q689" s="17">
        <f t="shared" si="71"/>
        <v>25125</v>
      </c>
      <c r="R689" s="9">
        <v>900</v>
      </c>
      <c r="S689" s="9">
        <v>0</v>
      </c>
      <c r="T689" s="9">
        <v>0</v>
      </c>
      <c r="U689" s="10">
        <v>0</v>
      </c>
      <c r="V689" s="1" t="s">
        <v>46</v>
      </c>
      <c r="W689" s="1" t="s">
        <v>2657</v>
      </c>
      <c r="X689" s="1">
        <v>4277750</v>
      </c>
      <c r="Y689" s="11">
        <v>41857</v>
      </c>
      <c r="Z689" s="11">
        <v>41858</v>
      </c>
      <c r="AA689" s="9">
        <f t="shared" si="74"/>
        <v>24225</v>
      </c>
      <c r="AB689" s="12">
        <v>59.7</v>
      </c>
      <c r="AC689" s="9">
        <f t="shared" si="72"/>
        <v>1499962.5</v>
      </c>
      <c r="AD689" s="9">
        <f t="shared" si="73"/>
        <v>1446232.5</v>
      </c>
      <c r="AE689" s="1" t="s">
        <v>51</v>
      </c>
      <c r="AF689" s="1" t="s">
        <v>53</v>
      </c>
      <c r="AG689" s="4">
        <f t="shared" si="69"/>
        <v>25125</v>
      </c>
      <c r="AH689" s="10">
        <v>24945</v>
      </c>
      <c r="AI689" s="10">
        <v>915</v>
      </c>
      <c r="AJ689" s="10">
        <v>0</v>
      </c>
      <c r="AK689" s="10">
        <v>0</v>
      </c>
      <c r="AL689" s="9">
        <f t="shared" si="70"/>
        <v>24030</v>
      </c>
      <c r="AM689" s="1"/>
      <c r="AN689" s="1"/>
      <c r="AO689" s="12" t="e">
        <f>AB689/#REF!</f>
        <v>#REF!</v>
      </c>
      <c r="AP689" s="1" t="s">
        <v>2236</v>
      </c>
      <c r="AQ689" s="11">
        <v>41927</v>
      </c>
      <c r="AR689" s="1" t="s">
        <v>2237</v>
      </c>
      <c r="AS689" s="11">
        <v>41975</v>
      </c>
      <c r="AT689" s="1" t="s">
        <v>49</v>
      </c>
      <c r="AU689" s="1" t="s">
        <v>4171</v>
      </c>
    </row>
    <row r="690" spans="1:47" ht="15" customHeight="1" x14ac:dyDescent="0.25">
      <c r="A690" s="1">
        <v>689</v>
      </c>
      <c r="B690" s="1" t="s">
        <v>1258</v>
      </c>
      <c r="C690" s="1" t="s">
        <v>38</v>
      </c>
      <c r="D690" s="1">
        <v>9103550510</v>
      </c>
      <c r="E690" s="5">
        <v>41864</v>
      </c>
      <c r="F690" s="1" t="s">
        <v>634</v>
      </c>
      <c r="G690" s="1" t="s">
        <v>40</v>
      </c>
      <c r="H690" s="1" t="s">
        <v>41</v>
      </c>
      <c r="I690" s="1" t="s">
        <v>2809</v>
      </c>
      <c r="J690" s="1" t="s">
        <v>50</v>
      </c>
      <c r="K690" s="1">
        <v>38237090</v>
      </c>
      <c r="L690" s="6">
        <v>15</v>
      </c>
      <c r="M690" s="1" t="s">
        <v>70</v>
      </c>
      <c r="N690" s="7" t="s">
        <v>52</v>
      </c>
      <c r="O690" s="1" t="s">
        <v>53</v>
      </c>
      <c r="P690" s="8">
        <v>1635</v>
      </c>
      <c r="Q690" s="17">
        <f t="shared" si="71"/>
        <v>24525</v>
      </c>
      <c r="R690" s="9">
        <v>900</v>
      </c>
      <c r="S690" s="9">
        <v>0</v>
      </c>
      <c r="T690" s="9">
        <v>0</v>
      </c>
      <c r="U690" s="10">
        <v>0</v>
      </c>
      <c r="V690" s="1" t="s">
        <v>46</v>
      </c>
      <c r="W690" s="1" t="s">
        <v>2657</v>
      </c>
      <c r="X690" s="1">
        <v>4277738</v>
      </c>
      <c r="Y690" s="11">
        <v>41857</v>
      </c>
      <c r="Z690" s="11">
        <v>41859</v>
      </c>
      <c r="AA690" s="9">
        <f t="shared" si="74"/>
        <v>23625</v>
      </c>
      <c r="AB690" s="12">
        <v>59.7</v>
      </c>
      <c r="AC690" s="9">
        <f t="shared" si="72"/>
        <v>1464142.5</v>
      </c>
      <c r="AD690" s="9">
        <f t="shared" si="73"/>
        <v>1410412.5</v>
      </c>
      <c r="AE690" s="1" t="s">
        <v>51</v>
      </c>
      <c r="AF690" s="1" t="s">
        <v>53</v>
      </c>
      <c r="AG690" s="4">
        <f t="shared" si="69"/>
        <v>24525</v>
      </c>
      <c r="AH690" s="10">
        <v>24344</v>
      </c>
      <c r="AI690" s="10">
        <v>915</v>
      </c>
      <c r="AJ690" s="10">
        <v>0</v>
      </c>
      <c r="AK690" s="10">
        <v>0</v>
      </c>
      <c r="AL690" s="9">
        <f t="shared" si="70"/>
        <v>23429</v>
      </c>
      <c r="AM690" s="1"/>
      <c r="AN690" s="1"/>
      <c r="AO690" s="12" t="e">
        <f>AB690/#REF!</f>
        <v>#REF!</v>
      </c>
      <c r="AP690" s="1" t="s">
        <v>2238</v>
      </c>
      <c r="AQ690" s="11">
        <v>41927</v>
      </c>
      <c r="AR690" s="1" t="s">
        <v>2239</v>
      </c>
      <c r="AS690" s="11">
        <v>41975</v>
      </c>
      <c r="AT690" s="1" t="s">
        <v>49</v>
      </c>
      <c r="AU690" s="1" t="s">
        <v>4171</v>
      </c>
    </row>
    <row r="691" spans="1:47" ht="15" customHeight="1" x14ac:dyDescent="0.25">
      <c r="A691" s="1">
        <v>690</v>
      </c>
      <c r="B691" s="1" t="s">
        <v>1258</v>
      </c>
      <c r="C691" s="1" t="s">
        <v>38</v>
      </c>
      <c r="D691" s="1">
        <v>9103550511</v>
      </c>
      <c r="E691" s="5">
        <v>41862</v>
      </c>
      <c r="F691" s="1" t="s">
        <v>653</v>
      </c>
      <c r="G691" s="1" t="s">
        <v>40</v>
      </c>
      <c r="H691" s="1" t="s">
        <v>41</v>
      </c>
      <c r="I691" s="1" t="s">
        <v>2809</v>
      </c>
      <c r="J691" s="1" t="s">
        <v>187</v>
      </c>
      <c r="K691" s="1">
        <v>38237090</v>
      </c>
      <c r="L691" s="6">
        <v>36.729999999999997</v>
      </c>
      <c r="M691" s="1" t="s">
        <v>70</v>
      </c>
      <c r="N691" s="7" t="s">
        <v>44</v>
      </c>
      <c r="O691" s="1" t="s">
        <v>53</v>
      </c>
      <c r="P691" s="8">
        <v>1643</v>
      </c>
      <c r="Q691" s="17">
        <f t="shared" si="71"/>
        <v>60347.389999999992</v>
      </c>
      <c r="R691" s="9">
        <v>6100</v>
      </c>
      <c r="S691" s="9">
        <v>8.6300000000000008</v>
      </c>
      <c r="T691" s="9">
        <v>0</v>
      </c>
      <c r="U691" s="10">
        <v>0</v>
      </c>
      <c r="V691" s="1" t="s">
        <v>46</v>
      </c>
      <c r="W691" s="1" t="s">
        <v>56</v>
      </c>
      <c r="X691" s="1">
        <v>4292682</v>
      </c>
      <c r="Y691" s="11">
        <v>41858</v>
      </c>
      <c r="Z691" s="11">
        <v>41859</v>
      </c>
      <c r="AA691" s="9">
        <f t="shared" si="74"/>
        <v>54238.759999999995</v>
      </c>
      <c r="AB691" s="12">
        <v>59.7</v>
      </c>
      <c r="AC691" s="9">
        <f t="shared" si="72"/>
        <v>3602739.1829999997</v>
      </c>
      <c r="AD691" s="9">
        <f t="shared" si="73"/>
        <v>3238053.9720000001</v>
      </c>
      <c r="AE691" s="1" t="s">
        <v>48</v>
      </c>
      <c r="AF691" s="1" t="s">
        <v>53</v>
      </c>
      <c r="AG691" s="4">
        <f t="shared" si="69"/>
        <v>60347.389999999992</v>
      </c>
      <c r="AH691" s="10">
        <v>60347.39</v>
      </c>
      <c r="AI691" s="10">
        <v>6000</v>
      </c>
      <c r="AJ691" s="10">
        <v>8.6300000000000008</v>
      </c>
      <c r="AK691" s="10">
        <v>0</v>
      </c>
      <c r="AL691" s="9">
        <f t="shared" si="70"/>
        <v>54338.76</v>
      </c>
      <c r="AM691" s="1"/>
      <c r="AN691" s="1"/>
      <c r="AO691" s="12" t="e">
        <f>AB691/#REF!</f>
        <v>#REF!</v>
      </c>
      <c r="AP691" s="1" t="s">
        <v>2240</v>
      </c>
      <c r="AQ691" s="11">
        <v>41893</v>
      </c>
      <c r="AR691" s="1" t="s">
        <v>2241</v>
      </c>
      <c r="AS691" s="11">
        <v>41894</v>
      </c>
      <c r="AT691" s="1" t="s">
        <v>49</v>
      </c>
      <c r="AU691" s="1" t="s">
        <v>4171</v>
      </c>
    </row>
    <row r="692" spans="1:47" ht="15" customHeight="1" x14ac:dyDescent="0.25">
      <c r="A692" s="1">
        <v>691</v>
      </c>
      <c r="B692" s="1" t="s">
        <v>1258</v>
      </c>
      <c r="C692" s="1" t="s">
        <v>38</v>
      </c>
      <c r="D692" s="1">
        <v>9103550512</v>
      </c>
      <c r="E692" s="5">
        <v>41860</v>
      </c>
      <c r="F692" s="1" t="s">
        <v>640</v>
      </c>
      <c r="G692" s="1" t="s">
        <v>40</v>
      </c>
      <c r="H692" s="1" t="s">
        <v>41</v>
      </c>
      <c r="I692" s="1" t="s">
        <v>2809</v>
      </c>
      <c r="J692" s="1" t="s">
        <v>961</v>
      </c>
      <c r="K692" s="1">
        <v>38237090</v>
      </c>
      <c r="L692" s="6">
        <v>10</v>
      </c>
      <c r="M692" s="1" t="s">
        <v>70</v>
      </c>
      <c r="N692" s="7" t="s">
        <v>44</v>
      </c>
      <c r="O692" s="1" t="s">
        <v>53</v>
      </c>
      <c r="P692" s="8">
        <v>1610</v>
      </c>
      <c r="Q692" s="17">
        <f t="shared" si="71"/>
        <v>16100</v>
      </c>
      <c r="R692" s="9">
        <v>66.67</v>
      </c>
      <c r="S692" s="9">
        <v>2.2999999999999998</v>
      </c>
      <c r="T692" s="9">
        <v>0</v>
      </c>
      <c r="U692" s="10">
        <v>0</v>
      </c>
      <c r="V692" s="1" t="s">
        <v>46</v>
      </c>
      <c r="W692" s="1" t="s">
        <v>72</v>
      </c>
      <c r="X692" s="1">
        <v>4283108</v>
      </c>
      <c r="Y692" s="11">
        <v>41857</v>
      </c>
      <c r="Z692" s="11">
        <v>41858</v>
      </c>
      <c r="AA692" s="9">
        <f t="shared" si="74"/>
        <v>16031.03</v>
      </c>
      <c r="AB692" s="12">
        <v>59.7</v>
      </c>
      <c r="AC692" s="9">
        <f t="shared" si="72"/>
        <v>961170</v>
      </c>
      <c r="AD692" s="9">
        <f t="shared" si="73"/>
        <v>957052.49100000004</v>
      </c>
      <c r="AE692" s="1" t="s">
        <v>48</v>
      </c>
      <c r="AF692" s="1" t="s">
        <v>53</v>
      </c>
      <c r="AG692" s="4">
        <f t="shared" si="69"/>
        <v>16100</v>
      </c>
      <c r="AH692" s="10">
        <v>16100</v>
      </c>
      <c r="AI692" s="10">
        <v>48.52</v>
      </c>
      <c r="AJ692" s="10">
        <v>2.2999999999999998</v>
      </c>
      <c r="AK692" s="10">
        <v>0</v>
      </c>
      <c r="AL692" s="9">
        <f t="shared" si="70"/>
        <v>16049.18</v>
      </c>
      <c r="AM692" s="1"/>
      <c r="AN692" s="1"/>
      <c r="AO692" s="12" t="e">
        <f>AB692/#REF!</f>
        <v>#REF!</v>
      </c>
      <c r="AP692" s="1" t="s">
        <v>2242</v>
      </c>
      <c r="AQ692" s="11">
        <v>41878</v>
      </c>
      <c r="AR692" s="1" t="s">
        <v>2243</v>
      </c>
      <c r="AS692" s="11">
        <v>41879</v>
      </c>
      <c r="AT692" s="1" t="s">
        <v>49</v>
      </c>
      <c r="AU692" s="1" t="s">
        <v>4171</v>
      </c>
    </row>
    <row r="693" spans="1:47" ht="15" customHeight="1" x14ac:dyDescent="0.25">
      <c r="A693" s="1">
        <v>692</v>
      </c>
      <c r="B693" s="1" t="s">
        <v>1258</v>
      </c>
      <c r="C693" s="1" t="s">
        <v>38</v>
      </c>
      <c r="D693" s="1">
        <v>9103550512</v>
      </c>
      <c r="E693" s="5">
        <v>41860</v>
      </c>
      <c r="F693" s="1" t="s">
        <v>640</v>
      </c>
      <c r="G693" s="1" t="s">
        <v>40</v>
      </c>
      <c r="H693" s="1" t="s">
        <v>41</v>
      </c>
      <c r="I693" s="1" t="s">
        <v>2809</v>
      </c>
      <c r="J693" s="1" t="s">
        <v>961</v>
      </c>
      <c r="K693" s="1">
        <v>29051700</v>
      </c>
      <c r="L693" s="6">
        <v>5</v>
      </c>
      <c r="M693" s="1" t="s">
        <v>70</v>
      </c>
      <c r="N693" s="7" t="s">
        <v>44</v>
      </c>
      <c r="O693" s="1" t="s">
        <v>53</v>
      </c>
      <c r="P693" s="8">
        <v>1765</v>
      </c>
      <c r="Q693" s="17">
        <f t="shared" si="71"/>
        <v>8825</v>
      </c>
      <c r="R693" s="9">
        <v>33.33</v>
      </c>
      <c r="S693" s="9">
        <v>1.26</v>
      </c>
      <c r="T693" s="9">
        <v>0</v>
      </c>
      <c r="U693" s="10">
        <v>0</v>
      </c>
      <c r="V693" s="1" t="s">
        <v>46</v>
      </c>
      <c r="W693" s="1" t="s">
        <v>72</v>
      </c>
      <c r="X693" s="1">
        <v>4283108</v>
      </c>
      <c r="Y693" s="11">
        <v>41857</v>
      </c>
      <c r="Z693" s="11">
        <v>41858</v>
      </c>
      <c r="AA693" s="9">
        <f t="shared" si="74"/>
        <v>8790.41</v>
      </c>
      <c r="AB693" s="12">
        <v>59.7</v>
      </c>
      <c r="AC693" s="9">
        <f t="shared" si="72"/>
        <v>526852.5</v>
      </c>
      <c r="AD693" s="9">
        <f t="shared" si="73"/>
        <v>524787.47700000007</v>
      </c>
      <c r="AE693" s="1" t="s">
        <v>48</v>
      </c>
      <c r="AF693" s="1" t="s">
        <v>53</v>
      </c>
      <c r="AG693" s="4">
        <f t="shared" si="69"/>
        <v>8825</v>
      </c>
      <c r="AH693" s="10">
        <v>8785</v>
      </c>
      <c r="AI693" s="10">
        <v>26.48</v>
      </c>
      <c r="AJ693" s="10">
        <v>1.26</v>
      </c>
      <c r="AK693" s="10">
        <v>0</v>
      </c>
      <c r="AL693" s="9">
        <f t="shared" si="70"/>
        <v>8757.26</v>
      </c>
      <c r="AM693" s="1"/>
      <c r="AN693" s="1"/>
      <c r="AO693" s="12" t="e">
        <f>AB693/#REF!</f>
        <v>#REF!</v>
      </c>
      <c r="AP693" s="1" t="s">
        <v>2242</v>
      </c>
      <c r="AQ693" s="11">
        <v>41878</v>
      </c>
      <c r="AR693" s="1" t="s">
        <v>2243</v>
      </c>
      <c r="AS693" s="11">
        <v>41879</v>
      </c>
      <c r="AT693" s="1" t="s">
        <v>49</v>
      </c>
      <c r="AU693" s="1" t="s">
        <v>4171</v>
      </c>
    </row>
    <row r="694" spans="1:47" ht="15" customHeight="1" x14ac:dyDescent="0.25">
      <c r="A694" s="1">
        <v>693</v>
      </c>
      <c r="B694" s="1" t="s">
        <v>1258</v>
      </c>
      <c r="C694" s="1" t="s">
        <v>38</v>
      </c>
      <c r="D694" s="1">
        <v>9103550513</v>
      </c>
      <c r="E694" s="5">
        <v>41860</v>
      </c>
      <c r="F694" s="1" t="s">
        <v>638</v>
      </c>
      <c r="G694" s="1" t="s">
        <v>40</v>
      </c>
      <c r="H694" s="1" t="s">
        <v>41</v>
      </c>
      <c r="I694" s="1" t="s">
        <v>2809</v>
      </c>
      <c r="J694" s="1" t="s">
        <v>2759</v>
      </c>
      <c r="K694" s="1">
        <v>38237090</v>
      </c>
      <c r="L694" s="6">
        <v>15</v>
      </c>
      <c r="M694" s="1" t="s">
        <v>70</v>
      </c>
      <c r="N694" s="7" t="s">
        <v>44</v>
      </c>
      <c r="O694" s="1" t="s">
        <v>53</v>
      </c>
      <c r="P694" s="8">
        <v>1600</v>
      </c>
      <c r="Q694" s="17">
        <f t="shared" si="71"/>
        <v>24000</v>
      </c>
      <c r="R694" s="9">
        <v>100</v>
      </c>
      <c r="S694" s="9">
        <v>3.43</v>
      </c>
      <c r="T694" s="9">
        <v>0</v>
      </c>
      <c r="U694" s="10">
        <v>0</v>
      </c>
      <c r="V694" s="1" t="s">
        <v>46</v>
      </c>
      <c r="W694" s="1" t="s">
        <v>72</v>
      </c>
      <c r="X694" s="1">
        <v>4285384</v>
      </c>
      <c r="Y694" s="11">
        <v>41857</v>
      </c>
      <c r="Z694" s="11">
        <v>41858</v>
      </c>
      <c r="AA694" s="9">
        <f t="shared" si="74"/>
        <v>23896.57</v>
      </c>
      <c r="AB694" s="12">
        <v>59.7</v>
      </c>
      <c r="AC694" s="9">
        <f t="shared" si="72"/>
        <v>1432800</v>
      </c>
      <c r="AD694" s="9">
        <f t="shared" si="73"/>
        <v>1426625.2290000001</v>
      </c>
      <c r="AE694" s="1" t="s">
        <v>48</v>
      </c>
      <c r="AF694" s="1" t="s">
        <v>53</v>
      </c>
      <c r="AG694" s="4">
        <f t="shared" si="69"/>
        <v>24000</v>
      </c>
      <c r="AH694" s="10">
        <v>24000</v>
      </c>
      <c r="AI694" s="10">
        <v>75</v>
      </c>
      <c r="AJ694" s="10">
        <v>3.4</v>
      </c>
      <c r="AK694" s="10">
        <v>0</v>
      </c>
      <c r="AL694" s="9">
        <f t="shared" si="70"/>
        <v>23921.599999999999</v>
      </c>
      <c r="AM694" s="1"/>
      <c r="AN694" s="1"/>
      <c r="AO694" s="12" t="e">
        <f>AB694/#REF!</f>
        <v>#REF!</v>
      </c>
      <c r="AP694" s="1" t="s">
        <v>2244</v>
      </c>
      <c r="AQ694" s="11">
        <v>41870</v>
      </c>
      <c r="AR694" s="1" t="s">
        <v>2245</v>
      </c>
      <c r="AS694" s="11">
        <v>41871</v>
      </c>
      <c r="AT694" s="1" t="s">
        <v>49</v>
      </c>
      <c r="AU694" s="1" t="s">
        <v>4171</v>
      </c>
    </row>
    <row r="695" spans="1:47" ht="15" customHeight="1" x14ac:dyDescent="0.25">
      <c r="A695" s="1">
        <v>694</v>
      </c>
      <c r="B695" s="1" t="s">
        <v>1258</v>
      </c>
      <c r="C695" s="1" t="s">
        <v>38</v>
      </c>
      <c r="D695" s="1">
        <v>9103550514</v>
      </c>
      <c r="E695" s="5">
        <v>41860</v>
      </c>
      <c r="F695" s="1" t="s">
        <v>636</v>
      </c>
      <c r="G695" s="1" t="s">
        <v>40</v>
      </c>
      <c r="H695" s="1" t="s">
        <v>41</v>
      </c>
      <c r="I695" s="1" t="s">
        <v>2809</v>
      </c>
      <c r="J695" s="1" t="s">
        <v>187</v>
      </c>
      <c r="K695" s="1">
        <v>29051700</v>
      </c>
      <c r="L695" s="6">
        <v>54.42</v>
      </c>
      <c r="M695" s="1" t="s">
        <v>70</v>
      </c>
      <c r="N695" s="7" t="s">
        <v>44</v>
      </c>
      <c r="O695" s="1" t="s">
        <v>53</v>
      </c>
      <c r="P695" s="8">
        <v>1994</v>
      </c>
      <c r="Q695" s="17">
        <f t="shared" si="71"/>
        <v>108513.48000000001</v>
      </c>
      <c r="R695" s="9">
        <v>9300</v>
      </c>
      <c r="S695" s="9">
        <v>15.52</v>
      </c>
      <c r="T695" s="9">
        <v>0</v>
      </c>
      <c r="U695" s="10">
        <v>0</v>
      </c>
      <c r="V695" s="1" t="s">
        <v>46</v>
      </c>
      <c r="W695" s="1" t="s">
        <v>56</v>
      </c>
      <c r="X695" s="1">
        <v>4285449</v>
      </c>
      <c r="Y695" s="11">
        <v>41857</v>
      </c>
      <c r="Z695" s="11">
        <v>41858</v>
      </c>
      <c r="AA695" s="9">
        <f t="shared" si="74"/>
        <v>99197.96</v>
      </c>
      <c r="AB695" s="12">
        <v>59.7</v>
      </c>
      <c r="AC695" s="9">
        <f t="shared" si="72"/>
        <v>6478254.756000001</v>
      </c>
      <c r="AD695" s="9">
        <f t="shared" si="73"/>
        <v>5922118.2120000003</v>
      </c>
      <c r="AE695" s="1" t="s">
        <v>48</v>
      </c>
      <c r="AF695" s="1" t="s">
        <v>53</v>
      </c>
      <c r="AG695" s="4">
        <f t="shared" si="69"/>
        <v>108513.48000000001</v>
      </c>
      <c r="AH695" s="10">
        <v>108513.48</v>
      </c>
      <c r="AI695" s="10">
        <v>8802</v>
      </c>
      <c r="AJ695" s="10">
        <v>15.52</v>
      </c>
      <c r="AK695" s="10">
        <v>0</v>
      </c>
      <c r="AL695" s="9">
        <f t="shared" si="70"/>
        <v>99695.959999999992</v>
      </c>
      <c r="AM695" s="1"/>
      <c r="AN695" s="1"/>
      <c r="AO695" s="12" t="e">
        <f>AB695/#REF!</f>
        <v>#REF!</v>
      </c>
      <c r="AP695" s="1" t="s">
        <v>2246</v>
      </c>
      <c r="AQ695" s="11">
        <v>41893</v>
      </c>
      <c r="AR695" s="1" t="s">
        <v>2247</v>
      </c>
      <c r="AS695" s="11">
        <v>41894</v>
      </c>
      <c r="AT695" s="1" t="s">
        <v>49</v>
      </c>
      <c r="AU695" s="1" t="s">
        <v>4171</v>
      </c>
    </row>
    <row r="696" spans="1:47" ht="15" customHeight="1" x14ac:dyDescent="0.25">
      <c r="A696" s="1">
        <v>695</v>
      </c>
      <c r="B696" s="1" t="s">
        <v>1258</v>
      </c>
      <c r="C696" s="1" t="s">
        <v>38</v>
      </c>
      <c r="D696" s="1">
        <v>9103550515</v>
      </c>
      <c r="E696" s="5">
        <v>41870</v>
      </c>
      <c r="F696" s="1" t="s">
        <v>635</v>
      </c>
      <c r="G696" s="1" t="s">
        <v>40</v>
      </c>
      <c r="H696" s="1" t="s">
        <v>41</v>
      </c>
      <c r="I696" s="1" t="s">
        <v>2809</v>
      </c>
      <c r="J696" s="1" t="s">
        <v>349</v>
      </c>
      <c r="K696" s="1">
        <v>29051700</v>
      </c>
      <c r="L696" s="6">
        <v>6</v>
      </c>
      <c r="M696" s="1" t="s">
        <v>70</v>
      </c>
      <c r="N696" s="7" t="s">
        <v>44</v>
      </c>
      <c r="O696" s="1" t="s">
        <v>53</v>
      </c>
      <c r="P696" s="8">
        <v>1960</v>
      </c>
      <c r="Q696" s="17">
        <f t="shared" si="71"/>
        <v>11760</v>
      </c>
      <c r="R696" s="9">
        <v>600</v>
      </c>
      <c r="S696" s="9">
        <v>1.68</v>
      </c>
      <c r="T696" s="9">
        <v>0</v>
      </c>
      <c r="U696" s="10">
        <v>0</v>
      </c>
      <c r="V696" s="1" t="s">
        <v>46</v>
      </c>
      <c r="W696" s="1" t="s">
        <v>294</v>
      </c>
      <c r="X696" s="1">
        <v>4285461</v>
      </c>
      <c r="Y696" s="11">
        <v>41857</v>
      </c>
      <c r="Z696" s="11">
        <v>41859</v>
      </c>
      <c r="AA696" s="9">
        <f t="shared" si="74"/>
        <v>11158.32</v>
      </c>
      <c r="AB696" s="12">
        <v>59.7</v>
      </c>
      <c r="AC696" s="9">
        <f t="shared" si="72"/>
        <v>702072</v>
      </c>
      <c r="AD696" s="9">
        <f t="shared" si="73"/>
        <v>666151.70400000003</v>
      </c>
      <c r="AE696" s="1" t="s">
        <v>48</v>
      </c>
      <c r="AF696" s="1" t="s">
        <v>53</v>
      </c>
      <c r="AG696" s="4">
        <f t="shared" si="69"/>
        <v>11760</v>
      </c>
      <c r="AH696" s="10">
        <v>11760</v>
      </c>
      <c r="AI696" s="10">
        <v>561.37</v>
      </c>
      <c r="AJ696" s="10">
        <v>1.69</v>
      </c>
      <c r="AK696" s="10"/>
      <c r="AL696" s="9">
        <f t="shared" si="70"/>
        <v>11196.94</v>
      </c>
      <c r="AM696" s="1"/>
      <c r="AN696" s="1"/>
      <c r="AO696" s="12" t="e">
        <f>AB696/#REF!</f>
        <v>#REF!</v>
      </c>
      <c r="AP696" s="1" t="s">
        <v>2248</v>
      </c>
      <c r="AQ696" s="11">
        <v>41933</v>
      </c>
      <c r="AR696" s="1" t="s">
        <v>2249</v>
      </c>
      <c r="AS696" s="11">
        <v>41934</v>
      </c>
      <c r="AT696" s="1" t="s">
        <v>49</v>
      </c>
      <c r="AU696" s="1" t="s">
        <v>4171</v>
      </c>
    </row>
    <row r="697" spans="1:47" ht="15" customHeight="1" x14ac:dyDescent="0.25">
      <c r="A697" s="1">
        <v>696</v>
      </c>
      <c r="B697" s="1" t="s">
        <v>1258</v>
      </c>
      <c r="C697" s="1" t="s">
        <v>38</v>
      </c>
      <c r="D697" s="1">
        <v>9103550515</v>
      </c>
      <c r="E697" s="5">
        <v>41870</v>
      </c>
      <c r="F697" s="1" t="s">
        <v>635</v>
      </c>
      <c r="G697" s="1" t="s">
        <v>40</v>
      </c>
      <c r="H697" s="1" t="s">
        <v>41</v>
      </c>
      <c r="I697" s="1" t="s">
        <v>2809</v>
      </c>
      <c r="J697" s="1" t="s">
        <v>349</v>
      </c>
      <c r="K697" s="1">
        <v>38237090</v>
      </c>
      <c r="L697" s="6">
        <v>2.4</v>
      </c>
      <c r="M697" s="1" t="s">
        <v>70</v>
      </c>
      <c r="N697" s="7" t="s">
        <v>44</v>
      </c>
      <c r="O697" s="1" t="s">
        <v>53</v>
      </c>
      <c r="P697" s="8">
        <v>1900</v>
      </c>
      <c r="Q697" s="17">
        <f t="shared" si="71"/>
        <v>4560</v>
      </c>
      <c r="R697" s="9">
        <v>240</v>
      </c>
      <c r="S697" s="9">
        <v>0.65</v>
      </c>
      <c r="T697" s="9">
        <v>0</v>
      </c>
      <c r="U697" s="10">
        <v>0</v>
      </c>
      <c r="V697" s="1" t="s">
        <v>46</v>
      </c>
      <c r="W697" s="1" t="s">
        <v>294</v>
      </c>
      <c r="X697" s="1">
        <v>4285461</v>
      </c>
      <c r="Y697" s="11">
        <v>41857</v>
      </c>
      <c r="Z697" s="11">
        <v>41859</v>
      </c>
      <c r="AA697" s="9">
        <f t="shared" si="74"/>
        <v>4319.3500000000004</v>
      </c>
      <c r="AB697" s="12">
        <v>59.7</v>
      </c>
      <c r="AC697" s="9">
        <f t="shared" si="72"/>
        <v>272232</v>
      </c>
      <c r="AD697" s="9">
        <f t="shared" si="73"/>
        <v>257865.19500000004</v>
      </c>
      <c r="AE697" s="1" t="s">
        <v>48</v>
      </c>
      <c r="AF697" s="1" t="s">
        <v>53</v>
      </c>
      <c r="AG697" s="4">
        <f t="shared" si="69"/>
        <v>4560</v>
      </c>
      <c r="AH697" s="10">
        <v>4560</v>
      </c>
      <c r="AI697" s="10">
        <v>217.68</v>
      </c>
      <c r="AJ697" s="10">
        <v>0.64</v>
      </c>
      <c r="AK697" s="10"/>
      <c r="AL697" s="9">
        <f t="shared" si="70"/>
        <v>4341.68</v>
      </c>
      <c r="AM697" s="1"/>
      <c r="AN697" s="1"/>
      <c r="AO697" s="12" t="e">
        <f>AB697/#REF!</f>
        <v>#REF!</v>
      </c>
      <c r="AP697" s="1" t="s">
        <v>2248</v>
      </c>
      <c r="AQ697" s="11">
        <v>41933</v>
      </c>
      <c r="AR697" s="1" t="s">
        <v>2249</v>
      </c>
      <c r="AS697" s="11">
        <v>41934</v>
      </c>
      <c r="AT697" s="1" t="s">
        <v>49</v>
      </c>
      <c r="AU697" s="1" t="s">
        <v>4171</v>
      </c>
    </row>
    <row r="698" spans="1:47" ht="15" customHeight="1" x14ac:dyDescent="0.25">
      <c r="A698" s="1">
        <v>697</v>
      </c>
      <c r="B698" s="1" t="s">
        <v>1258</v>
      </c>
      <c r="C698" s="1" t="s">
        <v>38</v>
      </c>
      <c r="D698" s="1">
        <v>9103550515</v>
      </c>
      <c r="E698" s="5">
        <v>41870</v>
      </c>
      <c r="F698" s="1" t="s">
        <v>635</v>
      </c>
      <c r="G698" s="1" t="s">
        <v>40</v>
      </c>
      <c r="H698" s="1" t="s">
        <v>41</v>
      </c>
      <c r="I698" s="1" t="s">
        <v>2809</v>
      </c>
      <c r="J698" s="1" t="s">
        <v>349</v>
      </c>
      <c r="K698" s="1">
        <v>29051700</v>
      </c>
      <c r="L698" s="6">
        <v>2.4</v>
      </c>
      <c r="M698" s="1" t="s">
        <v>70</v>
      </c>
      <c r="N698" s="7" t="s">
        <v>44</v>
      </c>
      <c r="O698" s="1" t="s">
        <v>53</v>
      </c>
      <c r="P698" s="8">
        <v>1980</v>
      </c>
      <c r="Q698" s="17">
        <f t="shared" si="71"/>
        <v>4752</v>
      </c>
      <c r="R698" s="9">
        <v>240</v>
      </c>
      <c r="S698" s="9">
        <v>0.68</v>
      </c>
      <c r="T698" s="9">
        <v>0</v>
      </c>
      <c r="U698" s="10">
        <v>0</v>
      </c>
      <c r="V698" s="1" t="s">
        <v>46</v>
      </c>
      <c r="W698" s="1" t="s">
        <v>294</v>
      </c>
      <c r="X698" s="1">
        <v>4285461</v>
      </c>
      <c r="Y698" s="11">
        <v>41857</v>
      </c>
      <c r="Z698" s="11">
        <v>41859</v>
      </c>
      <c r="AA698" s="9">
        <f t="shared" si="74"/>
        <v>4511.32</v>
      </c>
      <c r="AB698" s="12">
        <v>59.7</v>
      </c>
      <c r="AC698" s="9">
        <f t="shared" si="72"/>
        <v>283694.40000000002</v>
      </c>
      <c r="AD698" s="9">
        <f t="shared" si="73"/>
        <v>269325.804</v>
      </c>
      <c r="AE698" s="1" t="s">
        <v>48</v>
      </c>
      <c r="AF698" s="1" t="s">
        <v>53</v>
      </c>
      <c r="AG698" s="4">
        <f t="shared" si="69"/>
        <v>4752</v>
      </c>
      <c r="AH698" s="10">
        <v>4752</v>
      </c>
      <c r="AI698" s="10">
        <v>226.84</v>
      </c>
      <c r="AJ698" s="10">
        <v>0.69</v>
      </c>
      <c r="AK698" s="10"/>
      <c r="AL698" s="9">
        <f t="shared" si="70"/>
        <v>4524.47</v>
      </c>
      <c r="AM698" s="1"/>
      <c r="AN698" s="1"/>
      <c r="AO698" s="12" t="e">
        <f>AB698/#REF!</f>
        <v>#REF!</v>
      </c>
      <c r="AP698" s="1" t="s">
        <v>2248</v>
      </c>
      <c r="AQ698" s="11">
        <v>41933</v>
      </c>
      <c r="AR698" s="1" t="s">
        <v>2249</v>
      </c>
      <c r="AS698" s="11">
        <v>41934</v>
      </c>
      <c r="AT698" s="1" t="s">
        <v>49</v>
      </c>
      <c r="AU698" s="1" t="s">
        <v>4171</v>
      </c>
    </row>
    <row r="699" spans="1:47" ht="15" customHeight="1" x14ac:dyDescent="0.25">
      <c r="A699" s="1">
        <v>698</v>
      </c>
      <c r="B699" s="1" t="s">
        <v>1258</v>
      </c>
      <c r="C699" s="1" t="s">
        <v>38</v>
      </c>
      <c r="D699" s="1">
        <v>9103550515</v>
      </c>
      <c r="E699" s="5">
        <v>41870</v>
      </c>
      <c r="F699" s="1" t="s">
        <v>635</v>
      </c>
      <c r="G699" s="1" t="s">
        <v>40</v>
      </c>
      <c r="H699" s="1" t="s">
        <v>41</v>
      </c>
      <c r="I699" s="1" t="s">
        <v>2809</v>
      </c>
      <c r="J699" s="1" t="s">
        <v>349</v>
      </c>
      <c r="K699" s="1">
        <v>38237090</v>
      </c>
      <c r="L699" s="6">
        <v>1.2</v>
      </c>
      <c r="M699" s="1" t="s">
        <v>70</v>
      </c>
      <c r="N699" s="7" t="s">
        <v>44</v>
      </c>
      <c r="O699" s="1" t="s">
        <v>53</v>
      </c>
      <c r="P699" s="8">
        <v>2830</v>
      </c>
      <c r="Q699" s="17">
        <f t="shared" si="71"/>
        <v>3396</v>
      </c>
      <c r="R699" s="9">
        <v>120</v>
      </c>
      <c r="S699" s="9">
        <v>0.49</v>
      </c>
      <c r="T699" s="9">
        <v>0</v>
      </c>
      <c r="U699" s="10">
        <v>0</v>
      </c>
      <c r="V699" s="1" t="s">
        <v>46</v>
      </c>
      <c r="W699" s="1" t="s">
        <v>294</v>
      </c>
      <c r="X699" s="1">
        <v>4285461</v>
      </c>
      <c r="Y699" s="11">
        <v>41857</v>
      </c>
      <c r="Z699" s="11">
        <v>41859</v>
      </c>
      <c r="AA699" s="9">
        <f t="shared" si="74"/>
        <v>3275.51</v>
      </c>
      <c r="AB699" s="12">
        <v>59.7</v>
      </c>
      <c r="AC699" s="9">
        <f t="shared" si="72"/>
        <v>202741.2</v>
      </c>
      <c r="AD699" s="9">
        <f t="shared" si="73"/>
        <v>195547.94700000001</v>
      </c>
      <c r="AE699" s="1" t="s">
        <v>48</v>
      </c>
      <c r="AF699" s="1" t="s">
        <v>53</v>
      </c>
      <c r="AG699" s="4">
        <f t="shared" si="69"/>
        <v>3396</v>
      </c>
      <c r="AH699" s="10">
        <v>3375</v>
      </c>
      <c r="AI699" s="10">
        <v>161.1</v>
      </c>
      <c r="AJ699" s="10">
        <v>0.49</v>
      </c>
      <c r="AK699" s="10"/>
      <c r="AL699" s="9">
        <f t="shared" si="70"/>
        <v>3213.41</v>
      </c>
      <c r="AM699" s="1"/>
      <c r="AN699" s="1"/>
      <c r="AO699" s="12" t="e">
        <f>AB699/#REF!</f>
        <v>#REF!</v>
      </c>
      <c r="AP699" s="1" t="s">
        <v>2248</v>
      </c>
      <c r="AQ699" s="11">
        <v>41933</v>
      </c>
      <c r="AR699" s="1" t="s">
        <v>2249</v>
      </c>
      <c r="AS699" s="11">
        <v>41934</v>
      </c>
      <c r="AT699" s="1" t="s">
        <v>49</v>
      </c>
      <c r="AU699" s="1" t="s">
        <v>4171</v>
      </c>
    </row>
    <row r="700" spans="1:47" ht="15" customHeight="1" x14ac:dyDescent="0.25">
      <c r="A700" s="1">
        <v>699</v>
      </c>
      <c r="B700" s="1" t="s">
        <v>1258</v>
      </c>
      <c r="C700" s="1" t="s">
        <v>38</v>
      </c>
      <c r="D700" s="1">
        <v>9103550516</v>
      </c>
      <c r="E700" s="5">
        <v>41861</v>
      </c>
      <c r="F700" s="1" t="s">
        <v>644</v>
      </c>
      <c r="G700" s="1" t="s">
        <v>40</v>
      </c>
      <c r="H700" s="1" t="s">
        <v>41</v>
      </c>
      <c r="I700" s="1" t="s">
        <v>2809</v>
      </c>
      <c r="J700" s="1" t="s">
        <v>142</v>
      </c>
      <c r="K700" s="1">
        <v>38237090</v>
      </c>
      <c r="L700" s="6">
        <v>48</v>
      </c>
      <c r="M700" s="1" t="s">
        <v>70</v>
      </c>
      <c r="N700" s="7" t="s">
        <v>52</v>
      </c>
      <c r="O700" s="1" t="s">
        <v>53</v>
      </c>
      <c r="P700" s="8">
        <v>1525</v>
      </c>
      <c r="Q700" s="17">
        <f t="shared" si="71"/>
        <v>73200</v>
      </c>
      <c r="R700" s="9">
        <v>2924</v>
      </c>
      <c r="S700" s="9">
        <v>0</v>
      </c>
      <c r="T700" s="9">
        <v>732</v>
      </c>
      <c r="U700" s="10">
        <v>0</v>
      </c>
      <c r="V700" s="1" t="s">
        <v>46</v>
      </c>
      <c r="W700" s="1" t="s">
        <v>143</v>
      </c>
      <c r="X700" s="1">
        <v>4302486</v>
      </c>
      <c r="Y700" s="11">
        <v>41858</v>
      </c>
      <c r="Z700" s="11">
        <v>41859</v>
      </c>
      <c r="AA700" s="9">
        <f t="shared" si="74"/>
        <v>70276</v>
      </c>
      <c r="AB700" s="12">
        <v>59.7</v>
      </c>
      <c r="AC700" s="9">
        <f t="shared" si="72"/>
        <v>4370040</v>
      </c>
      <c r="AD700" s="9">
        <f t="shared" si="73"/>
        <v>4195477.2</v>
      </c>
      <c r="AE700" s="1" t="s">
        <v>48</v>
      </c>
      <c r="AF700" s="1" t="s">
        <v>53</v>
      </c>
      <c r="AG700" s="4">
        <f t="shared" si="69"/>
        <v>73200</v>
      </c>
      <c r="AH700" s="10">
        <v>73185</v>
      </c>
      <c r="AI700" s="10">
        <v>2760</v>
      </c>
      <c r="AJ700" s="10">
        <v>0</v>
      </c>
      <c r="AK700" s="10">
        <v>732</v>
      </c>
      <c r="AL700" s="9">
        <f t="shared" si="70"/>
        <v>69693</v>
      </c>
      <c r="AM700" s="1"/>
      <c r="AN700" s="1"/>
      <c r="AO700" s="12" t="e">
        <f>AB700/#REF!</f>
        <v>#REF!</v>
      </c>
      <c r="AP700" s="1" t="s">
        <v>2250</v>
      </c>
      <c r="AQ700" s="11">
        <v>41879</v>
      </c>
      <c r="AR700" s="1" t="s">
        <v>2251</v>
      </c>
      <c r="AS700" s="11">
        <v>41881</v>
      </c>
      <c r="AT700" s="1" t="s">
        <v>49</v>
      </c>
      <c r="AU700" s="1" t="s">
        <v>4171</v>
      </c>
    </row>
    <row r="701" spans="1:47" ht="15" customHeight="1" x14ac:dyDescent="0.25">
      <c r="A701" s="1">
        <v>700</v>
      </c>
      <c r="B701" s="1" t="s">
        <v>1258</v>
      </c>
      <c r="C701" s="1" t="s">
        <v>38</v>
      </c>
      <c r="D701" s="1">
        <v>9103550517</v>
      </c>
      <c r="E701" s="5">
        <v>41870</v>
      </c>
      <c r="F701" s="1" t="s">
        <v>676</v>
      </c>
      <c r="G701" s="1" t="s">
        <v>40</v>
      </c>
      <c r="H701" s="1" t="s">
        <v>41</v>
      </c>
      <c r="I701" s="1" t="s">
        <v>2809</v>
      </c>
      <c r="J701" s="1" t="s">
        <v>221</v>
      </c>
      <c r="K701" s="1">
        <v>38237090</v>
      </c>
      <c r="L701" s="6">
        <v>5</v>
      </c>
      <c r="M701" s="1" t="s">
        <v>70</v>
      </c>
      <c r="N701" s="7" t="s">
        <v>44</v>
      </c>
      <c r="O701" s="1" t="s">
        <v>53</v>
      </c>
      <c r="P701" s="8">
        <v>1900</v>
      </c>
      <c r="Q701" s="17">
        <f t="shared" si="71"/>
        <v>9500</v>
      </c>
      <c r="R701" s="9">
        <v>350</v>
      </c>
      <c r="S701" s="9">
        <v>1.36</v>
      </c>
      <c r="T701" s="9">
        <v>0</v>
      </c>
      <c r="U701" s="10">
        <v>0</v>
      </c>
      <c r="V701" s="1" t="s">
        <v>46</v>
      </c>
      <c r="W701" s="1" t="s">
        <v>205</v>
      </c>
      <c r="X701" s="1">
        <v>4301465</v>
      </c>
      <c r="Y701" s="11">
        <v>41858</v>
      </c>
      <c r="Z701" s="11">
        <v>41859</v>
      </c>
      <c r="AA701" s="9">
        <f t="shared" si="74"/>
        <v>9148.64</v>
      </c>
      <c r="AB701" s="12">
        <v>59.7</v>
      </c>
      <c r="AC701" s="9">
        <f t="shared" si="72"/>
        <v>567150</v>
      </c>
      <c r="AD701" s="9">
        <f t="shared" si="73"/>
        <v>546173.80799999996</v>
      </c>
      <c r="AE701" s="1" t="s">
        <v>48</v>
      </c>
      <c r="AF701" s="1" t="s">
        <v>53</v>
      </c>
      <c r="AG701" s="4">
        <f t="shared" si="69"/>
        <v>9500</v>
      </c>
      <c r="AH701" s="10">
        <v>9485</v>
      </c>
      <c r="AI701" s="10">
        <v>217.42</v>
      </c>
      <c r="AJ701" s="10">
        <v>1.35</v>
      </c>
      <c r="AK701" s="10">
        <v>0</v>
      </c>
      <c r="AL701" s="9">
        <f t="shared" si="70"/>
        <v>9266.23</v>
      </c>
      <c r="AM701" s="1"/>
      <c r="AN701" s="1"/>
      <c r="AO701" s="12" t="e">
        <f>AB701/#REF!</f>
        <v>#REF!</v>
      </c>
      <c r="AP701" s="1" t="s">
        <v>2252</v>
      </c>
      <c r="AQ701" s="11">
        <v>41897</v>
      </c>
      <c r="AR701" s="1" t="s">
        <v>2253</v>
      </c>
      <c r="AS701" s="11">
        <v>41899</v>
      </c>
      <c r="AT701" s="1" t="s">
        <v>49</v>
      </c>
      <c r="AU701" s="1" t="s">
        <v>4171</v>
      </c>
    </row>
    <row r="702" spans="1:47" ht="15" customHeight="1" x14ac:dyDescent="0.25">
      <c r="A702" s="1">
        <v>701</v>
      </c>
      <c r="B702" s="1" t="s">
        <v>1258</v>
      </c>
      <c r="C702" s="1" t="s">
        <v>38</v>
      </c>
      <c r="D702" s="1">
        <v>9103550523</v>
      </c>
      <c r="E702" s="5">
        <v>41867</v>
      </c>
      <c r="F702" s="1" t="s">
        <v>657</v>
      </c>
      <c r="G702" s="1" t="s">
        <v>40</v>
      </c>
      <c r="H702" s="1" t="s">
        <v>41</v>
      </c>
      <c r="I702" s="1" t="s">
        <v>2809</v>
      </c>
      <c r="J702" s="1" t="s">
        <v>55</v>
      </c>
      <c r="K702" s="1">
        <v>29051700</v>
      </c>
      <c r="L702" s="6">
        <v>18.14</v>
      </c>
      <c r="M702" s="1" t="s">
        <v>70</v>
      </c>
      <c r="N702" s="7" t="s">
        <v>44</v>
      </c>
      <c r="O702" s="1" t="s">
        <v>53</v>
      </c>
      <c r="P702" s="8">
        <v>1983</v>
      </c>
      <c r="Q702" s="17">
        <f t="shared" si="71"/>
        <v>35971.620000000003</v>
      </c>
      <c r="R702" s="9">
        <v>3310</v>
      </c>
      <c r="S702" s="9">
        <v>5.14</v>
      </c>
      <c r="T702" s="9">
        <v>0</v>
      </c>
      <c r="U702" s="10">
        <v>0</v>
      </c>
      <c r="V702" s="1" t="s">
        <v>46</v>
      </c>
      <c r="W702" s="1" t="s">
        <v>56</v>
      </c>
      <c r="X702" s="1">
        <v>4337366</v>
      </c>
      <c r="Y702" s="11">
        <v>41860</v>
      </c>
      <c r="Z702" s="11">
        <v>41862</v>
      </c>
      <c r="AA702" s="9">
        <f t="shared" si="74"/>
        <v>32656.480000000003</v>
      </c>
      <c r="AB702" s="12">
        <v>60.85</v>
      </c>
      <c r="AC702" s="9">
        <f t="shared" si="72"/>
        <v>2188873.077</v>
      </c>
      <c r="AD702" s="9">
        <f t="shared" si="73"/>
        <v>1987146.8080000002</v>
      </c>
      <c r="AE702" s="1" t="s">
        <v>57</v>
      </c>
      <c r="AF702" s="1" t="s">
        <v>53</v>
      </c>
      <c r="AG702" s="4">
        <f t="shared" si="69"/>
        <v>35971.620000000003</v>
      </c>
      <c r="AH702" s="10">
        <v>35926.620000000003</v>
      </c>
      <c r="AI702" s="10">
        <v>3325</v>
      </c>
      <c r="AJ702" s="10">
        <v>5.14</v>
      </c>
      <c r="AK702" s="10">
        <v>0</v>
      </c>
      <c r="AL702" s="9">
        <f t="shared" si="70"/>
        <v>32596.480000000003</v>
      </c>
      <c r="AM702" s="1"/>
      <c r="AN702" s="1"/>
      <c r="AO702" s="12" t="e">
        <f>AB702/#REF!</f>
        <v>#REF!</v>
      </c>
      <c r="AP702" s="1"/>
      <c r="AQ702" s="11">
        <v>41961</v>
      </c>
      <c r="AR702" s="1" t="s">
        <v>3345</v>
      </c>
      <c r="AS702" s="11">
        <v>42060</v>
      </c>
      <c r="AT702" s="1" t="s">
        <v>49</v>
      </c>
      <c r="AU702" s="1" t="s">
        <v>4171</v>
      </c>
    </row>
    <row r="703" spans="1:47" ht="15" customHeight="1" x14ac:dyDescent="0.25">
      <c r="A703" s="1">
        <v>702</v>
      </c>
      <c r="B703" s="1" t="s">
        <v>1258</v>
      </c>
      <c r="C703" s="1" t="s">
        <v>38</v>
      </c>
      <c r="D703" s="1">
        <v>9103550524</v>
      </c>
      <c r="E703" s="5">
        <v>41866</v>
      </c>
      <c r="F703" s="1" t="s">
        <v>654</v>
      </c>
      <c r="G703" s="1" t="s">
        <v>40</v>
      </c>
      <c r="H703" s="1" t="s">
        <v>41</v>
      </c>
      <c r="I703" s="1" t="s">
        <v>2809</v>
      </c>
      <c r="J703" s="1" t="s">
        <v>2138</v>
      </c>
      <c r="K703" s="1">
        <v>29051700</v>
      </c>
      <c r="L703" s="6">
        <v>15</v>
      </c>
      <c r="M703" s="1" t="s">
        <v>70</v>
      </c>
      <c r="N703" s="7" t="s">
        <v>44</v>
      </c>
      <c r="O703" s="1" t="s">
        <v>53</v>
      </c>
      <c r="P703" s="8">
        <v>1740</v>
      </c>
      <c r="Q703" s="17">
        <f t="shared" si="71"/>
        <v>26100</v>
      </c>
      <c r="R703" s="9">
        <v>975</v>
      </c>
      <c r="S703" s="9">
        <v>3.73</v>
      </c>
      <c r="T703" s="9">
        <v>0</v>
      </c>
      <c r="U703" s="10">
        <v>0</v>
      </c>
      <c r="V703" s="1" t="s">
        <v>46</v>
      </c>
      <c r="W703" s="1" t="s">
        <v>205</v>
      </c>
      <c r="X703" s="1">
        <v>4322214</v>
      </c>
      <c r="Y703" s="11">
        <v>41859</v>
      </c>
      <c r="Z703" s="11">
        <v>41860</v>
      </c>
      <c r="AA703" s="9">
        <f t="shared" si="74"/>
        <v>25121.27</v>
      </c>
      <c r="AB703" s="12">
        <v>60.85</v>
      </c>
      <c r="AC703" s="9">
        <f t="shared" si="72"/>
        <v>1588185</v>
      </c>
      <c r="AD703" s="9">
        <f t="shared" si="73"/>
        <v>1528629.2794999999</v>
      </c>
      <c r="AE703" s="1" t="s">
        <v>48</v>
      </c>
      <c r="AF703" s="1" t="s">
        <v>53</v>
      </c>
      <c r="AG703" s="4">
        <f t="shared" si="69"/>
        <v>26100</v>
      </c>
      <c r="AH703" s="10">
        <v>26040</v>
      </c>
      <c r="AI703" s="9">
        <v>979</v>
      </c>
      <c r="AJ703" s="9">
        <v>3.73</v>
      </c>
      <c r="AK703" s="10">
        <v>0</v>
      </c>
      <c r="AL703" s="9">
        <f t="shared" si="70"/>
        <v>25057.27</v>
      </c>
      <c r="AM703" s="1"/>
      <c r="AN703" s="1"/>
      <c r="AO703" s="12" t="e">
        <f>AB703/#REF!</f>
        <v>#REF!</v>
      </c>
      <c r="AP703" s="1" t="s">
        <v>2254</v>
      </c>
      <c r="AQ703" s="11">
        <v>41886</v>
      </c>
      <c r="AR703" s="1" t="s">
        <v>2255</v>
      </c>
      <c r="AS703" s="11">
        <v>41887</v>
      </c>
      <c r="AT703" s="1" t="s">
        <v>49</v>
      </c>
      <c r="AU703" s="1" t="s">
        <v>4171</v>
      </c>
    </row>
    <row r="704" spans="1:47" ht="15" customHeight="1" x14ac:dyDescent="0.25">
      <c r="A704" s="1">
        <v>703</v>
      </c>
      <c r="B704" s="1" t="s">
        <v>1258</v>
      </c>
      <c r="C704" s="1" t="s">
        <v>38</v>
      </c>
      <c r="D704" s="1">
        <v>9103550525</v>
      </c>
      <c r="E704" s="5">
        <v>41865</v>
      </c>
      <c r="F704" s="1" t="s">
        <v>646</v>
      </c>
      <c r="G704" s="1" t="s">
        <v>40</v>
      </c>
      <c r="H704" s="1" t="s">
        <v>41</v>
      </c>
      <c r="I704" s="1" t="s">
        <v>2809</v>
      </c>
      <c r="J704" s="1" t="s">
        <v>63</v>
      </c>
      <c r="K704" s="1">
        <v>29161990</v>
      </c>
      <c r="L704" s="6">
        <v>7.2</v>
      </c>
      <c r="M704" s="1" t="s">
        <v>70</v>
      </c>
      <c r="N704" s="7" t="s">
        <v>52</v>
      </c>
      <c r="O704" s="1" t="s">
        <v>53</v>
      </c>
      <c r="P704" s="8">
        <v>2940</v>
      </c>
      <c r="Q704" s="17">
        <f t="shared" si="71"/>
        <v>21168</v>
      </c>
      <c r="R704" s="9">
        <v>150</v>
      </c>
      <c r="S704" s="9">
        <v>0</v>
      </c>
      <c r="T704" s="9">
        <v>0</v>
      </c>
      <c r="U704" s="10">
        <v>0</v>
      </c>
      <c r="V704" s="1" t="s">
        <v>46</v>
      </c>
      <c r="W704" s="1" t="s">
        <v>75</v>
      </c>
      <c r="X704" s="1">
        <v>4306626</v>
      </c>
      <c r="Y704" s="11">
        <v>41858</v>
      </c>
      <c r="Z704" s="11">
        <v>41859</v>
      </c>
      <c r="AA704" s="9">
        <f t="shared" si="74"/>
        <v>21018</v>
      </c>
      <c r="AB704" s="12">
        <v>59.7</v>
      </c>
      <c r="AC704" s="9">
        <f t="shared" si="72"/>
        <v>1263729.6000000001</v>
      </c>
      <c r="AD704" s="9">
        <f t="shared" si="73"/>
        <v>1254774.6000000001</v>
      </c>
      <c r="AE704" s="1" t="s">
        <v>51</v>
      </c>
      <c r="AF704" s="1" t="s">
        <v>53</v>
      </c>
      <c r="AG704" s="4">
        <f t="shared" si="69"/>
        <v>21168</v>
      </c>
      <c r="AH704" s="10">
        <v>21168</v>
      </c>
      <c r="AI704" s="10">
        <v>130</v>
      </c>
      <c r="AJ704" s="10">
        <v>0</v>
      </c>
      <c r="AK704" s="10">
        <v>0</v>
      </c>
      <c r="AL704" s="9">
        <f t="shared" si="70"/>
        <v>21038</v>
      </c>
      <c r="AM704" s="1"/>
      <c r="AN704" s="1"/>
      <c r="AO704" s="12" t="e">
        <f>AB704/#REF!</f>
        <v>#REF!</v>
      </c>
      <c r="AP704" s="1" t="s">
        <v>2256</v>
      </c>
      <c r="AQ704" s="11">
        <v>41900</v>
      </c>
      <c r="AR704" s="1" t="s">
        <v>2257</v>
      </c>
      <c r="AS704" s="11">
        <v>41906</v>
      </c>
      <c r="AT704" s="1" t="s">
        <v>49</v>
      </c>
      <c r="AU704" s="1" t="s">
        <v>4171</v>
      </c>
    </row>
    <row r="705" spans="1:47" ht="15" customHeight="1" x14ac:dyDescent="0.25">
      <c r="A705" s="1">
        <v>704</v>
      </c>
      <c r="B705" s="1" t="s">
        <v>1258</v>
      </c>
      <c r="C705" s="1" t="s">
        <v>38</v>
      </c>
      <c r="D705" s="1">
        <v>9103550526</v>
      </c>
      <c r="E705" s="5">
        <v>41864</v>
      </c>
      <c r="F705" s="1" t="s">
        <v>656</v>
      </c>
      <c r="G705" s="1" t="s">
        <v>40</v>
      </c>
      <c r="H705" s="1" t="s">
        <v>41</v>
      </c>
      <c r="I705" s="1" t="s">
        <v>2809</v>
      </c>
      <c r="J705" s="1" t="s">
        <v>2215</v>
      </c>
      <c r="K705" s="1">
        <v>29161990</v>
      </c>
      <c r="L705" s="6">
        <v>19.66</v>
      </c>
      <c r="M705" s="1" t="s">
        <v>70</v>
      </c>
      <c r="N705" s="7" t="s">
        <v>44</v>
      </c>
      <c r="O705" s="1" t="s">
        <v>53</v>
      </c>
      <c r="P705" s="8">
        <v>2650</v>
      </c>
      <c r="Q705" s="17">
        <f t="shared" si="71"/>
        <v>52099</v>
      </c>
      <c r="R705" s="9">
        <v>900</v>
      </c>
      <c r="S705" s="9">
        <v>7.45</v>
      </c>
      <c r="T705" s="9">
        <v>0</v>
      </c>
      <c r="U705" s="10">
        <v>0</v>
      </c>
      <c r="V705" s="1" t="s">
        <v>46</v>
      </c>
      <c r="W705" s="1" t="s">
        <v>127</v>
      </c>
      <c r="X705" s="1">
        <v>4314320</v>
      </c>
      <c r="Y705" s="11">
        <v>41859</v>
      </c>
      <c r="Z705" s="11">
        <v>41860</v>
      </c>
      <c r="AA705" s="9">
        <f t="shared" si="74"/>
        <v>51191.55</v>
      </c>
      <c r="AB705" s="12">
        <v>60.85</v>
      </c>
      <c r="AC705" s="9">
        <f t="shared" si="72"/>
        <v>3170224.15</v>
      </c>
      <c r="AD705" s="9">
        <f t="shared" si="73"/>
        <v>3115005.8175000004</v>
      </c>
      <c r="AE705" s="1" t="s">
        <v>48</v>
      </c>
      <c r="AF705" s="1" t="s">
        <v>53</v>
      </c>
      <c r="AG705" s="4">
        <f t="shared" si="69"/>
        <v>52099</v>
      </c>
      <c r="AH705" s="10">
        <v>52034</v>
      </c>
      <c r="AI705" s="10">
        <v>860</v>
      </c>
      <c r="AJ705" s="10">
        <v>7.45</v>
      </c>
      <c r="AK705" s="10">
        <v>0</v>
      </c>
      <c r="AL705" s="9">
        <f t="shared" si="70"/>
        <v>51166.55</v>
      </c>
      <c r="AM705" s="1"/>
      <c r="AN705" s="1"/>
      <c r="AO705" s="12" t="e">
        <f>AB705/#REF!</f>
        <v>#REF!</v>
      </c>
      <c r="AP705" s="1" t="s">
        <v>2258</v>
      </c>
      <c r="AQ705" s="11">
        <v>41933</v>
      </c>
      <c r="AR705" s="1" t="s">
        <v>2259</v>
      </c>
      <c r="AS705" s="11">
        <v>41934</v>
      </c>
      <c r="AT705" s="1" t="s">
        <v>49</v>
      </c>
      <c r="AU705" s="1" t="s">
        <v>4171</v>
      </c>
    </row>
    <row r="706" spans="1:47" ht="15" customHeight="1" x14ac:dyDescent="0.25">
      <c r="A706" s="1">
        <v>705</v>
      </c>
      <c r="B706" s="1" t="s">
        <v>1258</v>
      </c>
      <c r="C706" s="1" t="s">
        <v>38</v>
      </c>
      <c r="D706" s="1">
        <v>9103550527</v>
      </c>
      <c r="E706" s="5">
        <v>41865</v>
      </c>
      <c r="F706" s="1" t="s">
        <v>667</v>
      </c>
      <c r="G706" s="1" t="s">
        <v>40</v>
      </c>
      <c r="H706" s="1" t="s">
        <v>41</v>
      </c>
      <c r="I706" s="1" t="s">
        <v>2809</v>
      </c>
      <c r="J706" s="1" t="s">
        <v>187</v>
      </c>
      <c r="K706" s="1">
        <v>29051700</v>
      </c>
      <c r="L706" s="6">
        <v>36.28</v>
      </c>
      <c r="M706" s="1" t="s">
        <v>70</v>
      </c>
      <c r="N706" s="7" t="s">
        <v>44</v>
      </c>
      <c r="O706" s="1" t="s">
        <v>53</v>
      </c>
      <c r="P706" s="8">
        <v>1708</v>
      </c>
      <c r="Q706" s="17">
        <f t="shared" si="71"/>
        <v>61966.240000000005</v>
      </c>
      <c r="R706" s="9">
        <v>4300</v>
      </c>
      <c r="S706" s="9">
        <v>8.86</v>
      </c>
      <c r="T706" s="9">
        <v>0</v>
      </c>
      <c r="U706" s="10">
        <v>0</v>
      </c>
      <c r="V706" s="1" t="s">
        <v>46</v>
      </c>
      <c r="W706" s="1" t="s">
        <v>56</v>
      </c>
      <c r="X706" s="1">
        <v>4328175</v>
      </c>
      <c r="Y706" s="11">
        <v>41859</v>
      </c>
      <c r="Z706" s="11">
        <v>41860</v>
      </c>
      <c r="AA706" s="9">
        <f t="shared" si="74"/>
        <v>57657.380000000005</v>
      </c>
      <c r="AB706" s="12">
        <v>60.85</v>
      </c>
      <c r="AC706" s="9">
        <f t="shared" si="72"/>
        <v>3770645.7040000004</v>
      </c>
      <c r="AD706" s="9">
        <f t="shared" si="73"/>
        <v>3508451.5730000003</v>
      </c>
      <c r="AE706" s="1" t="s">
        <v>48</v>
      </c>
      <c r="AF706" s="1" t="s">
        <v>53</v>
      </c>
      <c r="AG706" s="4">
        <f t="shared" ref="AG706:AG769" si="75">Q706</f>
        <v>61966.240000000005</v>
      </c>
      <c r="AH706" s="10">
        <v>61966.239999999998</v>
      </c>
      <c r="AI706" s="10">
        <v>4432</v>
      </c>
      <c r="AJ706" s="10">
        <v>8.86</v>
      </c>
      <c r="AK706" s="10">
        <v>0</v>
      </c>
      <c r="AL706" s="9">
        <f t="shared" ref="AL706:AL769" si="76">AH706-(AI706+AJ706+AK706)</f>
        <v>57525.38</v>
      </c>
      <c r="AM706" s="1"/>
      <c r="AN706" s="1"/>
      <c r="AO706" s="12" t="e">
        <f>AB706/#REF!</f>
        <v>#REF!</v>
      </c>
      <c r="AP706" s="1" t="s">
        <v>2260</v>
      </c>
      <c r="AQ706" s="11">
        <v>41893</v>
      </c>
      <c r="AR706" s="1" t="s">
        <v>2261</v>
      </c>
      <c r="AS706" s="11">
        <v>41894</v>
      </c>
      <c r="AT706" s="1" t="s">
        <v>49</v>
      </c>
      <c r="AU706" s="1" t="s">
        <v>4171</v>
      </c>
    </row>
    <row r="707" spans="1:47" ht="15" customHeight="1" x14ac:dyDescent="0.25">
      <c r="A707" s="1">
        <v>706</v>
      </c>
      <c r="B707" s="1" t="s">
        <v>1258</v>
      </c>
      <c r="C707" s="1" t="s">
        <v>38</v>
      </c>
      <c r="D707" s="1" t="s">
        <v>2262</v>
      </c>
      <c r="E707" s="5">
        <v>41865</v>
      </c>
      <c r="F707" s="1" t="s">
        <v>665</v>
      </c>
      <c r="G707" s="1" t="s">
        <v>40</v>
      </c>
      <c r="H707" s="1" t="s">
        <v>41</v>
      </c>
      <c r="I707" s="1" t="s">
        <v>2810</v>
      </c>
      <c r="J707" s="1" t="s">
        <v>1116</v>
      </c>
      <c r="K707" s="1">
        <v>38237090</v>
      </c>
      <c r="L707" s="6">
        <v>57.05</v>
      </c>
      <c r="M707" s="1" t="s">
        <v>70</v>
      </c>
      <c r="N707" s="7" t="s">
        <v>67</v>
      </c>
      <c r="O707" s="1" t="s">
        <v>1117</v>
      </c>
      <c r="P707" s="8">
        <v>115900</v>
      </c>
      <c r="Q707" s="17">
        <f t="shared" si="71"/>
        <v>6612095</v>
      </c>
      <c r="R707" s="9">
        <v>0</v>
      </c>
      <c r="S707" s="9">
        <v>0</v>
      </c>
      <c r="T707" s="9">
        <v>314074.51</v>
      </c>
      <c r="U707" s="10">
        <v>0</v>
      </c>
      <c r="V707" s="1" t="s">
        <v>46</v>
      </c>
      <c r="W707" s="1" t="s">
        <v>2263</v>
      </c>
      <c r="X707" s="1">
        <v>4328594</v>
      </c>
      <c r="Y707" s="11">
        <v>41859</v>
      </c>
      <c r="Z707" s="11">
        <v>41860</v>
      </c>
      <c r="AA707" s="9">
        <f t="shared" si="74"/>
        <v>6612095</v>
      </c>
      <c r="AB707" s="12">
        <v>1</v>
      </c>
      <c r="AC707" s="9">
        <f t="shared" si="72"/>
        <v>6612095</v>
      </c>
      <c r="AD707" s="9">
        <f t="shared" si="73"/>
        <v>6612095</v>
      </c>
      <c r="AE707" s="1" t="s">
        <v>4162</v>
      </c>
      <c r="AF707" s="1" t="s">
        <v>1117</v>
      </c>
      <c r="AG707" s="4">
        <f t="shared" si="75"/>
        <v>6612095</v>
      </c>
      <c r="AH707" s="10">
        <v>6612095</v>
      </c>
      <c r="AI707" s="10"/>
      <c r="AJ707" s="10"/>
      <c r="AK707" s="10"/>
      <c r="AL707" s="9">
        <f t="shared" si="76"/>
        <v>6612095</v>
      </c>
      <c r="AM707" s="1"/>
      <c r="AN707" s="1"/>
      <c r="AO707" s="12"/>
      <c r="AP707" s="1" t="s">
        <v>3917</v>
      </c>
      <c r="AQ707" s="11" t="s">
        <v>4163</v>
      </c>
      <c r="AR707" s="1" t="s">
        <v>4167</v>
      </c>
      <c r="AS707" s="1" t="s">
        <v>4164</v>
      </c>
      <c r="AT707" s="1" t="s">
        <v>49</v>
      </c>
      <c r="AU707" s="1" t="s">
        <v>4171</v>
      </c>
    </row>
    <row r="708" spans="1:47" ht="15" customHeight="1" x14ac:dyDescent="0.25">
      <c r="A708" s="1">
        <v>707</v>
      </c>
      <c r="B708" s="1" t="s">
        <v>1258</v>
      </c>
      <c r="C708" s="1" t="s">
        <v>38</v>
      </c>
      <c r="D708" s="1" t="s">
        <v>2262</v>
      </c>
      <c r="E708" s="5">
        <v>41865</v>
      </c>
      <c r="F708" s="1" t="s">
        <v>655</v>
      </c>
      <c r="G708" s="1" t="s">
        <v>40</v>
      </c>
      <c r="H708" s="1" t="s">
        <v>41</v>
      </c>
      <c r="I708" s="1" t="s">
        <v>2810</v>
      </c>
      <c r="J708" s="1" t="s">
        <v>1116</v>
      </c>
      <c r="K708" s="1">
        <v>38237090</v>
      </c>
      <c r="L708" s="6">
        <v>150.19999999999999</v>
      </c>
      <c r="M708" s="1" t="s">
        <v>70</v>
      </c>
      <c r="N708" s="7" t="s">
        <v>67</v>
      </c>
      <c r="O708" s="1" t="s">
        <v>1117</v>
      </c>
      <c r="P708" s="8">
        <v>115900</v>
      </c>
      <c r="Q708" s="17">
        <f t="shared" si="71"/>
        <v>17408180</v>
      </c>
      <c r="R708" s="9">
        <v>0</v>
      </c>
      <c r="S708" s="9">
        <v>0</v>
      </c>
      <c r="T708" s="9">
        <v>826192.22</v>
      </c>
      <c r="U708" s="10">
        <v>0</v>
      </c>
      <c r="V708" s="1" t="s">
        <v>46</v>
      </c>
      <c r="W708" s="1" t="s">
        <v>361</v>
      </c>
      <c r="X708" s="1">
        <v>4336256</v>
      </c>
      <c r="Y708" s="11">
        <v>41860</v>
      </c>
      <c r="Z708" s="11">
        <v>41862</v>
      </c>
      <c r="AA708" s="9">
        <f t="shared" si="74"/>
        <v>17408180</v>
      </c>
      <c r="AB708" s="12">
        <v>1</v>
      </c>
      <c r="AC708" s="9">
        <f t="shared" si="72"/>
        <v>17408180</v>
      </c>
      <c r="AD708" s="9">
        <f t="shared" si="73"/>
        <v>17408180</v>
      </c>
      <c r="AE708" s="1" t="s">
        <v>4162</v>
      </c>
      <c r="AF708" s="1" t="s">
        <v>1117</v>
      </c>
      <c r="AG708" s="4">
        <f t="shared" si="75"/>
        <v>17408180</v>
      </c>
      <c r="AH708" s="10">
        <v>11077632.65</v>
      </c>
      <c r="AI708" s="10"/>
      <c r="AJ708" s="10"/>
      <c r="AK708" s="10"/>
      <c r="AL708" s="9">
        <f t="shared" si="76"/>
        <v>11077632.65</v>
      </c>
      <c r="AM708" s="1"/>
      <c r="AN708" s="1"/>
      <c r="AO708" s="12"/>
      <c r="AP708" s="1" t="s">
        <v>3925</v>
      </c>
      <c r="AQ708" s="11" t="s">
        <v>3923</v>
      </c>
      <c r="AR708" s="1" t="s">
        <v>3924</v>
      </c>
      <c r="AS708" s="1" t="s">
        <v>3921</v>
      </c>
      <c r="AT708" s="1" t="s">
        <v>49</v>
      </c>
      <c r="AU708" s="1" t="s">
        <v>4319</v>
      </c>
    </row>
    <row r="709" spans="1:47" ht="15" customHeight="1" x14ac:dyDescent="0.25">
      <c r="A709" s="1">
        <v>708</v>
      </c>
      <c r="B709" s="1" t="s">
        <v>1258</v>
      </c>
      <c r="C709" s="1" t="s">
        <v>38</v>
      </c>
      <c r="D709" s="1">
        <v>9103550531</v>
      </c>
      <c r="E709" s="5">
        <v>41867</v>
      </c>
      <c r="F709" s="1" t="s">
        <v>649</v>
      </c>
      <c r="G709" s="1" t="s">
        <v>40</v>
      </c>
      <c r="H709" s="1" t="s">
        <v>41</v>
      </c>
      <c r="I709" s="1" t="s">
        <v>2809</v>
      </c>
      <c r="J709" s="1" t="s">
        <v>187</v>
      </c>
      <c r="K709" s="1">
        <v>29051700</v>
      </c>
      <c r="L709" s="6">
        <v>18.14</v>
      </c>
      <c r="M709" s="1" t="s">
        <v>70</v>
      </c>
      <c r="N709" s="7" t="s">
        <v>44</v>
      </c>
      <c r="O709" s="1" t="s">
        <v>53</v>
      </c>
      <c r="P709" s="8">
        <v>1897</v>
      </c>
      <c r="Q709" s="17">
        <f t="shared" si="71"/>
        <v>34411.58</v>
      </c>
      <c r="R709" s="9">
        <v>2550</v>
      </c>
      <c r="S709" s="9">
        <v>4.92</v>
      </c>
      <c r="T709" s="9">
        <v>0</v>
      </c>
      <c r="U709" s="10">
        <v>0</v>
      </c>
      <c r="V709" s="1" t="s">
        <v>46</v>
      </c>
      <c r="W709" s="1" t="s">
        <v>56</v>
      </c>
      <c r="X709" s="1">
        <v>4348065</v>
      </c>
      <c r="Y709" s="11">
        <v>41862</v>
      </c>
      <c r="Z709" s="11">
        <v>41863</v>
      </c>
      <c r="AA709" s="9">
        <f t="shared" si="74"/>
        <v>31856.660000000003</v>
      </c>
      <c r="AB709" s="12">
        <v>60.85</v>
      </c>
      <c r="AC709" s="9">
        <f t="shared" si="72"/>
        <v>2093944.6430000002</v>
      </c>
      <c r="AD709" s="9">
        <f t="shared" si="73"/>
        <v>1938477.7610000002</v>
      </c>
      <c r="AE709" s="1" t="s">
        <v>48</v>
      </c>
      <c r="AF709" s="1" t="s">
        <v>53</v>
      </c>
      <c r="AG709" s="4">
        <f t="shared" si="75"/>
        <v>34411.58</v>
      </c>
      <c r="AH709" s="10">
        <v>34411.58</v>
      </c>
      <c r="AI709" s="10">
        <v>2580</v>
      </c>
      <c r="AJ709" s="10">
        <v>4.92</v>
      </c>
      <c r="AK709" s="10">
        <v>0</v>
      </c>
      <c r="AL709" s="9">
        <f t="shared" si="76"/>
        <v>31826.660000000003</v>
      </c>
      <c r="AM709" s="1"/>
      <c r="AN709" s="1"/>
      <c r="AO709" s="12" t="e">
        <f>AB709/#REF!</f>
        <v>#REF!</v>
      </c>
      <c r="AP709" s="1" t="s">
        <v>2264</v>
      </c>
      <c r="AQ709" s="11">
        <v>41893</v>
      </c>
      <c r="AR709" s="1" t="s">
        <v>2265</v>
      </c>
      <c r="AS709" s="11">
        <v>41894</v>
      </c>
      <c r="AT709" s="1" t="s">
        <v>49</v>
      </c>
      <c r="AU709" s="1" t="s">
        <v>4171</v>
      </c>
    </row>
    <row r="710" spans="1:47" ht="15" customHeight="1" x14ac:dyDescent="0.25">
      <c r="A710" s="1">
        <v>709</v>
      </c>
      <c r="B710" s="1" t="s">
        <v>1258</v>
      </c>
      <c r="C710" s="1" t="s">
        <v>38</v>
      </c>
      <c r="D710" s="1">
        <v>9103550533</v>
      </c>
      <c r="E710" s="5">
        <v>41866</v>
      </c>
      <c r="F710" s="1" t="s">
        <v>648</v>
      </c>
      <c r="G710" s="1" t="s">
        <v>40</v>
      </c>
      <c r="H710" s="1" t="s">
        <v>41</v>
      </c>
      <c r="I710" s="1" t="s">
        <v>2810</v>
      </c>
      <c r="J710" s="1" t="s">
        <v>1116</v>
      </c>
      <c r="K710" s="1">
        <v>38237090</v>
      </c>
      <c r="L710" s="6">
        <v>206.02</v>
      </c>
      <c r="M710" s="1" t="s">
        <v>70</v>
      </c>
      <c r="N710" s="7" t="s">
        <v>67</v>
      </c>
      <c r="O710" s="1" t="s">
        <v>1117</v>
      </c>
      <c r="P710" s="8">
        <v>108000</v>
      </c>
      <c r="Q710" s="17">
        <f t="shared" si="71"/>
        <v>22250160</v>
      </c>
      <c r="R710" s="9">
        <v>0</v>
      </c>
      <c r="S710" s="9">
        <v>0</v>
      </c>
      <c r="T710" s="9">
        <v>1050875.06</v>
      </c>
      <c r="U710" s="10">
        <v>0</v>
      </c>
      <c r="V710" s="1" t="s">
        <v>46</v>
      </c>
      <c r="W710" s="1" t="s">
        <v>361</v>
      </c>
      <c r="X710" s="1">
        <v>4362031</v>
      </c>
      <c r="Y710" s="11">
        <v>41862</v>
      </c>
      <c r="Z710" s="11">
        <v>41863</v>
      </c>
      <c r="AA710" s="9">
        <f t="shared" si="74"/>
        <v>22250160</v>
      </c>
      <c r="AB710" s="12">
        <v>1</v>
      </c>
      <c r="AC710" s="9">
        <f t="shared" si="72"/>
        <v>22250160</v>
      </c>
      <c r="AD710" s="9">
        <f t="shared" si="73"/>
        <v>22250160</v>
      </c>
      <c r="AE710" s="1" t="s">
        <v>4162</v>
      </c>
      <c r="AF710" s="1" t="s">
        <v>1117</v>
      </c>
      <c r="AG710" s="4">
        <f t="shared" si="75"/>
        <v>22250160</v>
      </c>
      <c r="AH710" s="10">
        <v>22250160</v>
      </c>
      <c r="AI710" s="10"/>
      <c r="AJ710" s="10"/>
      <c r="AK710" s="10"/>
      <c r="AL710" s="9">
        <f t="shared" si="76"/>
        <v>22250160</v>
      </c>
      <c r="AM710" s="1"/>
      <c r="AN710" s="1"/>
      <c r="AO710" s="12"/>
      <c r="AP710" s="1" t="s">
        <v>4095</v>
      </c>
      <c r="AQ710" s="11" t="s">
        <v>4060</v>
      </c>
      <c r="AR710" s="1" t="s">
        <v>4094</v>
      </c>
      <c r="AS710" s="1" t="s">
        <v>4087</v>
      </c>
      <c r="AT710" s="1" t="s">
        <v>49</v>
      </c>
      <c r="AU710" s="1" t="s">
        <v>4171</v>
      </c>
    </row>
    <row r="711" spans="1:47" ht="15" customHeight="1" x14ac:dyDescent="0.25">
      <c r="A711" s="1">
        <v>710</v>
      </c>
      <c r="B711" s="1" t="s">
        <v>1258</v>
      </c>
      <c r="C711" s="1" t="s">
        <v>38</v>
      </c>
      <c r="D711" s="1" t="s">
        <v>2266</v>
      </c>
      <c r="E711" s="5">
        <v>41873</v>
      </c>
      <c r="F711" s="1" t="s">
        <v>645</v>
      </c>
      <c r="G711" s="1" t="s">
        <v>40</v>
      </c>
      <c r="H711" s="1" t="s">
        <v>41</v>
      </c>
      <c r="I711" s="1" t="s">
        <v>2809</v>
      </c>
      <c r="J711" s="1" t="s">
        <v>122</v>
      </c>
      <c r="K711" s="1">
        <v>38237090</v>
      </c>
      <c r="L711" s="6">
        <v>37.409999999999997</v>
      </c>
      <c r="M711" s="1" t="s">
        <v>70</v>
      </c>
      <c r="N711" s="7" t="s">
        <v>44</v>
      </c>
      <c r="O711" s="1" t="s">
        <v>53</v>
      </c>
      <c r="P711" s="8">
        <v>1960</v>
      </c>
      <c r="Q711" s="17">
        <f t="shared" si="71"/>
        <v>73323.599999999991</v>
      </c>
      <c r="R711" s="9">
        <v>12200</v>
      </c>
      <c r="S711" s="9">
        <v>10.49</v>
      </c>
      <c r="T711" s="9">
        <v>0</v>
      </c>
      <c r="U711" s="10">
        <v>0</v>
      </c>
      <c r="V711" s="1" t="s">
        <v>46</v>
      </c>
      <c r="W711" s="1" t="s">
        <v>123</v>
      </c>
      <c r="X711" s="1">
        <v>4306877</v>
      </c>
      <c r="Y711" s="11">
        <v>41858</v>
      </c>
      <c r="Z711" s="11">
        <v>41859</v>
      </c>
      <c r="AA711" s="9">
        <f t="shared" si="74"/>
        <v>61113.109999999993</v>
      </c>
      <c r="AB711" s="12">
        <v>59.7</v>
      </c>
      <c r="AC711" s="9">
        <f t="shared" si="72"/>
        <v>4377418.92</v>
      </c>
      <c r="AD711" s="9">
        <f t="shared" si="73"/>
        <v>3648452.6669999999</v>
      </c>
      <c r="AE711" s="1" t="s">
        <v>48</v>
      </c>
      <c r="AF711" s="1" t="s">
        <v>53</v>
      </c>
      <c r="AG711" s="4">
        <f t="shared" si="75"/>
        <v>73323.599999999991</v>
      </c>
      <c r="AH711" s="10">
        <v>73323.600000000006</v>
      </c>
      <c r="AI711" s="10">
        <v>5669.68</v>
      </c>
      <c r="AJ711" s="10">
        <v>10.48</v>
      </c>
      <c r="AK711" s="10">
        <v>0</v>
      </c>
      <c r="AL711" s="9">
        <f t="shared" si="76"/>
        <v>67643.44</v>
      </c>
      <c r="AM711" s="1"/>
      <c r="AN711" s="1"/>
      <c r="AO711" s="12" t="e">
        <f>AB711/#REF!</f>
        <v>#REF!</v>
      </c>
      <c r="AP711" s="1" t="s">
        <v>2267</v>
      </c>
      <c r="AQ711" s="11">
        <v>41906</v>
      </c>
      <c r="AR711" s="1" t="s">
        <v>2268</v>
      </c>
      <c r="AS711" s="11">
        <v>41907</v>
      </c>
      <c r="AT711" s="1" t="s">
        <v>49</v>
      </c>
      <c r="AU711" s="1" t="s">
        <v>4171</v>
      </c>
    </row>
    <row r="712" spans="1:47" ht="15" customHeight="1" x14ac:dyDescent="0.25">
      <c r="A712" s="1">
        <v>711</v>
      </c>
      <c r="B712" s="1" t="s">
        <v>1258</v>
      </c>
      <c r="C712" s="1" t="s">
        <v>38</v>
      </c>
      <c r="D712" s="1" t="s">
        <v>2266</v>
      </c>
      <c r="E712" s="5">
        <v>41873</v>
      </c>
      <c r="F712" s="1" t="s">
        <v>647</v>
      </c>
      <c r="G712" s="1" t="s">
        <v>40</v>
      </c>
      <c r="H712" s="1" t="s">
        <v>41</v>
      </c>
      <c r="I712" s="1" t="s">
        <v>2809</v>
      </c>
      <c r="J712" s="1" t="s">
        <v>122</v>
      </c>
      <c r="K712" s="1">
        <v>38237090</v>
      </c>
      <c r="L712" s="6">
        <v>38.47</v>
      </c>
      <c r="M712" s="1" t="s">
        <v>70</v>
      </c>
      <c r="N712" s="7" t="s">
        <v>44</v>
      </c>
      <c r="O712" s="1" t="s">
        <v>53</v>
      </c>
      <c r="P712" s="8">
        <v>1960</v>
      </c>
      <c r="Q712" s="17">
        <f t="shared" si="71"/>
        <v>75401.2</v>
      </c>
      <c r="R712" s="9">
        <v>12200</v>
      </c>
      <c r="S712" s="9">
        <v>10.78</v>
      </c>
      <c r="T712" s="9">
        <v>0</v>
      </c>
      <c r="U712" s="10">
        <v>0</v>
      </c>
      <c r="V712" s="1" t="s">
        <v>46</v>
      </c>
      <c r="W712" s="1" t="s">
        <v>123</v>
      </c>
      <c r="X712" s="1">
        <v>4317850</v>
      </c>
      <c r="Y712" s="11">
        <v>41859</v>
      </c>
      <c r="Z712" s="11">
        <v>41860</v>
      </c>
      <c r="AA712" s="9">
        <f t="shared" si="74"/>
        <v>63190.42</v>
      </c>
      <c r="AB712" s="12">
        <v>60.85</v>
      </c>
      <c r="AC712" s="9">
        <f t="shared" si="72"/>
        <v>4588163.0199999996</v>
      </c>
      <c r="AD712" s="9">
        <f t="shared" si="73"/>
        <v>3845137.057</v>
      </c>
      <c r="AE712" s="1" t="s">
        <v>48</v>
      </c>
      <c r="AF712" s="1" t="s">
        <v>53</v>
      </c>
      <c r="AG712" s="4">
        <f t="shared" si="75"/>
        <v>75401.2</v>
      </c>
      <c r="AH712" s="10">
        <v>75401.2</v>
      </c>
      <c r="AI712" s="10">
        <v>5830.32</v>
      </c>
      <c r="AJ712" s="10">
        <v>10.77</v>
      </c>
      <c r="AK712" s="10">
        <v>0</v>
      </c>
      <c r="AL712" s="9">
        <f t="shared" si="76"/>
        <v>69560.11</v>
      </c>
      <c r="AM712" s="1"/>
      <c r="AN712" s="1"/>
      <c r="AO712" s="12" t="e">
        <f>AB712/#REF!</f>
        <v>#REF!</v>
      </c>
      <c r="AP712" s="1" t="s">
        <v>2267</v>
      </c>
      <c r="AQ712" s="11">
        <v>41906</v>
      </c>
      <c r="AR712" s="1" t="s">
        <v>2269</v>
      </c>
      <c r="AS712" s="11">
        <v>41907</v>
      </c>
      <c r="AT712" s="1" t="s">
        <v>49</v>
      </c>
      <c r="AU712" s="1" t="s">
        <v>4171</v>
      </c>
    </row>
    <row r="713" spans="1:47" ht="15" customHeight="1" x14ac:dyDescent="0.25">
      <c r="A713" s="1">
        <v>712</v>
      </c>
      <c r="B713" s="1" t="s">
        <v>1258</v>
      </c>
      <c r="C713" s="1" t="s">
        <v>38</v>
      </c>
      <c r="D713" s="1">
        <v>9103550536</v>
      </c>
      <c r="E713" s="5">
        <v>41868</v>
      </c>
      <c r="F713" s="1" t="s">
        <v>658</v>
      </c>
      <c r="G713" s="1" t="s">
        <v>40</v>
      </c>
      <c r="H713" s="1" t="s">
        <v>41</v>
      </c>
      <c r="I713" s="1" t="s">
        <v>2809</v>
      </c>
      <c r="J713" s="1" t="s">
        <v>76</v>
      </c>
      <c r="K713" s="1">
        <v>38237090</v>
      </c>
      <c r="L713" s="6">
        <v>15</v>
      </c>
      <c r="M713" s="1" t="s">
        <v>70</v>
      </c>
      <c r="N713" s="7" t="s">
        <v>44</v>
      </c>
      <c r="O713" s="1" t="s">
        <v>53</v>
      </c>
      <c r="P713" s="8">
        <v>1685</v>
      </c>
      <c r="Q713" s="17">
        <f t="shared" si="71"/>
        <v>25275</v>
      </c>
      <c r="R713" s="9">
        <v>950</v>
      </c>
      <c r="S713" s="9">
        <v>3.61</v>
      </c>
      <c r="T713" s="9">
        <v>0</v>
      </c>
      <c r="U713" s="10">
        <v>0</v>
      </c>
      <c r="V713" s="1" t="s">
        <v>46</v>
      </c>
      <c r="W713" s="1" t="s">
        <v>77</v>
      </c>
      <c r="X713" s="1">
        <v>4377767</v>
      </c>
      <c r="Y713" s="11">
        <v>41863</v>
      </c>
      <c r="Z713" s="11">
        <v>41864</v>
      </c>
      <c r="AA713" s="9">
        <f t="shared" si="74"/>
        <v>24321.39</v>
      </c>
      <c r="AB713" s="12">
        <v>60.85</v>
      </c>
      <c r="AC713" s="9">
        <f t="shared" si="72"/>
        <v>1537983.75</v>
      </c>
      <c r="AD713" s="9">
        <f t="shared" si="73"/>
        <v>1479956.5815000001</v>
      </c>
      <c r="AE713" s="1" t="s">
        <v>48</v>
      </c>
      <c r="AF713" s="1" t="s">
        <v>53</v>
      </c>
      <c r="AG713" s="4">
        <f t="shared" si="75"/>
        <v>25275</v>
      </c>
      <c r="AH713" s="10">
        <v>25275</v>
      </c>
      <c r="AI713" s="10">
        <f>730.21+156.79</f>
        <v>887</v>
      </c>
      <c r="AJ713" s="10">
        <f>0.64+2.97</f>
        <v>3.6100000000000003</v>
      </c>
      <c r="AK713" s="10">
        <v>0</v>
      </c>
      <c r="AL713" s="9">
        <f t="shared" si="76"/>
        <v>24384.39</v>
      </c>
      <c r="AM713" s="1"/>
      <c r="AN713" s="1"/>
      <c r="AO713" s="12" t="e">
        <f>AB713/#REF!</f>
        <v>#REF!</v>
      </c>
      <c r="AP713" s="1" t="s">
        <v>2270</v>
      </c>
      <c r="AQ713" s="11">
        <v>42032</v>
      </c>
      <c r="AR713" s="1" t="s">
        <v>2271</v>
      </c>
      <c r="AS713" s="11">
        <v>42038</v>
      </c>
      <c r="AT713" s="1" t="s">
        <v>49</v>
      </c>
      <c r="AU713" s="1" t="s">
        <v>4171</v>
      </c>
    </row>
    <row r="714" spans="1:47" ht="15" customHeight="1" x14ac:dyDescent="0.25">
      <c r="A714" s="1">
        <v>713</v>
      </c>
      <c r="B714" s="1" t="s">
        <v>1258</v>
      </c>
      <c r="C714" s="1" t="s">
        <v>38</v>
      </c>
      <c r="D714" s="1">
        <v>9103550537</v>
      </c>
      <c r="E714" s="5">
        <v>41868</v>
      </c>
      <c r="F714" s="1" t="s">
        <v>732</v>
      </c>
      <c r="G714" s="1" t="s">
        <v>40</v>
      </c>
      <c r="H714" s="1" t="s">
        <v>41</v>
      </c>
      <c r="I714" s="1" t="s">
        <v>2809</v>
      </c>
      <c r="J714" s="1" t="s">
        <v>76</v>
      </c>
      <c r="K714" s="1">
        <v>38237090</v>
      </c>
      <c r="L714" s="6">
        <v>30</v>
      </c>
      <c r="M714" s="1" t="s">
        <v>70</v>
      </c>
      <c r="N714" s="7" t="s">
        <v>44</v>
      </c>
      <c r="O714" s="1" t="s">
        <v>53</v>
      </c>
      <c r="P714" s="8">
        <v>1575</v>
      </c>
      <c r="Q714" s="17">
        <f t="shared" si="71"/>
        <v>47250</v>
      </c>
      <c r="R714" s="9">
        <v>1900</v>
      </c>
      <c r="S714" s="9">
        <v>6.76</v>
      </c>
      <c r="T714" s="9">
        <v>0</v>
      </c>
      <c r="U714" s="10">
        <v>0</v>
      </c>
      <c r="V714" s="1" t="s">
        <v>46</v>
      </c>
      <c r="W714" s="1" t="s">
        <v>77</v>
      </c>
      <c r="X714" s="1">
        <v>4377772</v>
      </c>
      <c r="Y714" s="11">
        <v>41863</v>
      </c>
      <c r="Z714" s="11">
        <v>41864</v>
      </c>
      <c r="AA714" s="9">
        <f t="shared" si="74"/>
        <v>45343.24</v>
      </c>
      <c r="AB714" s="12">
        <v>60.85</v>
      </c>
      <c r="AC714" s="9">
        <f t="shared" si="72"/>
        <v>2875162.5</v>
      </c>
      <c r="AD714" s="9">
        <f t="shared" si="73"/>
        <v>2759136.1540000001</v>
      </c>
      <c r="AE714" s="1" t="s">
        <v>48</v>
      </c>
      <c r="AF714" s="1" t="s">
        <v>53</v>
      </c>
      <c r="AG714" s="4">
        <f t="shared" si="75"/>
        <v>47250</v>
      </c>
      <c r="AH714" s="10">
        <v>47250</v>
      </c>
      <c r="AI714" s="10">
        <v>1774</v>
      </c>
      <c r="AJ714" s="10">
        <v>6.76</v>
      </c>
      <c r="AK714" s="10">
        <v>0</v>
      </c>
      <c r="AL714" s="9">
        <f t="shared" si="76"/>
        <v>45469.24</v>
      </c>
      <c r="AM714" s="1"/>
      <c r="AN714" s="1"/>
      <c r="AO714" s="12" t="e">
        <f>AB714/#REF!</f>
        <v>#REF!</v>
      </c>
      <c r="AP714" s="1" t="s">
        <v>2272</v>
      </c>
      <c r="AQ714" s="11">
        <v>42032</v>
      </c>
      <c r="AR714" s="1" t="s">
        <v>2273</v>
      </c>
      <c r="AS714" s="11">
        <v>42038</v>
      </c>
      <c r="AT714" s="1" t="s">
        <v>49</v>
      </c>
      <c r="AU714" s="1" t="s">
        <v>4171</v>
      </c>
    </row>
    <row r="715" spans="1:47" ht="15" customHeight="1" x14ac:dyDescent="0.25">
      <c r="A715" s="1">
        <v>714</v>
      </c>
      <c r="B715" s="1" t="s">
        <v>1258</v>
      </c>
      <c r="C715" s="1" t="s">
        <v>38</v>
      </c>
      <c r="D715" s="1">
        <v>9103550538</v>
      </c>
      <c r="E715" s="5">
        <v>41868</v>
      </c>
      <c r="F715" s="1" t="s">
        <v>668</v>
      </c>
      <c r="G715" s="1" t="s">
        <v>40</v>
      </c>
      <c r="H715" s="1" t="s">
        <v>41</v>
      </c>
      <c r="I715" s="1" t="s">
        <v>2809</v>
      </c>
      <c r="J715" s="1" t="s">
        <v>50</v>
      </c>
      <c r="K715" s="1">
        <v>38237090</v>
      </c>
      <c r="L715" s="6">
        <v>112.91</v>
      </c>
      <c r="M715" s="1" t="s">
        <v>70</v>
      </c>
      <c r="N715" s="7" t="s">
        <v>52</v>
      </c>
      <c r="O715" s="1" t="s">
        <v>45</v>
      </c>
      <c r="P715" s="8">
        <v>1195</v>
      </c>
      <c r="Q715" s="17">
        <f t="shared" si="71"/>
        <v>134927.44999999998</v>
      </c>
      <c r="R715" s="9">
        <v>4276.76</v>
      </c>
      <c r="S715" s="9">
        <v>0</v>
      </c>
      <c r="T715" s="9">
        <v>0</v>
      </c>
      <c r="U715" s="10">
        <v>0</v>
      </c>
      <c r="V715" s="1" t="s">
        <v>46</v>
      </c>
      <c r="W715" s="1" t="s">
        <v>2657</v>
      </c>
      <c r="X715" s="1">
        <v>4382092</v>
      </c>
      <c r="Y715" s="11">
        <v>41863</v>
      </c>
      <c r="Z715" s="11">
        <v>41864</v>
      </c>
      <c r="AA715" s="9">
        <f t="shared" si="74"/>
        <v>130650.68999999999</v>
      </c>
      <c r="AB715" s="12">
        <v>81.099999999999994</v>
      </c>
      <c r="AC715" s="9">
        <f t="shared" si="72"/>
        <v>10942616.194999998</v>
      </c>
      <c r="AD715" s="9">
        <f t="shared" si="73"/>
        <v>10595770.958999999</v>
      </c>
      <c r="AE715" s="1" t="s">
        <v>51</v>
      </c>
      <c r="AF715" s="1" t="s">
        <v>45</v>
      </c>
      <c r="AG715" s="4">
        <f t="shared" si="75"/>
        <v>134927.44999999998</v>
      </c>
      <c r="AH715" s="10">
        <v>134695</v>
      </c>
      <c r="AI715" s="10">
        <v>4655.7299999999996</v>
      </c>
      <c r="AJ715" s="10">
        <v>0</v>
      </c>
      <c r="AK715" s="10">
        <v>0</v>
      </c>
      <c r="AL715" s="9">
        <f t="shared" si="76"/>
        <v>130039.27</v>
      </c>
      <c r="AM715" s="1"/>
      <c r="AN715" s="1"/>
      <c r="AO715" s="12" t="e">
        <f>AB715/#REF!</f>
        <v>#REF!</v>
      </c>
      <c r="AP715" s="1" t="s">
        <v>2274</v>
      </c>
      <c r="AQ715" s="11">
        <v>41929</v>
      </c>
      <c r="AR715" s="1" t="s">
        <v>2275</v>
      </c>
      <c r="AS715" s="11">
        <v>41978</v>
      </c>
      <c r="AT715" s="1" t="s">
        <v>49</v>
      </c>
      <c r="AU715" s="1" t="s">
        <v>4171</v>
      </c>
    </row>
    <row r="716" spans="1:47" ht="15" customHeight="1" x14ac:dyDescent="0.25">
      <c r="A716" s="1">
        <v>715</v>
      </c>
      <c r="B716" s="1" t="s">
        <v>1258</v>
      </c>
      <c r="C716" s="1" t="s">
        <v>38</v>
      </c>
      <c r="D716" s="1" t="s">
        <v>2276</v>
      </c>
      <c r="E716" s="5">
        <v>41866</v>
      </c>
      <c r="F716" s="1" t="s">
        <v>659</v>
      </c>
      <c r="G716" s="1" t="s">
        <v>40</v>
      </c>
      <c r="H716" s="1" t="s">
        <v>41</v>
      </c>
      <c r="I716" s="1" t="s">
        <v>2810</v>
      </c>
      <c r="J716" s="1" t="s">
        <v>1116</v>
      </c>
      <c r="K716" s="1">
        <v>38237090</v>
      </c>
      <c r="L716" s="6">
        <v>148.79</v>
      </c>
      <c r="M716" s="1" t="s">
        <v>70</v>
      </c>
      <c r="N716" s="7" t="s">
        <v>67</v>
      </c>
      <c r="O716" s="1" t="s">
        <v>1117</v>
      </c>
      <c r="P716" s="8">
        <v>108000</v>
      </c>
      <c r="Q716" s="17">
        <f t="shared" si="71"/>
        <v>16069320</v>
      </c>
      <c r="R716" s="9">
        <v>0</v>
      </c>
      <c r="S716" s="9">
        <v>0</v>
      </c>
      <c r="T716" s="9">
        <v>758953.98</v>
      </c>
      <c r="U716" s="10">
        <v>0</v>
      </c>
      <c r="V716" s="1" t="s">
        <v>46</v>
      </c>
      <c r="W716" s="1" t="s">
        <v>361</v>
      </c>
      <c r="X716" s="1">
        <v>4386469</v>
      </c>
      <c r="Y716" s="11">
        <v>41863</v>
      </c>
      <c r="Z716" s="11">
        <v>41864</v>
      </c>
      <c r="AA716" s="9">
        <f t="shared" si="74"/>
        <v>16069320</v>
      </c>
      <c r="AB716" s="12">
        <v>1</v>
      </c>
      <c r="AC716" s="9">
        <f t="shared" si="72"/>
        <v>16069320</v>
      </c>
      <c r="AD716" s="9">
        <f t="shared" si="73"/>
        <v>16069320</v>
      </c>
      <c r="AE716" s="1" t="s">
        <v>4162</v>
      </c>
      <c r="AF716" s="1" t="s">
        <v>1117</v>
      </c>
      <c r="AG716" s="4">
        <f t="shared" si="75"/>
        <v>16069320</v>
      </c>
      <c r="AH716" s="10">
        <v>16069320</v>
      </c>
      <c r="AI716" s="10"/>
      <c r="AJ716" s="10"/>
      <c r="AK716" s="10"/>
      <c r="AL716" s="9">
        <f t="shared" si="76"/>
        <v>16069320</v>
      </c>
      <c r="AM716" s="1"/>
      <c r="AN716" s="1"/>
      <c r="AO716" s="12"/>
      <c r="AP716" s="1" t="s">
        <v>4089</v>
      </c>
      <c r="AQ716" s="11" t="s">
        <v>4060</v>
      </c>
      <c r="AR716" s="1" t="s">
        <v>4090</v>
      </c>
      <c r="AS716" s="1" t="s">
        <v>4087</v>
      </c>
      <c r="AT716" s="1" t="s">
        <v>49</v>
      </c>
      <c r="AU716" s="1" t="s">
        <v>4171</v>
      </c>
    </row>
    <row r="717" spans="1:47" ht="15" customHeight="1" x14ac:dyDescent="0.25">
      <c r="A717" s="1">
        <v>716</v>
      </c>
      <c r="B717" s="1" t="s">
        <v>1258</v>
      </c>
      <c r="C717" s="1" t="s">
        <v>38</v>
      </c>
      <c r="D717" s="1" t="s">
        <v>2276</v>
      </c>
      <c r="E717" s="5">
        <v>41866</v>
      </c>
      <c r="F717" s="1" t="s">
        <v>659</v>
      </c>
      <c r="G717" s="1" t="s">
        <v>40</v>
      </c>
      <c r="H717" s="1" t="s">
        <v>41</v>
      </c>
      <c r="I717" s="1" t="s">
        <v>2810</v>
      </c>
      <c r="J717" s="1" t="s">
        <v>1116</v>
      </c>
      <c r="K717" s="1">
        <v>38237090</v>
      </c>
      <c r="L717" s="6">
        <v>56.15</v>
      </c>
      <c r="M717" s="1" t="s">
        <v>70</v>
      </c>
      <c r="N717" s="7" t="s">
        <v>67</v>
      </c>
      <c r="O717" s="1" t="s">
        <v>1117</v>
      </c>
      <c r="P717" s="8">
        <v>108000</v>
      </c>
      <c r="Q717" s="17">
        <f t="shared" si="71"/>
        <v>6064200</v>
      </c>
      <c r="R717" s="9">
        <v>0</v>
      </c>
      <c r="S717" s="9">
        <v>0</v>
      </c>
      <c r="T717" s="9">
        <v>286412.17</v>
      </c>
      <c r="U717" s="10">
        <v>0</v>
      </c>
      <c r="V717" s="1" t="s">
        <v>46</v>
      </c>
      <c r="W717" s="1" t="s">
        <v>361</v>
      </c>
      <c r="X717" s="1">
        <v>4397130</v>
      </c>
      <c r="Y717" s="11">
        <v>41864</v>
      </c>
      <c r="Z717" s="11">
        <v>41865</v>
      </c>
      <c r="AA717" s="9">
        <f t="shared" si="74"/>
        <v>6064200</v>
      </c>
      <c r="AB717" s="12">
        <v>1</v>
      </c>
      <c r="AC717" s="9">
        <f t="shared" si="72"/>
        <v>6064200</v>
      </c>
      <c r="AD717" s="9">
        <f t="shared" si="73"/>
        <v>6064200</v>
      </c>
      <c r="AE717" s="1" t="s">
        <v>4162</v>
      </c>
      <c r="AF717" s="1" t="s">
        <v>1117</v>
      </c>
      <c r="AG717" s="4">
        <f t="shared" si="75"/>
        <v>6064200</v>
      </c>
      <c r="AH717" s="10">
        <v>6064200</v>
      </c>
      <c r="AI717" s="10"/>
      <c r="AJ717" s="10"/>
      <c r="AK717" s="10"/>
      <c r="AL717" s="9">
        <f t="shared" si="76"/>
        <v>6064200</v>
      </c>
      <c r="AM717" s="1"/>
      <c r="AN717" s="1"/>
      <c r="AO717" s="12"/>
      <c r="AP717" s="1" t="s">
        <v>4089</v>
      </c>
      <c r="AQ717" s="11" t="s">
        <v>4060</v>
      </c>
      <c r="AR717" s="1" t="s">
        <v>4088</v>
      </c>
      <c r="AS717" s="1" t="s">
        <v>4087</v>
      </c>
      <c r="AT717" s="1" t="s">
        <v>49</v>
      </c>
      <c r="AU717" s="1" t="s">
        <v>4171</v>
      </c>
    </row>
    <row r="718" spans="1:47" ht="15" customHeight="1" x14ac:dyDescent="0.25">
      <c r="A718" s="1">
        <v>717</v>
      </c>
      <c r="B718" s="1" t="s">
        <v>1258</v>
      </c>
      <c r="C718" s="1" t="s">
        <v>38</v>
      </c>
      <c r="D718" s="1">
        <v>9103550541</v>
      </c>
      <c r="E718" s="5">
        <v>41870</v>
      </c>
      <c r="F718" s="1" t="s">
        <v>661</v>
      </c>
      <c r="G718" s="1" t="s">
        <v>40</v>
      </c>
      <c r="H718" s="1" t="s">
        <v>41</v>
      </c>
      <c r="I718" s="1" t="s">
        <v>2809</v>
      </c>
      <c r="J718" s="1" t="s">
        <v>349</v>
      </c>
      <c r="K718" s="1">
        <v>29051700</v>
      </c>
      <c r="L718" s="6">
        <v>12</v>
      </c>
      <c r="M718" s="1" t="s">
        <v>70</v>
      </c>
      <c r="N718" s="7" t="s">
        <v>44</v>
      </c>
      <c r="O718" s="1" t="s">
        <v>53</v>
      </c>
      <c r="P718" s="8">
        <v>1925</v>
      </c>
      <c r="Q718" s="17">
        <f t="shared" si="71"/>
        <v>23100</v>
      </c>
      <c r="R718" s="9">
        <v>1200</v>
      </c>
      <c r="S718" s="9">
        <v>3.3</v>
      </c>
      <c r="T718" s="9">
        <v>0</v>
      </c>
      <c r="U718" s="10">
        <v>0</v>
      </c>
      <c r="V718" s="1" t="s">
        <v>46</v>
      </c>
      <c r="W718" s="1" t="s">
        <v>294</v>
      </c>
      <c r="X718" s="1">
        <v>4398067</v>
      </c>
      <c r="Y718" s="11">
        <v>41864</v>
      </c>
      <c r="Z718" s="11">
        <v>41865</v>
      </c>
      <c r="AA718" s="9">
        <f t="shared" si="74"/>
        <v>21896.7</v>
      </c>
      <c r="AB718" s="12">
        <v>60.85</v>
      </c>
      <c r="AC718" s="9">
        <f t="shared" si="72"/>
        <v>1405635</v>
      </c>
      <c r="AD718" s="9">
        <f t="shared" si="73"/>
        <v>1332414.1950000001</v>
      </c>
      <c r="AE718" s="1" t="s">
        <v>48</v>
      </c>
      <c r="AF718" s="1" t="s">
        <v>53</v>
      </c>
      <c r="AG718" s="4">
        <f t="shared" si="75"/>
        <v>23100</v>
      </c>
      <c r="AH718" s="10">
        <v>22939</v>
      </c>
      <c r="AI718" s="10">
        <v>1181</v>
      </c>
      <c r="AJ718" s="10">
        <v>3.3</v>
      </c>
      <c r="AK718" s="10">
        <v>0</v>
      </c>
      <c r="AL718" s="9">
        <f t="shared" si="76"/>
        <v>21754.7</v>
      </c>
      <c r="AM718" s="1"/>
      <c r="AN718" s="1"/>
      <c r="AO718" s="12" t="e">
        <f>AB718/#REF!</f>
        <v>#REF!</v>
      </c>
      <c r="AP718" s="1" t="s">
        <v>2277</v>
      </c>
      <c r="AQ718" s="11">
        <v>41953</v>
      </c>
      <c r="AR718" s="1" t="s">
        <v>2278</v>
      </c>
      <c r="AS718" s="11">
        <v>41954</v>
      </c>
      <c r="AT718" s="1" t="s">
        <v>49</v>
      </c>
      <c r="AU718" s="1" t="s">
        <v>4171</v>
      </c>
    </row>
    <row r="719" spans="1:47" ht="15" customHeight="1" x14ac:dyDescent="0.25">
      <c r="A719" s="1">
        <v>718</v>
      </c>
      <c r="B719" s="1" t="s">
        <v>1258</v>
      </c>
      <c r="C719" s="1" t="s">
        <v>38</v>
      </c>
      <c r="D719" s="1">
        <v>9103550542</v>
      </c>
      <c r="E719" s="5">
        <v>41869</v>
      </c>
      <c r="F719" s="1" t="s">
        <v>662</v>
      </c>
      <c r="G719" s="1" t="s">
        <v>40</v>
      </c>
      <c r="H719" s="1" t="s">
        <v>41</v>
      </c>
      <c r="I719" s="1" t="s">
        <v>2809</v>
      </c>
      <c r="J719" s="1" t="s">
        <v>63</v>
      </c>
      <c r="K719" s="1">
        <v>29159090</v>
      </c>
      <c r="L719" s="6">
        <v>20</v>
      </c>
      <c r="M719" s="1" t="s">
        <v>70</v>
      </c>
      <c r="N719" s="7" t="s">
        <v>52</v>
      </c>
      <c r="O719" s="1" t="s">
        <v>53</v>
      </c>
      <c r="P719" s="8">
        <v>3600</v>
      </c>
      <c r="Q719" s="17">
        <f t="shared" si="71"/>
        <v>72000</v>
      </c>
      <c r="R719" s="9">
        <v>300</v>
      </c>
      <c r="S719" s="9">
        <v>0</v>
      </c>
      <c r="T719" s="9">
        <v>0</v>
      </c>
      <c r="U719" s="10">
        <v>0</v>
      </c>
      <c r="V719" s="1" t="s">
        <v>46</v>
      </c>
      <c r="W719" s="1" t="s">
        <v>75</v>
      </c>
      <c r="X719" s="1">
        <v>4404180</v>
      </c>
      <c r="Y719" s="11">
        <v>41864</v>
      </c>
      <c r="Z719" s="11">
        <v>41865</v>
      </c>
      <c r="AA719" s="9">
        <f t="shared" si="74"/>
        <v>71700</v>
      </c>
      <c r="AB719" s="12">
        <v>60.85</v>
      </c>
      <c r="AC719" s="9">
        <f>+Q719*AB719</f>
        <v>4381200</v>
      </c>
      <c r="AD719" s="9">
        <f t="shared" si="73"/>
        <v>4362945</v>
      </c>
      <c r="AE719" s="1" t="s">
        <v>51</v>
      </c>
      <c r="AF719" s="1" t="s">
        <v>53</v>
      </c>
      <c r="AG719" s="4">
        <f t="shared" si="75"/>
        <v>72000</v>
      </c>
      <c r="AH719" s="10">
        <v>71959</v>
      </c>
      <c r="AI719" s="10">
        <v>235</v>
      </c>
      <c r="AJ719" s="10">
        <v>0</v>
      </c>
      <c r="AK719" s="10">
        <v>0</v>
      </c>
      <c r="AL719" s="9">
        <f t="shared" si="76"/>
        <v>71724</v>
      </c>
      <c r="AM719" s="1"/>
      <c r="AN719" s="1"/>
      <c r="AO719" s="12" t="e">
        <f>AB719/#REF!</f>
        <v>#REF!</v>
      </c>
      <c r="AP719" s="1" t="s">
        <v>2279</v>
      </c>
      <c r="AQ719" s="11">
        <v>41900</v>
      </c>
      <c r="AR719" s="1" t="s">
        <v>2280</v>
      </c>
      <c r="AS719" s="11">
        <v>41906</v>
      </c>
      <c r="AT719" s="1" t="s">
        <v>49</v>
      </c>
      <c r="AU719" s="1" t="s">
        <v>4171</v>
      </c>
    </row>
    <row r="720" spans="1:47" ht="15" customHeight="1" x14ac:dyDescent="0.25">
      <c r="A720" s="1">
        <v>719</v>
      </c>
      <c r="B720" s="1" t="s">
        <v>1258</v>
      </c>
      <c r="C720" s="1" t="s">
        <v>38</v>
      </c>
      <c r="D720" s="1" t="s">
        <v>2281</v>
      </c>
      <c r="E720" s="5">
        <v>41869</v>
      </c>
      <c r="F720" s="1" t="s">
        <v>660</v>
      </c>
      <c r="G720" s="1" t="s">
        <v>40</v>
      </c>
      <c r="H720" s="1" t="s">
        <v>41</v>
      </c>
      <c r="I720" s="1" t="s">
        <v>2809</v>
      </c>
      <c r="J720" s="1" t="s">
        <v>187</v>
      </c>
      <c r="K720" s="1">
        <v>38237090</v>
      </c>
      <c r="L720" s="6">
        <v>18.43</v>
      </c>
      <c r="M720" s="1" t="s">
        <v>70</v>
      </c>
      <c r="N720" s="7" t="s">
        <v>44</v>
      </c>
      <c r="O720" s="1" t="s">
        <v>53</v>
      </c>
      <c r="P720" s="8">
        <v>1643</v>
      </c>
      <c r="Q720" s="17">
        <f t="shared" si="71"/>
        <v>30280.489999999998</v>
      </c>
      <c r="R720" s="9">
        <v>3000</v>
      </c>
      <c r="S720" s="9">
        <v>4.33</v>
      </c>
      <c r="T720" s="9">
        <v>0</v>
      </c>
      <c r="U720" s="10">
        <v>0</v>
      </c>
      <c r="V720" s="1" t="s">
        <v>46</v>
      </c>
      <c r="W720" s="1" t="s">
        <v>56</v>
      </c>
      <c r="X720" s="1">
        <v>4385976</v>
      </c>
      <c r="Y720" s="11">
        <v>41863</v>
      </c>
      <c r="Z720" s="11">
        <v>41864</v>
      </c>
      <c r="AA720" s="9">
        <f t="shared" si="74"/>
        <v>27276.159999999996</v>
      </c>
      <c r="AB720" s="12">
        <v>60.85</v>
      </c>
      <c r="AC720" s="9">
        <f t="shared" si="72"/>
        <v>1842567.8165</v>
      </c>
      <c r="AD720" s="9">
        <f t="shared" si="73"/>
        <v>1659754.3359999999</v>
      </c>
      <c r="AE720" s="1" t="s">
        <v>48</v>
      </c>
      <c r="AF720" s="1" t="s">
        <v>53</v>
      </c>
      <c r="AG720" s="4">
        <f t="shared" si="75"/>
        <v>30280.489999999998</v>
      </c>
      <c r="AH720" s="10">
        <v>30280.49</v>
      </c>
      <c r="AI720" s="10">
        <v>2927.8</v>
      </c>
      <c r="AJ720" s="10">
        <v>4.3099999999999996</v>
      </c>
      <c r="AK720" s="10">
        <v>0</v>
      </c>
      <c r="AL720" s="9">
        <f t="shared" si="76"/>
        <v>27348.38</v>
      </c>
      <c r="AM720" s="1"/>
      <c r="AN720" s="1"/>
      <c r="AO720" s="12" t="e">
        <f>AB720/#REF!</f>
        <v>#REF!</v>
      </c>
      <c r="AP720" s="1" t="s">
        <v>2282</v>
      </c>
      <c r="AQ720" s="11">
        <v>41893</v>
      </c>
      <c r="AR720" s="1" t="s">
        <v>2283</v>
      </c>
      <c r="AS720" s="11">
        <v>41894</v>
      </c>
      <c r="AT720" s="1" t="s">
        <v>49</v>
      </c>
      <c r="AU720" s="1" t="s">
        <v>4171</v>
      </c>
    </row>
    <row r="721" spans="1:47" ht="15" customHeight="1" x14ac:dyDescent="0.25">
      <c r="A721" s="1">
        <v>720</v>
      </c>
      <c r="B721" s="1" t="s">
        <v>1258</v>
      </c>
      <c r="C721" s="1" t="s">
        <v>38</v>
      </c>
      <c r="D721" s="1" t="s">
        <v>2281</v>
      </c>
      <c r="E721" s="5">
        <v>41869</v>
      </c>
      <c r="F721" s="1" t="s">
        <v>669</v>
      </c>
      <c r="G721" s="1" t="s">
        <v>40</v>
      </c>
      <c r="H721" s="1" t="s">
        <v>41</v>
      </c>
      <c r="I721" s="1" t="s">
        <v>2809</v>
      </c>
      <c r="J721" s="1" t="s">
        <v>187</v>
      </c>
      <c r="K721" s="1">
        <v>38237090</v>
      </c>
      <c r="L721" s="6">
        <v>18.079999999999998</v>
      </c>
      <c r="M721" s="1" t="s">
        <v>70</v>
      </c>
      <c r="N721" s="7" t="s">
        <v>44</v>
      </c>
      <c r="O721" s="1" t="s">
        <v>53</v>
      </c>
      <c r="P721" s="8">
        <v>1643</v>
      </c>
      <c r="Q721" s="17">
        <f t="shared" si="71"/>
        <v>29705.439999999999</v>
      </c>
      <c r="R721" s="9">
        <v>3000</v>
      </c>
      <c r="S721" s="9">
        <v>4.25</v>
      </c>
      <c r="T721" s="9">
        <v>0</v>
      </c>
      <c r="U721" s="10">
        <v>0</v>
      </c>
      <c r="V721" s="1" t="s">
        <v>46</v>
      </c>
      <c r="W721" s="1" t="s">
        <v>56</v>
      </c>
      <c r="X721" s="1">
        <v>4406602</v>
      </c>
      <c r="Y721" s="11">
        <v>41864</v>
      </c>
      <c r="Z721" s="11">
        <v>41865</v>
      </c>
      <c r="AA721" s="9">
        <f t="shared" si="74"/>
        <v>26701.19</v>
      </c>
      <c r="AB721" s="12">
        <v>60.85</v>
      </c>
      <c r="AC721" s="9">
        <f t="shared" si="72"/>
        <v>1807576.024</v>
      </c>
      <c r="AD721" s="9">
        <f t="shared" si="73"/>
        <v>1624767.4114999999</v>
      </c>
      <c r="AE721" s="1" t="s">
        <v>48</v>
      </c>
      <c r="AF721" s="1" t="s">
        <v>53</v>
      </c>
      <c r="AG721" s="4">
        <f t="shared" si="75"/>
        <v>29705.439999999999</v>
      </c>
      <c r="AH721" s="10">
        <v>29705.439999999999</v>
      </c>
      <c r="AI721" s="10">
        <v>2872.2</v>
      </c>
      <c r="AJ721" s="10">
        <v>4.22</v>
      </c>
      <c r="AK721" s="10">
        <v>0</v>
      </c>
      <c r="AL721" s="9">
        <f t="shared" si="76"/>
        <v>26829.02</v>
      </c>
      <c r="AM721" s="1"/>
      <c r="AN721" s="1"/>
      <c r="AO721" s="12" t="e">
        <f>AB721/#REF!</f>
        <v>#REF!</v>
      </c>
      <c r="AP721" s="1" t="s">
        <v>2282</v>
      </c>
      <c r="AQ721" s="11">
        <v>41893</v>
      </c>
      <c r="AR721" s="1" t="s">
        <v>2284</v>
      </c>
      <c r="AS721" s="11">
        <v>41894</v>
      </c>
      <c r="AT721" s="1" t="s">
        <v>49</v>
      </c>
      <c r="AU721" s="1" t="s">
        <v>4171</v>
      </c>
    </row>
    <row r="722" spans="1:47" ht="15" customHeight="1" x14ac:dyDescent="0.25">
      <c r="A722" s="1">
        <v>721</v>
      </c>
      <c r="B722" s="1" t="s">
        <v>1258</v>
      </c>
      <c r="C722" s="1" t="s">
        <v>38</v>
      </c>
      <c r="D722" s="1">
        <v>9103550545</v>
      </c>
      <c r="E722" s="5">
        <v>41868</v>
      </c>
      <c r="F722" s="1" t="s">
        <v>663</v>
      </c>
      <c r="G722" s="1" t="s">
        <v>40</v>
      </c>
      <c r="H722" s="1" t="s">
        <v>41</v>
      </c>
      <c r="I722" s="1" t="s">
        <v>2809</v>
      </c>
      <c r="J722" s="1" t="s">
        <v>50</v>
      </c>
      <c r="K722" s="1">
        <v>38237090</v>
      </c>
      <c r="L722" s="6">
        <v>18.82</v>
      </c>
      <c r="M722" s="1" t="s">
        <v>70</v>
      </c>
      <c r="N722" s="7" t="s">
        <v>52</v>
      </c>
      <c r="O722" s="1" t="s">
        <v>45</v>
      </c>
      <c r="P722" s="8">
        <v>1195</v>
      </c>
      <c r="Q722" s="17">
        <f t="shared" si="71"/>
        <v>22489.9</v>
      </c>
      <c r="R722" s="9">
        <v>712.79</v>
      </c>
      <c r="S722" s="9">
        <v>0</v>
      </c>
      <c r="T722" s="9">
        <v>0</v>
      </c>
      <c r="U722" s="10">
        <v>0</v>
      </c>
      <c r="V722" s="1" t="s">
        <v>46</v>
      </c>
      <c r="W722" s="1" t="s">
        <v>2657</v>
      </c>
      <c r="X722" s="1">
        <v>4397461</v>
      </c>
      <c r="Y722" s="11">
        <v>41864</v>
      </c>
      <c r="Z722" s="11">
        <v>41865</v>
      </c>
      <c r="AA722" s="9">
        <f t="shared" si="74"/>
        <v>21777.11</v>
      </c>
      <c r="AB722" s="12">
        <v>81.099999999999994</v>
      </c>
      <c r="AC722" s="9">
        <f t="shared" si="72"/>
        <v>1823930.89</v>
      </c>
      <c r="AD722" s="9">
        <f t="shared" si="73"/>
        <v>1766123.6209999998</v>
      </c>
      <c r="AE722" s="1" t="s">
        <v>51</v>
      </c>
      <c r="AF722" s="1" t="s">
        <v>45</v>
      </c>
      <c r="AG722" s="4">
        <f t="shared" si="75"/>
        <v>22489.9</v>
      </c>
      <c r="AH722" s="10">
        <v>22360</v>
      </c>
      <c r="AI722" s="10">
        <v>775.95</v>
      </c>
      <c r="AJ722" s="10">
        <v>0</v>
      </c>
      <c r="AK722" s="10">
        <v>0</v>
      </c>
      <c r="AL722" s="9">
        <f t="shared" si="76"/>
        <v>21584.05</v>
      </c>
      <c r="AM722" s="1"/>
      <c r="AN722" s="1"/>
      <c r="AO722" s="12" t="e">
        <f>AB722/#REF!</f>
        <v>#REF!</v>
      </c>
      <c r="AP722" s="1" t="s">
        <v>2285</v>
      </c>
      <c r="AQ722" s="11">
        <v>41929</v>
      </c>
      <c r="AR722" s="1" t="s">
        <v>2286</v>
      </c>
      <c r="AS722" s="11">
        <v>41978</v>
      </c>
      <c r="AT722" s="1" t="s">
        <v>49</v>
      </c>
      <c r="AU722" s="1" t="s">
        <v>4171</v>
      </c>
    </row>
    <row r="723" spans="1:47" ht="15" customHeight="1" x14ac:dyDescent="0.25">
      <c r="A723" s="1">
        <v>722</v>
      </c>
      <c r="B723" s="1" t="s">
        <v>1258</v>
      </c>
      <c r="C723" s="1" t="s">
        <v>38</v>
      </c>
      <c r="D723" s="1">
        <v>9103550545</v>
      </c>
      <c r="E723" s="5">
        <v>41868</v>
      </c>
      <c r="F723" s="1" t="s">
        <v>687</v>
      </c>
      <c r="G723" s="1" t="s">
        <v>40</v>
      </c>
      <c r="H723" s="1" t="s">
        <v>41</v>
      </c>
      <c r="I723" s="1" t="s">
        <v>2809</v>
      </c>
      <c r="J723" s="1" t="s">
        <v>50</v>
      </c>
      <c r="K723" s="1">
        <v>38237090</v>
      </c>
      <c r="L723" s="6">
        <v>18.899999999999999</v>
      </c>
      <c r="M723" s="1" t="s">
        <v>70</v>
      </c>
      <c r="N723" s="7" t="s">
        <v>52</v>
      </c>
      <c r="O723" s="1" t="s">
        <v>45</v>
      </c>
      <c r="P723" s="8">
        <v>1195</v>
      </c>
      <c r="Q723" s="17">
        <f t="shared" si="71"/>
        <v>22585.5</v>
      </c>
      <c r="R723" s="9">
        <v>712.79</v>
      </c>
      <c r="S723" s="9">
        <v>0</v>
      </c>
      <c r="T723" s="9">
        <v>0</v>
      </c>
      <c r="U723" s="10">
        <v>0</v>
      </c>
      <c r="V723" s="1" t="s">
        <v>46</v>
      </c>
      <c r="W723" s="1" t="s">
        <v>2657</v>
      </c>
      <c r="X723" s="1">
        <v>4409158</v>
      </c>
      <c r="Y723" s="11">
        <v>41864</v>
      </c>
      <c r="Z723" s="11">
        <v>41865</v>
      </c>
      <c r="AA723" s="9">
        <f t="shared" si="74"/>
        <v>21872.71</v>
      </c>
      <c r="AB723" s="12">
        <v>81.099999999999994</v>
      </c>
      <c r="AC723" s="9">
        <f t="shared" si="72"/>
        <v>1831684.0499999998</v>
      </c>
      <c r="AD723" s="9">
        <f t="shared" si="73"/>
        <v>1773876.7809999997</v>
      </c>
      <c r="AE723" s="1" t="s">
        <v>51</v>
      </c>
      <c r="AF723" s="1" t="s">
        <v>45</v>
      </c>
      <c r="AG723" s="4">
        <f t="shared" si="75"/>
        <v>22585.5</v>
      </c>
      <c r="AH723" s="10">
        <v>22586</v>
      </c>
      <c r="AI723" s="10">
        <v>775.95</v>
      </c>
      <c r="AJ723" s="10">
        <v>0</v>
      </c>
      <c r="AK723" s="10">
        <v>0</v>
      </c>
      <c r="AL723" s="9">
        <f t="shared" si="76"/>
        <v>21810.05</v>
      </c>
      <c r="AM723" s="1"/>
      <c r="AN723" s="1"/>
      <c r="AO723" s="12" t="e">
        <f>AB723/#REF!</f>
        <v>#REF!</v>
      </c>
      <c r="AP723" s="1" t="s">
        <v>2285</v>
      </c>
      <c r="AQ723" s="11">
        <v>41929</v>
      </c>
      <c r="AR723" s="1" t="s">
        <v>2287</v>
      </c>
      <c r="AS723" s="11">
        <v>41978</v>
      </c>
      <c r="AT723" s="1" t="s">
        <v>49</v>
      </c>
      <c r="AU723" s="1" t="s">
        <v>4171</v>
      </c>
    </row>
    <row r="724" spans="1:47" ht="15" customHeight="1" x14ac:dyDescent="0.25">
      <c r="A724" s="1">
        <v>723</v>
      </c>
      <c r="B724" s="1" t="s">
        <v>1258</v>
      </c>
      <c r="C724" s="1" t="s">
        <v>38</v>
      </c>
      <c r="D724" s="1">
        <v>9103550546</v>
      </c>
      <c r="E724" s="5">
        <v>41868</v>
      </c>
      <c r="F724" s="1" t="s">
        <v>678</v>
      </c>
      <c r="G724" s="1" t="s">
        <v>40</v>
      </c>
      <c r="H724" s="1" t="s">
        <v>41</v>
      </c>
      <c r="I724" s="1" t="s">
        <v>2809</v>
      </c>
      <c r="J724" s="1" t="s">
        <v>50</v>
      </c>
      <c r="K724" s="1">
        <v>38237090</v>
      </c>
      <c r="L724" s="6">
        <v>37.75</v>
      </c>
      <c r="M724" s="1" t="s">
        <v>70</v>
      </c>
      <c r="N724" s="7" t="s">
        <v>52</v>
      </c>
      <c r="O724" s="1" t="s">
        <v>45</v>
      </c>
      <c r="P724" s="8">
        <v>970</v>
      </c>
      <c r="Q724" s="17">
        <f t="shared" si="71"/>
        <v>36617.5</v>
      </c>
      <c r="R724" s="9">
        <v>1500.62</v>
      </c>
      <c r="S724" s="9">
        <v>0</v>
      </c>
      <c r="T724" s="9">
        <v>0</v>
      </c>
      <c r="U724" s="10">
        <v>0</v>
      </c>
      <c r="V724" s="1" t="s">
        <v>46</v>
      </c>
      <c r="W724" s="1" t="s">
        <v>2657</v>
      </c>
      <c r="X724" s="1">
        <v>4409981</v>
      </c>
      <c r="Y724" s="11">
        <v>41864</v>
      </c>
      <c r="Z724" s="11">
        <v>41865</v>
      </c>
      <c r="AA724" s="9">
        <f t="shared" si="74"/>
        <v>35116.879999999997</v>
      </c>
      <c r="AB724" s="12">
        <v>81.099999999999994</v>
      </c>
      <c r="AC724" s="9">
        <f t="shared" si="72"/>
        <v>2969679.25</v>
      </c>
      <c r="AD724" s="9">
        <f t="shared" si="73"/>
        <v>2847978.9679999994</v>
      </c>
      <c r="AE724" s="1" t="s">
        <v>51</v>
      </c>
      <c r="AF724" s="1" t="s">
        <v>45</v>
      </c>
      <c r="AG724" s="4">
        <f t="shared" si="75"/>
        <v>36617.5</v>
      </c>
      <c r="AH724" s="10">
        <v>36488</v>
      </c>
      <c r="AI724" s="10">
        <v>1633.19</v>
      </c>
      <c r="AJ724" s="10">
        <v>0</v>
      </c>
      <c r="AK724" s="10">
        <v>0</v>
      </c>
      <c r="AL724" s="9">
        <f t="shared" si="76"/>
        <v>34854.81</v>
      </c>
      <c r="AM724" s="1"/>
      <c r="AN724" s="1"/>
      <c r="AO724" s="12" t="e">
        <f>AB724/#REF!</f>
        <v>#REF!</v>
      </c>
      <c r="AP724" s="1" t="s">
        <v>2288</v>
      </c>
      <c r="AQ724" s="11">
        <v>41933</v>
      </c>
      <c r="AR724" s="1" t="s">
        <v>2289</v>
      </c>
      <c r="AS724" s="11">
        <v>41978</v>
      </c>
      <c r="AT724" s="1" t="s">
        <v>49</v>
      </c>
      <c r="AU724" s="1" t="s">
        <v>4171</v>
      </c>
    </row>
    <row r="725" spans="1:47" ht="15" customHeight="1" x14ac:dyDescent="0.25">
      <c r="A725" s="1">
        <v>724</v>
      </c>
      <c r="B725" s="1" t="s">
        <v>1258</v>
      </c>
      <c r="C725" s="1" t="s">
        <v>38</v>
      </c>
      <c r="D725" s="1">
        <v>9103550547</v>
      </c>
      <c r="E725" s="5">
        <v>41870</v>
      </c>
      <c r="F725" s="1" t="s">
        <v>664</v>
      </c>
      <c r="G725" s="1" t="s">
        <v>40</v>
      </c>
      <c r="H725" s="1" t="s">
        <v>41</v>
      </c>
      <c r="I725" s="1" t="s">
        <v>2809</v>
      </c>
      <c r="J725" s="1" t="s">
        <v>78</v>
      </c>
      <c r="K725" s="1">
        <v>38231900</v>
      </c>
      <c r="L725" s="6">
        <v>39.86</v>
      </c>
      <c r="M725" s="1" t="s">
        <v>70</v>
      </c>
      <c r="N725" s="7" t="s">
        <v>67</v>
      </c>
      <c r="O725" s="1" t="s">
        <v>53</v>
      </c>
      <c r="P725" s="8">
        <v>3500</v>
      </c>
      <c r="Q725" s="17">
        <f t="shared" si="71"/>
        <v>139510</v>
      </c>
      <c r="R725" s="9">
        <v>0</v>
      </c>
      <c r="S725" s="9">
        <v>0</v>
      </c>
      <c r="T725" s="9">
        <v>0</v>
      </c>
      <c r="U725" s="10">
        <v>0</v>
      </c>
      <c r="V725" s="1" t="s">
        <v>46</v>
      </c>
      <c r="W725" s="1" t="s">
        <v>56</v>
      </c>
      <c r="X725" s="1">
        <v>4422368</v>
      </c>
      <c r="Y725" s="11">
        <v>41865</v>
      </c>
      <c r="Z725" s="11">
        <v>41866</v>
      </c>
      <c r="AA725" s="9">
        <f t="shared" si="74"/>
        <v>139510</v>
      </c>
      <c r="AB725" s="12">
        <v>60.85</v>
      </c>
      <c r="AC725" s="9">
        <f t="shared" si="72"/>
        <v>8489183.5</v>
      </c>
      <c r="AD725" s="9">
        <f t="shared" si="73"/>
        <v>8489183.5</v>
      </c>
      <c r="AE725" s="1" t="s">
        <v>51</v>
      </c>
      <c r="AF725" s="1" t="s">
        <v>53</v>
      </c>
      <c r="AG725" s="4">
        <f t="shared" si="75"/>
        <v>139510</v>
      </c>
      <c r="AH725" s="10">
        <v>139485</v>
      </c>
      <c r="AI725" s="10">
        <v>0</v>
      </c>
      <c r="AJ725" s="10">
        <v>0</v>
      </c>
      <c r="AK725" s="10">
        <v>0</v>
      </c>
      <c r="AL725" s="9">
        <f t="shared" si="76"/>
        <v>139485</v>
      </c>
      <c r="AM725" s="1"/>
      <c r="AN725" s="1"/>
      <c r="AO725" s="12" t="e">
        <f>AB725/#REF!</f>
        <v>#REF!</v>
      </c>
      <c r="AP725" s="1" t="s">
        <v>2290</v>
      </c>
      <c r="AQ725" s="11">
        <v>41904</v>
      </c>
      <c r="AR725" s="1" t="s">
        <v>2291</v>
      </c>
      <c r="AS725" s="11">
        <v>41906</v>
      </c>
      <c r="AT725" s="1" t="s">
        <v>49</v>
      </c>
      <c r="AU725" s="1" t="s">
        <v>4171</v>
      </c>
    </row>
    <row r="726" spans="1:47" ht="15" customHeight="1" x14ac:dyDescent="0.25">
      <c r="A726" s="1">
        <v>725</v>
      </c>
      <c r="B726" s="1" t="s">
        <v>1258</v>
      </c>
      <c r="C726" s="1" t="s">
        <v>38</v>
      </c>
      <c r="D726" s="1">
        <v>9103550548</v>
      </c>
      <c r="E726" s="5">
        <v>41873</v>
      </c>
      <c r="F726" s="1" t="s">
        <v>666</v>
      </c>
      <c r="G726" s="1" t="s">
        <v>40</v>
      </c>
      <c r="H726" s="1" t="s">
        <v>41</v>
      </c>
      <c r="I726" s="1" t="s">
        <v>2809</v>
      </c>
      <c r="J726" s="1" t="s">
        <v>50</v>
      </c>
      <c r="K726" s="1">
        <v>38237090</v>
      </c>
      <c r="L726" s="6">
        <v>18.87</v>
      </c>
      <c r="M726" s="1" t="s">
        <v>70</v>
      </c>
      <c r="N726" s="7" t="s">
        <v>52</v>
      </c>
      <c r="O726" s="1" t="s">
        <v>45</v>
      </c>
      <c r="P726" s="8">
        <v>970</v>
      </c>
      <c r="Q726" s="17">
        <f t="shared" si="71"/>
        <v>18303.900000000001</v>
      </c>
      <c r="R726" s="9">
        <v>750.31</v>
      </c>
      <c r="S726" s="9">
        <v>0</v>
      </c>
      <c r="T726" s="9">
        <v>0</v>
      </c>
      <c r="U726" s="10">
        <v>0</v>
      </c>
      <c r="V726" s="1" t="s">
        <v>46</v>
      </c>
      <c r="W726" s="1" t="s">
        <v>2657</v>
      </c>
      <c r="X726" s="1">
        <v>4422365</v>
      </c>
      <c r="Y726" s="11">
        <v>41865</v>
      </c>
      <c r="Z726" s="11">
        <v>41867</v>
      </c>
      <c r="AA726" s="9">
        <f t="shared" si="74"/>
        <v>17553.59</v>
      </c>
      <c r="AB726" s="12">
        <v>81.099999999999994</v>
      </c>
      <c r="AC726" s="9">
        <f t="shared" si="72"/>
        <v>1484446.29</v>
      </c>
      <c r="AD726" s="9">
        <f t="shared" si="73"/>
        <v>1423596.149</v>
      </c>
      <c r="AE726" s="1" t="s">
        <v>51</v>
      </c>
      <c r="AF726" s="1" t="s">
        <v>45</v>
      </c>
      <c r="AG726" s="4">
        <f t="shared" si="75"/>
        <v>18303.900000000001</v>
      </c>
      <c r="AH726" s="10">
        <v>18303</v>
      </c>
      <c r="AI726" s="10">
        <v>801</v>
      </c>
      <c r="AJ726" s="10">
        <v>0</v>
      </c>
      <c r="AK726" s="10">
        <v>0</v>
      </c>
      <c r="AL726" s="9">
        <f t="shared" si="76"/>
        <v>17502</v>
      </c>
      <c r="AM726" s="1"/>
      <c r="AN726" s="1"/>
      <c r="AO726" s="12" t="e">
        <f>AB726/#REF!</f>
        <v>#REF!</v>
      </c>
      <c r="AP726" s="1" t="s">
        <v>2292</v>
      </c>
      <c r="AQ726" s="11">
        <v>41962</v>
      </c>
      <c r="AR726" s="1" t="s">
        <v>2293</v>
      </c>
      <c r="AS726" s="11">
        <v>42017</v>
      </c>
      <c r="AT726" s="1" t="s">
        <v>49</v>
      </c>
      <c r="AU726" s="1" t="s">
        <v>4171</v>
      </c>
    </row>
    <row r="727" spans="1:47" s="82" customFormat="1" ht="15" customHeight="1" x14ac:dyDescent="0.25">
      <c r="A727" s="1">
        <v>726</v>
      </c>
      <c r="B727" s="45" t="s">
        <v>1258</v>
      </c>
      <c r="C727" s="45" t="s">
        <v>38</v>
      </c>
      <c r="D727" s="45">
        <v>9103550549</v>
      </c>
      <c r="E727" s="75">
        <v>41869</v>
      </c>
      <c r="F727" s="45" t="s">
        <v>732</v>
      </c>
      <c r="G727" s="45" t="s">
        <v>40</v>
      </c>
      <c r="H727" s="45" t="s">
        <v>41</v>
      </c>
      <c r="I727" s="1" t="s">
        <v>2809</v>
      </c>
      <c r="J727" s="45" t="s">
        <v>63</v>
      </c>
      <c r="K727" s="45">
        <v>38231200</v>
      </c>
      <c r="L727" s="76">
        <v>19.940000000000001</v>
      </c>
      <c r="M727" s="45" t="s">
        <v>70</v>
      </c>
      <c r="N727" s="77" t="s">
        <v>44</v>
      </c>
      <c r="O727" s="45" t="s">
        <v>53</v>
      </c>
      <c r="P727" s="78">
        <v>1128</v>
      </c>
      <c r="Q727" s="79">
        <f t="shared" si="71"/>
        <v>22492.32</v>
      </c>
      <c r="R727" s="80">
        <v>550</v>
      </c>
      <c r="S727" s="80">
        <v>3.22</v>
      </c>
      <c r="T727" s="80">
        <v>0</v>
      </c>
      <c r="U727" s="13">
        <v>0</v>
      </c>
      <c r="V727" s="45" t="s">
        <v>46</v>
      </c>
      <c r="W727" s="45" t="s">
        <v>64</v>
      </c>
      <c r="X727" s="45">
        <v>4422391</v>
      </c>
      <c r="Y727" s="81">
        <v>41865</v>
      </c>
      <c r="Z727" s="11">
        <v>41866</v>
      </c>
      <c r="AA727" s="9">
        <f t="shared" si="74"/>
        <v>21939.1</v>
      </c>
      <c r="AB727" s="12">
        <v>60.85</v>
      </c>
      <c r="AC727" s="9">
        <f t="shared" si="72"/>
        <v>1368657.672</v>
      </c>
      <c r="AD727" s="9">
        <f t="shared" si="73"/>
        <v>1334994.2349999999</v>
      </c>
      <c r="AE727" s="45" t="s">
        <v>51</v>
      </c>
      <c r="AF727" s="45" t="s">
        <v>53</v>
      </c>
      <c r="AG727" s="4">
        <f t="shared" si="75"/>
        <v>22492.32</v>
      </c>
      <c r="AH727" s="13">
        <v>22492</v>
      </c>
      <c r="AI727" s="13">
        <v>400</v>
      </c>
      <c r="AJ727" s="13">
        <v>3.21</v>
      </c>
      <c r="AK727" s="13">
        <v>0</v>
      </c>
      <c r="AL727" s="9">
        <f t="shared" si="76"/>
        <v>22088.79</v>
      </c>
      <c r="AM727" s="45"/>
      <c r="AN727" s="45"/>
      <c r="AO727" s="12" t="e">
        <f>AB727/#REF!</f>
        <v>#REF!</v>
      </c>
      <c r="AP727" s="45" t="s">
        <v>2294</v>
      </c>
      <c r="AQ727" s="11">
        <v>41900</v>
      </c>
      <c r="AR727" s="45" t="s">
        <v>2295</v>
      </c>
      <c r="AS727" s="81">
        <v>41906</v>
      </c>
      <c r="AT727" s="45" t="s">
        <v>49</v>
      </c>
      <c r="AU727" s="1" t="s">
        <v>4171</v>
      </c>
    </row>
    <row r="728" spans="1:47" ht="15" customHeight="1" x14ac:dyDescent="0.25">
      <c r="A728" s="1">
        <v>727</v>
      </c>
      <c r="B728" s="1" t="s">
        <v>1258</v>
      </c>
      <c r="C728" s="1" t="s">
        <v>38</v>
      </c>
      <c r="D728" s="1">
        <v>9103550550</v>
      </c>
      <c r="E728" s="5">
        <v>41872</v>
      </c>
      <c r="F728" s="1" t="s">
        <v>675</v>
      </c>
      <c r="G728" s="1" t="s">
        <v>40</v>
      </c>
      <c r="H728" s="1" t="s">
        <v>41</v>
      </c>
      <c r="I728" s="1" t="s">
        <v>2809</v>
      </c>
      <c r="J728" s="1" t="s">
        <v>63</v>
      </c>
      <c r="K728" s="1">
        <v>29161990</v>
      </c>
      <c r="L728" s="6">
        <v>39.32</v>
      </c>
      <c r="M728" s="1" t="s">
        <v>70</v>
      </c>
      <c r="N728" s="7" t="s">
        <v>44</v>
      </c>
      <c r="O728" s="1" t="s">
        <v>53</v>
      </c>
      <c r="P728" s="8">
        <v>2570</v>
      </c>
      <c r="Q728" s="17">
        <f t="shared" ref="Q728:Q801" si="77">+L728*P728</f>
        <v>101052.4</v>
      </c>
      <c r="R728" s="9">
        <v>1100</v>
      </c>
      <c r="S728" s="9">
        <v>14.45</v>
      </c>
      <c r="T728" s="9">
        <v>0</v>
      </c>
      <c r="U728" s="10">
        <v>0</v>
      </c>
      <c r="V728" s="1" t="s">
        <v>46</v>
      </c>
      <c r="W728" s="1" t="s">
        <v>64</v>
      </c>
      <c r="X728" s="1">
        <v>4422784</v>
      </c>
      <c r="Y728" s="11">
        <v>41865</v>
      </c>
      <c r="Z728" s="11">
        <v>41867</v>
      </c>
      <c r="AA728" s="9">
        <f t="shared" si="74"/>
        <v>99937.95</v>
      </c>
      <c r="AB728" s="12">
        <v>60.85</v>
      </c>
      <c r="AC728" s="9">
        <f t="shared" ref="AC728:AC801" si="78">+Q728*AB728</f>
        <v>6149038.54</v>
      </c>
      <c r="AD728" s="9">
        <f t="shared" ref="AD728:AD801" si="79">+AA728*AB728</f>
        <v>6081224.2575000003</v>
      </c>
      <c r="AE728" s="1" t="s">
        <v>51</v>
      </c>
      <c r="AF728" s="1" t="s">
        <v>53</v>
      </c>
      <c r="AG728" s="4">
        <f t="shared" si="75"/>
        <v>101052.4</v>
      </c>
      <c r="AH728" s="10">
        <v>101011</v>
      </c>
      <c r="AI728" s="10">
        <v>1120</v>
      </c>
      <c r="AJ728" s="10">
        <v>14.45</v>
      </c>
      <c r="AK728" s="10">
        <v>0</v>
      </c>
      <c r="AL728" s="9">
        <f t="shared" si="76"/>
        <v>99876.55</v>
      </c>
      <c r="AM728" s="1"/>
      <c r="AN728" s="1"/>
      <c r="AO728" s="12" t="e">
        <f>AB728/#REF!</f>
        <v>#REF!</v>
      </c>
      <c r="AP728" s="1" t="s">
        <v>2296</v>
      </c>
      <c r="AQ728" s="11">
        <v>41859</v>
      </c>
      <c r="AR728" s="1" t="s">
        <v>2297</v>
      </c>
      <c r="AS728" s="11">
        <v>42017</v>
      </c>
      <c r="AT728" s="1" t="s">
        <v>49</v>
      </c>
      <c r="AU728" s="1" t="s">
        <v>4171</v>
      </c>
    </row>
    <row r="729" spans="1:47" ht="15" customHeight="1" x14ac:dyDescent="0.25">
      <c r="A729" s="1">
        <v>728</v>
      </c>
      <c r="B729" s="1" t="s">
        <v>1258</v>
      </c>
      <c r="C729" s="1" t="s">
        <v>38</v>
      </c>
      <c r="D729" s="1">
        <v>9103550551</v>
      </c>
      <c r="E729" s="5">
        <v>41878</v>
      </c>
      <c r="F729" s="1" t="s">
        <v>679</v>
      </c>
      <c r="G729" s="1" t="s">
        <v>40</v>
      </c>
      <c r="H729" s="1" t="s">
        <v>41</v>
      </c>
      <c r="I729" s="1" t="s">
        <v>2809</v>
      </c>
      <c r="J729" s="1" t="s">
        <v>50</v>
      </c>
      <c r="K729" s="1">
        <v>38237090</v>
      </c>
      <c r="L729" s="6">
        <v>12</v>
      </c>
      <c r="M729" s="1" t="s">
        <v>70</v>
      </c>
      <c r="N729" s="7" t="s">
        <v>52</v>
      </c>
      <c r="O729" s="1" t="s">
        <v>53</v>
      </c>
      <c r="P729" s="8">
        <v>1735</v>
      </c>
      <c r="Q729" s="17">
        <f t="shared" si="77"/>
        <v>20820</v>
      </c>
      <c r="R729" s="9">
        <v>1000</v>
      </c>
      <c r="S729" s="9">
        <v>0</v>
      </c>
      <c r="T729" s="9">
        <v>0</v>
      </c>
      <c r="U729" s="10">
        <v>0</v>
      </c>
      <c r="V729" s="1" t="s">
        <v>46</v>
      </c>
      <c r="W729" s="1" t="s">
        <v>62</v>
      </c>
      <c r="X729" s="1">
        <v>4427150</v>
      </c>
      <c r="Y729" s="11">
        <v>41865</v>
      </c>
      <c r="Z729" s="11">
        <v>41866</v>
      </c>
      <c r="AA729" s="9">
        <f t="shared" ref="AA729:AA802" si="80">Q729-R729-S729</f>
        <v>19820</v>
      </c>
      <c r="AB729" s="12">
        <v>60.85</v>
      </c>
      <c r="AC729" s="9">
        <f t="shared" si="78"/>
        <v>1266897</v>
      </c>
      <c r="AD729" s="9">
        <f t="shared" si="79"/>
        <v>1206047</v>
      </c>
      <c r="AE729" s="1" t="s">
        <v>51</v>
      </c>
      <c r="AF729" s="1" t="s">
        <v>53</v>
      </c>
      <c r="AG729" s="4">
        <f t="shared" si="75"/>
        <v>20820</v>
      </c>
      <c r="AH729" s="10">
        <v>20655</v>
      </c>
      <c r="AI729" s="10">
        <v>993</v>
      </c>
      <c r="AJ729" s="10">
        <v>0</v>
      </c>
      <c r="AK729" s="10">
        <v>0</v>
      </c>
      <c r="AL729" s="9">
        <f t="shared" si="76"/>
        <v>19662</v>
      </c>
      <c r="AM729" s="1"/>
      <c r="AN729" s="1"/>
      <c r="AO729" s="12" t="e">
        <f>AB729/#REF!</f>
        <v>#REF!</v>
      </c>
      <c r="AP729" s="1" t="s">
        <v>2298</v>
      </c>
      <c r="AQ729" s="11">
        <v>41940</v>
      </c>
      <c r="AR729" s="1" t="s">
        <v>2299</v>
      </c>
      <c r="AS729" s="11">
        <v>41978</v>
      </c>
      <c r="AT729" s="1" t="s">
        <v>49</v>
      </c>
      <c r="AU729" s="1" t="s">
        <v>4171</v>
      </c>
    </row>
    <row r="730" spans="1:47" ht="15" customHeight="1" x14ac:dyDescent="0.25">
      <c r="A730" s="1">
        <v>729</v>
      </c>
      <c r="B730" s="1" t="s">
        <v>1258</v>
      </c>
      <c r="C730" s="1" t="s">
        <v>38</v>
      </c>
      <c r="D730" s="1">
        <v>9103550552</v>
      </c>
      <c r="E730" s="5">
        <v>41872</v>
      </c>
      <c r="F730" s="1" t="s">
        <v>674</v>
      </c>
      <c r="G730" s="1" t="s">
        <v>40</v>
      </c>
      <c r="H730" s="1" t="s">
        <v>41</v>
      </c>
      <c r="I730" s="1" t="s">
        <v>2809</v>
      </c>
      <c r="J730" s="1" t="s">
        <v>2740</v>
      </c>
      <c r="K730" s="1">
        <v>29051700</v>
      </c>
      <c r="L730" s="6">
        <v>6</v>
      </c>
      <c r="M730" s="1" t="s">
        <v>70</v>
      </c>
      <c r="N730" s="7" t="s">
        <v>44</v>
      </c>
      <c r="O730" s="1" t="s">
        <v>53</v>
      </c>
      <c r="P730" s="8">
        <v>1870</v>
      </c>
      <c r="Q730" s="17">
        <f t="shared" si="77"/>
        <v>11220</v>
      </c>
      <c r="R730" s="9">
        <v>500</v>
      </c>
      <c r="S730" s="9">
        <v>1.61</v>
      </c>
      <c r="T730" s="9">
        <v>0</v>
      </c>
      <c r="U730" s="10">
        <v>0</v>
      </c>
      <c r="V730" s="1" t="s">
        <v>46</v>
      </c>
      <c r="W730" s="1" t="s">
        <v>205</v>
      </c>
      <c r="X730" s="1">
        <v>4427171</v>
      </c>
      <c r="Y730" s="11">
        <v>41865</v>
      </c>
      <c r="Z730" s="11">
        <v>41867</v>
      </c>
      <c r="AA730" s="9">
        <f t="shared" si="80"/>
        <v>10718.39</v>
      </c>
      <c r="AB730" s="12">
        <v>60.85</v>
      </c>
      <c r="AC730" s="9">
        <f t="shared" si="78"/>
        <v>682737</v>
      </c>
      <c r="AD730" s="9">
        <f t="shared" si="79"/>
        <v>652214.03149999992</v>
      </c>
      <c r="AE730" s="1" t="s">
        <v>48</v>
      </c>
      <c r="AF730" s="1" t="s">
        <v>53</v>
      </c>
      <c r="AG730" s="4">
        <f t="shared" si="75"/>
        <v>11220</v>
      </c>
      <c r="AH730" s="10">
        <v>11200</v>
      </c>
      <c r="AI730" s="10">
        <v>514.24</v>
      </c>
      <c r="AJ730" s="10">
        <v>1.59</v>
      </c>
      <c r="AK730" s="10">
        <v>0</v>
      </c>
      <c r="AL730" s="9">
        <f t="shared" si="76"/>
        <v>10684.17</v>
      </c>
      <c r="AM730" s="1"/>
      <c r="AN730" s="1"/>
      <c r="AO730" s="12" t="e">
        <f>AB730/#REF!</f>
        <v>#REF!</v>
      </c>
      <c r="AP730" s="1" t="s">
        <v>2300</v>
      </c>
      <c r="AQ730" s="11">
        <v>41892</v>
      </c>
      <c r="AR730" s="1" t="s">
        <v>2301</v>
      </c>
      <c r="AS730" s="11">
        <v>41894</v>
      </c>
      <c r="AT730" s="1" t="s">
        <v>49</v>
      </c>
      <c r="AU730" s="1" t="s">
        <v>4171</v>
      </c>
    </row>
    <row r="731" spans="1:47" ht="15" customHeight="1" x14ac:dyDescent="0.25">
      <c r="A731" s="1">
        <v>730</v>
      </c>
      <c r="B731" s="1" t="s">
        <v>1258</v>
      </c>
      <c r="C731" s="1" t="s">
        <v>38</v>
      </c>
      <c r="D731" s="1">
        <v>9103550552</v>
      </c>
      <c r="E731" s="5">
        <v>41872</v>
      </c>
      <c r="F731" s="1" t="s">
        <v>674</v>
      </c>
      <c r="G731" s="1" t="s">
        <v>40</v>
      </c>
      <c r="H731" s="1" t="s">
        <v>41</v>
      </c>
      <c r="I731" s="1" t="s">
        <v>2809</v>
      </c>
      <c r="J731" s="1" t="s">
        <v>2740</v>
      </c>
      <c r="K731" s="1">
        <v>38237090</v>
      </c>
      <c r="L731" s="6">
        <v>6</v>
      </c>
      <c r="M731" s="1" t="s">
        <v>70</v>
      </c>
      <c r="N731" s="7" t="s">
        <v>44</v>
      </c>
      <c r="O731" s="1" t="s">
        <v>53</v>
      </c>
      <c r="P731" s="8">
        <v>1680</v>
      </c>
      <c r="Q731" s="17">
        <f t="shared" si="77"/>
        <v>10080</v>
      </c>
      <c r="R731" s="9">
        <v>500</v>
      </c>
      <c r="S731" s="9">
        <v>1.44</v>
      </c>
      <c r="T731" s="9">
        <v>0</v>
      </c>
      <c r="U731" s="10">
        <v>0</v>
      </c>
      <c r="V731" s="1" t="s">
        <v>46</v>
      </c>
      <c r="W731" s="1" t="s">
        <v>205</v>
      </c>
      <c r="X731" s="1">
        <v>4427171</v>
      </c>
      <c r="Y731" s="11">
        <v>41865</v>
      </c>
      <c r="Z731" s="11">
        <v>41867</v>
      </c>
      <c r="AA731" s="9">
        <f t="shared" si="80"/>
        <v>9578.56</v>
      </c>
      <c r="AB731" s="12">
        <v>60.85</v>
      </c>
      <c r="AC731" s="9">
        <f t="shared" si="78"/>
        <v>613368</v>
      </c>
      <c r="AD731" s="9">
        <f t="shared" si="79"/>
        <v>582855.37599999993</v>
      </c>
      <c r="AE731" s="1" t="s">
        <v>48</v>
      </c>
      <c r="AF731" s="1" t="s">
        <v>53</v>
      </c>
      <c r="AG731" s="4">
        <f t="shared" si="75"/>
        <v>10080</v>
      </c>
      <c r="AH731" s="10">
        <v>10035</v>
      </c>
      <c r="AI731" s="10">
        <v>460.76</v>
      </c>
      <c r="AJ731" s="10">
        <v>1.42</v>
      </c>
      <c r="AK731" s="10">
        <v>0</v>
      </c>
      <c r="AL731" s="9">
        <f t="shared" si="76"/>
        <v>9572.82</v>
      </c>
      <c r="AM731" s="1"/>
      <c r="AN731" s="1"/>
      <c r="AO731" s="12" t="e">
        <f>AB731/#REF!</f>
        <v>#REF!</v>
      </c>
      <c r="AP731" s="1" t="s">
        <v>2300</v>
      </c>
      <c r="AQ731" s="11">
        <v>41892</v>
      </c>
      <c r="AR731" s="1" t="s">
        <v>2301</v>
      </c>
      <c r="AS731" s="11">
        <v>41894</v>
      </c>
      <c r="AT731" s="1" t="s">
        <v>49</v>
      </c>
      <c r="AU731" s="1" t="s">
        <v>4171</v>
      </c>
    </row>
    <row r="732" spans="1:47" ht="15" customHeight="1" x14ac:dyDescent="0.25">
      <c r="A732" s="1">
        <v>731</v>
      </c>
      <c r="B732" s="1" t="s">
        <v>1258</v>
      </c>
      <c r="C732" s="1" t="s">
        <v>38</v>
      </c>
      <c r="D732" s="1" t="s">
        <v>2302</v>
      </c>
      <c r="E732" s="5">
        <v>41869</v>
      </c>
      <c r="F732" s="1" t="s">
        <v>677</v>
      </c>
      <c r="G732" s="1" t="s">
        <v>40</v>
      </c>
      <c r="H732" s="1" t="s">
        <v>41</v>
      </c>
      <c r="I732" s="1" t="s">
        <v>2809</v>
      </c>
      <c r="J732" s="1" t="s">
        <v>142</v>
      </c>
      <c r="K732" s="1">
        <v>38237090</v>
      </c>
      <c r="L732" s="6">
        <v>48</v>
      </c>
      <c r="M732" s="1" t="s">
        <v>70</v>
      </c>
      <c r="N732" s="7" t="s">
        <v>52</v>
      </c>
      <c r="O732" s="1" t="s">
        <v>53</v>
      </c>
      <c r="P732" s="8">
        <v>1525</v>
      </c>
      <c r="Q732" s="17">
        <f t="shared" si="77"/>
        <v>73200</v>
      </c>
      <c r="R732" s="9">
        <v>2800</v>
      </c>
      <c r="S732" s="9">
        <v>0</v>
      </c>
      <c r="T732" s="9">
        <v>732</v>
      </c>
      <c r="U732" s="10">
        <v>0</v>
      </c>
      <c r="V732" s="1" t="s">
        <v>46</v>
      </c>
      <c r="W732" s="1" t="s">
        <v>143</v>
      </c>
      <c r="X732" s="1">
        <v>4409230</v>
      </c>
      <c r="Y732" s="11">
        <v>41864</v>
      </c>
      <c r="Z732" s="11">
        <v>41865</v>
      </c>
      <c r="AA732" s="9">
        <f t="shared" si="80"/>
        <v>70400</v>
      </c>
      <c r="AB732" s="12">
        <v>60.85</v>
      </c>
      <c r="AC732" s="9">
        <f t="shared" si="78"/>
        <v>4454220</v>
      </c>
      <c r="AD732" s="9">
        <f t="shared" si="79"/>
        <v>4283840</v>
      </c>
      <c r="AE732" s="1" t="s">
        <v>48</v>
      </c>
      <c r="AF732" s="1" t="s">
        <v>53</v>
      </c>
      <c r="AG732" s="4">
        <f t="shared" si="75"/>
        <v>73200</v>
      </c>
      <c r="AH732" s="10">
        <v>73200</v>
      </c>
      <c r="AI732" s="10">
        <v>2720</v>
      </c>
      <c r="AJ732" s="10">
        <v>0</v>
      </c>
      <c r="AK732" s="10">
        <v>732</v>
      </c>
      <c r="AL732" s="9">
        <f t="shared" si="76"/>
        <v>69748</v>
      </c>
      <c r="AM732" s="1"/>
      <c r="AN732" s="1"/>
      <c r="AO732" s="12" t="e">
        <f>AB732/#REF!</f>
        <v>#REF!</v>
      </c>
      <c r="AP732" s="1" t="s">
        <v>2303</v>
      </c>
      <c r="AQ732" s="11">
        <v>41885</v>
      </c>
      <c r="AR732" s="1" t="s">
        <v>2304</v>
      </c>
      <c r="AS732" s="11">
        <v>41886</v>
      </c>
      <c r="AT732" s="1" t="s">
        <v>49</v>
      </c>
      <c r="AU732" s="1" t="s">
        <v>4171</v>
      </c>
    </row>
    <row r="733" spans="1:47" ht="15" customHeight="1" x14ac:dyDescent="0.25">
      <c r="A733" s="1">
        <v>732</v>
      </c>
      <c r="B733" s="1" t="s">
        <v>1258</v>
      </c>
      <c r="C733" s="1" t="s">
        <v>38</v>
      </c>
      <c r="D733" s="1" t="s">
        <v>2302</v>
      </c>
      <c r="E733" s="5">
        <v>41869</v>
      </c>
      <c r="F733" s="1" t="s">
        <v>733</v>
      </c>
      <c r="G733" s="1" t="s">
        <v>40</v>
      </c>
      <c r="H733" s="1" t="s">
        <v>41</v>
      </c>
      <c r="I733" s="1" t="s">
        <v>2809</v>
      </c>
      <c r="J733" s="1" t="s">
        <v>142</v>
      </c>
      <c r="K733" s="1">
        <v>38237090</v>
      </c>
      <c r="L733" s="6">
        <v>48</v>
      </c>
      <c r="M733" s="1" t="s">
        <v>70</v>
      </c>
      <c r="N733" s="7" t="s">
        <v>52</v>
      </c>
      <c r="O733" s="1" t="s">
        <v>53</v>
      </c>
      <c r="P733" s="8">
        <v>1525</v>
      </c>
      <c r="Q733" s="17">
        <f t="shared" si="77"/>
        <v>73200</v>
      </c>
      <c r="R733" s="9">
        <v>2800</v>
      </c>
      <c r="S733" s="9">
        <v>0</v>
      </c>
      <c r="T733" s="9">
        <v>732</v>
      </c>
      <c r="U733" s="10">
        <v>0</v>
      </c>
      <c r="V733" s="1" t="s">
        <v>46</v>
      </c>
      <c r="W733" s="1" t="s">
        <v>143</v>
      </c>
      <c r="X733" s="1">
        <v>4422828</v>
      </c>
      <c r="Y733" s="11">
        <v>41865</v>
      </c>
      <c r="Z733" s="11">
        <v>41866</v>
      </c>
      <c r="AA733" s="9">
        <f t="shared" si="80"/>
        <v>70400</v>
      </c>
      <c r="AB733" s="12">
        <v>60.85</v>
      </c>
      <c r="AC733" s="9">
        <f t="shared" si="78"/>
        <v>4454220</v>
      </c>
      <c r="AD733" s="9">
        <f t="shared" si="79"/>
        <v>4283840</v>
      </c>
      <c r="AE733" s="1" t="s">
        <v>48</v>
      </c>
      <c r="AF733" s="1" t="s">
        <v>53</v>
      </c>
      <c r="AG733" s="4">
        <f t="shared" si="75"/>
        <v>73200</v>
      </c>
      <c r="AH733" s="10">
        <v>73200</v>
      </c>
      <c r="AI733" s="10">
        <v>2720</v>
      </c>
      <c r="AJ733" s="10">
        <v>0</v>
      </c>
      <c r="AK733" s="10">
        <v>732</v>
      </c>
      <c r="AL733" s="9">
        <f t="shared" si="76"/>
        <v>69748</v>
      </c>
      <c r="AM733" s="1"/>
      <c r="AN733" s="1"/>
      <c r="AO733" s="12" t="e">
        <f>AB733/#REF!</f>
        <v>#REF!</v>
      </c>
      <c r="AP733" s="1" t="s">
        <v>2303</v>
      </c>
      <c r="AQ733" s="11">
        <v>41885</v>
      </c>
      <c r="AR733" s="1" t="s">
        <v>2305</v>
      </c>
      <c r="AS733" s="11">
        <v>41886</v>
      </c>
      <c r="AT733" s="1" t="s">
        <v>49</v>
      </c>
      <c r="AU733" s="1" t="s">
        <v>4171</v>
      </c>
    </row>
    <row r="734" spans="1:47" ht="15" customHeight="1" x14ac:dyDescent="0.25">
      <c r="A734" s="1">
        <v>733</v>
      </c>
      <c r="B734" s="1" t="s">
        <v>1258</v>
      </c>
      <c r="C734" s="1" t="s">
        <v>38</v>
      </c>
      <c r="D734" s="1">
        <v>9103550555</v>
      </c>
      <c r="E734" s="5">
        <v>41872</v>
      </c>
      <c r="F734" s="1" t="s">
        <v>670</v>
      </c>
      <c r="G734" s="1" t="s">
        <v>40</v>
      </c>
      <c r="H734" s="1" t="s">
        <v>41</v>
      </c>
      <c r="I734" s="1" t="s">
        <v>2809</v>
      </c>
      <c r="J734" s="1" t="s">
        <v>126</v>
      </c>
      <c r="K734" s="1">
        <v>38237090</v>
      </c>
      <c r="L734" s="6">
        <v>7</v>
      </c>
      <c r="M734" s="1" t="s">
        <v>70</v>
      </c>
      <c r="N734" s="7" t="s">
        <v>52</v>
      </c>
      <c r="O734" s="1" t="s">
        <v>53</v>
      </c>
      <c r="P734" s="8">
        <v>4440</v>
      </c>
      <c r="Q734" s="17">
        <f t="shared" si="77"/>
        <v>31080</v>
      </c>
      <c r="R734" s="9">
        <v>125</v>
      </c>
      <c r="S734" s="9">
        <v>0</v>
      </c>
      <c r="T734" s="9">
        <v>0</v>
      </c>
      <c r="U734" s="10">
        <v>0</v>
      </c>
      <c r="V734" s="1" t="s">
        <v>46</v>
      </c>
      <c r="W734" s="1" t="s">
        <v>127</v>
      </c>
      <c r="X734" s="1">
        <v>4430380</v>
      </c>
      <c r="Y734" s="11">
        <v>41865</v>
      </c>
      <c r="Z734" s="11">
        <v>41866</v>
      </c>
      <c r="AA734" s="9">
        <f t="shared" si="80"/>
        <v>30955</v>
      </c>
      <c r="AB734" s="12">
        <v>60.85</v>
      </c>
      <c r="AC734" s="9">
        <f t="shared" si="78"/>
        <v>1891218</v>
      </c>
      <c r="AD734" s="9">
        <f t="shared" si="79"/>
        <v>1883611.75</v>
      </c>
      <c r="AE734" s="1" t="s">
        <v>48</v>
      </c>
      <c r="AF734" s="1" t="s">
        <v>53</v>
      </c>
      <c r="AG734" s="4">
        <f t="shared" si="75"/>
        <v>31080</v>
      </c>
      <c r="AH734" s="10">
        <v>31080</v>
      </c>
      <c r="AI734" s="10">
        <v>130</v>
      </c>
      <c r="AJ734" s="10">
        <v>0</v>
      </c>
      <c r="AK734" s="10">
        <v>0</v>
      </c>
      <c r="AL734" s="9">
        <f t="shared" si="76"/>
        <v>30950</v>
      </c>
      <c r="AM734" s="1"/>
      <c r="AN734" s="1"/>
      <c r="AO734" s="12" t="e">
        <f>AB734/#REF!</f>
        <v>#REF!</v>
      </c>
      <c r="AP734" s="1" t="s">
        <v>2306</v>
      </c>
      <c r="AQ734" s="11">
        <v>41941</v>
      </c>
      <c r="AR734" s="1" t="s">
        <v>2307</v>
      </c>
      <c r="AS734" s="11">
        <v>41942</v>
      </c>
      <c r="AT734" s="1" t="s">
        <v>49</v>
      </c>
      <c r="AU734" s="1" t="s">
        <v>4171</v>
      </c>
    </row>
    <row r="735" spans="1:47" ht="15" customHeight="1" x14ac:dyDescent="0.25">
      <c r="A735" s="1">
        <v>734</v>
      </c>
      <c r="B735" s="1" t="s">
        <v>1258</v>
      </c>
      <c r="C735" s="1" t="s">
        <v>38</v>
      </c>
      <c r="D735" s="1">
        <v>9103550556</v>
      </c>
      <c r="E735" s="5">
        <v>41868</v>
      </c>
      <c r="F735" s="1" t="s">
        <v>671</v>
      </c>
      <c r="G735" s="1" t="s">
        <v>40</v>
      </c>
      <c r="H735" s="1" t="s">
        <v>41</v>
      </c>
      <c r="I735" s="1" t="s">
        <v>2809</v>
      </c>
      <c r="J735" s="1" t="s">
        <v>126</v>
      </c>
      <c r="K735" s="1">
        <v>38237090</v>
      </c>
      <c r="L735" s="6">
        <v>3</v>
      </c>
      <c r="M735" s="1" t="s">
        <v>70</v>
      </c>
      <c r="N735" s="7" t="s">
        <v>52</v>
      </c>
      <c r="O735" s="1" t="s">
        <v>53</v>
      </c>
      <c r="P735" s="8">
        <v>5806</v>
      </c>
      <c r="Q735" s="17">
        <f t="shared" si="77"/>
        <v>17418</v>
      </c>
      <c r="R735" s="9">
        <v>3650</v>
      </c>
      <c r="S735" s="9">
        <v>0</v>
      </c>
      <c r="T735" s="9">
        <v>0</v>
      </c>
      <c r="U735" s="10">
        <v>0</v>
      </c>
      <c r="V735" s="1" t="s">
        <v>46</v>
      </c>
      <c r="W735" s="1" t="s">
        <v>127</v>
      </c>
      <c r="X735" s="1">
        <v>4402955</v>
      </c>
      <c r="Y735" s="11">
        <v>41864</v>
      </c>
      <c r="Z735" s="11">
        <v>41867</v>
      </c>
      <c r="AA735" s="9">
        <f t="shared" si="80"/>
        <v>13768</v>
      </c>
      <c r="AB735" s="12">
        <v>60.85</v>
      </c>
      <c r="AC735" s="9">
        <f t="shared" si="78"/>
        <v>1059885.3</v>
      </c>
      <c r="AD735" s="9">
        <f t="shared" si="79"/>
        <v>837782.8</v>
      </c>
      <c r="AE735" s="1" t="s">
        <v>48</v>
      </c>
      <c r="AF735" s="1" t="s">
        <v>53</v>
      </c>
      <c r="AG735" s="4">
        <f t="shared" si="75"/>
        <v>17418</v>
      </c>
      <c r="AH735" s="10">
        <v>17371</v>
      </c>
      <c r="AI735" s="10">
        <v>3803.58</v>
      </c>
      <c r="AJ735" s="10">
        <v>0</v>
      </c>
      <c r="AK735" s="10">
        <v>0</v>
      </c>
      <c r="AL735" s="9">
        <f t="shared" si="76"/>
        <v>13567.42</v>
      </c>
      <c r="AM735" s="1"/>
      <c r="AN735" s="1"/>
      <c r="AO735" s="12" t="e">
        <f>AB735/#REF!</f>
        <v>#REF!</v>
      </c>
      <c r="AP735" s="1" t="s">
        <v>2308</v>
      </c>
      <c r="AQ735" s="11">
        <v>41941</v>
      </c>
      <c r="AR735" s="1" t="s">
        <v>2309</v>
      </c>
      <c r="AS735" s="11">
        <v>41942</v>
      </c>
      <c r="AT735" s="1" t="s">
        <v>49</v>
      </c>
      <c r="AU735" s="1" t="s">
        <v>4171</v>
      </c>
    </row>
    <row r="736" spans="1:47" ht="15" customHeight="1" x14ac:dyDescent="0.25">
      <c r="A736" s="1">
        <v>735</v>
      </c>
      <c r="B736" s="1" t="s">
        <v>1258</v>
      </c>
      <c r="C736" s="1" t="s">
        <v>38</v>
      </c>
      <c r="D736" s="1">
        <v>9103550557</v>
      </c>
      <c r="E736" s="5">
        <v>41874</v>
      </c>
      <c r="F736" s="1" t="s">
        <v>685</v>
      </c>
      <c r="G736" s="1" t="s">
        <v>40</v>
      </c>
      <c r="H736" s="1" t="s">
        <v>41</v>
      </c>
      <c r="I736" s="1" t="s">
        <v>2809</v>
      </c>
      <c r="J736" s="1" t="s">
        <v>187</v>
      </c>
      <c r="K736" s="1">
        <v>38237090</v>
      </c>
      <c r="L736" s="6">
        <v>18</v>
      </c>
      <c r="M736" s="1" t="s">
        <v>70</v>
      </c>
      <c r="N736" s="7" t="s">
        <v>44</v>
      </c>
      <c r="O736" s="1" t="s">
        <v>53</v>
      </c>
      <c r="P736" s="8">
        <v>4094</v>
      </c>
      <c r="Q736" s="17">
        <f t="shared" si="77"/>
        <v>73692</v>
      </c>
      <c r="R736" s="9">
        <v>3405</v>
      </c>
      <c r="S736" s="9">
        <v>10.54</v>
      </c>
      <c r="T736" s="9">
        <v>0</v>
      </c>
      <c r="U736" s="10">
        <v>0</v>
      </c>
      <c r="V736" s="1" t="s">
        <v>46</v>
      </c>
      <c r="W736" s="1" t="s">
        <v>56</v>
      </c>
      <c r="X736" s="1">
        <v>4452737</v>
      </c>
      <c r="Y736" s="11">
        <v>41867</v>
      </c>
      <c r="Z736" s="11">
        <v>41869</v>
      </c>
      <c r="AA736" s="9">
        <f t="shared" si="80"/>
        <v>70276.460000000006</v>
      </c>
      <c r="AB736" s="12">
        <v>60.85</v>
      </c>
      <c r="AC736" s="9">
        <f t="shared" si="78"/>
        <v>4484158.2</v>
      </c>
      <c r="AD736" s="9">
        <f t="shared" si="79"/>
        <v>4276322.5910000009</v>
      </c>
      <c r="AE736" s="1" t="s">
        <v>48</v>
      </c>
      <c r="AF736" s="1" t="s">
        <v>53</v>
      </c>
      <c r="AG736" s="4">
        <f t="shared" si="75"/>
        <v>73692</v>
      </c>
      <c r="AH736" s="10">
        <v>73692</v>
      </c>
      <c r="AI736" s="10">
        <v>3403</v>
      </c>
      <c r="AJ736" s="10">
        <v>10.51</v>
      </c>
      <c r="AK736" s="10">
        <v>0</v>
      </c>
      <c r="AL736" s="9">
        <f t="shared" si="76"/>
        <v>70278.490000000005</v>
      </c>
      <c r="AM736" s="1"/>
      <c r="AN736" s="1"/>
      <c r="AO736" s="12" t="e">
        <f>AB736/#REF!</f>
        <v>#REF!</v>
      </c>
      <c r="AP736" s="1" t="s">
        <v>2310</v>
      </c>
      <c r="AQ736" s="11">
        <v>41894</v>
      </c>
      <c r="AR736" s="1" t="s">
        <v>2311</v>
      </c>
      <c r="AS736" s="11">
        <v>41895</v>
      </c>
      <c r="AT736" s="1" t="s">
        <v>49</v>
      </c>
      <c r="AU736" s="1" t="s">
        <v>4171</v>
      </c>
    </row>
    <row r="737" spans="1:47" ht="15" customHeight="1" x14ac:dyDescent="0.25">
      <c r="A737" s="1">
        <v>736</v>
      </c>
      <c r="B737" s="1" t="s">
        <v>1258</v>
      </c>
      <c r="C737" s="1" t="s">
        <v>38</v>
      </c>
      <c r="D737" s="1" t="s">
        <v>2312</v>
      </c>
      <c r="E737" s="5">
        <v>41874</v>
      </c>
      <c r="F737" s="1" t="s">
        <v>694</v>
      </c>
      <c r="G737" s="1" t="s">
        <v>40</v>
      </c>
      <c r="H737" s="1" t="s">
        <v>41</v>
      </c>
      <c r="I737" s="1" t="s">
        <v>2809</v>
      </c>
      <c r="J737" s="1" t="s">
        <v>187</v>
      </c>
      <c r="K737" s="1">
        <v>29051700</v>
      </c>
      <c r="L737" s="6">
        <v>18.14</v>
      </c>
      <c r="M737" s="1" t="s">
        <v>70</v>
      </c>
      <c r="N737" s="7" t="s">
        <v>44</v>
      </c>
      <c r="O737" s="1" t="s">
        <v>53</v>
      </c>
      <c r="P737" s="8">
        <v>1897</v>
      </c>
      <c r="Q737" s="17">
        <f t="shared" si="77"/>
        <v>34411.58</v>
      </c>
      <c r="R737" s="9">
        <v>2600</v>
      </c>
      <c r="S737" s="9">
        <v>4.92</v>
      </c>
      <c r="T737" s="9">
        <v>0</v>
      </c>
      <c r="U737" s="10">
        <v>0</v>
      </c>
      <c r="V737" s="1" t="s">
        <v>46</v>
      </c>
      <c r="W737" s="1" t="s">
        <v>56</v>
      </c>
      <c r="X737" s="1">
        <v>4431601</v>
      </c>
      <c r="Y737" s="11">
        <v>41865</v>
      </c>
      <c r="Z737" s="11">
        <v>41869</v>
      </c>
      <c r="AA737" s="9">
        <f t="shared" si="80"/>
        <v>31806.660000000003</v>
      </c>
      <c r="AB737" s="12">
        <v>60.85</v>
      </c>
      <c r="AC737" s="9">
        <f t="shared" si="78"/>
        <v>2093944.6430000002</v>
      </c>
      <c r="AD737" s="9">
        <f t="shared" si="79"/>
        <v>1935435.2610000002</v>
      </c>
      <c r="AE737" s="1" t="s">
        <v>48</v>
      </c>
      <c r="AF737" s="1" t="s">
        <v>53</v>
      </c>
      <c r="AG737" s="4">
        <f t="shared" si="75"/>
        <v>34411.58</v>
      </c>
      <c r="AH737" s="10">
        <v>34411.58</v>
      </c>
      <c r="AI737" s="9">
        <v>2580</v>
      </c>
      <c r="AJ737" s="9">
        <v>4.92</v>
      </c>
      <c r="AK737" s="10">
        <v>0</v>
      </c>
      <c r="AL737" s="9">
        <f t="shared" si="76"/>
        <v>31826.660000000003</v>
      </c>
      <c r="AM737" s="1"/>
      <c r="AN737" s="1"/>
      <c r="AO737" s="12" t="e">
        <f>AB737/#REF!</f>
        <v>#REF!</v>
      </c>
      <c r="AP737" s="1" t="s">
        <v>2313</v>
      </c>
      <c r="AQ737" s="11">
        <v>41893</v>
      </c>
      <c r="AR737" s="1" t="s">
        <v>2314</v>
      </c>
      <c r="AS737" s="11">
        <v>41894</v>
      </c>
      <c r="AT737" s="1" t="s">
        <v>49</v>
      </c>
      <c r="AU737" s="1" t="s">
        <v>4171</v>
      </c>
    </row>
    <row r="738" spans="1:47" ht="15" customHeight="1" x14ac:dyDescent="0.25">
      <c r="A738" s="1">
        <v>737</v>
      </c>
      <c r="B738" s="1" t="s">
        <v>1258</v>
      </c>
      <c r="C738" s="1" t="s">
        <v>38</v>
      </c>
      <c r="D738" s="1" t="s">
        <v>2312</v>
      </c>
      <c r="E738" s="5">
        <v>41874</v>
      </c>
      <c r="F738" s="1" t="s">
        <v>680</v>
      </c>
      <c r="G738" s="1" t="s">
        <v>40</v>
      </c>
      <c r="H738" s="1" t="s">
        <v>41</v>
      </c>
      <c r="I738" s="1" t="s">
        <v>2809</v>
      </c>
      <c r="J738" s="1" t="s">
        <v>187</v>
      </c>
      <c r="K738" s="1">
        <v>29051700</v>
      </c>
      <c r="L738" s="6">
        <v>36.28</v>
      </c>
      <c r="M738" s="1" t="s">
        <v>70</v>
      </c>
      <c r="N738" s="7" t="s">
        <v>44</v>
      </c>
      <c r="O738" s="1" t="s">
        <v>53</v>
      </c>
      <c r="P738" s="8">
        <v>1897</v>
      </c>
      <c r="Q738" s="17">
        <f t="shared" si="77"/>
        <v>68823.16</v>
      </c>
      <c r="R738" s="9">
        <v>5200</v>
      </c>
      <c r="S738" s="9">
        <v>9.84</v>
      </c>
      <c r="T738" s="9">
        <v>0</v>
      </c>
      <c r="U738" s="10">
        <v>0</v>
      </c>
      <c r="V738" s="1" t="s">
        <v>46</v>
      </c>
      <c r="W738" s="1" t="s">
        <v>56</v>
      </c>
      <c r="X738" s="1">
        <v>4452628</v>
      </c>
      <c r="Y738" s="11">
        <v>41867</v>
      </c>
      <c r="Z738" s="11">
        <v>41869</v>
      </c>
      <c r="AA738" s="9">
        <f t="shared" si="80"/>
        <v>63613.320000000007</v>
      </c>
      <c r="AB738" s="12">
        <v>60.85</v>
      </c>
      <c r="AC738" s="9">
        <f t="shared" si="78"/>
        <v>4187889.2860000003</v>
      </c>
      <c r="AD738" s="9">
        <f t="shared" si="79"/>
        <v>3870870.5220000003</v>
      </c>
      <c r="AE738" s="1" t="s">
        <v>48</v>
      </c>
      <c r="AF738" s="1" t="s">
        <v>53</v>
      </c>
      <c r="AG738" s="4">
        <f t="shared" si="75"/>
        <v>68823.16</v>
      </c>
      <c r="AH738" s="10">
        <v>68823.16</v>
      </c>
      <c r="AI738" s="9">
        <v>5160</v>
      </c>
      <c r="AJ738" s="9">
        <v>9.84</v>
      </c>
      <c r="AK738" s="10">
        <v>0</v>
      </c>
      <c r="AL738" s="9">
        <f t="shared" si="76"/>
        <v>63653.320000000007</v>
      </c>
      <c r="AM738" s="1"/>
      <c r="AN738" s="1"/>
      <c r="AO738" s="12" t="e">
        <f>AB738/#REF!</f>
        <v>#REF!</v>
      </c>
      <c r="AP738" s="1" t="s">
        <v>2313</v>
      </c>
      <c r="AQ738" s="11">
        <v>41893</v>
      </c>
      <c r="AR738" s="1" t="s">
        <v>2315</v>
      </c>
      <c r="AS738" s="11">
        <v>41894</v>
      </c>
      <c r="AT738" s="1" t="s">
        <v>49</v>
      </c>
      <c r="AU738" s="1" t="s">
        <v>4171</v>
      </c>
    </row>
    <row r="739" spans="1:47" ht="15" customHeight="1" x14ac:dyDescent="0.25">
      <c r="A739" s="1">
        <v>738</v>
      </c>
      <c r="B739" s="1" t="s">
        <v>1258</v>
      </c>
      <c r="C739" s="1" t="s">
        <v>38</v>
      </c>
      <c r="D739" s="1" t="s">
        <v>2312</v>
      </c>
      <c r="E739" s="5">
        <v>41874</v>
      </c>
      <c r="F739" s="1" t="s">
        <v>686</v>
      </c>
      <c r="G739" s="1" t="s">
        <v>40</v>
      </c>
      <c r="H739" s="1" t="s">
        <v>41</v>
      </c>
      <c r="I739" s="1" t="s">
        <v>2809</v>
      </c>
      <c r="J739" s="1" t="s">
        <v>187</v>
      </c>
      <c r="K739" s="1">
        <v>29051700</v>
      </c>
      <c r="L739" s="6">
        <v>18.14</v>
      </c>
      <c r="M739" s="1" t="s">
        <v>70</v>
      </c>
      <c r="N739" s="7" t="s">
        <v>44</v>
      </c>
      <c r="O739" s="1" t="s">
        <v>53</v>
      </c>
      <c r="P739" s="8">
        <v>1897</v>
      </c>
      <c r="Q739" s="17">
        <f t="shared" si="77"/>
        <v>34411.58</v>
      </c>
      <c r="R739" s="9">
        <v>2600</v>
      </c>
      <c r="S739" s="9">
        <v>4.92</v>
      </c>
      <c r="T739" s="9">
        <v>0</v>
      </c>
      <c r="U739" s="10">
        <v>0</v>
      </c>
      <c r="V739" s="1" t="s">
        <v>46</v>
      </c>
      <c r="W739" s="1" t="s">
        <v>56</v>
      </c>
      <c r="X739" s="1">
        <v>4452689</v>
      </c>
      <c r="Y739" s="11">
        <v>41867</v>
      </c>
      <c r="Z739" s="11">
        <v>41869</v>
      </c>
      <c r="AA739" s="9">
        <f t="shared" si="80"/>
        <v>31806.660000000003</v>
      </c>
      <c r="AB739" s="12">
        <v>60.85</v>
      </c>
      <c r="AC739" s="9">
        <f t="shared" si="78"/>
        <v>2093944.6430000002</v>
      </c>
      <c r="AD739" s="9">
        <f t="shared" si="79"/>
        <v>1935435.2610000002</v>
      </c>
      <c r="AE739" s="1" t="s">
        <v>48</v>
      </c>
      <c r="AF739" s="1" t="s">
        <v>53</v>
      </c>
      <c r="AG739" s="4">
        <f t="shared" si="75"/>
        <v>34411.58</v>
      </c>
      <c r="AH739" s="10">
        <v>34411.58</v>
      </c>
      <c r="AI739" s="9">
        <v>2580</v>
      </c>
      <c r="AJ739" s="9">
        <v>4.92</v>
      </c>
      <c r="AK739" s="10">
        <v>0</v>
      </c>
      <c r="AL739" s="9">
        <f t="shared" si="76"/>
        <v>31826.660000000003</v>
      </c>
      <c r="AM739" s="1"/>
      <c r="AN739" s="1"/>
      <c r="AO739" s="12" t="e">
        <f>AB739/#REF!</f>
        <v>#REF!</v>
      </c>
      <c r="AP739" s="1" t="s">
        <v>2313</v>
      </c>
      <c r="AQ739" s="11">
        <v>41893</v>
      </c>
      <c r="AR739" s="1" t="s">
        <v>2316</v>
      </c>
      <c r="AS739" s="11">
        <v>41894</v>
      </c>
      <c r="AT739" s="1" t="s">
        <v>49</v>
      </c>
      <c r="AU739" s="1" t="s">
        <v>4171</v>
      </c>
    </row>
    <row r="740" spans="1:47" ht="15" customHeight="1" x14ac:dyDescent="0.25">
      <c r="A740" s="1">
        <v>739</v>
      </c>
      <c r="B740" s="1" t="s">
        <v>1258</v>
      </c>
      <c r="C740" s="1" t="s">
        <v>38</v>
      </c>
      <c r="D740" s="1">
        <v>9103550560</v>
      </c>
      <c r="E740" s="5">
        <v>41876</v>
      </c>
      <c r="F740" s="1" t="s">
        <v>2981</v>
      </c>
      <c r="G740" s="1" t="s">
        <v>40</v>
      </c>
      <c r="H740" s="1" t="s">
        <v>41</v>
      </c>
      <c r="I740" s="1" t="s">
        <v>2809</v>
      </c>
      <c r="J740" s="1" t="s">
        <v>919</v>
      </c>
      <c r="K740" s="1">
        <v>38237090</v>
      </c>
      <c r="L740" s="6">
        <v>66</v>
      </c>
      <c r="M740" s="1" t="s">
        <v>70</v>
      </c>
      <c r="N740" s="7" t="s">
        <v>52</v>
      </c>
      <c r="O740" s="1" t="s">
        <v>53</v>
      </c>
      <c r="P740" s="8">
        <v>1600</v>
      </c>
      <c r="Q740" s="17">
        <f t="shared" si="77"/>
        <v>105600</v>
      </c>
      <c r="R740" s="9">
        <v>5550</v>
      </c>
      <c r="S740" s="9">
        <v>0</v>
      </c>
      <c r="T740" s="9">
        <v>0</v>
      </c>
      <c r="U740" s="10">
        <v>0</v>
      </c>
      <c r="V740" s="1" t="s">
        <v>46</v>
      </c>
      <c r="W740" s="1" t="s">
        <v>243</v>
      </c>
      <c r="X740" s="1">
        <v>4483156</v>
      </c>
      <c r="Y740" s="11">
        <v>41870</v>
      </c>
      <c r="Z740" s="11">
        <v>41871</v>
      </c>
      <c r="AA740" s="9">
        <f t="shared" si="80"/>
        <v>100050</v>
      </c>
      <c r="AB740" s="12">
        <v>60.85</v>
      </c>
      <c r="AC740" s="9">
        <f t="shared" si="78"/>
        <v>6425760</v>
      </c>
      <c r="AD740" s="9">
        <f t="shared" si="79"/>
        <v>6088042.5</v>
      </c>
      <c r="AE740" s="1"/>
      <c r="AF740" s="1" t="s">
        <v>53</v>
      </c>
      <c r="AG740" s="4">
        <f t="shared" si="75"/>
        <v>105600</v>
      </c>
      <c r="AH740" s="10">
        <f>52727+52727</f>
        <v>105454</v>
      </c>
      <c r="AI740" s="10">
        <v>5100</v>
      </c>
      <c r="AJ740" s="10">
        <v>0</v>
      </c>
      <c r="AK740" s="10">
        <v>0</v>
      </c>
      <c r="AL740" s="9">
        <f t="shared" si="76"/>
        <v>100354</v>
      </c>
      <c r="AM740" s="1"/>
      <c r="AN740" s="1"/>
      <c r="AO740" s="12" t="e">
        <f>AB740/#REF!</f>
        <v>#REF!</v>
      </c>
      <c r="AP740" s="1" t="s">
        <v>4233</v>
      </c>
      <c r="AQ740" s="83" t="s">
        <v>4232</v>
      </c>
      <c r="AR740" s="84" t="s">
        <v>4231</v>
      </c>
      <c r="AS740" s="83" t="s">
        <v>4234</v>
      </c>
      <c r="AT740" s="1" t="s">
        <v>49</v>
      </c>
      <c r="AU740" s="1" t="s">
        <v>4171</v>
      </c>
    </row>
    <row r="741" spans="1:47" ht="15" customHeight="1" x14ac:dyDescent="0.25">
      <c r="A741" s="1">
        <v>740</v>
      </c>
      <c r="B741" s="1" t="s">
        <v>1258</v>
      </c>
      <c r="C741" s="1" t="s">
        <v>38</v>
      </c>
      <c r="D741" s="1">
        <v>9103550561</v>
      </c>
      <c r="E741" s="5">
        <v>41883</v>
      </c>
      <c r="F741" s="1" t="s">
        <v>681</v>
      </c>
      <c r="G741" s="1" t="s">
        <v>40</v>
      </c>
      <c r="H741" s="1" t="s">
        <v>41</v>
      </c>
      <c r="I741" s="1" t="s">
        <v>2809</v>
      </c>
      <c r="J741" s="1" t="s">
        <v>2671</v>
      </c>
      <c r="K741" s="1">
        <v>38237090</v>
      </c>
      <c r="L741" s="6">
        <v>2</v>
      </c>
      <c r="M741" s="1" t="s">
        <v>70</v>
      </c>
      <c r="N741" s="7" t="s">
        <v>44</v>
      </c>
      <c r="O741" s="1" t="s">
        <v>53</v>
      </c>
      <c r="P741" s="8">
        <v>4475</v>
      </c>
      <c r="Q741" s="17">
        <f t="shared" si="77"/>
        <v>8950</v>
      </c>
      <c r="R741" s="9">
        <v>150</v>
      </c>
      <c r="S741" s="9">
        <v>1.28</v>
      </c>
      <c r="T741" s="9">
        <v>0</v>
      </c>
      <c r="U741" s="10">
        <v>0</v>
      </c>
      <c r="V741" s="1" t="s">
        <v>46</v>
      </c>
      <c r="W741" s="1" t="s">
        <v>236</v>
      </c>
      <c r="X741" s="1">
        <v>4497893</v>
      </c>
      <c r="Y741" s="11">
        <v>41871</v>
      </c>
      <c r="Z741" s="11">
        <v>41872</v>
      </c>
      <c r="AA741" s="9">
        <f t="shared" si="80"/>
        <v>8798.7199999999993</v>
      </c>
      <c r="AB741" s="12">
        <v>60.85</v>
      </c>
      <c r="AC741" s="9">
        <f t="shared" si="78"/>
        <v>544607.5</v>
      </c>
      <c r="AD741" s="9">
        <f t="shared" si="79"/>
        <v>535402.11199999996</v>
      </c>
      <c r="AE741" s="1" t="s">
        <v>48</v>
      </c>
      <c r="AF741" s="1" t="s">
        <v>53</v>
      </c>
      <c r="AG741" s="4">
        <f t="shared" si="75"/>
        <v>8950</v>
      </c>
      <c r="AH741" s="10">
        <v>8915</v>
      </c>
      <c r="AI741" s="10">
        <v>24.07</v>
      </c>
      <c r="AJ741" s="10">
        <v>1.28</v>
      </c>
      <c r="AK741" s="10">
        <v>0</v>
      </c>
      <c r="AL741" s="9">
        <f t="shared" si="76"/>
        <v>8889.65</v>
      </c>
      <c r="AM741" s="1"/>
      <c r="AN741" s="1"/>
      <c r="AO741" s="12" t="e">
        <f>AB741/#REF!</f>
        <v>#REF!</v>
      </c>
      <c r="AP741" s="1" t="s">
        <v>2317</v>
      </c>
      <c r="AQ741" s="11">
        <v>41941</v>
      </c>
      <c r="AR741" s="1" t="s">
        <v>2318</v>
      </c>
      <c r="AS741" s="11">
        <v>41942</v>
      </c>
      <c r="AT741" s="1" t="s">
        <v>49</v>
      </c>
      <c r="AU741" s="1" t="s">
        <v>4171</v>
      </c>
    </row>
    <row r="742" spans="1:47" ht="15" customHeight="1" x14ac:dyDescent="0.25">
      <c r="A742" s="1">
        <v>741</v>
      </c>
      <c r="B742" s="1" t="s">
        <v>1258</v>
      </c>
      <c r="C742" s="1" t="s">
        <v>38</v>
      </c>
      <c r="D742" s="1">
        <v>9103550562</v>
      </c>
      <c r="E742" s="5">
        <v>41876</v>
      </c>
      <c r="F742" s="1" t="s">
        <v>683</v>
      </c>
      <c r="G742" s="1" t="s">
        <v>40</v>
      </c>
      <c r="H742" s="1" t="s">
        <v>41</v>
      </c>
      <c r="I742" s="1" t="s">
        <v>2809</v>
      </c>
      <c r="J742" s="1" t="s">
        <v>187</v>
      </c>
      <c r="K742" s="1">
        <v>38237090</v>
      </c>
      <c r="L742" s="6">
        <v>18.79</v>
      </c>
      <c r="M742" s="1" t="s">
        <v>70</v>
      </c>
      <c r="N742" s="7" t="s">
        <v>44</v>
      </c>
      <c r="O742" s="1" t="s">
        <v>53</v>
      </c>
      <c r="P742" s="8">
        <v>1643</v>
      </c>
      <c r="Q742" s="17">
        <f t="shared" si="77"/>
        <v>30871.969999999998</v>
      </c>
      <c r="R742" s="9">
        <v>3000</v>
      </c>
      <c r="S742" s="9">
        <v>4.41</v>
      </c>
      <c r="T742" s="9">
        <v>0</v>
      </c>
      <c r="U742" s="10">
        <v>0</v>
      </c>
      <c r="V742" s="1" t="s">
        <v>46</v>
      </c>
      <c r="W742" s="1" t="s">
        <v>56</v>
      </c>
      <c r="X742" s="1">
        <v>4511091</v>
      </c>
      <c r="Y742" s="11">
        <v>41871</v>
      </c>
      <c r="Z742" s="11">
        <v>41872</v>
      </c>
      <c r="AA742" s="9">
        <f t="shared" si="80"/>
        <v>27867.559999999998</v>
      </c>
      <c r="AB742" s="12">
        <v>60.85</v>
      </c>
      <c r="AC742" s="9">
        <f t="shared" si="78"/>
        <v>1878559.3744999999</v>
      </c>
      <c r="AD742" s="9">
        <f t="shared" si="79"/>
        <v>1695741.0259999998</v>
      </c>
      <c r="AE742" s="1" t="s">
        <v>48</v>
      </c>
      <c r="AF742" s="1" t="s">
        <v>53</v>
      </c>
      <c r="AG742" s="4">
        <f t="shared" si="75"/>
        <v>30871.969999999998</v>
      </c>
      <c r="AH742" s="10">
        <v>30871.97</v>
      </c>
      <c r="AI742" s="10">
        <v>2900</v>
      </c>
      <c r="AJ742" s="10">
        <v>4.41</v>
      </c>
      <c r="AK742" s="10">
        <v>0</v>
      </c>
      <c r="AL742" s="9">
        <f t="shared" si="76"/>
        <v>27967.56</v>
      </c>
      <c r="AM742" s="1"/>
      <c r="AN742" s="1"/>
      <c r="AO742" s="12" t="e">
        <f>AB742/#REF!</f>
        <v>#REF!</v>
      </c>
      <c r="AP742" s="1" t="s">
        <v>2319</v>
      </c>
      <c r="AQ742" s="11">
        <v>41893</v>
      </c>
      <c r="AR742" s="1" t="s">
        <v>2320</v>
      </c>
      <c r="AS742" s="11">
        <v>41894</v>
      </c>
      <c r="AT742" s="1" t="s">
        <v>49</v>
      </c>
      <c r="AU742" s="1" t="s">
        <v>4171</v>
      </c>
    </row>
    <row r="743" spans="1:47" ht="15" customHeight="1" x14ac:dyDescent="0.25">
      <c r="A743" s="1">
        <v>742</v>
      </c>
      <c r="B743" s="1" t="s">
        <v>1258</v>
      </c>
      <c r="C743" s="1" t="s">
        <v>38</v>
      </c>
      <c r="D743" s="1">
        <v>9103550563</v>
      </c>
      <c r="E743" s="5">
        <v>41877</v>
      </c>
      <c r="F743" s="1" t="s">
        <v>682</v>
      </c>
      <c r="G743" s="1" t="s">
        <v>40</v>
      </c>
      <c r="H743" s="1" t="s">
        <v>41</v>
      </c>
      <c r="I743" s="1" t="s">
        <v>2809</v>
      </c>
      <c r="J743" s="1" t="s">
        <v>200</v>
      </c>
      <c r="K743" s="1">
        <v>38231900</v>
      </c>
      <c r="L743" s="6">
        <v>116.92</v>
      </c>
      <c r="M743" s="1" t="s">
        <v>70</v>
      </c>
      <c r="N743" s="7" t="s">
        <v>44</v>
      </c>
      <c r="O743" s="1" t="s">
        <v>53</v>
      </c>
      <c r="P743" s="8">
        <v>1650</v>
      </c>
      <c r="Q743" s="17">
        <f t="shared" si="77"/>
        <v>192918</v>
      </c>
      <c r="R743" s="9">
        <v>5700</v>
      </c>
      <c r="S743" s="9">
        <v>27.59</v>
      </c>
      <c r="T743" s="9">
        <v>1929.18</v>
      </c>
      <c r="U743" s="10">
        <v>0</v>
      </c>
      <c r="V743" s="1" t="s">
        <v>46</v>
      </c>
      <c r="W743" s="1" t="s">
        <v>59</v>
      </c>
      <c r="X743" s="1">
        <v>4538347</v>
      </c>
      <c r="Y743" s="11">
        <v>41872</v>
      </c>
      <c r="Z743" s="11">
        <v>41873</v>
      </c>
      <c r="AA743" s="9">
        <f t="shared" si="80"/>
        <v>187190.41</v>
      </c>
      <c r="AB743" s="12">
        <v>60.85</v>
      </c>
      <c r="AC743" s="9">
        <f t="shared" si="78"/>
        <v>11739060.300000001</v>
      </c>
      <c r="AD743" s="9">
        <f t="shared" si="79"/>
        <v>11390536.4485</v>
      </c>
      <c r="AE743" s="1" t="s">
        <v>51</v>
      </c>
      <c r="AF743" s="1" t="s">
        <v>53</v>
      </c>
      <c r="AG743" s="4">
        <f t="shared" si="75"/>
        <v>192918</v>
      </c>
      <c r="AH743" s="10">
        <v>192903</v>
      </c>
      <c r="AI743" s="10">
        <v>5700</v>
      </c>
      <c r="AJ743" s="10">
        <v>27.59</v>
      </c>
      <c r="AK743" s="10">
        <v>1929.18</v>
      </c>
      <c r="AL743" s="9">
        <f t="shared" si="76"/>
        <v>185246.23</v>
      </c>
      <c r="AM743" s="1"/>
      <c r="AN743" s="1"/>
      <c r="AO743" s="12" t="e">
        <f>AB743/#REF!</f>
        <v>#REF!</v>
      </c>
      <c r="AP743" s="1" t="s">
        <v>2321</v>
      </c>
      <c r="AQ743" s="11">
        <v>41907</v>
      </c>
      <c r="AR743" s="1" t="s">
        <v>2322</v>
      </c>
      <c r="AS743" s="11">
        <v>41975</v>
      </c>
      <c r="AT743" s="1" t="s">
        <v>49</v>
      </c>
      <c r="AU743" s="1" t="s">
        <v>4171</v>
      </c>
    </row>
    <row r="744" spans="1:47" ht="15" customHeight="1" x14ac:dyDescent="0.25">
      <c r="A744" s="1">
        <v>743</v>
      </c>
      <c r="B744" s="1" t="s">
        <v>1258</v>
      </c>
      <c r="C744" s="1" t="s">
        <v>38</v>
      </c>
      <c r="D744" s="1" t="s">
        <v>2323</v>
      </c>
      <c r="E744" s="5">
        <v>41875</v>
      </c>
      <c r="F744" s="1" t="s">
        <v>684</v>
      </c>
      <c r="G744" s="1" t="s">
        <v>40</v>
      </c>
      <c r="H744" s="1" t="s">
        <v>41</v>
      </c>
      <c r="I744" s="1" t="s">
        <v>2809</v>
      </c>
      <c r="J744" s="1" t="s">
        <v>76</v>
      </c>
      <c r="K744" s="1">
        <v>38237090</v>
      </c>
      <c r="L744" s="6">
        <v>14</v>
      </c>
      <c r="M744" s="1" t="s">
        <v>70</v>
      </c>
      <c r="N744" s="7" t="s">
        <v>44</v>
      </c>
      <c r="O744" s="1" t="s">
        <v>53</v>
      </c>
      <c r="P744" s="8">
        <v>1585</v>
      </c>
      <c r="Q744" s="17">
        <f t="shared" si="77"/>
        <v>22190</v>
      </c>
      <c r="R744" s="9">
        <v>1073.33</v>
      </c>
      <c r="S744" s="9">
        <v>3.18</v>
      </c>
      <c r="T744" s="9">
        <v>0</v>
      </c>
      <c r="U744" s="10">
        <v>0</v>
      </c>
      <c r="V744" s="1" t="s">
        <v>46</v>
      </c>
      <c r="W744" s="1" t="s">
        <v>933</v>
      </c>
      <c r="X744" s="1">
        <v>4536531</v>
      </c>
      <c r="Y744" s="11">
        <v>41872</v>
      </c>
      <c r="Z744" s="11">
        <v>41873</v>
      </c>
      <c r="AA744" s="9">
        <f t="shared" si="80"/>
        <v>21113.489999999998</v>
      </c>
      <c r="AB744" s="12">
        <v>60.85</v>
      </c>
      <c r="AC744" s="9">
        <f t="shared" si="78"/>
        <v>1350261.5</v>
      </c>
      <c r="AD744" s="9">
        <f t="shared" si="79"/>
        <v>1284755.8665</v>
      </c>
      <c r="AE744" s="1" t="s">
        <v>48</v>
      </c>
      <c r="AF744" s="1" t="s">
        <v>53</v>
      </c>
      <c r="AG744" s="4">
        <f t="shared" si="75"/>
        <v>22190</v>
      </c>
      <c r="AH744" s="10">
        <v>22190</v>
      </c>
      <c r="AI744" s="10">
        <v>1016</v>
      </c>
      <c r="AJ744" s="10">
        <v>3.17</v>
      </c>
      <c r="AK744" s="10">
        <v>0</v>
      </c>
      <c r="AL744" s="9">
        <f t="shared" si="76"/>
        <v>21170.83</v>
      </c>
      <c r="AM744" s="1"/>
      <c r="AN744" s="1"/>
      <c r="AO744" s="12" t="e">
        <f>AB744/#REF!</f>
        <v>#REF!</v>
      </c>
      <c r="AP744" s="1"/>
      <c r="AQ744" s="11">
        <v>42051</v>
      </c>
      <c r="AR744" s="1" t="s">
        <v>3346</v>
      </c>
      <c r="AS744" s="11">
        <v>42053</v>
      </c>
      <c r="AT744" s="1" t="s">
        <v>49</v>
      </c>
      <c r="AU744" s="1" t="s">
        <v>4171</v>
      </c>
    </row>
    <row r="745" spans="1:47" ht="15" customHeight="1" x14ac:dyDescent="0.25">
      <c r="A745" s="1">
        <v>744</v>
      </c>
      <c r="B745" s="1" t="s">
        <v>1258</v>
      </c>
      <c r="C745" s="1" t="s">
        <v>38</v>
      </c>
      <c r="D745" s="1" t="s">
        <v>2323</v>
      </c>
      <c r="E745" s="5">
        <v>41875</v>
      </c>
      <c r="F745" s="1" t="s">
        <v>684</v>
      </c>
      <c r="G745" s="1" t="s">
        <v>40</v>
      </c>
      <c r="H745" s="1" t="s">
        <v>41</v>
      </c>
      <c r="I745" s="1" t="s">
        <v>2809</v>
      </c>
      <c r="J745" s="1" t="s">
        <v>76</v>
      </c>
      <c r="K745" s="1">
        <v>38237090</v>
      </c>
      <c r="L745" s="6">
        <v>1</v>
      </c>
      <c r="M745" s="1" t="s">
        <v>70</v>
      </c>
      <c r="N745" s="7" t="s">
        <v>44</v>
      </c>
      <c r="O745" s="1" t="s">
        <v>53</v>
      </c>
      <c r="P745" s="8">
        <v>2200</v>
      </c>
      <c r="Q745" s="17">
        <f t="shared" si="77"/>
        <v>2200</v>
      </c>
      <c r="R745" s="9">
        <v>76.67</v>
      </c>
      <c r="S745" s="9">
        <v>0.31</v>
      </c>
      <c r="T745" s="9">
        <v>0</v>
      </c>
      <c r="U745" s="10">
        <v>0</v>
      </c>
      <c r="V745" s="1" t="s">
        <v>46</v>
      </c>
      <c r="W745" s="1" t="s">
        <v>933</v>
      </c>
      <c r="X745" s="1">
        <v>4536531</v>
      </c>
      <c r="Y745" s="11">
        <v>41872</v>
      </c>
      <c r="Z745" s="11">
        <v>41873</v>
      </c>
      <c r="AA745" s="9">
        <f t="shared" si="80"/>
        <v>2123.02</v>
      </c>
      <c r="AB745" s="12">
        <v>60.85</v>
      </c>
      <c r="AC745" s="9">
        <f t="shared" si="78"/>
        <v>133870</v>
      </c>
      <c r="AD745" s="9">
        <f t="shared" si="79"/>
        <v>129185.76700000001</v>
      </c>
      <c r="AE745" s="1" t="s">
        <v>48</v>
      </c>
      <c r="AF745" s="1" t="s">
        <v>53</v>
      </c>
      <c r="AG745" s="4">
        <f t="shared" si="75"/>
        <v>2200</v>
      </c>
      <c r="AH745" s="10">
        <v>2200</v>
      </c>
      <c r="AI745" s="10">
        <v>101</v>
      </c>
      <c r="AJ745" s="10">
        <v>0.32</v>
      </c>
      <c r="AK745" s="10">
        <v>0</v>
      </c>
      <c r="AL745" s="9">
        <f t="shared" si="76"/>
        <v>2098.6799999999998</v>
      </c>
      <c r="AM745" s="1"/>
      <c r="AN745" s="1"/>
      <c r="AO745" s="12" t="e">
        <f>AB745/#REF!</f>
        <v>#REF!</v>
      </c>
      <c r="AP745" s="1"/>
      <c r="AQ745" s="11">
        <v>42051</v>
      </c>
      <c r="AR745" s="1" t="s">
        <v>3346</v>
      </c>
      <c r="AS745" s="11">
        <v>42053</v>
      </c>
      <c r="AT745" s="1" t="s">
        <v>49</v>
      </c>
      <c r="AU745" s="1" t="s">
        <v>4171</v>
      </c>
    </row>
    <row r="746" spans="1:47" ht="15" customHeight="1" x14ac:dyDescent="0.25">
      <c r="A746" s="1">
        <v>745</v>
      </c>
      <c r="B746" s="1" t="s">
        <v>1258</v>
      </c>
      <c r="C746" s="1" t="s">
        <v>38</v>
      </c>
      <c r="D746" s="1" t="s">
        <v>2323</v>
      </c>
      <c r="E746" s="5">
        <v>41875</v>
      </c>
      <c r="F746" s="1" t="s">
        <v>688</v>
      </c>
      <c r="G746" s="1" t="s">
        <v>40</v>
      </c>
      <c r="H746" s="1" t="s">
        <v>41</v>
      </c>
      <c r="I746" s="1" t="s">
        <v>2809</v>
      </c>
      <c r="J746" s="1" t="s">
        <v>76</v>
      </c>
      <c r="K746" s="1">
        <v>38237090</v>
      </c>
      <c r="L746" s="6">
        <v>14</v>
      </c>
      <c r="M746" s="1" t="s">
        <v>70</v>
      </c>
      <c r="N746" s="7" t="s">
        <v>44</v>
      </c>
      <c r="O746" s="1" t="s">
        <v>53</v>
      </c>
      <c r="P746" s="8">
        <v>1585</v>
      </c>
      <c r="Q746" s="17">
        <f t="shared" si="77"/>
        <v>22190</v>
      </c>
      <c r="R746" s="9">
        <v>1073.33</v>
      </c>
      <c r="S746" s="9">
        <v>3.18</v>
      </c>
      <c r="T746" s="9">
        <v>0</v>
      </c>
      <c r="U746" s="10">
        <v>0</v>
      </c>
      <c r="V746" s="1" t="s">
        <v>46</v>
      </c>
      <c r="W746" s="1" t="s">
        <v>933</v>
      </c>
      <c r="X746" s="1">
        <v>4547564</v>
      </c>
      <c r="Y746" s="11">
        <v>41873</v>
      </c>
      <c r="Z746" s="11">
        <v>41874</v>
      </c>
      <c r="AA746" s="9">
        <f t="shared" si="80"/>
        <v>21113.489999999998</v>
      </c>
      <c r="AB746" s="12">
        <v>60.25</v>
      </c>
      <c r="AC746" s="9">
        <f t="shared" si="78"/>
        <v>1336947.5</v>
      </c>
      <c r="AD746" s="9">
        <f t="shared" si="79"/>
        <v>1272087.7725</v>
      </c>
      <c r="AE746" s="1" t="s">
        <v>48</v>
      </c>
      <c r="AF746" s="1" t="s">
        <v>53</v>
      </c>
      <c r="AG746" s="4">
        <f t="shared" si="75"/>
        <v>22190</v>
      </c>
      <c r="AH746" s="10">
        <v>22190</v>
      </c>
      <c r="AI746" s="10">
        <v>1016</v>
      </c>
      <c r="AJ746" s="10">
        <v>3.17</v>
      </c>
      <c r="AK746" s="10">
        <v>0</v>
      </c>
      <c r="AL746" s="9">
        <f t="shared" si="76"/>
        <v>21170.83</v>
      </c>
      <c r="AM746" s="1"/>
      <c r="AN746" s="1"/>
      <c r="AO746" s="12" t="e">
        <f>AB746/#REF!</f>
        <v>#REF!</v>
      </c>
      <c r="AP746" s="1"/>
      <c r="AQ746" s="11">
        <v>42051</v>
      </c>
      <c r="AR746" s="1" t="s">
        <v>3347</v>
      </c>
      <c r="AS746" s="11">
        <v>42053</v>
      </c>
      <c r="AT746" s="1" t="s">
        <v>49</v>
      </c>
      <c r="AU746" s="1" t="s">
        <v>4171</v>
      </c>
    </row>
    <row r="747" spans="1:47" ht="15" customHeight="1" x14ac:dyDescent="0.25">
      <c r="A747" s="1">
        <v>746</v>
      </c>
      <c r="B747" s="1" t="s">
        <v>1258</v>
      </c>
      <c r="C747" s="1" t="s">
        <v>38</v>
      </c>
      <c r="D747" s="1" t="s">
        <v>2323</v>
      </c>
      <c r="E747" s="5">
        <v>41875</v>
      </c>
      <c r="F747" s="1" t="s">
        <v>688</v>
      </c>
      <c r="G747" s="1" t="s">
        <v>40</v>
      </c>
      <c r="H747" s="1" t="s">
        <v>41</v>
      </c>
      <c r="I747" s="1" t="s">
        <v>2809</v>
      </c>
      <c r="J747" s="1" t="s">
        <v>76</v>
      </c>
      <c r="K747" s="1">
        <v>38237090</v>
      </c>
      <c r="L747" s="6">
        <v>1</v>
      </c>
      <c r="M747" s="1" t="s">
        <v>70</v>
      </c>
      <c r="N747" s="7" t="s">
        <v>44</v>
      </c>
      <c r="O747" s="1" t="s">
        <v>53</v>
      </c>
      <c r="P747" s="8">
        <v>2200</v>
      </c>
      <c r="Q747" s="17">
        <f t="shared" si="77"/>
        <v>2200</v>
      </c>
      <c r="R747" s="9">
        <v>76.67</v>
      </c>
      <c r="S747" s="9">
        <v>0.31</v>
      </c>
      <c r="T747" s="9">
        <v>0</v>
      </c>
      <c r="U747" s="10">
        <v>0</v>
      </c>
      <c r="V747" s="1" t="s">
        <v>46</v>
      </c>
      <c r="W747" s="1" t="s">
        <v>933</v>
      </c>
      <c r="X747" s="1">
        <v>4547564</v>
      </c>
      <c r="Y747" s="11">
        <v>41873</v>
      </c>
      <c r="Z747" s="11">
        <v>41874</v>
      </c>
      <c r="AA747" s="9">
        <f t="shared" si="80"/>
        <v>2123.02</v>
      </c>
      <c r="AB747" s="12">
        <v>60.25</v>
      </c>
      <c r="AC747" s="9">
        <f t="shared" si="78"/>
        <v>132550</v>
      </c>
      <c r="AD747" s="9">
        <f t="shared" si="79"/>
        <v>127911.955</v>
      </c>
      <c r="AE747" s="1" t="s">
        <v>48</v>
      </c>
      <c r="AF747" s="1" t="s">
        <v>53</v>
      </c>
      <c r="AG747" s="4">
        <f t="shared" si="75"/>
        <v>2200</v>
      </c>
      <c r="AH747" s="10">
        <v>2200</v>
      </c>
      <c r="AI747" s="10">
        <v>101</v>
      </c>
      <c r="AJ747" s="10">
        <v>0.32</v>
      </c>
      <c r="AK747" s="10">
        <v>0</v>
      </c>
      <c r="AL747" s="9">
        <f t="shared" si="76"/>
        <v>2098.6799999999998</v>
      </c>
      <c r="AM747" s="1"/>
      <c r="AN747" s="1"/>
      <c r="AO747" s="12" t="e">
        <f>AB747/#REF!</f>
        <v>#REF!</v>
      </c>
      <c r="AP747" s="1"/>
      <c r="AQ747" s="11">
        <v>42051</v>
      </c>
      <c r="AR747" s="1" t="s">
        <v>3347</v>
      </c>
      <c r="AS747" s="11">
        <v>42053</v>
      </c>
      <c r="AT747" s="1" t="s">
        <v>49</v>
      </c>
      <c r="AU747" s="1" t="s">
        <v>4171</v>
      </c>
    </row>
    <row r="748" spans="1:47" ht="15" customHeight="1" x14ac:dyDescent="0.25">
      <c r="A748" s="1">
        <v>747</v>
      </c>
      <c r="B748" s="1" t="s">
        <v>1258</v>
      </c>
      <c r="C748" s="1" t="s">
        <v>38</v>
      </c>
      <c r="D748" s="1">
        <v>9103550566</v>
      </c>
      <c r="E748" s="5">
        <v>41881</v>
      </c>
      <c r="F748" s="1" t="s">
        <v>705</v>
      </c>
      <c r="G748" s="1" t="s">
        <v>40</v>
      </c>
      <c r="H748" s="1" t="s">
        <v>41</v>
      </c>
      <c r="I748" s="1" t="s">
        <v>2809</v>
      </c>
      <c r="J748" s="1" t="s">
        <v>307</v>
      </c>
      <c r="K748" s="1">
        <v>38237090</v>
      </c>
      <c r="L748" s="6">
        <v>8.4</v>
      </c>
      <c r="M748" s="1" t="s">
        <v>70</v>
      </c>
      <c r="N748" s="7" t="s">
        <v>52</v>
      </c>
      <c r="O748" s="1" t="s">
        <v>53</v>
      </c>
      <c r="P748" s="8">
        <v>4605</v>
      </c>
      <c r="Q748" s="17">
        <f t="shared" si="77"/>
        <v>38682</v>
      </c>
      <c r="R748" s="9">
        <v>1200</v>
      </c>
      <c r="S748" s="9">
        <v>0</v>
      </c>
      <c r="T748" s="9">
        <v>0</v>
      </c>
      <c r="U748" s="10">
        <v>0</v>
      </c>
      <c r="V748" s="1" t="s">
        <v>46</v>
      </c>
      <c r="W748" s="1" t="s">
        <v>308</v>
      </c>
      <c r="X748" s="1">
        <v>4578454</v>
      </c>
      <c r="Y748" s="11">
        <v>41874</v>
      </c>
      <c r="Z748" s="11">
        <v>41876</v>
      </c>
      <c r="AA748" s="9">
        <f t="shared" si="80"/>
        <v>37482</v>
      </c>
      <c r="AB748" s="12">
        <v>60.25</v>
      </c>
      <c r="AC748" s="9">
        <f t="shared" si="78"/>
        <v>2330590.5</v>
      </c>
      <c r="AD748" s="9">
        <f t="shared" si="79"/>
        <v>2258290.5</v>
      </c>
      <c r="AE748" s="1" t="s">
        <v>48</v>
      </c>
      <c r="AF748" s="1" t="s">
        <v>53</v>
      </c>
      <c r="AG748" s="4">
        <f t="shared" si="75"/>
        <v>38682</v>
      </c>
      <c r="AH748" s="10">
        <v>38637</v>
      </c>
      <c r="AI748" s="10">
        <v>1175</v>
      </c>
      <c r="AJ748" s="10">
        <v>0</v>
      </c>
      <c r="AK748" s="10">
        <v>0</v>
      </c>
      <c r="AL748" s="9">
        <f t="shared" si="76"/>
        <v>37462</v>
      </c>
      <c r="AM748" s="1"/>
      <c r="AN748" s="1"/>
      <c r="AO748" s="12" t="e">
        <f>AB748/#REF!</f>
        <v>#REF!</v>
      </c>
      <c r="AP748" s="1" t="s">
        <v>2324</v>
      </c>
      <c r="AQ748" s="11">
        <v>41971</v>
      </c>
      <c r="AR748" s="1" t="s">
        <v>2325</v>
      </c>
      <c r="AS748" s="11">
        <v>41974</v>
      </c>
      <c r="AT748" s="1" t="s">
        <v>49</v>
      </c>
      <c r="AU748" s="1" t="s">
        <v>4171</v>
      </c>
    </row>
    <row r="749" spans="1:47" ht="15" customHeight="1" x14ac:dyDescent="0.25">
      <c r="A749" s="1">
        <v>748</v>
      </c>
      <c r="B749" s="1" t="s">
        <v>1258</v>
      </c>
      <c r="C749" s="1" t="s">
        <v>38</v>
      </c>
      <c r="D749" s="1">
        <v>9103550567</v>
      </c>
      <c r="E749" s="5">
        <v>41874</v>
      </c>
      <c r="F749" s="1" t="s">
        <v>672</v>
      </c>
      <c r="G749" s="1" t="s">
        <v>40</v>
      </c>
      <c r="H749" s="1" t="s">
        <v>41</v>
      </c>
      <c r="I749" s="1" t="s">
        <v>2809</v>
      </c>
      <c r="J749" s="45" t="s">
        <v>2631</v>
      </c>
      <c r="K749" s="1">
        <v>38237090</v>
      </c>
      <c r="L749" s="6">
        <v>23.4</v>
      </c>
      <c r="M749" s="1" t="s">
        <v>70</v>
      </c>
      <c r="N749" s="7" t="s">
        <v>44</v>
      </c>
      <c r="O749" s="1" t="s">
        <v>53</v>
      </c>
      <c r="P749" s="8">
        <v>3530</v>
      </c>
      <c r="Q749" s="17">
        <f t="shared" si="77"/>
        <v>82602</v>
      </c>
      <c r="R749" s="9">
        <v>80</v>
      </c>
      <c r="S749" s="9">
        <v>11.81</v>
      </c>
      <c r="T749" s="9">
        <v>702</v>
      </c>
      <c r="U749" s="10">
        <v>0</v>
      </c>
      <c r="V749" s="1" t="s">
        <v>46</v>
      </c>
      <c r="W749" s="1" t="s">
        <v>64</v>
      </c>
      <c r="X749" s="1">
        <v>4577993</v>
      </c>
      <c r="Y749" s="11">
        <v>41874</v>
      </c>
      <c r="Z749" s="11">
        <v>41876</v>
      </c>
      <c r="AA749" s="9">
        <f t="shared" si="80"/>
        <v>82510.19</v>
      </c>
      <c r="AB749" s="12">
        <v>60.25</v>
      </c>
      <c r="AC749" s="9">
        <f t="shared" si="78"/>
        <v>4976770.5</v>
      </c>
      <c r="AD749" s="9">
        <f t="shared" si="79"/>
        <v>4971238.9474999998</v>
      </c>
      <c r="AE749" s="1" t="s">
        <v>48</v>
      </c>
      <c r="AF749" s="1" t="s">
        <v>53</v>
      </c>
      <c r="AG749" s="4">
        <f t="shared" si="75"/>
        <v>82602</v>
      </c>
      <c r="AH749" s="10">
        <v>82567.5</v>
      </c>
      <c r="AI749" s="10">
        <v>41</v>
      </c>
      <c r="AJ749" s="10">
        <v>11.8</v>
      </c>
      <c r="AK749" s="10">
        <v>702</v>
      </c>
      <c r="AL749" s="9">
        <f t="shared" si="76"/>
        <v>81812.7</v>
      </c>
      <c r="AM749" s="1"/>
      <c r="AN749" s="1"/>
      <c r="AO749" s="12" t="e">
        <f>AB749/#REF!</f>
        <v>#REF!</v>
      </c>
      <c r="AP749" s="1" t="s">
        <v>2326</v>
      </c>
      <c r="AQ749" s="11">
        <v>41897</v>
      </c>
      <c r="AR749" s="1" t="s">
        <v>2327</v>
      </c>
      <c r="AS749" s="11">
        <v>41899</v>
      </c>
      <c r="AT749" s="1" t="s">
        <v>49</v>
      </c>
      <c r="AU749" s="1" t="s">
        <v>4171</v>
      </c>
    </row>
    <row r="750" spans="1:47" ht="15" customHeight="1" x14ac:dyDescent="0.25">
      <c r="A750" s="1">
        <v>749</v>
      </c>
      <c r="B750" s="1" t="s">
        <v>1258</v>
      </c>
      <c r="C750" s="1" t="s">
        <v>38</v>
      </c>
      <c r="D750" s="1">
        <v>9103550568</v>
      </c>
      <c r="E750" s="5">
        <v>41880</v>
      </c>
      <c r="F750" s="1" t="s">
        <v>698</v>
      </c>
      <c r="G750" s="1" t="s">
        <v>40</v>
      </c>
      <c r="H750" s="1" t="s">
        <v>41</v>
      </c>
      <c r="I750" s="1" t="s">
        <v>2809</v>
      </c>
      <c r="J750" s="1" t="s">
        <v>50</v>
      </c>
      <c r="K750" s="1">
        <v>29051700</v>
      </c>
      <c r="L750" s="6">
        <v>15</v>
      </c>
      <c r="M750" s="1" t="s">
        <v>70</v>
      </c>
      <c r="N750" s="7" t="s">
        <v>52</v>
      </c>
      <c r="O750" s="1" t="s">
        <v>53</v>
      </c>
      <c r="P750" s="8">
        <v>1740</v>
      </c>
      <c r="Q750" s="17">
        <f t="shared" si="77"/>
        <v>26100</v>
      </c>
      <c r="R750" s="9">
        <v>900</v>
      </c>
      <c r="S750" s="9">
        <v>0</v>
      </c>
      <c r="T750" s="9">
        <v>0</v>
      </c>
      <c r="U750" s="10">
        <v>0</v>
      </c>
      <c r="V750" s="1" t="s">
        <v>46</v>
      </c>
      <c r="W750" s="1" t="s">
        <v>2657</v>
      </c>
      <c r="X750" s="1">
        <v>4577990</v>
      </c>
      <c r="Y750" s="11">
        <v>41874</v>
      </c>
      <c r="Z750" s="11">
        <v>41876</v>
      </c>
      <c r="AA750" s="9">
        <f t="shared" si="80"/>
        <v>25200</v>
      </c>
      <c r="AB750" s="12">
        <v>60.25</v>
      </c>
      <c r="AC750" s="9">
        <f t="shared" si="78"/>
        <v>1572525</v>
      </c>
      <c r="AD750" s="9">
        <f t="shared" si="79"/>
        <v>1518300</v>
      </c>
      <c r="AE750" s="1" t="s">
        <v>51</v>
      </c>
      <c r="AF750" s="1" t="s">
        <v>53</v>
      </c>
      <c r="AG750" s="4">
        <f t="shared" si="75"/>
        <v>26100</v>
      </c>
      <c r="AH750" s="10">
        <v>25919</v>
      </c>
      <c r="AI750" s="10">
        <v>910</v>
      </c>
      <c r="AJ750" s="10">
        <v>0</v>
      </c>
      <c r="AK750" s="10">
        <v>0</v>
      </c>
      <c r="AL750" s="9">
        <f t="shared" si="76"/>
        <v>25009</v>
      </c>
      <c r="AM750" s="1"/>
      <c r="AN750" s="1"/>
      <c r="AO750" s="12" t="e">
        <f>AB750/#REF!</f>
        <v>#REF!</v>
      </c>
      <c r="AP750" s="1" t="s">
        <v>2328</v>
      </c>
      <c r="AQ750" s="11">
        <v>41941</v>
      </c>
      <c r="AR750" s="1" t="s">
        <v>2329</v>
      </c>
      <c r="AS750" s="11">
        <v>41978</v>
      </c>
      <c r="AT750" s="1" t="s">
        <v>49</v>
      </c>
      <c r="AU750" s="1" t="s">
        <v>4171</v>
      </c>
    </row>
    <row r="751" spans="1:47" ht="15" customHeight="1" x14ac:dyDescent="0.25">
      <c r="A751" s="1">
        <v>750</v>
      </c>
      <c r="B751" s="1" t="s">
        <v>1258</v>
      </c>
      <c r="C751" s="1" t="s">
        <v>38</v>
      </c>
      <c r="D751" s="1">
        <v>9103550569</v>
      </c>
      <c r="E751" s="5">
        <v>41879</v>
      </c>
      <c r="F751" s="1" t="s">
        <v>693</v>
      </c>
      <c r="G751" s="1" t="s">
        <v>40</v>
      </c>
      <c r="H751" s="1" t="s">
        <v>41</v>
      </c>
      <c r="I751" s="1" t="s">
        <v>2809</v>
      </c>
      <c r="J751" s="1" t="s">
        <v>63</v>
      </c>
      <c r="K751" s="1">
        <v>38231200</v>
      </c>
      <c r="L751" s="6">
        <v>19.309999999999999</v>
      </c>
      <c r="M751" s="1" t="s">
        <v>70</v>
      </c>
      <c r="N751" s="7" t="s">
        <v>44</v>
      </c>
      <c r="O751" s="1" t="s">
        <v>53</v>
      </c>
      <c r="P751" s="8">
        <v>1330</v>
      </c>
      <c r="Q751" s="17">
        <f t="shared" si="77"/>
        <v>25682.3</v>
      </c>
      <c r="R751" s="9">
        <v>550</v>
      </c>
      <c r="S751" s="9">
        <v>3.67</v>
      </c>
      <c r="T751" s="9">
        <v>0</v>
      </c>
      <c r="U751" s="10">
        <v>0</v>
      </c>
      <c r="V751" s="1" t="s">
        <v>46</v>
      </c>
      <c r="W751" s="1" t="s">
        <v>64</v>
      </c>
      <c r="X751" s="1">
        <v>4575467</v>
      </c>
      <c r="Y751" s="11">
        <v>41874</v>
      </c>
      <c r="Z751" s="11">
        <v>41876</v>
      </c>
      <c r="AA751" s="9">
        <f t="shared" si="80"/>
        <v>25128.63</v>
      </c>
      <c r="AB751" s="12">
        <v>60.25</v>
      </c>
      <c r="AC751" s="9">
        <f t="shared" si="78"/>
        <v>1547358.575</v>
      </c>
      <c r="AD751" s="9">
        <f t="shared" si="79"/>
        <v>1513999.9575</v>
      </c>
      <c r="AE751" s="1" t="s">
        <v>51</v>
      </c>
      <c r="AF751" s="1" t="s">
        <v>53</v>
      </c>
      <c r="AG751" s="4">
        <f t="shared" si="75"/>
        <v>25682.3</v>
      </c>
      <c r="AH751" s="10">
        <v>25682</v>
      </c>
      <c r="AI751" s="10">
        <v>450</v>
      </c>
      <c r="AJ751" s="10">
        <v>3.67</v>
      </c>
      <c r="AK751" s="10">
        <v>0</v>
      </c>
      <c r="AL751" s="9">
        <f t="shared" si="76"/>
        <v>25228.33</v>
      </c>
      <c r="AM751" s="1"/>
      <c r="AN751" s="1"/>
      <c r="AO751" s="12" t="e">
        <f>AB751/#REF!</f>
        <v>#REF!</v>
      </c>
      <c r="AP751" s="1" t="s">
        <v>2330</v>
      </c>
      <c r="AQ751" s="11">
        <v>41918</v>
      </c>
      <c r="AR751" s="1" t="s">
        <v>2331</v>
      </c>
      <c r="AS751" s="11">
        <v>41975</v>
      </c>
      <c r="AT751" s="1" t="s">
        <v>49</v>
      </c>
      <c r="AU751" s="1" t="s">
        <v>4171</v>
      </c>
    </row>
    <row r="752" spans="1:47" ht="15" customHeight="1" x14ac:dyDescent="0.25">
      <c r="A752" s="1">
        <v>751</v>
      </c>
      <c r="B752" s="1" t="s">
        <v>1258</v>
      </c>
      <c r="C752" s="1" t="s">
        <v>38</v>
      </c>
      <c r="D752" s="1">
        <v>9103550570</v>
      </c>
      <c r="E752" s="5">
        <v>41879</v>
      </c>
      <c r="F752" s="1" t="s">
        <v>725</v>
      </c>
      <c r="G752" s="1" t="s">
        <v>40</v>
      </c>
      <c r="H752" s="1" t="s">
        <v>41</v>
      </c>
      <c r="I752" s="1" t="s">
        <v>2809</v>
      </c>
      <c r="J752" s="1" t="s">
        <v>63</v>
      </c>
      <c r="K752" s="1">
        <v>29161990</v>
      </c>
      <c r="L752" s="6">
        <v>39.53</v>
      </c>
      <c r="M752" s="1" t="s">
        <v>70</v>
      </c>
      <c r="N752" s="7" t="s">
        <v>44</v>
      </c>
      <c r="O752" s="1" t="s">
        <v>53</v>
      </c>
      <c r="P752" s="8">
        <v>2570</v>
      </c>
      <c r="Q752" s="17">
        <f t="shared" si="77"/>
        <v>101592.1</v>
      </c>
      <c r="R752" s="9">
        <v>1100</v>
      </c>
      <c r="S752" s="9">
        <v>14.53</v>
      </c>
      <c r="T752" s="9">
        <v>0</v>
      </c>
      <c r="U752" s="10">
        <v>0</v>
      </c>
      <c r="V752" s="1" t="s">
        <v>46</v>
      </c>
      <c r="W752" s="1" t="s">
        <v>64</v>
      </c>
      <c r="X752" s="1">
        <v>4572804</v>
      </c>
      <c r="Y752" s="11">
        <v>41874</v>
      </c>
      <c r="Z752" s="11">
        <v>41876</v>
      </c>
      <c r="AA752" s="9">
        <f t="shared" si="80"/>
        <v>100477.57</v>
      </c>
      <c r="AB752" s="12">
        <v>60.25</v>
      </c>
      <c r="AC752" s="9">
        <f t="shared" si="78"/>
        <v>6120924.0250000004</v>
      </c>
      <c r="AD752" s="9">
        <f t="shared" si="79"/>
        <v>6053773.5925000003</v>
      </c>
      <c r="AE752" s="1" t="s">
        <v>51</v>
      </c>
      <c r="AF752" s="1" t="s">
        <v>53</v>
      </c>
      <c r="AG752" s="4">
        <f t="shared" si="75"/>
        <v>101592.1</v>
      </c>
      <c r="AH752" s="10">
        <v>101551</v>
      </c>
      <c r="AI752" s="10">
        <v>1120</v>
      </c>
      <c r="AJ752" s="10">
        <v>14.52</v>
      </c>
      <c r="AK752" s="10">
        <v>0</v>
      </c>
      <c r="AL752" s="9">
        <f t="shared" si="76"/>
        <v>100416.48</v>
      </c>
      <c r="AM752" s="1"/>
      <c r="AN752" s="1"/>
      <c r="AO752" s="12" t="e">
        <f>AB752/#REF!</f>
        <v>#REF!</v>
      </c>
      <c r="AP752" s="1" t="s">
        <v>2332</v>
      </c>
      <c r="AQ752" s="11">
        <v>41899</v>
      </c>
      <c r="AR752" s="1" t="s">
        <v>2333</v>
      </c>
      <c r="AS752" s="11">
        <v>41906</v>
      </c>
      <c r="AT752" s="1" t="s">
        <v>49</v>
      </c>
      <c r="AU752" s="1" t="s">
        <v>4171</v>
      </c>
    </row>
    <row r="753" spans="1:47" ht="15" customHeight="1" x14ac:dyDescent="0.25">
      <c r="A753" s="1">
        <v>752</v>
      </c>
      <c r="B753" s="1" t="s">
        <v>1258</v>
      </c>
      <c r="C753" s="1" t="s">
        <v>38</v>
      </c>
      <c r="D753" s="1">
        <v>9103550571</v>
      </c>
      <c r="E753" s="5">
        <v>41880</v>
      </c>
      <c r="F753" s="1" t="s">
        <v>692</v>
      </c>
      <c r="G753" s="1" t="s">
        <v>40</v>
      </c>
      <c r="H753" s="1" t="s">
        <v>41</v>
      </c>
      <c r="I753" s="1" t="s">
        <v>2809</v>
      </c>
      <c r="J753" s="1" t="s">
        <v>50</v>
      </c>
      <c r="K753" s="1">
        <v>38237090</v>
      </c>
      <c r="L753" s="6">
        <v>15</v>
      </c>
      <c r="M753" s="1" t="s">
        <v>70</v>
      </c>
      <c r="N753" s="7" t="s">
        <v>52</v>
      </c>
      <c r="O753" s="1" t="s">
        <v>53</v>
      </c>
      <c r="P753" s="8">
        <v>3535</v>
      </c>
      <c r="Q753" s="17">
        <f t="shared" si="77"/>
        <v>53025</v>
      </c>
      <c r="R753" s="9">
        <v>900</v>
      </c>
      <c r="S753" s="9">
        <v>0</v>
      </c>
      <c r="T753" s="9">
        <v>0</v>
      </c>
      <c r="U753" s="10">
        <v>0</v>
      </c>
      <c r="V753" s="1" t="s">
        <v>46</v>
      </c>
      <c r="W753" s="1" t="s">
        <v>2657</v>
      </c>
      <c r="X753" s="1">
        <v>4559716</v>
      </c>
      <c r="Y753" s="11">
        <v>41873</v>
      </c>
      <c r="Z753" s="11">
        <v>41874</v>
      </c>
      <c r="AA753" s="9">
        <f t="shared" si="80"/>
        <v>52125</v>
      </c>
      <c r="AB753" s="12">
        <v>60.25</v>
      </c>
      <c r="AC753" s="9">
        <f t="shared" si="78"/>
        <v>3194756.25</v>
      </c>
      <c r="AD753" s="9">
        <f t="shared" si="79"/>
        <v>3140531.25</v>
      </c>
      <c r="AE753" s="1" t="s">
        <v>51</v>
      </c>
      <c r="AF753" s="1" t="s">
        <v>53</v>
      </c>
      <c r="AG753" s="4">
        <f t="shared" si="75"/>
        <v>53025</v>
      </c>
      <c r="AH753" s="10">
        <v>52845</v>
      </c>
      <c r="AI753" s="10">
        <v>910</v>
      </c>
      <c r="AJ753" s="10">
        <v>0</v>
      </c>
      <c r="AK753" s="10">
        <v>0</v>
      </c>
      <c r="AL753" s="9">
        <f t="shared" si="76"/>
        <v>51935</v>
      </c>
      <c r="AM753" s="1"/>
      <c r="AN753" s="1"/>
      <c r="AO753" s="12" t="e">
        <f>AB753/#REF!</f>
        <v>#REF!</v>
      </c>
      <c r="AP753" s="1" t="s">
        <v>2334</v>
      </c>
      <c r="AQ753" s="11">
        <v>41941</v>
      </c>
      <c r="AR753" s="1" t="s">
        <v>2335</v>
      </c>
      <c r="AS753" s="11">
        <v>41978</v>
      </c>
      <c r="AT753" s="1" t="s">
        <v>49</v>
      </c>
      <c r="AU753" s="1" t="s">
        <v>4171</v>
      </c>
    </row>
    <row r="754" spans="1:47" ht="15" customHeight="1" x14ac:dyDescent="0.25">
      <c r="A754" s="1">
        <v>753</v>
      </c>
      <c r="B754" s="1" t="s">
        <v>1258</v>
      </c>
      <c r="C754" s="1" t="s">
        <v>38</v>
      </c>
      <c r="D754" s="1" t="s">
        <v>2336</v>
      </c>
      <c r="E754" s="5">
        <v>41879</v>
      </c>
      <c r="F754" s="1" t="s">
        <v>695</v>
      </c>
      <c r="G754" s="1" t="s">
        <v>40</v>
      </c>
      <c r="H754" s="1" t="s">
        <v>41</v>
      </c>
      <c r="I754" s="1" t="s">
        <v>2809</v>
      </c>
      <c r="J754" s="1" t="s">
        <v>50</v>
      </c>
      <c r="K754" s="1">
        <v>38237090</v>
      </c>
      <c r="L754" s="6">
        <v>18.32</v>
      </c>
      <c r="M754" s="1" t="s">
        <v>70</v>
      </c>
      <c r="N754" s="7" t="s">
        <v>52</v>
      </c>
      <c r="O754" s="1" t="s">
        <v>45</v>
      </c>
      <c r="P754" s="8">
        <v>970</v>
      </c>
      <c r="Q754" s="17">
        <f t="shared" si="77"/>
        <v>17770.400000000001</v>
      </c>
      <c r="R754" s="9">
        <v>681.65</v>
      </c>
      <c r="S754" s="9">
        <v>0</v>
      </c>
      <c r="T754" s="9">
        <v>0</v>
      </c>
      <c r="U754" s="10">
        <v>0</v>
      </c>
      <c r="V754" s="1" t="s">
        <v>46</v>
      </c>
      <c r="W754" s="1" t="s">
        <v>2657</v>
      </c>
      <c r="X754" s="1">
        <v>4560681</v>
      </c>
      <c r="Y754" s="11">
        <v>41873</v>
      </c>
      <c r="Z754" s="11">
        <v>41874</v>
      </c>
      <c r="AA754" s="9">
        <f t="shared" si="80"/>
        <v>17088.75</v>
      </c>
      <c r="AB754" s="12">
        <v>79.55</v>
      </c>
      <c r="AC754" s="9">
        <f t="shared" si="78"/>
        <v>1413635.32</v>
      </c>
      <c r="AD754" s="9">
        <f t="shared" si="79"/>
        <v>1359410.0625</v>
      </c>
      <c r="AE754" s="1" t="s">
        <v>51</v>
      </c>
      <c r="AF754" s="1" t="s">
        <v>45</v>
      </c>
      <c r="AG754" s="4">
        <f t="shared" si="75"/>
        <v>17770.400000000001</v>
      </c>
      <c r="AH754" s="10">
        <v>17740</v>
      </c>
      <c r="AI754" s="10">
        <v>703.59</v>
      </c>
      <c r="AJ754" s="10">
        <v>0</v>
      </c>
      <c r="AK754" s="10">
        <v>0</v>
      </c>
      <c r="AL754" s="9">
        <f t="shared" si="76"/>
        <v>17036.41</v>
      </c>
      <c r="AM754" s="1"/>
      <c r="AN754" s="1"/>
      <c r="AO754" s="12" t="e">
        <f>AB754/#REF!</f>
        <v>#REF!</v>
      </c>
      <c r="AP754" s="1" t="s">
        <v>2337</v>
      </c>
      <c r="AQ754" s="11">
        <v>41940</v>
      </c>
      <c r="AR754" s="1" t="s">
        <v>2338</v>
      </c>
      <c r="AS754" s="11">
        <v>41978</v>
      </c>
      <c r="AT754" s="1" t="s">
        <v>49</v>
      </c>
      <c r="AU754" s="1" t="s">
        <v>4171</v>
      </c>
    </row>
    <row r="755" spans="1:47" ht="15" customHeight="1" x14ac:dyDescent="0.25">
      <c r="A755" s="1">
        <v>754</v>
      </c>
      <c r="B755" s="1" t="s">
        <v>1258</v>
      </c>
      <c r="C755" s="1" t="s">
        <v>38</v>
      </c>
      <c r="D755" s="1" t="s">
        <v>2336</v>
      </c>
      <c r="E755" s="5">
        <v>41879</v>
      </c>
      <c r="F755" s="1" t="s">
        <v>696</v>
      </c>
      <c r="G755" s="1" t="s">
        <v>40</v>
      </c>
      <c r="H755" s="1" t="s">
        <v>41</v>
      </c>
      <c r="I755" s="1" t="s">
        <v>2809</v>
      </c>
      <c r="J755" s="1" t="s">
        <v>50</v>
      </c>
      <c r="K755" s="1">
        <v>38237090</v>
      </c>
      <c r="L755" s="6">
        <v>36.979999999999997</v>
      </c>
      <c r="M755" s="1" t="s">
        <v>70</v>
      </c>
      <c r="N755" s="7" t="s">
        <v>52</v>
      </c>
      <c r="O755" s="1" t="s">
        <v>45</v>
      </c>
      <c r="P755" s="8">
        <v>970</v>
      </c>
      <c r="Q755" s="17">
        <f t="shared" si="77"/>
        <v>35870.6</v>
      </c>
      <c r="R755" s="9">
        <v>1363.29</v>
      </c>
      <c r="S755" s="9">
        <v>0</v>
      </c>
      <c r="T755" s="9">
        <v>0</v>
      </c>
      <c r="U755" s="10">
        <v>0</v>
      </c>
      <c r="V755" s="1" t="s">
        <v>46</v>
      </c>
      <c r="W755" s="1" t="s">
        <v>2657</v>
      </c>
      <c r="X755" s="1">
        <v>4572500</v>
      </c>
      <c r="Y755" s="11">
        <v>41874</v>
      </c>
      <c r="Z755" s="11">
        <v>41876</v>
      </c>
      <c r="AA755" s="9">
        <f t="shared" si="80"/>
        <v>34507.31</v>
      </c>
      <c r="AB755" s="12">
        <v>79.55</v>
      </c>
      <c r="AC755" s="9">
        <f t="shared" si="78"/>
        <v>2853506.23</v>
      </c>
      <c r="AD755" s="9">
        <f t="shared" si="79"/>
        <v>2745056.5104999999</v>
      </c>
      <c r="AE755" s="1" t="s">
        <v>51</v>
      </c>
      <c r="AF755" s="1" t="s">
        <v>45</v>
      </c>
      <c r="AG755" s="4">
        <f t="shared" si="75"/>
        <v>35870.6</v>
      </c>
      <c r="AH755" s="10">
        <v>35741</v>
      </c>
      <c r="AI755" s="10">
        <v>1407.19</v>
      </c>
      <c r="AJ755" s="10">
        <v>0</v>
      </c>
      <c r="AK755" s="10">
        <v>0</v>
      </c>
      <c r="AL755" s="9">
        <f t="shared" si="76"/>
        <v>34333.81</v>
      </c>
      <c r="AM755" s="1"/>
      <c r="AN755" s="1"/>
      <c r="AO755" s="12" t="e">
        <f>AB755/#REF!</f>
        <v>#REF!</v>
      </c>
      <c r="AP755" s="1" t="s">
        <v>2337</v>
      </c>
      <c r="AQ755" s="11">
        <v>41940</v>
      </c>
      <c r="AR755" s="1" t="s">
        <v>2339</v>
      </c>
      <c r="AS755" s="11">
        <v>41978</v>
      </c>
      <c r="AT755" s="1" t="s">
        <v>49</v>
      </c>
      <c r="AU755" s="1" t="s">
        <v>4171</v>
      </c>
    </row>
    <row r="756" spans="1:47" ht="15" customHeight="1" x14ac:dyDescent="0.25">
      <c r="A756" s="1">
        <v>755</v>
      </c>
      <c r="B756" s="1" t="s">
        <v>1258</v>
      </c>
      <c r="C756" s="1" t="s">
        <v>38</v>
      </c>
      <c r="D756" s="1">
        <v>9103550574</v>
      </c>
      <c r="E756" s="5">
        <v>41879</v>
      </c>
      <c r="F756" s="1" t="s">
        <v>689</v>
      </c>
      <c r="G756" s="1" t="s">
        <v>40</v>
      </c>
      <c r="H756" s="1" t="s">
        <v>41</v>
      </c>
      <c r="I756" s="1" t="s">
        <v>2809</v>
      </c>
      <c r="J756" s="1" t="s">
        <v>464</v>
      </c>
      <c r="K756" s="1">
        <v>38237090</v>
      </c>
      <c r="L756" s="6">
        <v>3.8</v>
      </c>
      <c r="M756" s="1" t="s">
        <v>70</v>
      </c>
      <c r="N756" s="7" t="s">
        <v>52</v>
      </c>
      <c r="O756" s="1" t="s">
        <v>53</v>
      </c>
      <c r="P756" s="8">
        <v>4470</v>
      </c>
      <c r="Q756" s="17">
        <f t="shared" si="77"/>
        <v>16986</v>
      </c>
      <c r="R756" s="9">
        <v>425</v>
      </c>
      <c r="S756" s="9">
        <v>0</v>
      </c>
      <c r="T756" s="9">
        <v>0</v>
      </c>
      <c r="U756" s="10">
        <v>0</v>
      </c>
      <c r="V756" s="1" t="s">
        <v>46</v>
      </c>
      <c r="W756" s="1" t="s">
        <v>54</v>
      </c>
      <c r="X756" s="1">
        <v>4548410</v>
      </c>
      <c r="Y756" s="11">
        <v>41873</v>
      </c>
      <c r="Z756" s="11">
        <v>41874</v>
      </c>
      <c r="AA756" s="9">
        <f t="shared" si="80"/>
        <v>16561</v>
      </c>
      <c r="AB756" s="12">
        <v>60.25</v>
      </c>
      <c r="AC756" s="9">
        <f t="shared" si="78"/>
        <v>1023406.5</v>
      </c>
      <c r="AD756" s="9">
        <f t="shared" si="79"/>
        <v>997800.25</v>
      </c>
      <c r="AE756" s="1" t="s">
        <v>48</v>
      </c>
      <c r="AF756" s="1" t="s">
        <v>53</v>
      </c>
      <c r="AG756" s="4">
        <f t="shared" si="75"/>
        <v>16986</v>
      </c>
      <c r="AH756" s="10">
        <v>16986</v>
      </c>
      <c r="AI756" s="10">
        <v>480</v>
      </c>
      <c r="AJ756" s="10">
        <v>0</v>
      </c>
      <c r="AK756" s="10">
        <v>0</v>
      </c>
      <c r="AL756" s="9">
        <f t="shared" si="76"/>
        <v>16506</v>
      </c>
      <c r="AM756" s="1"/>
      <c r="AN756" s="1"/>
      <c r="AO756" s="12" t="e">
        <f>AB756/#REF!</f>
        <v>#REF!</v>
      </c>
      <c r="AP756" s="1" t="s">
        <v>2340</v>
      </c>
      <c r="AQ756" s="11">
        <v>41941</v>
      </c>
      <c r="AR756" s="1" t="s">
        <v>2341</v>
      </c>
      <c r="AS756" s="11">
        <v>41942</v>
      </c>
      <c r="AT756" s="1" t="s">
        <v>49</v>
      </c>
      <c r="AU756" s="1" t="s">
        <v>4171</v>
      </c>
    </row>
    <row r="757" spans="1:47" ht="15" customHeight="1" x14ac:dyDescent="0.25">
      <c r="A757" s="1">
        <v>756</v>
      </c>
      <c r="B757" s="1" t="s">
        <v>1258</v>
      </c>
      <c r="C757" s="1" t="s">
        <v>38</v>
      </c>
      <c r="D757" s="1">
        <v>9103550575</v>
      </c>
      <c r="E757" s="5">
        <v>41885</v>
      </c>
      <c r="F757" s="1" t="s">
        <v>700</v>
      </c>
      <c r="G757" s="1" t="s">
        <v>40</v>
      </c>
      <c r="H757" s="1" t="s">
        <v>41</v>
      </c>
      <c r="I757" s="1" t="s">
        <v>2809</v>
      </c>
      <c r="J757" s="1" t="s">
        <v>1123</v>
      </c>
      <c r="K757" s="1">
        <v>38237090</v>
      </c>
      <c r="L757" s="6">
        <v>3.06</v>
      </c>
      <c r="M757" s="1" t="s">
        <v>70</v>
      </c>
      <c r="N757" s="7" t="s">
        <v>52</v>
      </c>
      <c r="O757" s="1" t="s">
        <v>53</v>
      </c>
      <c r="P757" s="8">
        <v>2100</v>
      </c>
      <c r="Q757" s="17">
        <f t="shared" si="77"/>
        <v>6426</v>
      </c>
      <c r="R757" s="9">
        <v>200</v>
      </c>
      <c r="S757" s="9">
        <v>0</v>
      </c>
      <c r="T757" s="9">
        <v>0</v>
      </c>
      <c r="U757" s="10">
        <v>0</v>
      </c>
      <c r="V757" s="1" t="s">
        <v>46</v>
      </c>
      <c r="W757" s="1" t="s">
        <v>59</v>
      </c>
      <c r="X757" s="1">
        <v>4559700</v>
      </c>
      <c r="Y757" s="11">
        <v>41873</v>
      </c>
      <c r="Z757" s="11">
        <v>41874</v>
      </c>
      <c r="AA757" s="9">
        <f t="shared" si="80"/>
        <v>6226</v>
      </c>
      <c r="AB757" s="12">
        <v>60.25</v>
      </c>
      <c r="AC757" s="9">
        <f t="shared" si="78"/>
        <v>387166.5</v>
      </c>
      <c r="AD757" s="9">
        <f t="shared" si="79"/>
        <v>375116.5</v>
      </c>
      <c r="AE757" s="1" t="s">
        <v>48</v>
      </c>
      <c r="AF757" s="1" t="s">
        <v>53</v>
      </c>
      <c r="AG757" s="4">
        <f t="shared" si="75"/>
        <v>6426</v>
      </c>
      <c r="AH757" s="10">
        <v>6394</v>
      </c>
      <c r="AI757" s="10">
        <v>107.62</v>
      </c>
      <c r="AJ757" s="10">
        <v>0</v>
      </c>
      <c r="AK757" s="10">
        <v>0</v>
      </c>
      <c r="AL757" s="9">
        <f t="shared" si="76"/>
        <v>6286.38</v>
      </c>
      <c r="AM757" s="1"/>
      <c r="AN757" s="1"/>
      <c r="AO757" s="12" t="e">
        <f>AB757/#REF!</f>
        <v>#REF!</v>
      </c>
      <c r="AP757" s="1" t="s">
        <v>2342</v>
      </c>
      <c r="AQ757" s="11">
        <v>42023</v>
      </c>
      <c r="AR757" s="1" t="s">
        <v>2343</v>
      </c>
      <c r="AS757" s="11">
        <v>42024</v>
      </c>
      <c r="AT757" s="1" t="s">
        <v>49</v>
      </c>
      <c r="AU757" s="1" t="s">
        <v>4171</v>
      </c>
    </row>
    <row r="758" spans="1:47" ht="15" customHeight="1" x14ac:dyDescent="0.25">
      <c r="A758" s="1">
        <v>757</v>
      </c>
      <c r="B758" s="1" t="s">
        <v>1258</v>
      </c>
      <c r="C758" s="1" t="s">
        <v>38</v>
      </c>
      <c r="D758" s="1">
        <v>9103550576</v>
      </c>
      <c r="E758" s="5">
        <v>41883</v>
      </c>
      <c r="F758" s="1" t="s">
        <v>697</v>
      </c>
      <c r="G758" s="1" t="s">
        <v>40</v>
      </c>
      <c r="H758" s="1" t="s">
        <v>41</v>
      </c>
      <c r="I758" s="1" t="s">
        <v>2809</v>
      </c>
      <c r="J758" s="1" t="s">
        <v>187</v>
      </c>
      <c r="K758" s="1">
        <v>29051700</v>
      </c>
      <c r="L758" s="6">
        <v>18.12</v>
      </c>
      <c r="M758" s="1" t="s">
        <v>70</v>
      </c>
      <c r="N758" s="7" t="s">
        <v>44</v>
      </c>
      <c r="O758" s="1" t="s">
        <v>53</v>
      </c>
      <c r="P758" s="8">
        <v>2343</v>
      </c>
      <c r="Q758" s="17">
        <f t="shared" si="77"/>
        <v>42455.16</v>
      </c>
      <c r="R758" s="9">
        <v>4850</v>
      </c>
      <c r="S758" s="9">
        <v>6.07</v>
      </c>
      <c r="T758" s="9">
        <v>0</v>
      </c>
      <c r="U758" s="10">
        <v>0</v>
      </c>
      <c r="V758" s="1" t="s">
        <v>46</v>
      </c>
      <c r="W758" s="1" t="s">
        <v>56</v>
      </c>
      <c r="X758" s="1">
        <v>4574117</v>
      </c>
      <c r="Y758" s="11">
        <v>41874</v>
      </c>
      <c r="Z758" s="11">
        <v>41876</v>
      </c>
      <c r="AA758" s="9">
        <f t="shared" si="80"/>
        <v>37599.090000000004</v>
      </c>
      <c r="AB758" s="12">
        <v>60.25</v>
      </c>
      <c r="AC758" s="9">
        <f t="shared" si="78"/>
        <v>2557923.39</v>
      </c>
      <c r="AD758" s="9">
        <f t="shared" si="79"/>
        <v>2265345.1725000003</v>
      </c>
      <c r="AE758" s="1" t="s">
        <v>48</v>
      </c>
      <c r="AF758" s="1" t="s">
        <v>53</v>
      </c>
      <c r="AG758" s="4">
        <f t="shared" si="75"/>
        <v>42455.16</v>
      </c>
      <c r="AH758" s="10">
        <v>42455.16</v>
      </c>
      <c r="AI758" s="10">
        <v>4800</v>
      </c>
      <c r="AJ758" s="10">
        <v>6.07</v>
      </c>
      <c r="AK758" s="10">
        <v>0</v>
      </c>
      <c r="AL758" s="9">
        <f t="shared" si="76"/>
        <v>37649.090000000004</v>
      </c>
      <c r="AM758" s="1"/>
      <c r="AN758" s="1"/>
      <c r="AO758" s="12" t="e">
        <f>AB758/#REF!</f>
        <v>#REF!</v>
      </c>
      <c r="AP758" s="1" t="s">
        <v>2344</v>
      </c>
      <c r="AQ758" s="11">
        <v>41964</v>
      </c>
      <c r="AR758" s="1" t="s">
        <v>2345</v>
      </c>
      <c r="AS758" s="11">
        <v>41967</v>
      </c>
      <c r="AT758" s="1" t="s">
        <v>49</v>
      </c>
      <c r="AU758" s="1" t="s">
        <v>4171</v>
      </c>
    </row>
    <row r="759" spans="1:47" ht="15" customHeight="1" x14ac:dyDescent="0.25">
      <c r="A759" s="1">
        <v>758</v>
      </c>
      <c r="B759" s="1" t="s">
        <v>1258</v>
      </c>
      <c r="C759" s="1" t="s">
        <v>38</v>
      </c>
      <c r="D759" s="1">
        <v>9103550577</v>
      </c>
      <c r="E759" s="5">
        <v>41882</v>
      </c>
      <c r="F759" s="1" t="s">
        <v>691</v>
      </c>
      <c r="G759" s="1" t="s">
        <v>40</v>
      </c>
      <c r="H759" s="1" t="s">
        <v>41</v>
      </c>
      <c r="I759" s="1" t="s">
        <v>2809</v>
      </c>
      <c r="J759" s="1" t="s">
        <v>187</v>
      </c>
      <c r="K759" s="1">
        <v>29051700</v>
      </c>
      <c r="L759" s="6">
        <v>17.920000000000002</v>
      </c>
      <c r="M759" s="1" t="s">
        <v>70</v>
      </c>
      <c r="N759" s="7" t="s">
        <v>44</v>
      </c>
      <c r="O759" s="1" t="s">
        <v>53</v>
      </c>
      <c r="P759" s="8">
        <v>2343</v>
      </c>
      <c r="Q759" s="17">
        <f t="shared" si="77"/>
        <v>41986.560000000005</v>
      </c>
      <c r="R759" s="9">
        <v>4850</v>
      </c>
      <c r="S759" s="9">
        <v>6</v>
      </c>
      <c r="T759" s="9">
        <v>0</v>
      </c>
      <c r="U759" s="10">
        <v>0</v>
      </c>
      <c r="V759" s="1" t="s">
        <v>46</v>
      </c>
      <c r="W759" s="1" t="s">
        <v>56</v>
      </c>
      <c r="X759" s="1">
        <v>4575457</v>
      </c>
      <c r="Y759" s="11">
        <v>41874</v>
      </c>
      <c r="Z759" s="11">
        <v>41876</v>
      </c>
      <c r="AA759" s="9">
        <f t="shared" si="80"/>
        <v>37130.560000000005</v>
      </c>
      <c r="AB759" s="12">
        <v>60.25</v>
      </c>
      <c r="AC759" s="9">
        <f t="shared" si="78"/>
        <v>2529690.2400000002</v>
      </c>
      <c r="AD759" s="9">
        <f t="shared" si="79"/>
        <v>2237116.2400000002</v>
      </c>
      <c r="AE759" s="1" t="s">
        <v>48</v>
      </c>
      <c r="AF759" s="1" t="s">
        <v>53</v>
      </c>
      <c r="AG759" s="4">
        <f t="shared" si="75"/>
        <v>41986.560000000005</v>
      </c>
      <c r="AH759" s="10">
        <v>41986.559999999998</v>
      </c>
      <c r="AI759" s="10">
        <v>4700</v>
      </c>
      <c r="AJ759" s="10">
        <v>6</v>
      </c>
      <c r="AK759" s="10">
        <v>0</v>
      </c>
      <c r="AL759" s="9">
        <f t="shared" si="76"/>
        <v>37280.559999999998</v>
      </c>
      <c r="AM759" s="1"/>
      <c r="AN759" s="1"/>
      <c r="AO759" s="12" t="e">
        <f>AB759/#REF!</f>
        <v>#REF!</v>
      </c>
      <c r="AP759" s="1" t="s">
        <v>2346</v>
      </c>
      <c r="AQ759" s="11">
        <v>41964</v>
      </c>
      <c r="AR759" s="1" t="s">
        <v>2347</v>
      </c>
      <c r="AS759" s="11">
        <v>41967</v>
      </c>
      <c r="AT759" s="1" t="s">
        <v>49</v>
      </c>
      <c r="AU759" s="1" t="s">
        <v>4171</v>
      </c>
    </row>
    <row r="760" spans="1:47" ht="15" customHeight="1" x14ac:dyDescent="0.25">
      <c r="A760" s="1">
        <v>759</v>
      </c>
      <c r="B760" s="1" t="s">
        <v>1258</v>
      </c>
      <c r="C760" s="1" t="s">
        <v>38</v>
      </c>
      <c r="D760" s="1">
        <v>9103550578</v>
      </c>
      <c r="E760" s="5">
        <v>41882</v>
      </c>
      <c r="F760" s="1" t="s">
        <v>703</v>
      </c>
      <c r="G760" s="1" t="s">
        <v>40</v>
      </c>
      <c r="H760" s="1" t="s">
        <v>41</v>
      </c>
      <c r="I760" s="1" t="s">
        <v>2809</v>
      </c>
      <c r="J760" s="1" t="s">
        <v>2641</v>
      </c>
      <c r="K760" s="1">
        <v>38237090</v>
      </c>
      <c r="L760" s="6">
        <v>36</v>
      </c>
      <c r="M760" s="1" t="s">
        <v>70</v>
      </c>
      <c r="N760" s="7" t="s">
        <v>44</v>
      </c>
      <c r="O760" s="1" t="s">
        <v>53</v>
      </c>
      <c r="P760" s="8">
        <v>3828</v>
      </c>
      <c r="Q760" s="17">
        <f t="shared" si="77"/>
        <v>137808</v>
      </c>
      <c r="R760" s="9">
        <v>150</v>
      </c>
      <c r="S760" s="9">
        <v>19.71</v>
      </c>
      <c r="T760" s="9">
        <v>0</v>
      </c>
      <c r="U760" s="10">
        <v>0</v>
      </c>
      <c r="V760" s="1" t="s">
        <v>46</v>
      </c>
      <c r="W760" s="1" t="s">
        <v>54</v>
      </c>
      <c r="X760" s="1">
        <v>4602542</v>
      </c>
      <c r="Y760" s="11">
        <v>41876</v>
      </c>
      <c r="Z760" s="11">
        <v>41878</v>
      </c>
      <c r="AA760" s="9">
        <f t="shared" si="80"/>
        <v>137638.29</v>
      </c>
      <c r="AB760" s="12">
        <v>60.25</v>
      </c>
      <c r="AC760" s="9">
        <f t="shared" si="78"/>
        <v>8302932</v>
      </c>
      <c r="AD760" s="9">
        <f t="shared" si="79"/>
        <v>8292706.9725000001</v>
      </c>
      <c r="AE760" s="1" t="s">
        <v>48</v>
      </c>
      <c r="AF760" s="1" t="s">
        <v>53</v>
      </c>
      <c r="AG760" s="4">
        <f t="shared" si="75"/>
        <v>137808</v>
      </c>
      <c r="AH760" s="10">
        <v>137647.62</v>
      </c>
      <c r="AI760" s="10">
        <v>150</v>
      </c>
      <c r="AJ760" s="10">
        <v>19.71</v>
      </c>
      <c r="AK760" s="10">
        <v>0</v>
      </c>
      <c r="AL760" s="9">
        <f t="shared" si="76"/>
        <v>137477.91</v>
      </c>
      <c r="AM760" s="1"/>
      <c r="AN760" s="1"/>
      <c r="AO760" s="12" t="e">
        <f>AB760/#REF!</f>
        <v>#REF!</v>
      </c>
      <c r="AP760" s="1" t="s">
        <v>2348</v>
      </c>
      <c r="AQ760" s="11">
        <v>41975</v>
      </c>
      <c r="AR760" s="1" t="s">
        <v>2349</v>
      </c>
      <c r="AS760" s="11">
        <v>41976</v>
      </c>
      <c r="AT760" s="1" t="s">
        <v>49</v>
      </c>
      <c r="AU760" s="1" t="s">
        <v>4171</v>
      </c>
    </row>
    <row r="761" spans="1:47" ht="15" customHeight="1" x14ac:dyDescent="0.25">
      <c r="A761" s="1">
        <v>760</v>
      </c>
      <c r="B761" s="1" t="s">
        <v>1258</v>
      </c>
      <c r="C761" s="1" t="s">
        <v>38</v>
      </c>
      <c r="D761" s="1">
        <v>9103550579</v>
      </c>
      <c r="E761" s="5">
        <v>41881</v>
      </c>
      <c r="F761" s="1" t="s">
        <v>702</v>
      </c>
      <c r="G761" s="1" t="s">
        <v>40</v>
      </c>
      <c r="H761" s="1" t="s">
        <v>41</v>
      </c>
      <c r="I761" s="1" t="s">
        <v>2809</v>
      </c>
      <c r="J761" s="1" t="s">
        <v>187</v>
      </c>
      <c r="K761" s="1">
        <v>29051700</v>
      </c>
      <c r="L761" s="6">
        <v>18.14</v>
      </c>
      <c r="M761" s="1" t="s">
        <v>70</v>
      </c>
      <c r="N761" s="7" t="s">
        <v>44</v>
      </c>
      <c r="O761" s="1" t="s">
        <v>53</v>
      </c>
      <c r="P761" s="8">
        <v>2333</v>
      </c>
      <c r="Q761" s="17">
        <f t="shared" si="77"/>
        <v>42320.62</v>
      </c>
      <c r="R761" s="9">
        <v>3350</v>
      </c>
      <c r="S761" s="9">
        <v>6.05</v>
      </c>
      <c r="T761" s="9">
        <v>0</v>
      </c>
      <c r="U761" s="10">
        <v>0</v>
      </c>
      <c r="V761" s="1" t="s">
        <v>46</v>
      </c>
      <c r="W761" s="1" t="s">
        <v>56</v>
      </c>
      <c r="X761" s="1">
        <v>4598537</v>
      </c>
      <c r="Y761" s="11">
        <v>41876</v>
      </c>
      <c r="Z761" s="11">
        <v>41878</v>
      </c>
      <c r="AA761" s="9">
        <f t="shared" si="80"/>
        <v>38964.57</v>
      </c>
      <c r="AB761" s="12">
        <v>60.25</v>
      </c>
      <c r="AC761" s="9">
        <f t="shared" si="78"/>
        <v>2549817.355</v>
      </c>
      <c r="AD761" s="9">
        <f t="shared" si="79"/>
        <v>2347615.3424999998</v>
      </c>
      <c r="AE761" s="1" t="s">
        <v>48</v>
      </c>
      <c r="AF761" s="1" t="s">
        <v>53</v>
      </c>
      <c r="AG761" s="4">
        <f t="shared" si="75"/>
        <v>42320.62</v>
      </c>
      <c r="AH761" s="10">
        <v>42320.62</v>
      </c>
      <c r="AI761" s="10">
        <v>3304</v>
      </c>
      <c r="AJ761" s="10">
        <v>6.05</v>
      </c>
      <c r="AK761" s="10">
        <v>0</v>
      </c>
      <c r="AL761" s="9">
        <f t="shared" si="76"/>
        <v>39010.57</v>
      </c>
      <c r="AM761" s="1"/>
      <c r="AN761" s="1"/>
      <c r="AO761" s="12" t="e">
        <f>AB761/#REF!</f>
        <v>#REF!</v>
      </c>
      <c r="AP761" s="1" t="s">
        <v>2350</v>
      </c>
      <c r="AQ761" s="11">
        <v>41964</v>
      </c>
      <c r="AR761" s="1" t="s">
        <v>2351</v>
      </c>
      <c r="AS761" s="11">
        <v>41967</v>
      </c>
      <c r="AT761" s="1" t="s">
        <v>49</v>
      </c>
      <c r="AU761" s="1" t="s">
        <v>4171</v>
      </c>
    </row>
    <row r="762" spans="1:47" ht="15" customHeight="1" x14ac:dyDescent="0.25">
      <c r="A762" s="1">
        <v>761</v>
      </c>
      <c r="B762" s="1" t="s">
        <v>1258</v>
      </c>
      <c r="C762" s="1" t="s">
        <v>38</v>
      </c>
      <c r="D762" s="1" t="s">
        <v>2352</v>
      </c>
      <c r="E762" s="5">
        <v>41881</v>
      </c>
      <c r="F762" s="1" t="s">
        <v>699</v>
      </c>
      <c r="G762" s="1" t="s">
        <v>40</v>
      </c>
      <c r="H762" s="1" t="s">
        <v>41</v>
      </c>
      <c r="I762" s="1" t="s">
        <v>2809</v>
      </c>
      <c r="J762" s="1" t="s">
        <v>187</v>
      </c>
      <c r="K762" s="1">
        <v>29051700</v>
      </c>
      <c r="L762" s="6">
        <v>54.42</v>
      </c>
      <c r="M762" s="1" t="s">
        <v>70</v>
      </c>
      <c r="N762" s="7" t="s">
        <v>44</v>
      </c>
      <c r="O762" s="1" t="s">
        <v>53</v>
      </c>
      <c r="P762" s="8">
        <v>1897</v>
      </c>
      <c r="Q762" s="17">
        <f t="shared" si="77"/>
        <v>103234.74</v>
      </c>
      <c r="R762" s="9">
        <v>7800</v>
      </c>
      <c r="S762" s="9">
        <v>14.76</v>
      </c>
      <c r="T762" s="9">
        <v>0</v>
      </c>
      <c r="U762" s="10">
        <v>0</v>
      </c>
      <c r="V762" s="1" t="s">
        <v>46</v>
      </c>
      <c r="W762" s="1" t="s">
        <v>56</v>
      </c>
      <c r="X762" s="1">
        <v>4578001</v>
      </c>
      <c r="Y762" s="11">
        <v>41874</v>
      </c>
      <c r="Z762" s="11">
        <v>41876</v>
      </c>
      <c r="AA762" s="9">
        <f t="shared" si="80"/>
        <v>95419.98000000001</v>
      </c>
      <c r="AB762" s="12">
        <v>60.25</v>
      </c>
      <c r="AC762" s="9">
        <f t="shared" si="78"/>
        <v>6219893.085</v>
      </c>
      <c r="AD762" s="9">
        <f t="shared" si="79"/>
        <v>5749053.7950000009</v>
      </c>
      <c r="AE762" s="1" t="s">
        <v>48</v>
      </c>
      <c r="AF762" s="1" t="s">
        <v>53</v>
      </c>
      <c r="AG762" s="4">
        <f t="shared" si="75"/>
        <v>103234.74</v>
      </c>
      <c r="AH762" s="10">
        <v>103234.74</v>
      </c>
      <c r="AI762" s="10">
        <v>7700</v>
      </c>
      <c r="AJ762" s="10">
        <v>14.68</v>
      </c>
      <c r="AK762" s="10">
        <v>0</v>
      </c>
      <c r="AL762" s="9">
        <f t="shared" si="76"/>
        <v>95520.06</v>
      </c>
      <c r="AM762" s="1"/>
      <c r="AN762" s="1"/>
      <c r="AO762" s="12" t="e">
        <f>AB762/#REF!</f>
        <v>#REF!</v>
      </c>
      <c r="AP762" s="1" t="s">
        <v>2353</v>
      </c>
      <c r="AQ762" s="11">
        <v>41964</v>
      </c>
      <c r="AR762" s="1" t="s">
        <v>2354</v>
      </c>
      <c r="AS762" s="11">
        <v>41967</v>
      </c>
      <c r="AT762" s="1" t="s">
        <v>49</v>
      </c>
      <c r="AU762" s="1" t="s">
        <v>4171</v>
      </c>
    </row>
    <row r="763" spans="1:47" ht="15" customHeight="1" x14ac:dyDescent="0.25">
      <c r="A763" s="1">
        <v>762</v>
      </c>
      <c r="B763" s="1" t="s">
        <v>1258</v>
      </c>
      <c r="C763" s="1" t="s">
        <v>38</v>
      </c>
      <c r="D763" s="1" t="s">
        <v>2352</v>
      </c>
      <c r="E763" s="5">
        <v>41881</v>
      </c>
      <c r="F763" s="1" t="s">
        <v>709</v>
      </c>
      <c r="G763" s="1" t="s">
        <v>40</v>
      </c>
      <c r="H763" s="1" t="s">
        <v>41</v>
      </c>
      <c r="I763" s="1" t="s">
        <v>2809</v>
      </c>
      <c r="J763" s="1" t="s">
        <v>187</v>
      </c>
      <c r="K763" s="1">
        <v>29051700</v>
      </c>
      <c r="L763" s="6">
        <v>36.28</v>
      </c>
      <c r="M763" s="1" t="s">
        <v>70</v>
      </c>
      <c r="N763" s="7" t="s">
        <v>44</v>
      </c>
      <c r="O763" s="1" t="s">
        <v>53</v>
      </c>
      <c r="P763" s="8">
        <v>1897</v>
      </c>
      <c r="Q763" s="17">
        <f t="shared" si="77"/>
        <v>68823.16</v>
      </c>
      <c r="R763" s="9">
        <v>5200</v>
      </c>
      <c r="S763" s="9">
        <v>9.84</v>
      </c>
      <c r="T763" s="9">
        <v>0</v>
      </c>
      <c r="U763" s="10">
        <v>0</v>
      </c>
      <c r="V763" s="1" t="s">
        <v>46</v>
      </c>
      <c r="W763" s="1" t="s">
        <v>56</v>
      </c>
      <c r="X763" s="1">
        <v>4629644</v>
      </c>
      <c r="Y763" s="11">
        <v>41877</v>
      </c>
      <c r="Z763" s="11">
        <v>41878</v>
      </c>
      <c r="AA763" s="9">
        <f t="shared" si="80"/>
        <v>63613.320000000007</v>
      </c>
      <c r="AB763" s="12">
        <v>60.25</v>
      </c>
      <c r="AC763" s="9">
        <f t="shared" si="78"/>
        <v>4146595.39</v>
      </c>
      <c r="AD763" s="9">
        <f t="shared" si="79"/>
        <v>3832702.5300000003</v>
      </c>
      <c r="AE763" s="1" t="s">
        <v>48</v>
      </c>
      <c r="AF763" s="1" t="s">
        <v>53</v>
      </c>
      <c r="AG763" s="4">
        <f t="shared" si="75"/>
        <v>68823.16</v>
      </c>
      <c r="AH763" s="10">
        <v>68823.16</v>
      </c>
      <c r="AI763" s="10">
        <v>5200</v>
      </c>
      <c r="AJ763" s="10">
        <v>9.92</v>
      </c>
      <c r="AK763" s="10">
        <v>0</v>
      </c>
      <c r="AL763" s="9">
        <f t="shared" si="76"/>
        <v>63613.240000000005</v>
      </c>
      <c r="AM763" s="1"/>
      <c r="AN763" s="1"/>
      <c r="AO763" s="12" t="e">
        <f>AB763/#REF!</f>
        <v>#REF!</v>
      </c>
      <c r="AP763" s="1" t="s">
        <v>2353</v>
      </c>
      <c r="AQ763" s="11">
        <v>41964</v>
      </c>
      <c r="AR763" s="1" t="s">
        <v>2355</v>
      </c>
      <c r="AS763" s="11">
        <v>41967</v>
      </c>
      <c r="AT763" s="1" t="s">
        <v>49</v>
      </c>
      <c r="AU763" s="1" t="s">
        <v>4171</v>
      </c>
    </row>
    <row r="764" spans="1:47" ht="15" customHeight="1" x14ac:dyDescent="0.25">
      <c r="A764" s="1">
        <v>763</v>
      </c>
      <c r="B764" s="1" t="s">
        <v>1258</v>
      </c>
      <c r="C764" s="1" t="s">
        <v>38</v>
      </c>
      <c r="D764" s="1">
        <v>9103550583</v>
      </c>
      <c r="E764" s="5">
        <v>41881</v>
      </c>
      <c r="F764" s="1" t="s">
        <v>706</v>
      </c>
      <c r="G764" s="1" t="s">
        <v>40</v>
      </c>
      <c r="H764" s="1" t="s">
        <v>41</v>
      </c>
      <c r="I764" s="1" t="s">
        <v>2809</v>
      </c>
      <c r="J764" s="1" t="s">
        <v>187</v>
      </c>
      <c r="K764" s="1">
        <v>38237090</v>
      </c>
      <c r="L764" s="6">
        <v>18</v>
      </c>
      <c r="M764" s="1" t="s">
        <v>70</v>
      </c>
      <c r="N764" s="7" t="s">
        <v>44</v>
      </c>
      <c r="O764" s="1" t="s">
        <v>53</v>
      </c>
      <c r="P764" s="8">
        <v>4094</v>
      </c>
      <c r="Q764" s="17">
        <f t="shared" si="77"/>
        <v>73692</v>
      </c>
      <c r="R764" s="9">
        <v>3450</v>
      </c>
      <c r="S764" s="9">
        <v>10.54</v>
      </c>
      <c r="T764" s="9">
        <v>0</v>
      </c>
      <c r="U764" s="10">
        <v>0</v>
      </c>
      <c r="V764" s="1" t="s">
        <v>46</v>
      </c>
      <c r="W764" s="1" t="s">
        <v>56</v>
      </c>
      <c r="X764" s="1">
        <v>4629529</v>
      </c>
      <c r="Y764" s="11">
        <v>41877</v>
      </c>
      <c r="Z764" s="11">
        <v>41878</v>
      </c>
      <c r="AA764" s="9">
        <f t="shared" si="80"/>
        <v>70231.460000000006</v>
      </c>
      <c r="AB764" s="12">
        <v>60.25</v>
      </c>
      <c r="AC764" s="9">
        <f t="shared" si="78"/>
        <v>4439943</v>
      </c>
      <c r="AD764" s="9">
        <f t="shared" si="79"/>
        <v>4231445.4650000008</v>
      </c>
      <c r="AE764" s="1" t="s">
        <v>48</v>
      </c>
      <c r="AF764" s="1" t="s">
        <v>53</v>
      </c>
      <c r="AG764" s="4">
        <f t="shared" si="75"/>
        <v>73692</v>
      </c>
      <c r="AH764" s="10">
        <v>73692</v>
      </c>
      <c r="AI764" s="10">
        <v>3403</v>
      </c>
      <c r="AJ764" s="10">
        <v>10.54</v>
      </c>
      <c r="AK764" s="10">
        <v>0</v>
      </c>
      <c r="AL764" s="9">
        <f t="shared" si="76"/>
        <v>70278.460000000006</v>
      </c>
      <c r="AM764" s="1"/>
      <c r="AN764" s="1"/>
      <c r="AO764" s="12" t="e">
        <f>AB764/#REF!</f>
        <v>#REF!</v>
      </c>
      <c r="AP764" s="1" t="s">
        <v>2356</v>
      </c>
      <c r="AQ764" s="11">
        <v>41964</v>
      </c>
      <c r="AR764" s="1" t="s">
        <v>2357</v>
      </c>
      <c r="AS764" s="11">
        <v>41967</v>
      </c>
      <c r="AT764" s="1" t="s">
        <v>49</v>
      </c>
      <c r="AU764" s="1" t="s">
        <v>4171</v>
      </c>
    </row>
    <row r="765" spans="1:47" ht="15" customHeight="1" x14ac:dyDescent="0.25">
      <c r="A765" s="1">
        <v>764</v>
      </c>
      <c r="B765" s="1" t="s">
        <v>1258</v>
      </c>
      <c r="C765" s="1" t="s">
        <v>38</v>
      </c>
      <c r="D765" s="1">
        <v>9103550586</v>
      </c>
      <c r="E765" s="5">
        <v>41882</v>
      </c>
      <c r="F765" s="1" t="s">
        <v>701</v>
      </c>
      <c r="G765" s="1" t="s">
        <v>40</v>
      </c>
      <c r="H765" s="1" t="s">
        <v>41</v>
      </c>
      <c r="I765" s="1" t="s">
        <v>2809</v>
      </c>
      <c r="J765" s="1" t="s">
        <v>187</v>
      </c>
      <c r="K765" s="1">
        <v>38237090</v>
      </c>
      <c r="L765" s="6">
        <v>36</v>
      </c>
      <c r="M765" s="1" t="s">
        <v>70</v>
      </c>
      <c r="N765" s="7" t="s">
        <v>44</v>
      </c>
      <c r="O765" s="1" t="s">
        <v>53</v>
      </c>
      <c r="P765" s="8">
        <v>1704</v>
      </c>
      <c r="Q765" s="17">
        <f t="shared" si="77"/>
        <v>61344</v>
      </c>
      <c r="R765" s="9">
        <v>8860</v>
      </c>
      <c r="S765" s="9">
        <v>8.77</v>
      </c>
      <c r="T765" s="9">
        <v>0</v>
      </c>
      <c r="U765" s="10">
        <v>0</v>
      </c>
      <c r="V765" s="1" t="s">
        <v>46</v>
      </c>
      <c r="W765" s="1" t="s">
        <v>56</v>
      </c>
      <c r="X765" s="1">
        <v>4657681</v>
      </c>
      <c r="Y765" s="11">
        <v>41878</v>
      </c>
      <c r="Z765" s="11">
        <v>41879</v>
      </c>
      <c r="AA765" s="9">
        <f t="shared" si="80"/>
        <v>52475.23</v>
      </c>
      <c r="AB765" s="12">
        <v>60.25</v>
      </c>
      <c r="AC765" s="9">
        <f t="shared" si="78"/>
        <v>3695976</v>
      </c>
      <c r="AD765" s="9">
        <f t="shared" si="79"/>
        <v>3161632.6075000004</v>
      </c>
      <c r="AE765" s="1" t="s">
        <v>48</v>
      </c>
      <c r="AF765" s="1" t="s">
        <v>53</v>
      </c>
      <c r="AG765" s="4">
        <f t="shared" si="75"/>
        <v>61344</v>
      </c>
      <c r="AH765" s="10">
        <v>61344</v>
      </c>
      <c r="AI765" s="10">
        <v>8776</v>
      </c>
      <c r="AJ765" s="10">
        <v>8.77</v>
      </c>
      <c r="AK765" s="10">
        <v>0</v>
      </c>
      <c r="AL765" s="9">
        <f t="shared" si="76"/>
        <v>52559.229999999996</v>
      </c>
      <c r="AM765" s="1"/>
      <c r="AN765" s="1"/>
      <c r="AO765" s="12" t="e">
        <f>AB765/#REF!</f>
        <v>#REF!</v>
      </c>
      <c r="AP765" s="1" t="s">
        <v>2358</v>
      </c>
      <c r="AQ765" s="11">
        <v>41964</v>
      </c>
      <c r="AR765" s="1" t="s">
        <v>2359</v>
      </c>
      <c r="AS765" s="11">
        <v>41967</v>
      </c>
      <c r="AT765" s="1" t="s">
        <v>49</v>
      </c>
      <c r="AU765" s="1" t="s">
        <v>4171</v>
      </c>
    </row>
    <row r="766" spans="1:47" ht="15" customHeight="1" x14ac:dyDescent="0.25">
      <c r="A766" s="1">
        <v>765</v>
      </c>
      <c r="B766" s="1" t="s">
        <v>1258</v>
      </c>
      <c r="C766" s="1" t="s">
        <v>38</v>
      </c>
      <c r="D766" s="1">
        <v>9103550587</v>
      </c>
      <c r="E766" s="5">
        <v>41886</v>
      </c>
      <c r="F766" s="1" t="s">
        <v>708</v>
      </c>
      <c r="G766" s="1" t="s">
        <v>40</v>
      </c>
      <c r="H766" s="1" t="s">
        <v>41</v>
      </c>
      <c r="I766" s="1" t="s">
        <v>2809</v>
      </c>
      <c r="J766" s="1" t="s">
        <v>184</v>
      </c>
      <c r="K766" s="1">
        <v>38237090</v>
      </c>
      <c r="L766" s="6">
        <v>24</v>
      </c>
      <c r="M766" s="1" t="s">
        <v>70</v>
      </c>
      <c r="N766" s="7" t="s">
        <v>44</v>
      </c>
      <c r="O766" s="1" t="s">
        <v>53</v>
      </c>
      <c r="P766" s="8">
        <v>3860</v>
      </c>
      <c r="Q766" s="17">
        <f t="shared" si="77"/>
        <v>92640</v>
      </c>
      <c r="R766" s="9">
        <v>80</v>
      </c>
      <c r="S766" s="9">
        <v>13.25</v>
      </c>
      <c r="T766" s="9">
        <v>0</v>
      </c>
      <c r="U766" s="10">
        <v>0</v>
      </c>
      <c r="V766" s="1" t="s">
        <v>46</v>
      </c>
      <c r="W766" s="1" t="s">
        <v>64</v>
      </c>
      <c r="X766" s="1">
        <v>4587445</v>
      </c>
      <c r="Y766" s="11">
        <v>41876</v>
      </c>
      <c r="Z766" s="11">
        <v>41878</v>
      </c>
      <c r="AA766" s="9">
        <f t="shared" si="80"/>
        <v>92546.75</v>
      </c>
      <c r="AB766" s="12">
        <v>60.25</v>
      </c>
      <c r="AC766" s="9">
        <f t="shared" si="78"/>
        <v>5581560</v>
      </c>
      <c r="AD766" s="9">
        <f t="shared" si="79"/>
        <v>5575941.6875</v>
      </c>
      <c r="AE766" s="1" t="s">
        <v>48</v>
      </c>
      <c r="AF766" s="1" t="s">
        <v>53</v>
      </c>
      <c r="AG766" s="4">
        <f t="shared" si="75"/>
        <v>92640</v>
      </c>
      <c r="AH766" s="10">
        <v>92409</v>
      </c>
      <c r="AI766" s="10">
        <v>41</v>
      </c>
      <c r="AJ766" s="10">
        <v>13.25</v>
      </c>
      <c r="AK766" s="10">
        <v>0</v>
      </c>
      <c r="AL766" s="9">
        <f t="shared" si="76"/>
        <v>92354.75</v>
      </c>
      <c r="AM766" s="1"/>
      <c r="AN766" s="1"/>
      <c r="AO766" s="12" t="e">
        <f>AB766/#REF!</f>
        <v>#REF!</v>
      </c>
      <c r="AP766" s="1" t="s">
        <v>2360</v>
      </c>
      <c r="AQ766" s="11">
        <v>41906</v>
      </c>
      <c r="AR766" s="1" t="s">
        <v>2361</v>
      </c>
      <c r="AS766" s="11">
        <v>41907</v>
      </c>
      <c r="AT766" s="1" t="s">
        <v>49</v>
      </c>
      <c r="AU766" s="1" t="s">
        <v>4171</v>
      </c>
    </row>
    <row r="767" spans="1:47" ht="15" customHeight="1" x14ac:dyDescent="0.25">
      <c r="A767" s="1">
        <v>766</v>
      </c>
      <c r="B767" s="1" t="s">
        <v>1258</v>
      </c>
      <c r="C767" s="1" t="s">
        <v>38</v>
      </c>
      <c r="D767" s="1">
        <v>9103550588</v>
      </c>
      <c r="E767" s="5">
        <v>41886</v>
      </c>
      <c r="F767" s="1" t="s">
        <v>710</v>
      </c>
      <c r="G767" s="1" t="s">
        <v>40</v>
      </c>
      <c r="H767" s="1" t="s">
        <v>41</v>
      </c>
      <c r="I767" s="1" t="s">
        <v>2809</v>
      </c>
      <c r="J767" s="1" t="s">
        <v>63</v>
      </c>
      <c r="K767" s="1">
        <v>29161990</v>
      </c>
      <c r="L767" s="6">
        <v>39.46</v>
      </c>
      <c r="M767" s="1" t="s">
        <v>70</v>
      </c>
      <c r="N767" s="7" t="s">
        <v>44</v>
      </c>
      <c r="O767" s="1" t="s">
        <v>53</v>
      </c>
      <c r="P767" s="8">
        <v>2570</v>
      </c>
      <c r="Q767" s="17">
        <f t="shared" si="77"/>
        <v>101412.2</v>
      </c>
      <c r="R767" s="9">
        <v>1120</v>
      </c>
      <c r="S767" s="9">
        <v>14.5</v>
      </c>
      <c r="T767" s="9">
        <v>0</v>
      </c>
      <c r="U767" s="10">
        <v>0</v>
      </c>
      <c r="V767" s="1" t="s">
        <v>46</v>
      </c>
      <c r="W767" s="1" t="s">
        <v>64</v>
      </c>
      <c r="X767" s="1">
        <v>4674310</v>
      </c>
      <c r="Y767" s="11">
        <v>41879</v>
      </c>
      <c r="Z767" s="11">
        <v>41881</v>
      </c>
      <c r="AA767" s="9">
        <f t="shared" si="80"/>
        <v>100277.7</v>
      </c>
      <c r="AB767" s="12">
        <v>60.25</v>
      </c>
      <c r="AC767" s="9">
        <f t="shared" si="78"/>
        <v>6110085.0499999998</v>
      </c>
      <c r="AD767" s="9">
        <f t="shared" si="79"/>
        <v>6041731.4249999998</v>
      </c>
      <c r="AE767" s="1" t="s">
        <v>51</v>
      </c>
      <c r="AF767" s="1" t="s">
        <v>53</v>
      </c>
      <c r="AG767" s="4">
        <f t="shared" si="75"/>
        <v>101412.2</v>
      </c>
      <c r="AH767" s="10">
        <v>101371</v>
      </c>
      <c r="AI767" s="10">
        <v>1120</v>
      </c>
      <c r="AJ767" s="10">
        <v>14.5</v>
      </c>
      <c r="AK767" s="10">
        <v>0</v>
      </c>
      <c r="AL767" s="9">
        <f t="shared" si="76"/>
        <v>100236.5</v>
      </c>
      <c r="AM767" s="1"/>
      <c r="AN767" s="1"/>
      <c r="AO767" s="12" t="e">
        <f>AB767/#REF!</f>
        <v>#REF!</v>
      </c>
      <c r="AP767" s="1" t="s">
        <v>2362</v>
      </c>
      <c r="AQ767" s="11">
        <v>41904</v>
      </c>
      <c r="AR767" s="1" t="s">
        <v>2363</v>
      </c>
      <c r="AS767" s="11">
        <v>41975</v>
      </c>
      <c r="AT767" s="1" t="s">
        <v>49</v>
      </c>
      <c r="AU767" s="1" t="s">
        <v>4171</v>
      </c>
    </row>
    <row r="768" spans="1:47" ht="15" customHeight="1" x14ac:dyDescent="0.25">
      <c r="A768" s="1">
        <v>767</v>
      </c>
      <c r="B768" s="1" t="s">
        <v>1258</v>
      </c>
      <c r="C768" s="1" t="s">
        <v>38</v>
      </c>
      <c r="D768" s="1">
        <v>9103550589</v>
      </c>
      <c r="E768" s="5">
        <v>41887</v>
      </c>
      <c r="F768" s="1" t="s">
        <v>715</v>
      </c>
      <c r="G768" s="1" t="s">
        <v>40</v>
      </c>
      <c r="H768" s="1" t="s">
        <v>41</v>
      </c>
      <c r="I768" s="1" t="s">
        <v>2809</v>
      </c>
      <c r="J768" s="1" t="s">
        <v>256</v>
      </c>
      <c r="K768" s="1">
        <v>38237090</v>
      </c>
      <c r="L768" s="6">
        <v>12</v>
      </c>
      <c r="M768" s="1" t="s">
        <v>70</v>
      </c>
      <c r="N768" s="7" t="s">
        <v>67</v>
      </c>
      <c r="O768" s="1" t="s">
        <v>53</v>
      </c>
      <c r="P768" s="8">
        <v>2050</v>
      </c>
      <c r="Q768" s="17">
        <f t="shared" si="77"/>
        <v>24600</v>
      </c>
      <c r="R768" s="9">
        <v>0</v>
      </c>
      <c r="S768" s="9">
        <v>0</v>
      </c>
      <c r="T768" s="9">
        <v>0</v>
      </c>
      <c r="U768" s="10">
        <v>0</v>
      </c>
      <c r="V768" s="1" t="s">
        <v>46</v>
      </c>
      <c r="W768" s="1" t="s">
        <v>257</v>
      </c>
      <c r="X768" s="1">
        <v>4678100</v>
      </c>
      <c r="Y768" s="11">
        <v>41879</v>
      </c>
      <c r="Z768" s="11">
        <v>41881</v>
      </c>
      <c r="AA768" s="9">
        <f t="shared" si="80"/>
        <v>24600</v>
      </c>
      <c r="AB768" s="12">
        <v>60.25</v>
      </c>
      <c r="AC768" s="9">
        <f t="shared" si="78"/>
        <v>1482150</v>
      </c>
      <c r="AD768" s="9">
        <f t="shared" si="79"/>
        <v>1482150</v>
      </c>
      <c r="AE768" s="1" t="s">
        <v>48</v>
      </c>
      <c r="AF768" s="1" t="s">
        <v>53</v>
      </c>
      <c r="AG768" s="4">
        <f t="shared" si="75"/>
        <v>24600</v>
      </c>
      <c r="AH768" s="10">
        <v>24554</v>
      </c>
      <c r="AI768" s="10">
        <v>0</v>
      </c>
      <c r="AJ768" s="10">
        <v>0</v>
      </c>
      <c r="AK768" s="10">
        <v>0</v>
      </c>
      <c r="AL768" s="9">
        <f t="shared" si="76"/>
        <v>24554</v>
      </c>
      <c r="AM768" s="1"/>
      <c r="AN768" s="1"/>
      <c r="AO768" s="12" t="e">
        <f>AB768/#REF!</f>
        <v>#REF!</v>
      </c>
      <c r="AP768" s="1" t="s">
        <v>2364</v>
      </c>
      <c r="AQ768" s="11">
        <v>41981</v>
      </c>
      <c r="AR768" s="1" t="s">
        <v>2365</v>
      </c>
      <c r="AS768" s="11">
        <v>41982</v>
      </c>
      <c r="AT768" s="1" t="s">
        <v>49</v>
      </c>
      <c r="AU768" s="1" t="s">
        <v>4171</v>
      </c>
    </row>
    <row r="769" spans="1:47" ht="15" customHeight="1" x14ac:dyDescent="0.25">
      <c r="A769" s="1">
        <v>768</v>
      </c>
      <c r="B769" s="1" t="s">
        <v>1258</v>
      </c>
      <c r="C769" s="1" t="s">
        <v>38</v>
      </c>
      <c r="D769" s="1">
        <v>9103550590</v>
      </c>
      <c r="E769" s="5">
        <v>41887</v>
      </c>
      <c r="F769" s="1" t="s">
        <v>738</v>
      </c>
      <c r="G769" s="1" t="s">
        <v>40</v>
      </c>
      <c r="H769" s="1" t="s">
        <v>41</v>
      </c>
      <c r="I769" s="1" t="s">
        <v>2809</v>
      </c>
      <c r="J769" s="1" t="s">
        <v>256</v>
      </c>
      <c r="K769" s="1">
        <v>38237090</v>
      </c>
      <c r="L769" s="6">
        <v>12</v>
      </c>
      <c r="M769" s="1" t="s">
        <v>70</v>
      </c>
      <c r="N769" s="7" t="s">
        <v>67</v>
      </c>
      <c r="O769" s="1" t="s">
        <v>53</v>
      </c>
      <c r="P769" s="8">
        <v>2050</v>
      </c>
      <c r="Q769" s="17">
        <f t="shared" si="77"/>
        <v>24600</v>
      </c>
      <c r="R769" s="9">
        <v>0</v>
      </c>
      <c r="S769" s="9">
        <v>0</v>
      </c>
      <c r="T769" s="9">
        <v>0</v>
      </c>
      <c r="U769" s="10">
        <v>0</v>
      </c>
      <c r="V769" s="1" t="s">
        <v>46</v>
      </c>
      <c r="W769" s="1" t="s">
        <v>257</v>
      </c>
      <c r="X769" s="1">
        <v>4678099</v>
      </c>
      <c r="Y769" s="11">
        <v>41879</v>
      </c>
      <c r="Z769" s="11">
        <v>41881</v>
      </c>
      <c r="AA769" s="9">
        <f t="shared" si="80"/>
        <v>24600</v>
      </c>
      <c r="AB769" s="12">
        <v>60.25</v>
      </c>
      <c r="AC769" s="9">
        <f t="shared" si="78"/>
        <v>1482150</v>
      </c>
      <c r="AD769" s="9">
        <f t="shared" si="79"/>
        <v>1482150</v>
      </c>
      <c r="AE769" s="1" t="s">
        <v>48</v>
      </c>
      <c r="AF769" s="1" t="s">
        <v>53</v>
      </c>
      <c r="AG769" s="4">
        <f t="shared" si="75"/>
        <v>24600</v>
      </c>
      <c r="AH769" s="10">
        <v>24585</v>
      </c>
      <c r="AI769" s="10">
        <v>0</v>
      </c>
      <c r="AJ769" s="10">
        <v>0</v>
      </c>
      <c r="AK769" s="10">
        <v>0</v>
      </c>
      <c r="AL769" s="9">
        <f t="shared" si="76"/>
        <v>24585</v>
      </c>
      <c r="AM769" s="1"/>
      <c r="AN769" s="1"/>
      <c r="AO769" s="12" t="e">
        <f>AB769/#REF!</f>
        <v>#REF!</v>
      </c>
      <c r="AP769" s="1" t="s">
        <v>2366</v>
      </c>
      <c r="AQ769" s="11">
        <v>41933</v>
      </c>
      <c r="AR769" s="1" t="s">
        <v>2367</v>
      </c>
      <c r="AS769" s="11">
        <v>41934</v>
      </c>
      <c r="AT769" s="1" t="s">
        <v>49</v>
      </c>
      <c r="AU769" s="1" t="s">
        <v>4171</v>
      </c>
    </row>
    <row r="770" spans="1:47" ht="15" customHeight="1" x14ac:dyDescent="0.25">
      <c r="A770" s="1">
        <v>769</v>
      </c>
      <c r="B770" s="1" t="s">
        <v>1258</v>
      </c>
      <c r="C770" s="1" t="s">
        <v>38</v>
      </c>
      <c r="D770" s="1">
        <v>9103550591</v>
      </c>
      <c r="E770" s="5">
        <v>41887</v>
      </c>
      <c r="F770" s="1" t="s">
        <v>712</v>
      </c>
      <c r="G770" s="1" t="s">
        <v>40</v>
      </c>
      <c r="H770" s="1" t="s">
        <v>41</v>
      </c>
      <c r="I770" s="1" t="s">
        <v>2809</v>
      </c>
      <c r="J770" s="1" t="s">
        <v>2773</v>
      </c>
      <c r="K770" s="1">
        <v>38231200</v>
      </c>
      <c r="L770" s="6">
        <v>19.850000000000001</v>
      </c>
      <c r="M770" s="1" t="s">
        <v>70</v>
      </c>
      <c r="N770" s="7" t="s">
        <v>44</v>
      </c>
      <c r="O770" s="1" t="s">
        <v>53</v>
      </c>
      <c r="P770" s="8">
        <v>1158</v>
      </c>
      <c r="Q770" s="17">
        <f t="shared" si="77"/>
        <v>22986.300000000003</v>
      </c>
      <c r="R770" s="9">
        <v>150</v>
      </c>
      <c r="S770" s="9">
        <v>3.29</v>
      </c>
      <c r="T770" s="9">
        <v>0</v>
      </c>
      <c r="U770" s="10">
        <v>0</v>
      </c>
      <c r="V770" s="1" t="s">
        <v>46</v>
      </c>
      <c r="W770" s="1" t="s">
        <v>72</v>
      </c>
      <c r="X770" s="1">
        <v>4678103</v>
      </c>
      <c r="Y770" s="11">
        <v>41879</v>
      </c>
      <c r="Z770" s="11">
        <v>41881</v>
      </c>
      <c r="AA770" s="9">
        <f t="shared" si="80"/>
        <v>22833.010000000002</v>
      </c>
      <c r="AB770" s="12">
        <v>60.25</v>
      </c>
      <c r="AC770" s="9">
        <f t="shared" si="78"/>
        <v>1384924.5750000002</v>
      </c>
      <c r="AD770" s="9">
        <f t="shared" si="79"/>
        <v>1375688.8525</v>
      </c>
      <c r="AE770" s="1" t="s">
        <v>48</v>
      </c>
      <c r="AF770" s="1" t="s">
        <v>53</v>
      </c>
      <c r="AG770" s="4">
        <f t="shared" ref="AG770:AG833" si="81">Q770</f>
        <v>22986.300000000003</v>
      </c>
      <c r="AH770" s="10">
        <v>22716.3</v>
      </c>
      <c r="AI770" s="10">
        <v>150</v>
      </c>
      <c r="AJ770" s="10">
        <v>3.29</v>
      </c>
      <c r="AK770" s="10">
        <v>0</v>
      </c>
      <c r="AL770" s="9">
        <f t="shared" ref="AL770:AL833" si="82">AH770-(AI770+AJ770+AK770)</f>
        <v>22563.01</v>
      </c>
      <c r="AM770" s="1"/>
      <c r="AN770" s="1"/>
      <c r="AO770" s="12" t="e">
        <f>AB770/#REF!</f>
        <v>#REF!</v>
      </c>
      <c r="AP770" s="1" t="s">
        <v>2368</v>
      </c>
      <c r="AQ770" s="11">
        <v>41892</v>
      </c>
      <c r="AR770" s="1" t="s">
        <v>2369</v>
      </c>
      <c r="AS770" s="11">
        <v>41894</v>
      </c>
      <c r="AT770" s="1" t="s">
        <v>49</v>
      </c>
      <c r="AU770" s="1" t="s">
        <v>4171</v>
      </c>
    </row>
    <row r="771" spans="1:47" ht="15" customHeight="1" x14ac:dyDescent="0.25">
      <c r="A771" s="1">
        <v>770</v>
      </c>
      <c r="B771" s="1" t="s">
        <v>1258</v>
      </c>
      <c r="C771" s="1" t="s">
        <v>38</v>
      </c>
      <c r="D771" s="1">
        <v>9103550592</v>
      </c>
      <c r="E771" s="5">
        <v>41886</v>
      </c>
      <c r="F771" s="1" t="s">
        <v>714</v>
      </c>
      <c r="G771" s="1" t="s">
        <v>40</v>
      </c>
      <c r="H771" s="1" t="s">
        <v>41</v>
      </c>
      <c r="I771" s="1" t="s">
        <v>2809</v>
      </c>
      <c r="J771" s="1" t="s">
        <v>830</v>
      </c>
      <c r="K771" s="1">
        <v>29051700</v>
      </c>
      <c r="L771" s="6">
        <v>24</v>
      </c>
      <c r="M771" s="1" t="s">
        <v>70</v>
      </c>
      <c r="N771" s="7" t="s">
        <v>44</v>
      </c>
      <c r="O771" s="1" t="s">
        <v>53</v>
      </c>
      <c r="P771" s="8">
        <v>1780</v>
      </c>
      <c r="Q771" s="17">
        <f t="shared" si="77"/>
        <v>42720</v>
      </c>
      <c r="R771" s="9">
        <v>80</v>
      </c>
      <c r="S771" s="9">
        <v>6.11</v>
      </c>
      <c r="T771" s="9">
        <v>720</v>
      </c>
      <c r="U771" s="10">
        <v>0</v>
      </c>
      <c r="V771" s="1" t="s">
        <v>46</v>
      </c>
      <c r="W771" s="1" t="s">
        <v>64</v>
      </c>
      <c r="X771" s="1">
        <v>4683159</v>
      </c>
      <c r="Y771" s="11">
        <v>41879</v>
      </c>
      <c r="Z771" s="11">
        <v>41881</v>
      </c>
      <c r="AA771" s="9">
        <f t="shared" si="80"/>
        <v>42633.89</v>
      </c>
      <c r="AB771" s="12">
        <v>60.25</v>
      </c>
      <c r="AC771" s="9">
        <f t="shared" si="78"/>
        <v>2573880</v>
      </c>
      <c r="AD771" s="9">
        <f t="shared" si="79"/>
        <v>2568691.8725000001</v>
      </c>
      <c r="AE771" s="1" t="s">
        <v>48</v>
      </c>
      <c r="AF771" s="1" t="s">
        <v>53</v>
      </c>
      <c r="AG771" s="4">
        <f t="shared" si="81"/>
        <v>42720</v>
      </c>
      <c r="AH771" s="10">
        <v>42569</v>
      </c>
      <c r="AI771" s="10">
        <v>75</v>
      </c>
      <c r="AJ771" s="10">
        <v>8.4600000000000009</v>
      </c>
      <c r="AK771" s="10">
        <v>720</v>
      </c>
      <c r="AL771" s="9">
        <f t="shared" si="82"/>
        <v>41765.54</v>
      </c>
      <c r="AM771" s="1"/>
      <c r="AN771" s="1"/>
      <c r="AO771" s="12" t="e">
        <f>AB771/#REF!</f>
        <v>#REF!</v>
      </c>
      <c r="AP771" s="1" t="s">
        <v>2370</v>
      </c>
      <c r="AQ771" s="11">
        <v>41919</v>
      </c>
      <c r="AR771" s="1" t="s">
        <v>2371</v>
      </c>
      <c r="AS771" s="11">
        <v>41920</v>
      </c>
      <c r="AT771" s="1" t="s">
        <v>49</v>
      </c>
      <c r="AU771" s="1" t="s">
        <v>4171</v>
      </c>
    </row>
    <row r="772" spans="1:47" ht="15" customHeight="1" x14ac:dyDescent="0.25">
      <c r="A772" s="1">
        <v>771</v>
      </c>
      <c r="B772" s="1" t="s">
        <v>1258</v>
      </c>
      <c r="C772" s="1" t="s">
        <v>38</v>
      </c>
      <c r="D772" s="1">
        <v>9103550594</v>
      </c>
      <c r="E772" s="5">
        <v>41889</v>
      </c>
      <c r="F772" s="1" t="s">
        <v>713</v>
      </c>
      <c r="G772" s="1" t="s">
        <v>40</v>
      </c>
      <c r="H772" s="1" t="s">
        <v>41</v>
      </c>
      <c r="I772" s="1" t="s">
        <v>2809</v>
      </c>
      <c r="J772" s="1" t="s">
        <v>187</v>
      </c>
      <c r="K772" s="1">
        <v>38237090</v>
      </c>
      <c r="L772" s="6">
        <v>18</v>
      </c>
      <c r="M772" s="1" t="s">
        <v>70</v>
      </c>
      <c r="N772" s="7" t="s">
        <v>44</v>
      </c>
      <c r="O772" s="1" t="s">
        <v>53</v>
      </c>
      <c r="P772" s="8">
        <v>4094</v>
      </c>
      <c r="Q772" s="17">
        <f t="shared" si="77"/>
        <v>73692</v>
      </c>
      <c r="R772" s="9">
        <v>3403</v>
      </c>
      <c r="S772" s="9">
        <v>10.54</v>
      </c>
      <c r="T772" s="9">
        <v>0</v>
      </c>
      <c r="U772" s="10">
        <v>0</v>
      </c>
      <c r="V772" s="1" t="s">
        <v>46</v>
      </c>
      <c r="W772" s="1" t="s">
        <v>56</v>
      </c>
      <c r="X772" s="1">
        <v>4734589</v>
      </c>
      <c r="Y772" s="11">
        <v>41883</v>
      </c>
      <c r="Z772" s="11">
        <v>41886</v>
      </c>
      <c r="AA772" s="9">
        <f t="shared" si="80"/>
        <v>70278.460000000006</v>
      </c>
      <c r="AB772" s="12">
        <v>60.25</v>
      </c>
      <c r="AC772" s="9">
        <f t="shared" si="78"/>
        <v>4439943</v>
      </c>
      <c r="AD772" s="9">
        <f t="shared" si="79"/>
        <v>4234277.2150000008</v>
      </c>
      <c r="AE772" s="1" t="s">
        <v>48</v>
      </c>
      <c r="AF772" s="1" t="s">
        <v>53</v>
      </c>
      <c r="AG772" s="4">
        <f t="shared" si="81"/>
        <v>73692</v>
      </c>
      <c r="AH772" s="10">
        <v>73692</v>
      </c>
      <c r="AI772" s="10">
        <v>3403</v>
      </c>
      <c r="AJ772" s="10">
        <v>10.54</v>
      </c>
      <c r="AK772" s="10">
        <v>0</v>
      </c>
      <c r="AL772" s="9">
        <f t="shared" si="82"/>
        <v>70278.460000000006</v>
      </c>
      <c r="AM772" s="1"/>
      <c r="AN772" s="1"/>
      <c r="AO772" s="12" t="e">
        <f>AB772/#REF!</f>
        <v>#REF!</v>
      </c>
      <c r="AP772" s="1" t="s">
        <v>2372</v>
      </c>
      <c r="AQ772" s="11">
        <v>41964</v>
      </c>
      <c r="AR772" s="1" t="s">
        <v>2373</v>
      </c>
      <c r="AS772" s="11">
        <v>41967</v>
      </c>
      <c r="AT772" s="1" t="s">
        <v>49</v>
      </c>
      <c r="AU772" s="1" t="s">
        <v>4171</v>
      </c>
    </row>
    <row r="773" spans="1:47" ht="15" customHeight="1" x14ac:dyDescent="0.25">
      <c r="A773" s="1">
        <v>772</v>
      </c>
      <c r="B773" s="1" t="s">
        <v>1258</v>
      </c>
      <c r="C773" s="1" t="s">
        <v>38</v>
      </c>
      <c r="D773" s="1">
        <v>9103550596</v>
      </c>
      <c r="E773" s="5">
        <v>41882</v>
      </c>
      <c r="F773" s="1" t="s">
        <v>704</v>
      </c>
      <c r="G773" s="1" t="s">
        <v>40</v>
      </c>
      <c r="H773" s="1" t="s">
        <v>41</v>
      </c>
      <c r="I773" s="1" t="s">
        <v>2809</v>
      </c>
      <c r="J773" s="1" t="s">
        <v>2374</v>
      </c>
      <c r="K773" s="1">
        <v>38237090</v>
      </c>
      <c r="L773" s="6">
        <v>24</v>
      </c>
      <c r="M773" s="1" t="s">
        <v>70</v>
      </c>
      <c r="N773" s="7" t="s">
        <v>44</v>
      </c>
      <c r="O773" s="1" t="s">
        <v>53</v>
      </c>
      <c r="P773" s="8">
        <v>3478</v>
      </c>
      <c r="Q773" s="17">
        <f t="shared" si="77"/>
        <v>83472</v>
      </c>
      <c r="R773" s="9">
        <v>80</v>
      </c>
      <c r="S773" s="9">
        <v>11.94</v>
      </c>
      <c r="T773" s="9">
        <v>0</v>
      </c>
      <c r="U773" s="10">
        <v>0</v>
      </c>
      <c r="V773" s="1" t="s">
        <v>46</v>
      </c>
      <c r="W773" s="1" t="s">
        <v>54</v>
      </c>
      <c r="X773" s="1">
        <v>4650189</v>
      </c>
      <c r="Y773" s="11">
        <v>41878</v>
      </c>
      <c r="Z773" s="11">
        <v>41880</v>
      </c>
      <c r="AA773" s="9">
        <f t="shared" si="80"/>
        <v>83380.06</v>
      </c>
      <c r="AB773" s="12">
        <v>60.25</v>
      </c>
      <c r="AC773" s="9">
        <f t="shared" si="78"/>
        <v>5029188</v>
      </c>
      <c r="AD773" s="9">
        <f t="shared" si="79"/>
        <v>5023648.6150000002</v>
      </c>
      <c r="AE773" s="1" t="s">
        <v>48</v>
      </c>
      <c r="AF773" s="1" t="s">
        <v>53</v>
      </c>
      <c r="AG773" s="4">
        <f t="shared" si="81"/>
        <v>83472</v>
      </c>
      <c r="AH773" s="10">
        <v>83226</v>
      </c>
      <c r="AI773" s="10">
        <v>75</v>
      </c>
      <c r="AJ773" s="10">
        <v>11.92</v>
      </c>
      <c r="AK773" s="10">
        <v>0</v>
      </c>
      <c r="AL773" s="9">
        <f t="shared" si="82"/>
        <v>83139.08</v>
      </c>
      <c r="AM773" s="1"/>
      <c r="AN773" s="1"/>
      <c r="AO773" s="12" t="e">
        <f>AB773/#REF!</f>
        <v>#REF!</v>
      </c>
      <c r="AP773" s="1" t="s">
        <v>2375</v>
      </c>
      <c r="AQ773" s="11">
        <v>41905</v>
      </c>
      <c r="AR773" s="1" t="s">
        <v>2376</v>
      </c>
      <c r="AS773" s="11">
        <v>41906</v>
      </c>
      <c r="AT773" s="1" t="s">
        <v>49</v>
      </c>
      <c r="AU773" s="1" t="s">
        <v>4171</v>
      </c>
    </row>
    <row r="774" spans="1:47" ht="15" customHeight="1" x14ac:dyDescent="0.25">
      <c r="A774" s="1">
        <v>773</v>
      </c>
      <c r="B774" s="1" t="s">
        <v>1258</v>
      </c>
      <c r="C774" s="1" t="s">
        <v>38</v>
      </c>
      <c r="D774" s="1">
        <v>9103550597</v>
      </c>
      <c r="E774" s="5">
        <v>41893</v>
      </c>
      <c r="F774" s="1" t="s">
        <v>2980</v>
      </c>
      <c r="G774" s="1" t="s">
        <v>40</v>
      </c>
      <c r="H774" s="1" t="s">
        <v>41</v>
      </c>
      <c r="I774" s="1" t="s">
        <v>2809</v>
      </c>
      <c r="J774" s="1" t="s">
        <v>142</v>
      </c>
      <c r="K774" s="1">
        <v>38237090</v>
      </c>
      <c r="L774" s="6">
        <v>144</v>
      </c>
      <c r="M774" s="1" t="s">
        <v>70</v>
      </c>
      <c r="N774" s="7" t="s">
        <v>52</v>
      </c>
      <c r="O774" s="1" t="s">
        <v>53</v>
      </c>
      <c r="P774" s="8">
        <v>1525</v>
      </c>
      <c r="Q774" s="17">
        <f t="shared" si="77"/>
        <v>219600</v>
      </c>
      <c r="R774" s="9">
        <v>8160</v>
      </c>
      <c r="S774" s="9">
        <v>0</v>
      </c>
      <c r="T774" s="9">
        <v>2196</v>
      </c>
      <c r="U774" s="10">
        <v>0</v>
      </c>
      <c r="V774" s="1" t="s">
        <v>46</v>
      </c>
      <c r="W774" s="1" t="s">
        <v>143</v>
      </c>
      <c r="X774" s="1">
        <v>4731334</v>
      </c>
      <c r="Y774" s="11">
        <v>41883</v>
      </c>
      <c r="Z774" s="11">
        <v>41886</v>
      </c>
      <c r="AA774" s="9">
        <f t="shared" si="80"/>
        <v>211440</v>
      </c>
      <c r="AB774" s="12">
        <v>60.25</v>
      </c>
      <c r="AC774" s="9">
        <f t="shared" si="78"/>
        <v>13230900</v>
      </c>
      <c r="AD774" s="9">
        <f t="shared" si="79"/>
        <v>12739260</v>
      </c>
      <c r="AE774" s="1" t="s">
        <v>48</v>
      </c>
      <c r="AF774" s="1" t="s">
        <v>53</v>
      </c>
      <c r="AG774" s="4">
        <f t="shared" si="81"/>
        <v>219600</v>
      </c>
      <c r="AH774" s="10">
        <v>219585</v>
      </c>
      <c r="AI774" s="10">
        <v>8256</v>
      </c>
      <c r="AJ774" s="10">
        <v>0</v>
      </c>
      <c r="AK774" s="10">
        <v>2196</v>
      </c>
      <c r="AL774" s="9">
        <f t="shared" si="82"/>
        <v>209133</v>
      </c>
      <c r="AM774" s="1"/>
      <c r="AN774" s="1"/>
      <c r="AO774" s="12" t="e">
        <f>AB774/#REF!</f>
        <v>#REF!</v>
      </c>
      <c r="AP774" s="1"/>
      <c r="AQ774" s="11">
        <v>41919</v>
      </c>
      <c r="AR774" s="1" t="s">
        <v>3348</v>
      </c>
      <c r="AS774" s="11">
        <v>41920</v>
      </c>
      <c r="AT774" s="1" t="s">
        <v>49</v>
      </c>
      <c r="AU774" s="1" t="s">
        <v>4171</v>
      </c>
    </row>
    <row r="775" spans="1:47" ht="15" customHeight="1" x14ac:dyDescent="0.25">
      <c r="A775" s="1">
        <v>774</v>
      </c>
      <c r="B775" s="1" t="s">
        <v>1258</v>
      </c>
      <c r="C775" s="1" t="s">
        <v>38</v>
      </c>
      <c r="D775" s="1">
        <v>9103550599</v>
      </c>
      <c r="E775" s="5">
        <v>41889</v>
      </c>
      <c r="F775" s="1" t="s">
        <v>707</v>
      </c>
      <c r="G775" s="1" t="s">
        <v>40</v>
      </c>
      <c r="H775" s="1" t="s">
        <v>41</v>
      </c>
      <c r="I775" s="1" t="s">
        <v>2809</v>
      </c>
      <c r="J775" s="1" t="s">
        <v>187</v>
      </c>
      <c r="K775" s="1">
        <v>38237090</v>
      </c>
      <c r="L775" s="6">
        <v>18</v>
      </c>
      <c r="M775" s="1" t="s">
        <v>70</v>
      </c>
      <c r="N775" s="7" t="s">
        <v>44</v>
      </c>
      <c r="O775" s="1" t="s">
        <v>53</v>
      </c>
      <c r="P775" s="8">
        <v>4094</v>
      </c>
      <c r="Q775" s="17">
        <f t="shared" si="77"/>
        <v>73692</v>
      </c>
      <c r="R775" s="9">
        <v>3450</v>
      </c>
      <c r="S775" s="9">
        <v>10.54</v>
      </c>
      <c r="T775" s="9">
        <v>0</v>
      </c>
      <c r="U775" s="10">
        <v>0</v>
      </c>
      <c r="V775" s="1" t="s">
        <v>46</v>
      </c>
      <c r="W775" s="1" t="s">
        <v>56</v>
      </c>
      <c r="X775" s="1">
        <v>4650188</v>
      </c>
      <c r="Y775" s="11">
        <v>41878</v>
      </c>
      <c r="Z775" s="11">
        <v>41881</v>
      </c>
      <c r="AA775" s="9">
        <f t="shared" si="80"/>
        <v>70231.460000000006</v>
      </c>
      <c r="AB775" s="12">
        <v>60.25</v>
      </c>
      <c r="AC775" s="9">
        <f t="shared" si="78"/>
        <v>4439943</v>
      </c>
      <c r="AD775" s="9">
        <f t="shared" si="79"/>
        <v>4231445.4650000008</v>
      </c>
      <c r="AE775" s="1" t="s">
        <v>48</v>
      </c>
      <c r="AF775" s="1" t="s">
        <v>53</v>
      </c>
      <c r="AG775" s="4">
        <f t="shared" si="81"/>
        <v>73692</v>
      </c>
      <c r="AH775" s="10">
        <v>73692</v>
      </c>
      <c r="AI775" s="10">
        <v>3403</v>
      </c>
      <c r="AJ775" s="10">
        <v>10.54</v>
      </c>
      <c r="AK775" s="10">
        <v>0</v>
      </c>
      <c r="AL775" s="9">
        <f t="shared" si="82"/>
        <v>70278.460000000006</v>
      </c>
      <c r="AM775" s="1"/>
      <c r="AN775" s="1"/>
      <c r="AO775" s="12" t="e">
        <f>AB775/#REF!</f>
        <v>#REF!</v>
      </c>
      <c r="AP775" s="1" t="s">
        <v>2377</v>
      </c>
      <c r="AQ775" s="11">
        <v>41964</v>
      </c>
      <c r="AR775" s="1" t="s">
        <v>2378</v>
      </c>
      <c r="AS775" s="11">
        <v>41967</v>
      </c>
      <c r="AT775" s="1" t="s">
        <v>49</v>
      </c>
      <c r="AU775" s="1" t="s">
        <v>4171</v>
      </c>
    </row>
    <row r="776" spans="1:47" ht="15" customHeight="1" x14ac:dyDescent="0.25">
      <c r="A776" s="1">
        <v>775</v>
      </c>
      <c r="B776" s="1" t="s">
        <v>1258</v>
      </c>
      <c r="C776" s="1" t="s">
        <v>38</v>
      </c>
      <c r="D776" s="1">
        <v>9103550600</v>
      </c>
      <c r="E776" s="5">
        <v>41907</v>
      </c>
      <c r="F776" s="1" t="s">
        <v>2979</v>
      </c>
      <c r="G776" s="1" t="s">
        <v>40</v>
      </c>
      <c r="H776" s="1" t="s">
        <v>41</v>
      </c>
      <c r="I776" s="1" t="s">
        <v>2809</v>
      </c>
      <c r="J776" s="1" t="s">
        <v>187</v>
      </c>
      <c r="K776" s="1">
        <v>38237090</v>
      </c>
      <c r="L776" s="6">
        <v>36.28</v>
      </c>
      <c r="M776" s="1" t="s">
        <v>70</v>
      </c>
      <c r="N776" s="7" t="s">
        <v>44</v>
      </c>
      <c r="O776" s="1" t="s">
        <v>53</v>
      </c>
      <c r="P776" s="8">
        <v>1758</v>
      </c>
      <c r="Q776" s="17">
        <f t="shared" si="77"/>
        <v>63780.240000000005</v>
      </c>
      <c r="R776" s="9">
        <v>4432</v>
      </c>
      <c r="S776" s="9">
        <v>9.1199999999999992</v>
      </c>
      <c r="T776" s="9">
        <v>0</v>
      </c>
      <c r="U776" s="10">
        <v>0</v>
      </c>
      <c r="V776" s="1" t="s">
        <v>46</v>
      </c>
      <c r="W776" s="1" t="s">
        <v>56</v>
      </c>
      <c r="X776" s="1">
        <v>4775556</v>
      </c>
      <c r="Y776" s="11">
        <v>41884</v>
      </c>
      <c r="Z776" s="11">
        <v>41886</v>
      </c>
      <c r="AA776" s="9">
        <f t="shared" si="80"/>
        <v>59339.12</v>
      </c>
      <c r="AB776" s="12">
        <v>60.25</v>
      </c>
      <c r="AC776" s="9">
        <f t="shared" si="78"/>
        <v>3842759.4600000004</v>
      </c>
      <c r="AD776" s="9">
        <f t="shared" si="79"/>
        <v>3575181.98</v>
      </c>
      <c r="AE776" s="1" t="s">
        <v>48</v>
      </c>
      <c r="AF776" s="1" t="s">
        <v>53</v>
      </c>
      <c r="AG776" s="4">
        <f t="shared" si="81"/>
        <v>63780.240000000005</v>
      </c>
      <c r="AH776" s="10">
        <v>63780.24</v>
      </c>
      <c r="AI776" s="10">
        <v>4342</v>
      </c>
      <c r="AJ776" s="10">
        <v>9.1199999999999992</v>
      </c>
      <c r="AK776" s="10">
        <v>0</v>
      </c>
      <c r="AL776" s="9">
        <f t="shared" si="82"/>
        <v>59429.119999999995</v>
      </c>
      <c r="AM776" s="1"/>
      <c r="AN776" s="1"/>
      <c r="AO776" s="12" t="e">
        <f>AB776/#REF!</f>
        <v>#REF!</v>
      </c>
      <c r="AP776" s="1"/>
      <c r="AQ776" s="85">
        <v>41964</v>
      </c>
      <c r="AR776" s="1" t="s">
        <v>3313</v>
      </c>
      <c r="AS776" s="11">
        <v>41967</v>
      </c>
      <c r="AT776" s="1" t="s">
        <v>49</v>
      </c>
      <c r="AU776" s="1" t="s">
        <v>4171</v>
      </c>
    </row>
    <row r="777" spans="1:47" ht="15" customHeight="1" x14ac:dyDescent="0.25">
      <c r="A777" s="1">
        <v>776</v>
      </c>
      <c r="B777" s="1" t="s">
        <v>1258</v>
      </c>
      <c r="C777" s="1" t="s">
        <v>38</v>
      </c>
      <c r="D777" s="1">
        <v>9103550601</v>
      </c>
      <c r="E777" s="5">
        <v>41890</v>
      </c>
      <c r="F777" s="1" t="s">
        <v>2978</v>
      </c>
      <c r="G777" s="1" t="s">
        <v>40</v>
      </c>
      <c r="H777" s="1" t="s">
        <v>41</v>
      </c>
      <c r="I777" s="1" t="s">
        <v>2809</v>
      </c>
      <c r="J777" s="1" t="s">
        <v>919</v>
      </c>
      <c r="K777" s="1">
        <v>38237090</v>
      </c>
      <c r="L777" s="6">
        <v>44</v>
      </c>
      <c r="M777" s="1" t="s">
        <v>70</v>
      </c>
      <c r="N777" s="7" t="s">
        <v>52</v>
      </c>
      <c r="O777" s="1" t="s">
        <v>53</v>
      </c>
      <c r="P777" s="8">
        <v>1600</v>
      </c>
      <c r="Q777" s="17">
        <f t="shared" si="77"/>
        <v>70400</v>
      </c>
      <c r="R777" s="9">
        <v>3600</v>
      </c>
      <c r="S777" s="9">
        <v>0</v>
      </c>
      <c r="T777" s="9">
        <v>0</v>
      </c>
      <c r="U777" s="10">
        <v>0</v>
      </c>
      <c r="V777" s="1" t="s">
        <v>46</v>
      </c>
      <c r="W777" s="1" t="s">
        <v>243</v>
      </c>
      <c r="X777" s="1">
        <v>4776822</v>
      </c>
      <c r="Y777" s="11">
        <v>41884</v>
      </c>
      <c r="Z777" s="11">
        <v>41886</v>
      </c>
      <c r="AA777" s="9">
        <f t="shared" si="80"/>
        <v>66800</v>
      </c>
      <c r="AB777" s="12">
        <v>60.25</v>
      </c>
      <c r="AC777" s="9">
        <f t="shared" si="78"/>
        <v>4241600</v>
      </c>
      <c r="AD777" s="9">
        <f t="shared" si="79"/>
        <v>4024700</v>
      </c>
      <c r="AE777" s="1" t="s">
        <v>48</v>
      </c>
      <c r="AF777" s="1" t="s">
        <v>53</v>
      </c>
      <c r="AG777" s="4">
        <f t="shared" si="81"/>
        <v>70400</v>
      </c>
      <c r="AH777" s="10">
        <v>70277</v>
      </c>
      <c r="AI777" s="10">
        <v>3400</v>
      </c>
      <c r="AJ777" s="10">
        <v>0</v>
      </c>
      <c r="AK777" s="10">
        <v>0</v>
      </c>
      <c r="AL777" s="9">
        <f t="shared" si="82"/>
        <v>66877</v>
      </c>
      <c r="AM777" s="1"/>
      <c r="AN777" s="1"/>
      <c r="AO777" s="12" t="e">
        <f>AB777/#REF!</f>
        <v>#REF!</v>
      </c>
      <c r="AP777" s="1"/>
      <c r="AQ777" s="11">
        <v>42003</v>
      </c>
      <c r="AR777" s="1" t="s">
        <v>3349</v>
      </c>
      <c r="AS777" s="11">
        <v>42004</v>
      </c>
      <c r="AT777" s="1" t="s">
        <v>49</v>
      </c>
      <c r="AU777" s="1" t="s">
        <v>4171</v>
      </c>
    </row>
    <row r="778" spans="1:47" ht="15" customHeight="1" x14ac:dyDescent="0.25">
      <c r="A778" s="1">
        <v>777</v>
      </c>
      <c r="B778" s="1" t="s">
        <v>1258</v>
      </c>
      <c r="C778" s="1" t="s">
        <v>38</v>
      </c>
      <c r="D778" s="1">
        <v>9103550602</v>
      </c>
      <c r="E778" s="5">
        <v>41890</v>
      </c>
      <c r="F778" s="1" t="s">
        <v>716</v>
      </c>
      <c r="G778" s="1" t="s">
        <v>40</v>
      </c>
      <c r="H778" s="1" t="s">
        <v>41</v>
      </c>
      <c r="I778" s="1" t="s">
        <v>2809</v>
      </c>
      <c r="J778" s="1" t="s">
        <v>78</v>
      </c>
      <c r="K778" s="1">
        <v>38237090</v>
      </c>
      <c r="L778" s="6">
        <v>19.23</v>
      </c>
      <c r="M778" s="1" t="s">
        <v>70</v>
      </c>
      <c r="N778" s="7" t="s">
        <v>67</v>
      </c>
      <c r="O778" s="1" t="s">
        <v>53</v>
      </c>
      <c r="P778" s="8">
        <v>1425</v>
      </c>
      <c r="Q778" s="17">
        <f t="shared" si="77"/>
        <v>27402.75</v>
      </c>
      <c r="R778" s="9">
        <v>0</v>
      </c>
      <c r="S778" s="9">
        <v>0</v>
      </c>
      <c r="T778" s="9">
        <v>0</v>
      </c>
      <c r="U778" s="10">
        <v>0</v>
      </c>
      <c r="V778" s="1" t="s">
        <v>46</v>
      </c>
      <c r="W778" s="1" t="s">
        <v>56</v>
      </c>
      <c r="X778" s="1">
        <v>4787843</v>
      </c>
      <c r="Y778" s="11">
        <v>41885</v>
      </c>
      <c r="Z778" s="11">
        <v>41886</v>
      </c>
      <c r="AA778" s="9">
        <f t="shared" si="80"/>
        <v>27402.75</v>
      </c>
      <c r="AB778" s="12">
        <v>60.25</v>
      </c>
      <c r="AC778" s="9">
        <f t="shared" si="78"/>
        <v>1651015.6875</v>
      </c>
      <c r="AD778" s="9">
        <f t="shared" si="79"/>
        <v>1651015.6875</v>
      </c>
      <c r="AE778" s="1" t="s">
        <v>48</v>
      </c>
      <c r="AF778" s="1" t="s">
        <v>53</v>
      </c>
      <c r="AG778" s="4">
        <f t="shared" si="81"/>
        <v>27402.75</v>
      </c>
      <c r="AH778" s="10">
        <v>27377.75</v>
      </c>
      <c r="AI778" s="10">
        <v>0</v>
      </c>
      <c r="AJ778" s="10">
        <v>0</v>
      </c>
      <c r="AK778" s="10">
        <v>0</v>
      </c>
      <c r="AL778" s="9">
        <f t="shared" si="82"/>
        <v>27377.75</v>
      </c>
      <c r="AM778" s="1"/>
      <c r="AN778" s="1"/>
      <c r="AO778" s="12" t="e">
        <f>AB778/#REF!</f>
        <v>#REF!</v>
      </c>
      <c r="AP778" s="1" t="s">
        <v>2379</v>
      </c>
      <c r="AQ778" s="11">
        <v>41921</v>
      </c>
      <c r="AR778" s="1" t="s">
        <v>2380</v>
      </c>
      <c r="AS778" s="11">
        <v>41922</v>
      </c>
      <c r="AT778" s="1" t="s">
        <v>49</v>
      </c>
      <c r="AU778" s="1" t="s">
        <v>4171</v>
      </c>
    </row>
    <row r="779" spans="1:47" ht="15" customHeight="1" x14ac:dyDescent="0.25">
      <c r="A779" s="1">
        <v>778</v>
      </c>
      <c r="B779" s="1" t="s">
        <v>1258</v>
      </c>
      <c r="C779" s="1" t="s">
        <v>38</v>
      </c>
      <c r="D779" s="1">
        <v>9103550603</v>
      </c>
      <c r="E779" s="5">
        <v>41899</v>
      </c>
      <c r="F779" s="1" t="s">
        <v>2977</v>
      </c>
      <c r="G779" s="1" t="s">
        <v>40</v>
      </c>
      <c r="H779" s="1" t="s">
        <v>41</v>
      </c>
      <c r="I779" s="1" t="s">
        <v>2809</v>
      </c>
      <c r="J779" s="1" t="s">
        <v>55</v>
      </c>
      <c r="K779" s="1">
        <v>38237090</v>
      </c>
      <c r="L779" s="6">
        <v>18.579999999999998</v>
      </c>
      <c r="M779" s="1" t="s">
        <v>70</v>
      </c>
      <c r="N779" s="7" t="s">
        <v>44</v>
      </c>
      <c r="O779" s="1" t="s">
        <v>53</v>
      </c>
      <c r="P779" s="8">
        <v>1679</v>
      </c>
      <c r="Q779" s="17">
        <f t="shared" si="77"/>
        <v>31195.819999999996</v>
      </c>
      <c r="R779" s="9">
        <v>4800</v>
      </c>
      <c r="S779" s="9">
        <v>4.46</v>
      </c>
      <c r="T779" s="9">
        <v>0</v>
      </c>
      <c r="U779" s="10">
        <v>0</v>
      </c>
      <c r="V779" s="1" t="s">
        <v>46</v>
      </c>
      <c r="W779" s="1" t="s">
        <v>56</v>
      </c>
      <c r="X779" s="1">
        <v>4795736</v>
      </c>
      <c r="Y779" s="11">
        <v>41885</v>
      </c>
      <c r="Z779" s="11">
        <v>41887</v>
      </c>
      <c r="AA779" s="9">
        <f t="shared" si="80"/>
        <v>26391.359999999997</v>
      </c>
      <c r="AB779" s="12">
        <v>60.25</v>
      </c>
      <c r="AC779" s="9">
        <f t="shared" si="78"/>
        <v>1879548.1549999998</v>
      </c>
      <c r="AD779" s="9">
        <f t="shared" si="79"/>
        <v>1590079.4399999997</v>
      </c>
      <c r="AE779" s="1" t="s">
        <v>51</v>
      </c>
      <c r="AF779" s="1" t="s">
        <v>53</v>
      </c>
      <c r="AG779" s="4">
        <f t="shared" si="81"/>
        <v>31195.819999999996</v>
      </c>
      <c r="AH779" s="10">
        <v>31165</v>
      </c>
      <c r="AI779" s="10">
        <v>4800</v>
      </c>
      <c r="AJ779" s="10">
        <v>4.46</v>
      </c>
      <c r="AK779" s="10">
        <v>0</v>
      </c>
      <c r="AL779" s="9">
        <f t="shared" si="82"/>
        <v>26360.54</v>
      </c>
      <c r="AM779" s="1"/>
      <c r="AN779" s="1"/>
      <c r="AO779" s="12" t="e">
        <f>AB779/#REF!</f>
        <v>#REF!</v>
      </c>
      <c r="AP779" s="1"/>
      <c r="AQ779" s="11">
        <v>41962</v>
      </c>
      <c r="AR779" s="1" t="s">
        <v>3623</v>
      </c>
      <c r="AS779" s="11">
        <v>42017</v>
      </c>
      <c r="AT779" s="1" t="s">
        <v>49</v>
      </c>
      <c r="AU779" s="1" t="s">
        <v>4171</v>
      </c>
    </row>
    <row r="780" spans="1:47" ht="15" customHeight="1" x14ac:dyDescent="0.25">
      <c r="A780" s="1">
        <v>779</v>
      </c>
      <c r="B780" s="1" t="s">
        <v>1258</v>
      </c>
      <c r="C780" s="1" t="s">
        <v>38</v>
      </c>
      <c r="D780" s="1">
        <v>9103550604</v>
      </c>
      <c r="E780" s="5">
        <v>41892</v>
      </c>
      <c r="F780" s="1" t="s">
        <v>719</v>
      </c>
      <c r="G780" s="1" t="s">
        <v>40</v>
      </c>
      <c r="H780" s="1" t="s">
        <v>41</v>
      </c>
      <c r="I780" s="1" t="s">
        <v>2809</v>
      </c>
      <c r="J780" s="1" t="s">
        <v>42</v>
      </c>
      <c r="K780" s="1">
        <v>29051700</v>
      </c>
      <c r="L780" s="6">
        <v>3</v>
      </c>
      <c r="M780" s="1" t="s">
        <v>70</v>
      </c>
      <c r="N780" s="7" t="s">
        <v>44</v>
      </c>
      <c r="O780" s="1" t="s">
        <v>53</v>
      </c>
      <c r="P780" s="8">
        <v>1790</v>
      </c>
      <c r="Q780" s="17">
        <f t="shared" si="77"/>
        <v>5370</v>
      </c>
      <c r="R780" s="9">
        <v>137.6</v>
      </c>
      <c r="S780" s="9">
        <v>0.77</v>
      </c>
      <c r="T780" s="9">
        <v>0</v>
      </c>
      <c r="U780" s="10">
        <v>0</v>
      </c>
      <c r="V780" s="1" t="s">
        <v>46</v>
      </c>
      <c r="W780" s="1" t="s">
        <v>143</v>
      </c>
      <c r="X780" s="1">
        <v>4817749</v>
      </c>
      <c r="Y780" s="11">
        <v>41886</v>
      </c>
      <c r="Z780" s="11">
        <v>41887</v>
      </c>
      <c r="AA780" s="9">
        <f t="shared" si="80"/>
        <v>5231.6299999999992</v>
      </c>
      <c r="AB780" s="12">
        <v>60.25</v>
      </c>
      <c r="AC780" s="9">
        <f t="shared" si="78"/>
        <v>323542.5</v>
      </c>
      <c r="AD780" s="9">
        <f t="shared" si="79"/>
        <v>315205.70749999996</v>
      </c>
      <c r="AE780" s="1" t="s">
        <v>48</v>
      </c>
      <c r="AF780" s="1" t="s">
        <v>53</v>
      </c>
      <c r="AG780" s="4">
        <f t="shared" si="81"/>
        <v>5370</v>
      </c>
      <c r="AH780" s="10">
        <v>5370</v>
      </c>
      <c r="AI780" s="10">
        <v>150.79</v>
      </c>
      <c r="AJ780" s="10">
        <v>0.76</v>
      </c>
      <c r="AK780" s="10">
        <v>0</v>
      </c>
      <c r="AL780" s="9">
        <f t="shared" si="82"/>
        <v>5218.45</v>
      </c>
      <c r="AM780" s="1"/>
      <c r="AN780" s="1"/>
      <c r="AO780" s="12" t="e">
        <f>AB780/#REF!</f>
        <v>#REF!</v>
      </c>
      <c r="AP780" s="1" t="s">
        <v>2381</v>
      </c>
      <c r="AQ780" s="11">
        <v>41906</v>
      </c>
      <c r="AR780" s="1" t="s">
        <v>2382</v>
      </c>
      <c r="AS780" s="11">
        <v>41907</v>
      </c>
      <c r="AT780" s="1" t="s">
        <v>49</v>
      </c>
      <c r="AU780" s="1" t="s">
        <v>4171</v>
      </c>
    </row>
    <row r="781" spans="1:47" ht="15" customHeight="1" x14ac:dyDescent="0.25">
      <c r="A781" s="1">
        <v>780</v>
      </c>
      <c r="B781" s="1" t="s">
        <v>1258</v>
      </c>
      <c r="C781" s="1" t="s">
        <v>38</v>
      </c>
      <c r="D781" s="1">
        <v>9103550604</v>
      </c>
      <c r="E781" s="5">
        <v>41892</v>
      </c>
      <c r="F781" s="1" t="s">
        <v>719</v>
      </c>
      <c r="G781" s="1" t="s">
        <v>40</v>
      </c>
      <c r="H781" s="1" t="s">
        <v>41</v>
      </c>
      <c r="I781" s="1" t="s">
        <v>2809</v>
      </c>
      <c r="J781" s="1" t="s">
        <v>42</v>
      </c>
      <c r="K781" s="1">
        <v>38237090</v>
      </c>
      <c r="L781" s="6">
        <v>12</v>
      </c>
      <c r="M781" s="1" t="s">
        <v>70</v>
      </c>
      <c r="N781" s="7" t="s">
        <v>44</v>
      </c>
      <c r="O781" s="1" t="s">
        <v>53</v>
      </c>
      <c r="P781" s="8">
        <v>1630</v>
      </c>
      <c r="Q781" s="17">
        <f t="shared" si="77"/>
        <v>19560</v>
      </c>
      <c r="R781" s="9">
        <v>550.4</v>
      </c>
      <c r="S781" s="9">
        <v>2.79</v>
      </c>
      <c r="T781" s="9">
        <v>0</v>
      </c>
      <c r="U781" s="10">
        <v>0</v>
      </c>
      <c r="V781" s="1" t="s">
        <v>46</v>
      </c>
      <c r="W781" s="1" t="s">
        <v>143</v>
      </c>
      <c r="X781" s="1">
        <v>4817749</v>
      </c>
      <c r="Y781" s="11">
        <v>41886</v>
      </c>
      <c r="Z781" s="11">
        <v>41887</v>
      </c>
      <c r="AA781" s="9">
        <f t="shared" si="80"/>
        <v>19006.809999999998</v>
      </c>
      <c r="AB781" s="12">
        <v>60.25</v>
      </c>
      <c r="AC781" s="9">
        <f t="shared" si="78"/>
        <v>1178490</v>
      </c>
      <c r="AD781" s="9">
        <f t="shared" si="79"/>
        <v>1145160.3024999998</v>
      </c>
      <c r="AE781" s="1" t="s">
        <v>48</v>
      </c>
      <c r="AF781" s="1" t="s">
        <v>53</v>
      </c>
      <c r="AG781" s="4">
        <f t="shared" si="81"/>
        <v>19560</v>
      </c>
      <c r="AH781" s="10">
        <v>19560</v>
      </c>
      <c r="AI781" s="10">
        <v>549.21</v>
      </c>
      <c r="AJ781" s="10">
        <v>2.8</v>
      </c>
      <c r="AK781" s="10">
        <v>0</v>
      </c>
      <c r="AL781" s="9">
        <f t="shared" si="82"/>
        <v>19007.990000000002</v>
      </c>
      <c r="AM781" s="1"/>
      <c r="AN781" s="1"/>
      <c r="AO781" s="12" t="e">
        <f>AB781/#REF!</f>
        <v>#REF!</v>
      </c>
      <c r="AP781" s="1" t="s">
        <v>2381</v>
      </c>
      <c r="AQ781" s="11">
        <v>41906</v>
      </c>
      <c r="AR781" s="1" t="s">
        <v>2382</v>
      </c>
      <c r="AS781" s="11">
        <v>41907</v>
      </c>
      <c r="AT781" s="1" t="s">
        <v>49</v>
      </c>
      <c r="AU781" s="1" t="s">
        <v>4171</v>
      </c>
    </row>
    <row r="782" spans="1:47" ht="15" customHeight="1" x14ac:dyDescent="0.25">
      <c r="A782" s="1">
        <v>781</v>
      </c>
      <c r="B782" s="1" t="s">
        <v>1258</v>
      </c>
      <c r="C782" s="1" t="s">
        <v>38</v>
      </c>
      <c r="D782" s="1" t="s">
        <v>2974</v>
      </c>
      <c r="E782" s="5">
        <v>41890</v>
      </c>
      <c r="F782" s="1" t="s">
        <v>2975</v>
      </c>
      <c r="G782" s="1" t="s">
        <v>40</v>
      </c>
      <c r="H782" s="1" t="s">
        <v>41</v>
      </c>
      <c r="I782" s="1" t="s">
        <v>2809</v>
      </c>
      <c r="J782" s="1" t="s">
        <v>169</v>
      </c>
      <c r="K782" s="1">
        <v>38231200</v>
      </c>
      <c r="L782" s="6">
        <v>38.81</v>
      </c>
      <c r="M782" s="1" t="s">
        <v>70</v>
      </c>
      <c r="N782" s="7" t="s">
        <v>67</v>
      </c>
      <c r="O782" s="1" t="s">
        <v>53</v>
      </c>
      <c r="P782" s="8">
        <v>1025</v>
      </c>
      <c r="Q782" s="17">
        <f t="shared" si="77"/>
        <v>39780.25</v>
      </c>
      <c r="R782" s="9">
        <v>0</v>
      </c>
      <c r="S782" s="9">
        <v>0</v>
      </c>
      <c r="T782" s="9">
        <v>0</v>
      </c>
      <c r="U782" s="10">
        <v>0</v>
      </c>
      <c r="V782" s="1" t="s">
        <v>46</v>
      </c>
      <c r="W782" s="1" t="s">
        <v>1323</v>
      </c>
      <c r="X782" s="1">
        <v>4803564</v>
      </c>
      <c r="Y782" s="11">
        <v>41885</v>
      </c>
      <c r="Z782" s="11">
        <v>41886</v>
      </c>
      <c r="AA782" s="9">
        <f t="shared" si="80"/>
        <v>39780.25</v>
      </c>
      <c r="AB782" s="12">
        <v>60.25</v>
      </c>
      <c r="AC782" s="9">
        <f t="shared" si="78"/>
        <v>2396760.0625</v>
      </c>
      <c r="AD782" s="9">
        <f t="shared" si="79"/>
        <v>2396760.0625</v>
      </c>
      <c r="AE782" s="1" t="s">
        <v>48</v>
      </c>
      <c r="AF782" s="1" t="s">
        <v>53</v>
      </c>
      <c r="AG782" s="4">
        <f t="shared" si="81"/>
        <v>39780.25</v>
      </c>
      <c r="AH782" s="10">
        <v>39780.75</v>
      </c>
      <c r="AI782" s="10">
        <v>0</v>
      </c>
      <c r="AJ782" s="10">
        <v>0</v>
      </c>
      <c r="AK782" s="10">
        <v>0</v>
      </c>
      <c r="AL782" s="9">
        <f t="shared" si="82"/>
        <v>39780.75</v>
      </c>
      <c r="AM782" s="1"/>
      <c r="AN782" s="1"/>
      <c r="AO782" s="12" t="e">
        <f>AB782/#REF!</f>
        <v>#REF!</v>
      </c>
      <c r="AP782" s="1"/>
      <c r="AQ782" s="11">
        <v>41962</v>
      </c>
      <c r="AR782" s="1" t="s">
        <v>3350</v>
      </c>
      <c r="AS782" s="11">
        <v>41963</v>
      </c>
      <c r="AT782" s="1" t="s">
        <v>49</v>
      </c>
      <c r="AU782" s="1" t="s">
        <v>4171</v>
      </c>
    </row>
    <row r="783" spans="1:47" ht="15" customHeight="1" x14ac:dyDescent="0.25">
      <c r="A783" s="1">
        <v>782</v>
      </c>
      <c r="B783" s="1" t="s">
        <v>1258</v>
      </c>
      <c r="C783" s="1" t="s">
        <v>38</v>
      </c>
      <c r="D783" s="1" t="s">
        <v>2974</v>
      </c>
      <c r="E783" s="5">
        <v>41890</v>
      </c>
      <c r="F783" s="1" t="s">
        <v>2976</v>
      </c>
      <c r="G783" s="1" t="s">
        <v>40</v>
      </c>
      <c r="H783" s="1" t="s">
        <v>41</v>
      </c>
      <c r="I783" s="1" t="s">
        <v>2809</v>
      </c>
      <c r="J783" s="1" t="s">
        <v>169</v>
      </c>
      <c r="K783" s="1">
        <v>38231200</v>
      </c>
      <c r="L783" s="6">
        <v>59.49</v>
      </c>
      <c r="M783" s="1" t="s">
        <v>70</v>
      </c>
      <c r="N783" s="7" t="s">
        <v>67</v>
      </c>
      <c r="O783" s="1" t="s">
        <v>53</v>
      </c>
      <c r="P783" s="8">
        <v>1025</v>
      </c>
      <c r="Q783" s="17">
        <f t="shared" si="77"/>
        <v>60977.25</v>
      </c>
      <c r="R783" s="9">
        <v>0</v>
      </c>
      <c r="S783" s="9">
        <v>0</v>
      </c>
      <c r="T783" s="9">
        <v>0</v>
      </c>
      <c r="U783" s="10">
        <v>0</v>
      </c>
      <c r="V783" s="1" t="s">
        <v>46</v>
      </c>
      <c r="W783" s="1" t="s">
        <v>1323</v>
      </c>
      <c r="X783" s="1">
        <v>4817747</v>
      </c>
      <c r="Y783" s="11">
        <v>41886</v>
      </c>
      <c r="Z783" s="11">
        <v>41887</v>
      </c>
      <c r="AA783" s="9">
        <f t="shared" si="80"/>
        <v>60977.25</v>
      </c>
      <c r="AB783" s="12">
        <v>60.25</v>
      </c>
      <c r="AC783" s="9">
        <f t="shared" si="78"/>
        <v>3673879.3125</v>
      </c>
      <c r="AD783" s="9">
        <f t="shared" si="79"/>
        <v>3673879.3125</v>
      </c>
      <c r="AE783" s="1" t="s">
        <v>48</v>
      </c>
      <c r="AF783" s="1" t="s">
        <v>53</v>
      </c>
      <c r="AG783" s="4">
        <f t="shared" si="81"/>
        <v>60977.25</v>
      </c>
      <c r="AH783" s="10">
        <v>60977.25</v>
      </c>
      <c r="AI783" s="10">
        <v>0</v>
      </c>
      <c r="AJ783" s="10">
        <v>0</v>
      </c>
      <c r="AK783" s="10">
        <v>0</v>
      </c>
      <c r="AL783" s="9">
        <f t="shared" si="82"/>
        <v>60977.25</v>
      </c>
      <c r="AM783" s="1"/>
      <c r="AN783" s="1"/>
      <c r="AO783" s="12" t="e">
        <f>AB783/#REF!</f>
        <v>#REF!</v>
      </c>
      <c r="AP783" s="1"/>
      <c r="AQ783" s="11">
        <v>41962</v>
      </c>
      <c r="AR783" s="1" t="s">
        <v>3351</v>
      </c>
      <c r="AS783" s="11">
        <v>41963</v>
      </c>
      <c r="AT783" s="1" t="s">
        <v>49</v>
      </c>
      <c r="AU783" s="1" t="s">
        <v>4171</v>
      </c>
    </row>
    <row r="784" spans="1:47" ht="15" customHeight="1" x14ac:dyDescent="0.25">
      <c r="A784" s="1">
        <v>783</v>
      </c>
      <c r="B784" s="1" t="s">
        <v>1258</v>
      </c>
      <c r="C784" s="1" t="s">
        <v>38</v>
      </c>
      <c r="D784" s="1">
        <v>9103550607</v>
      </c>
      <c r="E784" s="5">
        <v>41894</v>
      </c>
      <c r="F784" s="1" t="s">
        <v>728</v>
      </c>
      <c r="G784" s="1" t="s">
        <v>40</v>
      </c>
      <c r="H784" s="1" t="s">
        <v>41</v>
      </c>
      <c r="I784" s="1" t="s">
        <v>2809</v>
      </c>
      <c r="J784" s="1" t="s">
        <v>63</v>
      </c>
      <c r="K784" s="1">
        <v>29159090</v>
      </c>
      <c r="L784" s="6">
        <v>20</v>
      </c>
      <c r="M784" s="1" t="s">
        <v>70</v>
      </c>
      <c r="N784" s="7" t="s">
        <v>52</v>
      </c>
      <c r="O784" s="1" t="s">
        <v>53</v>
      </c>
      <c r="P784" s="8">
        <v>3600</v>
      </c>
      <c r="Q784" s="17">
        <f t="shared" si="77"/>
        <v>72000</v>
      </c>
      <c r="R784" s="9">
        <v>200</v>
      </c>
      <c r="S784" s="9">
        <v>0</v>
      </c>
      <c r="T784" s="9">
        <v>0</v>
      </c>
      <c r="U784" s="10">
        <v>0</v>
      </c>
      <c r="V784" s="1" t="s">
        <v>46</v>
      </c>
      <c r="W784" s="1" t="s">
        <v>75</v>
      </c>
      <c r="X784" s="1">
        <v>4818856</v>
      </c>
      <c r="Y784" s="11">
        <v>41886</v>
      </c>
      <c r="Z784" s="11">
        <v>41887</v>
      </c>
      <c r="AA784" s="9">
        <f t="shared" si="80"/>
        <v>71800</v>
      </c>
      <c r="AB784" s="12">
        <v>60.25</v>
      </c>
      <c r="AC784" s="9">
        <f t="shared" si="78"/>
        <v>4338000</v>
      </c>
      <c r="AD784" s="9">
        <f t="shared" si="79"/>
        <v>4325950</v>
      </c>
      <c r="AE784" s="1" t="s">
        <v>51</v>
      </c>
      <c r="AF784" s="1" t="s">
        <v>53</v>
      </c>
      <c r="AG784" s="4">
        <f t="shared" si="81"/>
        <v>72000</v>
      </c>
      <c r="AH784" s="10">
        <v>71959</v>
      </c>
      <c r="AI784" s="10">
        <v>235</v>
      </c>
      <c r="AJ784" s="10">
        <v>0</v>
      </c>
      <c r="AK784" s="10">
        <v>0</v>
      </c>
      <c r="AL784" s="9">
        <f t="shared" si="82"/>
        <v>71724</v>
      </c>
      <c r="AM784" s="1"/>
      <c r="AN784" s="1"/>
      <c r="AO784" s="12" t="e">
        <f>AB784/#REF!</f>
        <v>#REF!</v>
      </c>
      <c r="AP784" s="1" t="s">
        <v>2383</v>
      </c>
      <c r="AQ784" s="11">
        <v>41926</v>
      </c>
      <c r="AR784" s="1" t="s">
        <v>2384</v>
      </c>
      <c r="AS784" s="11">
        <v>41975</v>
      </c>
      <c r="AT784" s="1" t="s">
        <v>49</v>
      </c>
      <c r="AU784" s="1" t="s">
        <v>4171</v>
      </c>
    </row>
    <row r="785" spans="1:47" ht="15" customHeight="1" x14ac:dyDescent="0.25">
      <c r="A785" s="1">
        <v>784</v>
      </c>
      <c r="B785" s="1" t="s">
        <v>1258</v>
      </c>
      <c r="C785" s="1" t="s">
        <v>38</v>
      </c>
      <c r="D785" s="1">
        <v>9103550608</v>
      </c>
      <c r="E785" s="5">
        <v>41889</v>
      </c>
      <c r="F785" s="1" t="s">
        <v>717</v>
      </c>
      <c r="G785" s="1" t="s">
        <v>40</v>
      </c>
      <c r="H785" s="1" t="s">
        <v>41</v>
      </c>
      <c r="I785" s="1" t="s">
        <v>2809</v>
      </c>
      <c r="J785" s="1" t="s">
        <v>76</v>
      </c>
      <c r="K785" s="1">
        <v>38237090</v>
      </c>
      <c r="L785" s="6">
        <v>15</v>
      </c>
      <c r="M785" s="1" t="s">
        <v>70</v>
      </c>
      <c r="N785" s="7" t="s">
        <v>44</v>
      </c>
      <c r="O785" s="1" t="s">
        <v>53</v>
      </c>
      <c r="P785" s="8">
        <v>1575</v>
      </c>
      <c r="Q785" s="17">
        <f t="shared" si="77"/>
        <v>23625</v>
      </c>
      <c r="R785" s="9">
        <v>900</v>
      </c>
      <c r="S785" s="9">
        <v>3.38</v>
      </c>
      <c r="T785" s="9">
        <v>0</v>
      </c>
      <c r="U785" s="10">
        <v>0</v>
      </c>
      <c r="V785" s="1" t="s">
        <v>46</v>
      </c>
      <c r="W785" s="1" t="s">
        <v>77</v>
      </c>
      <c r="X785" s="1">
        <v>4822059</v>
      </c>
      <c r="Y785" s="11">
        <v>41886</v>
      </c>
      <c r="Z785" s="11">
        <v>41887</v>
      </c>
      <c r="AA785" s="9">
        <f t="shared" si="80"/>
        <v>22721.62</v>
      </c>
      <c r="AB785" s="12">
        <v>60.25</v>
      </c>
      <c r="AC785" s="9">
        <f t="shared" si="78"/>
        <v>1423406.25</v>
      </c>
      <c r="AD785" s="9">
        <f t="shared" si="79"/>
        <v>1368977.605</v>
      </c>
      <c r="AE785" s="1" t="s">
        <v>48</v>
      </c>
      <c r="AF785" s="1" t="s">
        <v>53</v>
      </c>
      <c r="AG785" s="4">
        <f t="shared" si="81"/>
        <v>23625</v>
      </c>
      <c r="AH785" s="10">
        <v>23625</v>
      </c>
      <c r="AI785" s="10">
        <v>897</v>
      </c>
      <c r="AJ785" s="10">
        <v>3.38</v>
      </c>
      <c r="AK785" s="10">
        <v>0</v>
      </c>
      <c r="AL785" s="9">
        <f t="shared" si="82"/>
        <v>22724.62</v>
      </c>
      <c r="AM785" s="1"/>
      <c r="AN785" s="1"/>
      <c r="AO785" s="12" t="e">
        <f>AB785/#REF!</f>
        <v>#REF!</v>
      </c>
      <c r="AP785" s="1" t="s">
        <v>2385</v>
      </c>
      <c r="AQ785" s="11">
        <v>42051</v>
      </c>
      <c r="AR785" s="1" t="s">
        <v>2386</v>
      </c>
      <c r="AS785" s="11">
        <v>42053</v>
      </c>
      <c r="AT785" s="1" t="s">
        <v>49</v>
      </c>
      <c r="AU785" s="1" t="s">
        <v>4171</v>
      </c>
    </row>
    <row r="786" spans="1:47" ht="15" customHeight="1" x14ac:dyDescent="0.25">
      <c r="A786" s="1">
        <v>785</v>
      </c>
      <c r="B786" s="1" t="s">
        <v>1258</v>
      </c>
      <c r="C786" s="1" t="s">
        <v>38</v>
      </c>
      <c r="D786" s="1">
        <v>9103550609</v>
      </c>
      <c r="E786" s="5">
        <v>41894</v>
      </c>
      <c r="F786" s="1" t="s">
        <v>718</v>
      </c>
      <c r="G786" s="1" t="s">
        <v>40</v>
      </c>
      <c r="H786" s="1" t="s">
        <v>41</v>
      </c>
      <c r="I786" s="1" t="s">
        <v>2809</v>
      </c>
      <c r="J786" s="1" t="s">
        <v>187</v>
      </c>
      <c r="K786" s="1">
        <v>38237090</v>
      </c>
      <c r="L786" s="6">
        <v>90</v>
      </c>
      <c r="M786" s="1" t="s">
        <v>70</v>
      </c>
      <c r="N786" s="7" t="s">
        <v>44</v>
      </c>
      <c r="O786" s="1" t="s">
        <v>53</v>
      </c>
      <c r="P786" s="8">
        <v>1704</v>
      </c>
      <c r="Q786" s="17">
        <f t="shared" si="77"/>
        <v>153360</v>
      </c>
      <c r="R786" s="9">
        <v>21650</v>
      </c>
      <c r="S786" s="9">
        <v>21.93</v>
      </c>
      <c r="T786" s="9">
        <v>0</v>
      </c>
      <c r="U786" s="10">
        <v>0</v>
      </c>
      <c r="V786" s="1" t="s">
        <v>46</v>
      </c>
      <c r="W786" s="1" t="s">
        <v>56</v>
      </c>
      <c r="X786" s="1">
        <v>4822832</v>
      </c>
      <c r="Y786" s="11">
        <v>41886</v>
      </c>
      <c r="Z786" s="11">
        <v>41888</v>
      </c>
      <c r="AA786" s="9">
        <f t="shared" si="80"/>
        <v>131688.07</v>
      </c>
      <c r="AB786" s="12">
        <v>60.25</v>
      </c>
      <c r="AC786" s="9">
        <f t="shared" si="78"/>
        <v>9239940</v>
      </c>
      <c r="AD786" s="9">
        <f t="shared" si="79"/>
        <v>7934206.2175000003</v>
      </c>
      <c r="AE786" s="1" t="s">
        <v>48</v>
      </c>
      <c r="AF786" s="1" t="s">
        <v>53</v>
      </c>
      <c r="AG786" s="4">
        <f t="shared" si="81"/>
        <v>153360</v>
      </c>
      <c r="AH786" s="10">
        <v>153360</v>
      </c>
      <c r="AI786" s="10">
        <v>20515</v>
      </c>
      <c r="AJ786" s="10">
        <v>21.93</v>
      </c>
      <c r="AK786" s="10">
        <v>0</v>
      </c>
      <c r="AL786" s="9">
        <f t="shared" si="82"/>
        <v>132823.07</v>
      </c>
      <c r="AM786" s="1"/>
      <c r="AN786" s="1"/>
      <c r="AO786" s="12" t="e">
        <f>AB786/#REF!</f>
        <v>#REF!</v>
      </c>
      <c r="AP786" s="1" t="s">
        <v>2387</v>
      </c>
      <c r="AQ786" s="11">
        <v>41964</v>
      </c>
      <c r="AR786" s="1" t="s">
        <v>2388</v>
      </c>
      <c r="AS786" s="11">
        <v>41967</v>
      </c>
      <c r="AT786" s="1" t="s">
        <v>49</v>
      </c>
      <c r="AU786" s="1" t="s">
        <v>4171</v>
      </c>
    </row>
    <row r="787" spans="1:47" ht="15" customHeight="1" x14ac:dyDescent="0.25">
      <c r="A787" s="1">
        <v>785</v>
      </c>
      <c r="B787" s="1" t="s">
        <v>1258</v>
      </c>
      <c r="C787" s="1" t="s">
        <v>38</v>
      </c>
      <c r="D787" s="1">
        <v>9103550610</v>
      </c>
      <c r="E787" s="5">
        <v>41900</v>
      </c>
      <c r="F787" s="1" t="s">
        <v>4345</v>
      </c>
      <c r="G787" s="1" t="s">
        <v>40</v>
      </c>
      <c r="H787" s="1" t="s">
        <v>41</v>
      </c>
      <c r="I787" s="1" t="s">
        <v>2809</v>
      </c>
      <c r="J787" s="1" t="s">
        <v>63</v>
      </c>
      <c r="K787" s="1"/>
      <c r="L787" s="6">
        <v>19.600000000000001</v>
      </c>
      <c r="M787" s="1" t="s">
        <v>70</v>
      </c>
      <c r="N787" s="7" t="s">
        <v>44</v>
      </c>
      <c r="O787" s="1" t="s">
        <v>53</v>
      </c>
      <c r="P787" s="8">
        <v>2570</v>
      </c>
      <c r="Q787" s="17">
        <f t="shared" si="77"/>
        <v>50372.000000000007</v>
      </c>
      <c r="R787" s="9"/>
      <c r="S787" s="9"/>
      <c r="T787" s="9"/>
      <c r="U787" s="10"/>
      <c r="V787" s="1" t="s">
        <v>46</v>
      </c>
      <c r="W787" s="1" t="s">
        <v>64</v>
      </c>
      <c r="X787" s="1">
        <v>4824194</v>
      </c>
      <c r="Y787" s="11">
        <v>41886</v>
      </c>
      <c r="Z787" s="11"/>
      <c r="AA787" s="9"/>
      <c r="AB787" s="12"/>
      <c r="AC787" s="9"/>
      <c r="AD787" s="9"/>
      <c r="AE787" s="1"/>
      <c r="AF787" s="1"/>
      <c r="AG787" s="4">
        <f t="shared" si="81"/>
        <v>50372.000000000007</v>
      </c>
      <c r="AH787" s="10">
        <v>50372</v>
      </c>
      <c r="AI787" s="10"/>
      <c r="AJ787" s="10"/>
      <c r="AK787" s="10"/>
      <c r="AL787" s="9">
        <f t="shared" si="82"/>
        <v>50372</v>
      </c>
      <c r="AM787" s="1"/>
      <c r="AN787" s="1"/>
      <c r="AO787" s="12">
        <v>1</v>
      </c>
      <c r="AP787" s="1" t="s">
        <v>4346</v>
      </c>
      <c r="AQ787" s="11">
        <v>41918</v>
      </c>
      <c r="AR787" s="1" t="s">
        <v>4347</v>
      </c>
      <c r="AS787" s="11">
        <v>42210</v>
      </c>
      <c r="AT787" s="1" t="s">
        <v>49</v>
      </c>
      <c r="AU787" s="1" t="s">
        <v>4171</v>
      </c>
    </row>
    <row r="788" spans="1:47" ht="15" customHeight="1" x14ac:dyDescent="0.25">
      <c r="A788" s="1">
        <v>786</v>
      </c>
      <c r="B788" s="1" t="s">
        <v>1258</v>
      </c>
      <c r="C788" s="1" t="s">
        <v>38</v>
      </c>
      <c r="D788" s="1">
        <v>9103550611</v>
      </c>
      <c r="E788" s="5">
        <v>41892</v>
      </c>
      <c r="F788" s="1" t="s">
        <v>730</v>
      </c>
      <c r="G788" s="1" t="s">
        <v>40</v>
      </c>
      <c r="H788" s="1" t="s">
        <v>41</v>
      </c>
      <c r="I788" s="1" t="s">
        <v>2809</v>
      </c>
      <c r="J788" s="1" t="s">
        <v>63</v>
      </c>
      <c r="K788" s="1">
        <v>29161990</v>
      </c>
      <c r="L788" s="6">
        <v>19.579999999999998</v>
      </c>
      <c r="M788" s="1" t="s">
        <v>70</v>
      </c>
      <c r="N788" s="7" t="s">
        <v>44</v>
      </c>
      <c r="O788" s="1" t="s">
        <v>53</v>
      </c>
      <c r="P788" s="8">
        <v>2570</v>
      </c>
      <c r="Q788" s="17">
        <f t="shared" si="77"/>
        <v>50320.6</v>
      </c>
      <c r="R788" s="9">
        <v>560</v>
      </c>
      <c r="S788" s="9">
        <v>7.2</v>
      </c>
      <c r="T788" s="9">
        <v>0</v>
      </c>
      <c r="U788" s="10">
        <v>0</v>
      </c>
      <c r="V788" s="1" t="s">
        <v>46</v>
      </c>
      <c r="W788" s="1" t="s">
        <v>64</v>
      </c>
      <c r="X788" s="1">
        <v>4833718</v>
      </c>
      <c r="Y788" s="11">
        <v>41887</v>
      </c>
      <c r="Z788" s="11">
        <v>41888</v>
      </c>
      <c r="AA788" s="9">
        <f t="shared" si="80"/>
        <v>49753.4</v>
      </c>
      <c r="AB788" s="12">
        <v>60</v>
      </c>
      <c r="AC788" s="9">
        <f t="shared" si="78"/>
        <v>3019236</v>
      </c>
      <c r="AD788" s="9">
        <f t="shared" si="79"/>
        <v>2985204</v>
      </c>
      <c r="AE788" s="1" t="s">
        <v>51</v>
      </c>
      <c r="AF788" s="1" t="s">
        <v>53</v>
      </c>
      <c r="AG788" s="4">
        <f t="shared" si="81"/>
        <v>50320.6</v>
      </c>
      <c r="AH788" s="10">
        <v>50279</v>
      </c>
      <c r="AI788" s="10">
        <v>560</v>
      </c>
      <c r="AJ788" s="10">
        <v>7.2</v>
      </c>
      <c r="AK788" s="10">
        <v>0</v>
      </c>
      <c r="AL788" s="9">
        <f t="shared" si="82"/>
        <v>49711.8</v>
      </c>
      <c r="AM788" s="1"/>
      <c r="AN788" s="1"/>
      <c r="AO788" s="12" t="e">
        <f>AB788/#REF!</f>
        <v>#REF!</v>
      </c>
      <c r="AP788" s="1" t="s">
        <v>2389</v>
      </c>
      <c r="AQ788" s="11">
        <v>41919</v>
      </c>
      <c r="AR788" s="1" t="s">
        <v>2390</v>
      </c>
      <c r="AS788" s="11">
        <v>41652</v>
      </c>
      <c r="AT788" s="1" t="s">
        <v>49</v>
      </c>
      <c r="AU788" s="1" t="s">
        <v>4171</v>
      </c>
    </row>
    <row r="789" spans="1:47" ht="15" customHeight="1" x14ac:dyDescent="0.25">
      <c r="A789" s="1">
        <v>786</v>
      </c>
      <c r="B789" s="1" t="s">
        <v>1258</v>
      </c>
      <c r="C789" s="1" t="s">
        <v>38</v>
      </c>
      <c r="D789" s="1">
        <v>9103550612</v>
      </c>
      <c r="E789" s="5">
        <v>41893</v>
      </c>
      <c r="F789" s="1" t="s">
        <v>4348</v>
      </c>
      <c r="G789" s="1" t="s">
        <v>40</v>
      </c>
      <c r="H789" s="1" t="s">
        <v>41</v>
      </c>
      <c r="I789" s="1" t="s">
        <v>2809</v>
      </c>
      <c r="J789" s="1" t="s">
        <v>4349</v>
      </c>
      <c r="K789" s="1"/>
      <c r="L789" s="6">
        <v>30</v>
      </c>
      <c r="M789" s="1" t="s">
        <v>70</v>
      </c>
      <c r="N789" s="7" t="s">
        <v>67</v>
      </c>
      <c r="O789" s="1" t="s">
        <v>53</v>
      </c>
      <c r="P789" s="8">
        <v>1635</v>
      </c>
      <c r="Q789" s="17">
        <f t="shared" si="77"/>
        <v>49050</v>
      </c>
      <c r="R789" s="9"/>
      <c r="S789" s="9"/>
      <c r="T789" s="9"/>
      <c r="U789" s="10"/>
      <c r="V789" s="1" t="s">
        <v>46</v>
      </c>
      <c r="W789" s="1" t="s">
        <v>4350</v>
      </c>
      <c r="X789" s="1">
        <v>4837683</v>
      </c>
      <c r="Y789" s="11">
        <v>41887</v>
      </c>
      <c r="Z789" s="11"/>
      <c r="AA789" s="9"/>
      <c r="AB789" s="12"/>
      <c r="AC789" s="9"/>
      <c r="AD789" s="9"/>
      <c r="AE789" s="1"/>
      <c r="AF789" s="1" t="s">
        <v>53</v>
      </c>
      <c r="AG789" s="4">
        <f t="shared" si="81"/>
        <v>49050</v>
      </c>
      <c r="AH789" s="9">
        <v>49015</v>
      </c>
      <c r="AI789" s="10"/>
      <c r="AJ789" s="10"/>
      <c r="AK789" s="10"/>
      <c r="AL789" s="9">
        <f t="shared" si="82"/>
        <v>49015</v>
      </c>
      <c r="AM789" s="1"/>
      <c r="AN789" s="1"/>
      <c r="AO789" s="12">
        <v>1</v>
      </c>
      <c r="AP789" s="1" t="s">
        <v>4352</v>
      </c>
      <c r="AQ789" s="11">
        <v>41962</v>
      </c>
      <c r="AR789" s="1" t="s">
        <v>4351</v>
      </c>
      <c r="AS789" s="11">
        <v>41963</v>
      </c>
      <c r="AT789" s="1" t="s">
        <v>49</v>
      </c>
      <c r="AU789" s="1" t="s">
        <v>4171</v>
      </c>
    </row>
    <row r="790" spans="1:47" ht="15" customHeight="1" x14ac:dyDescent="0.25">
      <c r="A790" s="1">
        <v>786</v>
      </c>
      <c r="B790" s="1" t="s">
        <v>1258</v>
      </c>
      <c r="C790" s="1" t="s">
        <v>38</v>
      </c>
      <c r="D790" s="1">
        <v>9103550613</v>
      </c>
      <c r="E790" s="5">
        <v>41887</v>
      </c>
      <c r="F790" s="1" t="s">
        <v>4353</v>
      </c>
      <c r="G790" s="1"/>
      <c r="H790" s="1"/>
      <c r="I790" s="1"/>
      <c r="J790" s="1" t="s">
        <v>1789</v>
      </c>
      <c r="K790" s="1"/>
      <c r="L790" s="6">
        <v>12</v>
      </c>
      <c r="M790" s="1" t="s">
        <v>70</v>
      </c>
      <c r="N790" s="7" t="s">
        <v>44</v>
      </c>
      <c r="O790" s="1" t="s">
        <v>53</v>
      </c>
      <c r="P790" s="8">
        <v>3988</v>
      </c>
      <c r="Q790" s="17">
        <f t="shared" si="77"/>
        <v>47856</v>
      </c>
      <c r="R790" s="9"/>
      <c r="S790" s="9"/>
      <c r="T790" s="9"/>
      <c r="U790" s="10"/>
      <c r="V790" s="1"/>
      <c r="W790" s="1" t="s">
        <v>64</v>
      </c>
      <c r="X790" s="1">
        <v>4839984</v>
      </c>
      <c r="Y790" s="11">
        <v>41887</v>
      </c>
      <c r="Z790" s="11"/>
      <c r="AA790" s="9"/>
      <c r="AB790" s="12"/>
      <c r="AC790" s="9"/>
      <c r="AD790" s="9"/>
      <c r="AE790" s="1"/>
      <c r="AF790" s="1" t="s">
        <v>53</v>
      </c>
      <c r="AG790" s="4">
        <f t="shared" si="81"/>
        <v>47856</v>
      </c>
      <c r="AH790" s="9">
        <v>47821.5</v>
      </c>
      <c r="AI790" s="10"/>
      <c r="AJ790" s="10"/>
      <c r="AK790" s="10"/>
      <c r="AL790" s="9">
        <f t="shared" si="82"/>
        <v>47821.5</v>
      </c>
      <c r="AM790" s="1"/>
      <c r="AN790" s="1"/>
      <c r="AO790" s="12"/>
      <c r="AP790" s="1" t="s">
        <v>4354</v>
      </c>
      <c r="AQ790" s="11">
        <v>41962</v>
      </c>
      <c r="AR790" s="1" t="s">
        <v>4355</v>
      </c>
      <c r="AS790" s="11">
        <v>41963</v>
      </c>
      <c r="AT790" s="1" t="s">
        <v>49</v>
      </c>
      <c r="AU790" s="1" t="s">
        <v>4171</v>
      </c>
    </row>
    <row r="791" spans="1:47" ht="15" customHeight="1" x14ac:dyDescent="0.25">
      <c r="A791" s="1">
        <v>787</v>
      </c>
      <c r="B791" s="1" t="s">
        <v>1258</v>
      </c>
      <c r="C791" s="1" t="s">
        <v>38</v>
      </c>
      <c r="D791" s="1">
        <v>9103550614</v>
      </c>
      <c r="E791" s="5">
        <v>41894</v>
      </c>
      <c r="F791" s="1" t="s">
        <v>723</v>
      </c>
      <c r="G791" s="1" t="s">
        <v>40</v>
      </c>
      <c r="H791" s="1" t="s">
        <v>41</v>
      </c>
      <c r="I791" s="1" t="s">
        <v>2809</v>
      </c>
      <c r="J791" s="1" t="s">
        <v>200</v>
      </c>
      <c r="K791" s="1">
        <v>38231900</v>
      </c>
      <c r="L791" s="6">
        <v>39.07</v>
      </c>
      <c r="M791" s="1" t="s">
        <v>70</v>
      </c>
      <c r="N791" s="7" t="s">
        <v>44</v>
      </c>
      <c r="O791" s="1" t="s">
        <v>53</v>
      </c>
      <c r="P791" s="8">
        <v>1650</v>
      </c>
      <c r="Q791" s="17">
        <f t="shared" si="77"/>
        <v>64465.5</v>
      </c>
      <c r="R791" s="9">
        <v>1800</v>
      </c>
      <c r="S791" s="9">
        <v>9.2200000000000006</v>
      </c>
      <c r="T791" s="9">
        <v>644.66</v>
      </c>
      <c r="U791" s="10">
        <v>0</v>
      </c>
      <c r="V791" s="1" t="s">
        <v>46</v>
      </c>
      <c r="W791" s="1" t="s">
        <v>59</v>
      </c>
      <c r="X791" s="1">
        <v>4843908</v>
      </c>
      <c r="Y791" s="11">
        <v>41887</v>
      </c>
      <c r="Z791" s="11">
        <v>41890</v>
      </c>
      <c r="AA791" s="9">
        <f t="shared" si="80"/>
        <v>62656.28</v>
      </c>
      <c r="AB791" s="12">
        <v>60</v>
      </c>
      <c r="AC791" s="9">
        <f t="shared" si="78"/>
        <v>3867930</v>
      </c>
      <c r="AD791" s="9">
        <f t="shared" si="79"/>
        <v>3759376.8</v>
      </c>
      <c r="AE791" s="1" t="s">
        <v>51</v>
      </c>
      <c r="AF791" s="1" t="s">
        <v>53</v>
      </c>
      <c r="AG791" s="4">
        <f t="shared" si="81"/>
        <v>64465.5</v>
      </c>
      <c r="AH791" s="10">
        <v>64465</v>
      </c>
      <c r="AI791" s="10">
        <v>1800</v>
      </c>
      <c r="AJ791" s="10">
        <v>9.2200000000000006</v>
      </c>
      <c r="AK791" s="10">
        <v>644.66</v>
      </c>
      <c r="AL791" s="9">
        <f t="shared" si="82"/>
        <v>62011.12</v>
      </c>
      <c r="AM791" s="1"/>
      <c r="AN791" s="1"/>
      <c r="AO791" s="12" t="e">
        <f>AB791/#REF!</f>
        <v>#REF!</v>
      </c>
      <c r="AP791" s="1" t="s">
        <v>2391</v>
      </c>
      <c r="AQ791" s="11">
        <v>41926</v>
      </c>
      <c r="AR791" s="1" t="s">
        <v>2392</v>
      </c>
      <c r="AS791" s="11">
        <v>41652</v>
      </c>
      <c r="AT791" s="1" t="s">
        <v>49</v>
      </c>
      <c r="AU791" s="1" t="s">
        <v>4171</v>
      </c>
    </row>
    <row r="792" spans="1:47" ht="15" customHeight="1" x14ac:dyDescent="0.25">
      <c r="A792" s="1">
        <v>788</v>
      </c>
      <c r="B792" s="1" t="s">
        <v>1258</v>
      </c>
      <c r="C792" s="1" t="s">
        <v>38</v>
      </c>
      <c r="D792" s="1">
        <v>9103550615</v>
      </c>
      <c r="E792" s="5">
        <v>41894</v>
      </c>
      <c r="F792" s="1" t="s">
        <v>721</v>
      </c>
      <c r="G792" s="1" t="s">
        <v>40</v>
      </c>
      <c r="H792" s="1" t="s">
        <v>41</v>
      </c>
      <c r="I792" s="1" t="s">
        <v>2809</v>
      </c>
      <c r="J792" s="1" t="s">
        <v>50</v>
      </c>
      <c r="K792" s="1">
        <v>38237090</v>
      </c>
      <c r="L792" s="6">
        <v>92.69</v>
      </c>
      <c r="M792" s="1" t="s">
        <v>70</v>
      </c>
      <c r="N792" s="7" t="s">
        <v>52</v>
      </c>
      <c r="O792" s="1" t="s">
        <v>45</v>
      </c>
      <c r="P792" s="8">
        <v>970</v>
      </c>
      <c r="Q792" s="17">
        <f t="shared" si="77"/>
        <v>89909.3</v>
      </c>
      <c r="R792" s="9">
        <v>3435.11</v>
      </c>
      <c r="S792" s="9">
        <v>0</v>
      </c>
      <c r="T792" s="9">
        <v>0</v>
      </c>
      <c r="U792" s="10">
        <v>0</v>
      </c>
      <c r="V792" s="1" t="s">
        <v>46</v>
      </c>
      <c r="W792" s="1" t="s">
        <v>2657</v>
      </c>
      <c r="X792" s="1">
        <v>4844393</v>
      </c>
      <c r="Y792" s="11">
        <v>41887</v>
      </c>
      <c r="Z792" s="11">
        <v>41890</v>
      </c>
      <c r="AA792" s="9">
        <f t="shared" si="80"/>
        <v>86474.19</v>
      </c>
      <c r="AB792" s="12">
        <v>78.599999999999994</v>
      </c>
      <c r="AC792" s="9">
        <f t="shared" si="78"/>
        <v>7066870.9799999995</v>
      </c>
      <c r="AD792" s="9">
        <f t="shared" si="79"/>
        <v>6796871.3339999998</v>
      </c>
      <c r="AE792" s="1" t="s">
        <v>51</v>
      </c>
      <c r="AF792" s="1" t="s">
        <v>45</v>
      </c>
      <c r="AG792" s="4">
        <f t="shared" si="81"/>
        <v>89909.3</v>
      </c>
      <c r="AH792" s="10">
        <v>89909</v>
      </c>
      <c r="AI792" s="10">
        <v>3596.56</v>
      </c>
      <c r="AJ792" s="10">
        <v>0</v>
      </c>
      <c r="AK792" s="10">
        <v>0</v>
      </c>
      <c r="AL792" s="9">
        <f t="shared" si="82"/>
        <v>86312.44</v>
      </c>
      <c r="AM792" s="1"/>
      <c r="AN792" s="1"/>
      <c r="AO792" s="12" t="e">
        <f>AB792/#REF!</f>
        <v>#REF!</v>
      </c>
      <c r="AP792" s="1" t="s">
        <v>2393</v>
      </c>
      <c r="AQ792" s="11">
        <v>41955</v>
      </c>
      <c r="AR792" s="1" t="s">
        <v>2394</v>
      </c>
      <c r="AS792" s="11">
        <v>41978</v>
      </c>
      <c r="AT792" s="1" t="s">
        <v>49</v>
      </c>
      <c r="AU792" s="1" t="s">
        <v>4171</v>
      </c>
    </row>
    <row r="793" spans="1:47" ht="15" customHeight="1" x14ac:dyDescent="0.25">
      <c r="A793" s="1">
        <v>789</v>
      </c>
      <c r="B793" s="1" t="s">
        <v>1258</v>
      </c>
      <c r="C793" s="1" t="s">
        <v>38</v>
      </c>
      <c r="D793" s="1">
        <v>9103550616</v>
      </c>
      <c r="E793" s="5">
        <v>41904</v>
      </c>
      <c r="F793" s="1" t="s">
        <v>711</v>
      </c>
      <c r="G793" s="1" t="s">
        <v>40</v>
      </c>
      <c r="H793" s="1" t="s">
        <v>41</v>
      </c>
      <c r="I793" s="1" t="s">
        <v>2809</v>
      </c>
      <c r="J793" s="1" t="s">
        <v>187</v>
      </c>
      <c r="K793" s="1">
        <v>38237090</v>
      </c>
      <c r="L793" s="6">
        <v>36</v>
      </c>
      <c r="M793" s="1" t="s">
        <v>70</v>
      </c>
      <c r="N793" s="7" t="s">
        <v>44</v>
      </c>
      <c r="O793" s="1" t="s">
        <v>53</v>
      </c>
      <c r="P793" s="8">
        <v>1704</v>
      </c>
      <c r="Q793" s="17">
        <f t="shared" si="77"/>
        <v>61344</v>
      </c>
      <c r="R793" s="9">
        <v>8660</v>
      </c>
      <c r="S793" s="9">
        <v>8.77</v>
      </c>
      <c r="T793" s="9">
        <v>0</v>
      </c>
      <c r="U793" s="10">
        <v>0</v>
      </c>
      <c r="V793" s="1" t="s">
        <v>46</v>
      </c>
      <c r="W793" s="1" t="s">
        <v>56</v>
      </c>
      <c r="X793" s="1">
        <v>4795727</v>
      </c>
      <c r="Y793" s="11">
        <v>41885</v>
      </c>
      <c r="Z793" s="11">
        <v>41886</v>
      </c>
      <c r="AA793" s="9">
        <f t="shared" si="80"/>
        <v>52675.23</v>
      </c>
      <c r="AB793" s="12">
        <v>60.25</v>
      </c>
      <c r="AC793" s="9">
        <f t="shared" si="78"/>
        <v>3695976</v>
      </c>
      <c r="AD793" s="9">
        <f t="shared" si="79"/>
        <v>3173682.6075000004</v>
      </c>
      <c r="AE793" s="1" t="s">
        <v>48</v>
      </c>
      <c r="AF793" s="1" t="s">
        <v>53</v>
      </c>
      <c r="AG793" s="4">
        <f t="shared" si="81"/>
        <v>61344</v>
      </c>
      <c r="AH793" s="10">
        <v>61344</v>
      </c>
      <c r="AI793" s="10">
        <v>8606</v>
      </c>
      <c r="AJ793" s="10">
        <v>8.77</v>
      </c>
      <c r="AK793" s="10">
        <v>0</v>
      </c>
      <c r="AL793" s="9">
        <f t="shared" si="82"/>
        <v>52729.229999999996</v>
      </c>
      <c r="AM793" s="1"/>
      <c r="AN793" s="1"/>
      <c r="AO793" s="12" t="e">
        <f>AB793/#REF!</f>
        <v>#REF!</v>
      </c>
      <c r="AP793" s="1" t="s">
        <v>2395</v>
      </c>
      <c r="AQ793" s="11">
        <v>41964</v>
      </c>
      <c r="AR793" s="1" t="s">
        <v>2396</v>
      </c>
      <c r="AS793" s="11">
        <v>41967</v>
      </c>
      <c r="AT793" s="1" t="s">
        <v>49</v>
      </c>
      <c r="AU793" s="1" t="s">
        <v>4171</v>
      </c>
    </row>
    <row r="794" spans="1:47" ht="15" customHeight="1" x14ac:dyDescent="0.25">
      <c r="A794" s="1">
        <v>790</v>
      </c>
      <c r="B794" s="1" t="s">
        <v>1258</v>
      </c>
      <c r="C794" s="1" t="s">
        <v>38</v>
      </c>
      <c r="D794" s="1" t="s">
        <v>2397</v>
      </c>
      <c r="E794" s="5">
        <v>41894</v>
      </c>
      <c r="F794" s="1" t="s">
        <v>720</v>
      </c>
      <c r="G794" s="1" t="s">
        <v>40</v>
      </c>
      <c r="H794" s="1" t="s">
        <v>41</v>
      </c>
      <c r="I794" s="1" t="s">
        <v>2809</v>
      </c>
      <c r="J794" s="1" t="s">
        <v>187</v>
      </c>
      <c r="K794" s="1">
        <v>38237090</v>
      </c>
      <c r="L794" s="6">
        <v>36</v>
      </c>
      <c r="M794" s="1" t="s">
        <v>70</v>
      </c>
      <c r="N794" s="7" t="s">
        <v>44</v>
      </c>
      <c r="O794" s="1" t="s">
        <v>53</v>
      </c>
      <c r="P794" s="8">
        <v>1704</v>
      </c>
      <c r="Q794" s="17">
        <f t="shared" si="77"/>
        <v>61344</v>
      </c>
      <c r="R794" s="9">
        <v>8660</v>
      </c>
      <c r="S794" s="9">
        <v>8.77</v>
      </c>
      <c r="T794" s="9">
        <v>0</v>
      </c>
      <c r="U794" s="10">
        <v>0</v>
      </c>
      <c r="V794" s="1" t="s">
        <v>46</v>
      </c>
      <c r="W794" s="1" t="s">
        <v>56</v>
      </c>
      <c r="X794" s="1">
        <v>4817743</v>
      </c>
      <c r="Y794" s="11">
        <v>41886</v>
      </c>
      <c r="Z794" s="11">
        <v>41888</v>
      </c>
      <c r="AA794" s="9">
        <f t="shared" si="80"/>
        <v>52675.23</v>
      </c>
      <c r="AB794" s="12">
        <v>60.25</v>
      </c>
      <c r="AC794" s="9">
        <f t="shared" si="78"/>
        <v>3695976</v>
      </c>
      <c r="AD794" s="9">
        <f t="shared" si="79"/>
        <v>3173682.6075000004</v>
      </c>
      <c r="AE794" s="1" t="s">
        <v>48</v>
      </c>
      <c r="AF794" s="1" t="s">
        <v>53</v>
      </c>
      <c r="AG794" s="4">
        <f t="shared" si="81"/>
        <v>61344</v>
      </c>
      <c r="AH794" s="10">
        <v>61344</v>
      </c>
      <c r="AI794" s="10">
        <v>8470</v>
      </c>
      <c r="AJ794" s="10">
        <v>8.77</v>
      </c>
      <c r="AK794" s="10">
        <v>0</v>
      </c>
      <c r="AL794" s="9">
        <f t="shared" si="82"/>
        <v>52865.229999999996</v>
      </c>
      <c r="AM794" s="1"/>
      <c r="AN794" s="1"/>
      <c r="AO794" s="12" t="e">
        <f>AB794/#REF!</f>
        <v>#REF!</v>
      </c>
      <c r="AP794" s="1" t="s">
        <v>2398</v>
      </c>
      <c r="AQ794" s="11">
        <v>41964</v>
      </c>
      <c r="AR794" s="1" t="s">
        <v>2399</v>
      </c>
      <c r="AS794" s="11">
        <v>41967</v>
      </c>
      <c r="AT794" s="1" t="s">
        <v>49</v>
      </c>
      <c r="AU794" s="1" t="s">
        <v>4171</v>
      </c>
    </row>
    <row r="795" spans="1:47" ht="15" customHeight="1" x14ac:dyDescent="0.25">
      <c r="A795" s="1">
        <v>791</v>
      </c>
      <c r="B795" s="1" t="s">
        <v>1258</v>
      </c>
      <c r="C795" s="1" t="s">
        <v>38</v>
      </c>
      <c r="D795" s="1" t="s">
        <v>2397</v>
      </c>
      <c r="E795" s="5">
        <v>41894</v>
      </c>
      <c r="F795" s="1" t="s">
        <v>722</v>
      </c>
      <c r="G795" s="1" t="s">
        <v>40</v>
      </c>
      <c r="H795" s="1" t="s">
        <v>41</v>
      </c>
      <c r="I795" s="1" t="s">
        <v>2809</v>
      </c>
      <c r="J795" s="1" t="s">
        <v>187</v>
      </c>
      <c r="K795" s="1">
        <v>38237090</v>
      </c>
      <c r="L795" s="6">
        <v>18</v>
      </c>
      <c r="M795" s="1" t="s">
        <v>70</v>
      </c>
      <c r="N795" s="7" t="s">
        <v>44</v>
      </c>
      <c r="O795" s="1" t="s">
        <v>53</v>
      </c>
      <c r="P795" s="8">
        <v>1704</v>
      </c>
      <c r="Q795" s="17">
        <f t="shared" si="77"/>
        <v>30672</v>
      </c>
      <c r="R795" s="9">
        <v>4330</v>
      </c>
      <c r="S795" s="9">
        <v>4.3899999999999997</v>
      </c>
      <c r="T795" s="9">
        <v>0</v>
      </c>
      <c r="U795" s="10">
        <v>0</v>
      </c>
      <c r="V795" s="1" t="s">
        <v>46</v>
      </c>
      <c r="W795" s="1" t="s">
        <v>56</v>
      </c>
      <c r="X795" s="1">
        <v>4853672</v>
      </c>
      <c r="Y795" s="11">
        <v>41888</v>
      </c>
      <c r="Z795" s="11">
        <v>41890</v>
      </c>
      <c r="AA795" s="9">
        <f t="shared" si="80"/>
        <v>26337.61</v>
      </c>
      <c r="AB795" s="12">
        <v>60</v>
      </c>
      <c r="AC795" s="9">
        <f t="shared" si="78"/>
        <v>1840320</v>
      </c>
      <c r="AD795" s="9">
        <f t="shared" si="79"/>
        <v>1580256.6</v>
      </c>
      <c r="AE795" s="1" t="s">
        <v>48</v>
      </c>
      <c r="AF795" s="1" t="s">
        <v>53</v>
      </c>
      <c r="AG795" s="4">
        <f t="shared" si="81"/>
        <v>30672</v>
      </c>
      <c r="AH795" s="10">
        <v>30672</v>
      </c>
      <c r="AI795" s="10">
        <v>4235</v>
      </c>
      <c r="AJ795" s="10">
        <v>4.3899999999999997</v>
      </c>
      <c r="AK795" s="10">
        <v>0</v>
      </c>
      <c r="AL795" s="9">
        <f t="shared" si="82"/>
        <v>26432.61</v>
      </c>
      <c r="AM795" s="1"/>
      <c r="AN795" s="1"/>
      <c r="AO795" s="12" t="e">
        <f>AB795/#REF!</f>
        <v>#REF!</v>
      </c>
      <c r="AP795" s="1" t="s">
        <v>2398</v>
      </c>
      <c r="AQ795" s="11">
        <v>41964</v>
      </c>
      <c r="AR795" s="1" t="s">
        <v>2400</v>
      </c>
      <c r="AS795" s="11">
        <v>41967</v>
      </c>
      <c r="AT795" s="1" t="s">
        <v>49</v>
      </c>
      <c r="AU795" s="1" t="s">
        <v>4171</v>
      </c>
    </row>
    <row r="796" spans="1:47" ht="15" customHeight="1" x14ac:dyDescent="0.25">
      <c r="A796" s="1">
        <v>792</v>
      </c>
      <c r="B796" s="1" t="s">
        <v>1258</v>
      </c>
      <c r="C796" s="1" t="s">
        <v>38</v>
      </c>
      <c r="D796" s="1">
        <v>9103550619</v>
      </c>
      <c r="E796" s="5">
        <v>41893</v>
      </c>
      <c r="F796" s="1" t="s">
        <v>724</v>
      </c>
      <c r="G796" s="1" t="s">
        <v>40</v>
      </c>
      <c r="H796" s="1" t="s">
        <v>41</v>
      </c>
      <c r="I796" s="1" t="s">
        <v>2809</v>
      </c>
      <c r="J796" s="1" t="s">
        <v>2740</v>
      </c>
      <c r="K796" s="1">
        <v>38237090</v>
      </c>
      <c r="L796" s="6">
        <v>12</v>
      </c>
      <c r="M796" s="1" t="s">
        <v>70</v>
      </c>
      <c r="N796" s="7" t="s">
        <v>44</v>
      </c>
      <c r="O796" s="1" t="s">
        <v>53</v>
      </c>
      <c r="P796" s="8">
        <v>1600</v>
      </c>
      <c r="Q796" s="17">
        <f t="shared" si="77"/>
        <v>19200</v>
      </c>
      <c r="R796" s="9">
        <v>950</v>
      </c>
      <c r="S796" s="9">
        <v>2.75</v>
      </c>
      <c r="T796" s="9">
        <v>0</v>
      </c>
      <c r="U796" s="10">
        <v>0</v>
      </c>
      <c r="V796" s="1" t="s">
        <v>46</v>
      </c>
      <c r="W796" s="1" t="s">
        <v>205</v>
      </c>
      <c r="X796" s="1">
        <v>4853677</v>
      </c>
      <c r="Y796" s="11">
        <v>41888</v>
      </c>
      <c r="Z796" s="11">
        <v>41890</v>
      </c>
      <c r="AA796" s="9">
        <f t="shared" si="80"/>
        <v>18247.25</v>
      </c>
      <c r="AB796" s="12">
        <v>60</v>
      </c>
      <c r="AC796" s="9">
        <f t="shared" si="78"/>
        <v>1152000</v>
      </c>
      <c r="AD796" s="9">
        <f t="shared" si="79"/>
        <v>1094835</v>
      </c>
      <c r="AE796" s="1" t="s">
        <v>284</v>
      </c>
      <c r="AF796" s="1" t="s">
        <v>53</v>
      </c>
      <c r="AG796" s="4">
        <f t="shared" si="81"/>
        <v>19200</v>
      </c>
      <c r="AH796" s="10">
        <v>19187</v>
      </c>
      <c r="AI796" s="10">
        <v>900</v>
      </c>
      <c r="AJ796" s="10">
        <v>2.75</v>
      </c>
      <c r="AK796" s="10">
        <v>0</v>
      </c>
      <c r="AL796" s="9">
        <f t="shared" si="82"/>
        <v>18284.25</v>
      </c>
      <c r="AM796" s="1"/>
      <c r="AN796" s="1"/>
      <c r="AO796" s="12" t="e">
        <f>AB796/#REF!</f>
        <v>#REF!</v>
      </c>
      <c r="AP796" s="1" t="s">
        <v>2401</v>
      </c>
      <c r="AQ796" s="11">
        <v>41913</v>
      </c>
      <c r="AR796" s="1" t="s">
        <v>2402</v>
      </c>
      <c r="AS796" s="11">
        <v>41913</v>
      </c>
      <c r="AT796" s="1" t="s">
        <v>49</v>
      </c>
      <c r="AU796" s="1" t="s">
        <v>4171</v>
      </c>
    </row>
    <row r="797" spans="1:47" ht="15" customHeight="1" x14ac:dyDescent="0.25">
      <c r="A797" s="1">
        <v>793</v>
      </c>
      <c r="B797" s="1" t="s">
        <v>1258</v>
      </c>
      <c r="C797" s="1" t="s">
        <v>38</v>
      </c>
      <c r="D797" s="1">
        <v>9103550620</v>
      </c>
      <c r="E797" s="5">
        <v>41892</v>
      </c>
      <c r="F797" s="1" t="s">
        <v>726</v>
      </c>
      <c r="G797" s="1" t="s">
        <v>40</v>
      </c>
      <c r="H797" s="1" t="s">
        <v>41</v>
      </c>
      <c r="I797" s="1" t="s">
        <v>2809</v>
      </c>
      <c r="J797" s="1" t="s">
        <v>184</v>
      </c>
      <c r="K797" s="1">
        <v>38237090</v>
      </c>
      <c r="L797" s="6">
        <v>20</v>
      </c>
      <c r="M797" s="1" t="s">
        <v>70</v>
      </c>
      <c r="N797" s="7" t="s">
        <v>52</v>
      </c>
      <c r="O797" s="1" t="s">
        <v>53</v>
      </c>
      <c r="P797" s="8">
        <v>3880</v>
      </c>
      <c r="Q797" s="17">
        <f t="shared" si="77"/>
        <v>77600</v>
      </c>
      <c r="R797" s="9">
        <v>80</v>
      </c>
      <c r="S797" s="9">
        <v>0</v>
      </c>
      <c r="T797" s="9">
        <v>0</v>
      </c>
      <c r="U797" s="10">
        <v>0</v>
      </c>
      <c r="V797" s="1" t="s">
        <v>46</v>
      </c>
      <c r="W797" s="1" t="s">
        <v>64</v>
      </c>
      <c r="X797" s="1">
        <v>4854434</v>
      </c>
      <c r="Y797" s="11">
        <v>41888</v>
      </c>
      <c r="Z797" s="11">
        <v>41890</v>
      </c>
      <c r="AA797" s="9">
        <f t="shared" si="80"/>
        <v>77520</v>
      </c>
      <c r="AB797" s="12">
        <v>60</v>
      </c>
      <c r="AC797" s="9">
        <f t="shared" si="78"/>
        <v>4656000</v>
      </c>
      <c r="AD797" s="9">
        <f t="shared" si="79"/>
        <v>4651200</v>
      </c>
      <c r="AE797" s="1" t="s">
        <v>48</v>
      </c>
      <c r="AF797" s="1" t="s">
        <v>53</v>
      </c>
      <c r="AG797" s="4">
        <f t="shared" si="81"/>
        <v>77600</v>
      </c>
      <c r="AH797" s="10">
        <v>77600</v>
      </c>
      <c r="AI797" s="10">
        <v>41</v>
      </c>
      <c r="AJ797" s="10">
        <v>0</v>
      </c>
      <c r="AK797" s="10">
        <v>0</v>
      </c>
      <c r="AL797" s="9">
        <f t="shared" si="82"/>
        <v>77559</v>
      </c>
      <c r="AM797" s="1"/>
      <c r="AN797" s="1"/>
      <c r="AO797" s="12" t="e">
        <f>AB797/#REF!</f>
        <v>#REF!</v>
      </c>
      <c r="AP797" s="1" t="s">
        <v>2403</v>
      </c>
      <c r="AQ797" s="11">
        <v>41908</v>
      </c>
      <c r="AR797" s="1" t="s">
        <v>2404</v>
      </c>
      <c r="AS797" s="11">
        <v>41909</v>
      </c>
      <c r="AT797" s="1" t="s">
        <v>49</v>
      </c>
      <c r="AU797" s="1" t="s">
        <v>4171</v>
      </c>
    </row>
    <row r="798" spans="1:47" ht="15" customHeight="1" x14ac:dyDescent="0.25">
      <c r="A798" s="1">
        <v>794</v>
      </c>
      <c r="B798" s="1" t="s">
        <v>1258</v>
      </c>
      <c r="C798" s="1" t="s">
        <v>38</v>
      </c>
      <c r="D798" s="1">
        <v>9103550620</v>
      </c>
      <c r="E798" s="5">
        <v>41892</v>
      </c>
      <c r="F798" s="1" t="s">
        <v>731</v>
      </c>
      <c r="G798" s="1" t="s">
        <v>40</v>
      </c>
      <c r="H798" s="1" t="s">
        <v>41</v>
      </c>
      <c r="I798" s="1" t="s">
        <v>2809</v>
      </c>
      <c r="J798" s="1" t="s">
        <v>184</v>
      </c>
      <c r="K798" s="1">
        <v>38237090</v>
      </c>
      <c r="L798" s="6">
        <v>20</v>
      </c>
      <c r="M798" s="1" t="s">
        <v>70</v>
      </c>
      <c r="N798" s="7" t="s">
        <v>52</v>
      </c>
      <c r="O798" s="1" t="s">
        <v>53</v>
      </c>
      <c r="P798" s="8">
        <v>3880</v>
      </c>
      <c r="Q798" s="17">
        <f t="shared" si="77"/>
        <v>77600</v>
      </c>
      <c r="R798" s="9">
        <v>80</v>
      </c>
      <c r="S798" s="9">
        <v>0</v>
      </c>
      <c r="T798" s="9">
        <v>0</v>
      </c>
      <c r="U798" s="10">
        <v>0</v>
      </c>
      <c r="V798" s="1" t="s">
        <v>46</v>
      </c>
      <c r="W798" s="1" t="s">
        <v>64</v>
      </c>
      <c r="X798" s="1">
        <v>4855163</v>
      </c>
      <c r="Y798" s="11">
        <v>41888</v>
      </c>
      <c r="Z798" s="11">
        <v>41890</v>
      </c>
      <c r="AA798" s="9">
        <f t="shared" si="80"/>
        <v>77520</v>
      </c>
      <c r="AB798" s="12">
        <v>60</v>
      </c>
      <c r="AC798" s="9">
        <f t="shared" si="78"/>
        <v>4656000</v>
      </c>
      <c r="AD798" s="9">
        <f t="shared" si="79"/>
        <v>4651200</v>
      </c>
      <c r="AE798" s="1" t="s">
        <v>48</v>
      </c>
      <c r="AF798" s="1" t="s">
        <v>53</v>
      </c>
      <c r="AG798" s="4">
        <f t="shared" si="81"/>
        <v>77600</v>
      </c>
      <c r="AH798" s="10">
        <v>77600</v>
      </c>
      <c r="AI798" s="10">
        <v>41</v>
      </c>
      <c r="AJ798" s="10">
        <v>0</v>
      </c>
      <c r="AK798" s="10">
        <v>0</v>
      </c>
      <c r="AL798" s="9">
        <f t="shared" si="82"/>
        <v>77559</v>
      </c>
      <c r="AM798" s="1"/>
      <c r="AN798" s="1"/>
      <c r="AO798" s="12" t="e">
        <f>AB798/#REF!</f>
        <v>#REF!</v>
      </c>
      <c r="AP798" s="1" t="s">
        <v>2403</v>
      </c>
      <c r="AQ798" s="11">
        <v>41908</v>
      </c>
      <c r="AR798" s="1" t="s">
        <v>2405</v>
      </c>
      <c r="AS798" s="11">
        <v>41909</v>
      </c>
      <c r="AT798" s="1" t="s">
        <v>49</v>
      </c>
      <c r="AU798" s="1" t="s">
        <v>4171</v>
      </c>
    </row>
    <row r="799" spans="1:47" ht="15" customHeight="1" x14ac:dyDescent="0.25">
      <c r="A799" s="1">
        <v>795</v>
      </c>
      <c r="B799" s="1" t="s">
        <v>1258</v>
      </c>
      <c r="C799" s="1" t="s">
        <v>38</v>
      </c>
      <c r="D799" s="1">
        <v>9103550621</v>
      </c>
      <c r="E799" s="5">
        <v>41894</v>
      </c>
      <c r="F799" s="1" t="s">
        <v>734</v>
      </c>
      <c r="G799" s="1" t="s">
        <v>40</v>
      </c>
      <c r="H799" s="1" t="s">
        <v>41</v>
      </c>
      <c r="I799" s="1" t="s">
        <v>2809</v>
      </c>
      <c r="J799" s="1" t="s">
        <v>187</v>
      </c>
      <c r="K799" s="1">
        <v>38237090</v>
      </c>
      <c r="L799" s="6">
        <v>36</v>
      </c>
      <c r="M799" s="1" t="s">
        <v>70</v>
      </c>
      <c r="N799" s="7" t="s">
        <v>44</v>
      </c>
      <c r="O799" s="1" t="s">
        <v>53</v>
      </c>
      <c r="P799" s="8">
        <v>1804</v>
      </c>
      <c r="Q799" s="17">
        <f t="shared" si="77"/>
        <v>64944</v>
      </c>
      <c r="R799" s="9">
        <v>6576</v>
      </c>
      <c r="S799" s="9">
        <v>9.2899999999999991</v>
      </c>
      <c r="T799" s="9">
        <v>0</v>
      </c>
      <c r="U799" s="10">
        <v>0</v>
      </c>
      <c r="V799" s="1" t="s">
        <v>46</v>
      </c>
      <c r="W799" s="1" t="s">
        <v>188</v>
      </c>
      <c r="X799" s="1">
        <v>4858348</v>
      </c>
      <c r="Y799" s="11">
        <v>41888</v>
      </c>
      <c r="Z799" s="11">
        <v>41890</v>
      </c>
      <c r="AA799" s="9">
        <f t="shared" si="80"/>
        <v>58358.71</v>
      </c>
      <c r="AB799" s="12">
        <v>60</v>
      </c>
      <c r="AC799" s="9">
        <f t="shared" si="78"/>
        <v>3896640</v>
      </c>
      <c r="AD799" s="9">
        <f t="shared" si="79"/>
        <v>3501522.6</v>
      </c>
      <c r="AE799" s="1" t="s">
        <v>48</v>
      </c>
      <c r="AF799" s="1" t="s">
        <v>53</v>
      </c>
      <c r="AG799" s="4">
        <f t="shared" si="81"/>
        <v>64944</v>
      </c>
      <c r="AH799" s="10">
        <v>64944</v>
      </c>
      <c r="AI799" s="10">
        <v>6476</v>
      </c>
      <c r="AJ799" s="10">
        <v>9.2899999999999991</v>
      </c>
      <c r="AK799" s="10">
        <v>0</v>
      </c>
      <c r="AL799" s="9">
        <f t="shared" si="82"/>
        <v>58458.71</v>
      </c>
      <c r="AM799" s="1"/>
      <c r="AN799" s="1"/>
      <c r="AO799" s="12" t="e">
        <f>AB799/#REF!</f>
        <v>#REF!</v>
      </c>
      <c r="AP799" s="1" t="s">
        <v>2406</v>
      </c>
      <c r="AQ799" s="11">
        <v>41964</v>
      </c>
      <c r="AR799" s="1" t="s">
        <v>2407</v>
      </c>
      <c r="AS799" s="11">
        <v>41967</v>
      </c>
      <c r="AT799" s="1" t="s">
        <v>49</v>
      </c>
      <c r="AU799" s="1" t="s">
        <v>4171</v>
      </c>
    </row>
    <row r="800" spans="1:47" ht="15" customHeight="1" x14ac:dyDescent="0.25">
      <c r="A800" s="1">
        <v>796</v>
      </c>
      <c r="B800" s="1" t="s">
        <v>1258</v>
      </c>
      <c r="C800" s="1" t="s">
        <v>38</v>
      </c>
      <c r="D800" s="1">
        <v>9103550622</v>
      </c>
      <c r="E800" s="5">
        <v>41897</v>
      </c>
      <c r="F800" s="1" t="s">
        <v>729</v>
      </c>
      <c r="G800" s="1" t="s">
        <v>40</v>
      </c>
      <c r="H800" s="1" t="s">
        <v>41</v>
      </c>
      <c r="I800" s="1" t="s">
        <v>2809</v>
      </c>
      <c r="J800" s="1" t="s">
        <v>78</v>
      </c>
      <c r="K800" s="1">
        <v>38237090</v>
      </c>
      <c r="L800" s="6">
        <v>18.75</v>
      </c>
      <c r="M800" s="1" t="s">
        <v>70</v>
      </c>
      <c r="N800" s="7" t="s">
        <v>67</v>
      </c>
      <c r="O800" s="1" t="s">
        <v>53</v>
      </c>
      <c r="P800" s="8">
        <v>1425</v>
      </c>
      <c r="Q800" s="17">
        <f t="shared" si="77"/>
        <v>26718.75</v>
      </c>
      <c r="R800" s="9">
        <v>0</v>
      </c>
      <c r="S800" s="9">
        <v>0</v>
      </c>
      <c r="T800" s="9">
        <v>0</v>
      </c>
      <c r="U800" s="10">
        <v>0</v>
      </c>
      <c r="V800" s="1" t="s">
        <v>46</v>
      </c>
      <c r="W800" s="1" t="s">
        <v>56</v>
      </c>
      <c r="X800" s="1">
        <v>4870662</v>
      </c>
      <c r="Y800" s="11">
        <v>41890</v>
      </c>
      <c r="Z800" s="11">
        <v>41892</v>
      </c>
      <c r="AA800" s="9">
        <f t="shared" si="80"/>
        <v>26718.75</v>
      </c>
      <c r="AB800" s="12">
        <v>60</v>
      </c>
      <c r="AC800" s="9">
        <f t="shared" si="78"/>
        <v>1603125</v>
      </c>
      <c r="AD800" s="9">
        <f t="shared" si="79"/>
        <v>1603125</v>
      </c>
      <c r="AE800" s="1" t="s">
        <v>48</v>
      </c>
      <c r="AF800" s="1" t="s">
        <v>53</v>
      </c>
      <c r="AG800" s="4">
        <f t="shared" si="81"/>
        <v>26718.75</v>
      </c>
      <c r="AH800" s="10">
        <v>26718.75</v>
      </c>
      <c r="AI800" s="10">
        <v>0</v>
      </c>
      <c r="AJ800" s="10">
        <v>0</v>
      </c>
      <c r="AK800" s="10">
        <v>0</v>
      </c>
      <c r="AL800" s="9">
        <f t="shared" si="82"/>
        <v>26718.75</v>
      </c>
      <c r="AM800" s="1"/>
      <c r="AN800" s="1"/>
      <c r="AO800" s="12" t="e">
        <f>AB800/#REF!</f>
        <v>#REF!</v>
      </c>
      <c r="AP800" s="1" t="s">
        <v>2408</v>
      </c>
      <c r="AQ800" s="11">
        <v>41928</v>
      </c>
      <c r="AR800" s="1" t="s">
        <v>2409</v>
      </c>
      <c r="AS800" s="11">
        <v>41930</v>
      </c>
      <c r="AT800" s="1" t="s">
        <v>49</v>
      </c>
      <c r="AU800" s="1" t="s">
        <v>4171</v>
      </c>
    </row>
    <row r="801" spans="1:47" ht="15" customHeight="1" x14ac:dyDescent="0.25">
      <c r="A801" s="1">
        <v>797</v>
      </c>
      <c r="B801" s="1" t="s">
        <v>1258</v>
      </c>
      <c r="C801" s="1" t="s">
        <v>38</v>
      </c>
      <c r="D801" s="1">
        <v>9103550623</v>
      </c>
      <c r="E801" s="5">
        <v>41897</v>
      </c>
      <c r="F801" s="1" t="s">
        <v>727</v>
      </c>
      <c r="G801" s="1" t="s">
        <v>40</v>
      </c>
      <c r="H801" s="1" t="s">
        <v>41</v>
      </c>
      <c r="I801" s="1" t="s">
        <v>2809</v>
      </c>
      <c r="J801" s="1" t="s">
        <v>78</v>
      </c>
      <c r="K801" s="1">
        <v>38237090</v>
      </c>
      <c r="L801" s="6">
        <v>48</v>
      </c>
      <c r="M801" s="1" t="s">
        <v>70</v>
      </c>
      <c r="N801" s="7" t="s">
        <v>67</v>
      </c>
      <c r="O801" s="1" t="s">
        <v>53</v>
      </c>
      <c r="P801" s="8">
        <v>1490</v>
      </c>
      <c r="Q801" s="17">
        <f t="shared" si="77"/>
        <v>71520</v>
      </c>
      <c r="R801" s="9">
        <v>0</v>
      </c>
      <c r="S801" s="9">
        <v>0</v>
      </c>
      <c r="T801" s="9">
        <v>0</v>
      </c>
      <c r="U801" s="10">
        <v>0</v>
      </c>
      <c r="V801" s="1" t="s">
        <v>46</v>
      </c>
      <c r="W801" s="1" t="s">
        <v>56</v>
      </c>
      <c r="X801" s="1">
        <v>4877154</v>
      </c>
      <c r="Y801" s="11">
        <v>41890</v>
      </c>
      <c r="Z801" s="11">
        <v>41892</v>
      </c>
      <c r="AA801" s="9">
        <f t="shared" si="80"/>
        <v>71520</v>
      </c>
      <c r="AB801" s="12">
        <v>60</v>
      </c>
      <c r="AC801" s="9">
        <f t="shared" si="78"/>
        <v>4291200</v>
      </c>
      <c r="AD801" s="9">
        <f t="shared" si="79"/>
        <v>4291200</v>
      </c>
      <c r="AE801" s="1" t="s">
        <v>48</v>
      </c>
      <c r="AF801" s="1" t="s">
        <v>53</v>
      </c>
      <c r="AG801" s="4">
        <f t="shared" si="81"/>
        <v>71520</v>
      </c>
      <c r="AH801" s="10">
        <v>71495</v>
      </c>
      <c r="AI801" s="10">
        <v>0</v>
      </c>
      <c r="AJ801" s="10">
        <v>0</v>
      </c>
      <c r="AK801" s="10">
        <v>0</v>
      </c>
      <c r="AL801" s="9">
        <f t="shared" si="82"/>
        <v>71495</v>
      </c>
      <c r="AM801" s="1"/>
      <c r="AN801" s="1"/>
      <c r="AO801" s="12" t="e">
        <f>AB801/#REF!</f>
        <v>#REF!</v>
      </c>
      <c r="AP801" s="1" t="s">
        <v>2410</v>
      </c>
      <c r="AQ801" s="11">
        <v>41928</v>
      </c>
      <c r="AR801" s="1" t="s">
        <v>2411</v>
      </c>
      <c r="AS801" s="11">
        <v>41930</v>
      </c>
      <c r="AT801" s="1" t="s">
        <v>49</v>
      </c>
      <c r="AU801" s="1" t="s">
        <v>4171</v>
      </c>
    </row>
    <row r="802" spans="1:47" ht="15" customHeight="1" x14ac:dyDescent="0.25">
      <c r="A802" s="1">
        <v>798</v>
      </c>
      <c r="B802" s="1" t="s">
        <v>1258</v>
      </c>
      <c r="C802" s="1" t="s">
        <v>38</v>
      </c>
      <c r="D802" s="1" t="s">
        <v>2412</v>
      </c>
      <c r="E802" s="5">
        <v>41899</v>
      </c>
      <c r="F802" s="1" t="s">
        <v>735</v>
      </c>
      <c r="G802" s="1" t="s">
        <v>40</v>
      </c>
      <c r="H802" s="1" t="s">
        <v>41</v>
      </c>
      <c r="I802" s="1" t="s">
        <v>2809</v>
      </c>
      <c r="J802" s="1" t="s">
        <v>2641</v>
      </c>
      <c r="K802" s="1">
        <v>38237090</v>
      </c>
      <c r="L802" s="6">
        <v>72</v>
      </c>
      <c r="M802" s="1" t="s">
        <v>70</v>
      </c>
      <c r="N802" s="7" t="s">
        <v>44</v>
      </c>
      <c r="O802" s="1" t="s">
        <v>53</v>
      </c>
      <c r="P802" s="8">
        <v>3828</v>
      </c>
      <c r="Q802" s="17">
        <f t="shared" ref="Q802:Q896" si="83">+L802*P802</f>
        <v>275616</v>
      </c>
      <c r="R802" s="9">
        <v>300</v>
      </c>
      <c r="S802" s="9">
        <v>39.409999999999997</v>
      </c>
      <c r="T802" s="9">
        <v>0</v>
      </c>
      <c r="U802" s="10">
        <v>0</v>
      </c>
      <c r="V802" s="1" t="s">
        <v>46</v>
      </c>
      <c r="W802" s="1" t="s">
        <v>54</v>
      </c>
      <c r="X802" s="1">
        <v>4899874</v>
      </c>
      <c r="Y802" s="11">
        <v>41891</v>
      </c>
      <c r="Z802" s="11">
        <v>41893</v>
      </c>
      <c r="AA802" s="9">
        <f t="shared" si="80"/>
        <v>275276.59000000003</v>
      </c>
      <c r="AB802" s="12">
        <v>60</v>
      </c>
      <c r="AC802" s="9">
        <f t="shared" ref="AC802:AC896" si="84">+Q802*AB802</f>
        <v>16536960</v>
      </c>
      <c r="AD802" s="9">
        <f t="shared" ref="AD802:AD896" si="85">+AA802*AB802</f>
        <v>16516595.400000002</v>
      </c>
      <c r="AE802" s="1" t="s">
        <v>48</v>
      </c>
      <c r="AF802" s="1" t="s">
        <v>53</v>
      </c>
      <c r="AG802" s="4">
        <f t="shared" si="81"/>
        <v>275616</v>
      </c>
      <c r="AH802" s="10">
        <v>275616</v>
      </c>
      <c r="AI802" s="10">
        <v>300</v>
      </c>
      <c r="AJ802" s="10">
        <v>39.409999999999997</v>
      </c>
      <c r="AK802" s="10">
        <v>0</v>
      </c>
      <c r="AL802" s="9">
        <f t="shared" si="82"/>
        <v>275276.59000000003</v>
      </c>
      <c r="AM802" s="1"/>
      <c r="AN802" s="1"/>
      <c r="AO802" s="12" t="e">
        <f>AB802/#REF!</f>
        <v>#REF!</v>
      </c>
      <c r="AP802" s="1" t="s">
        <v>2413</v>
      </c>
      <c r="AQ802" s="11">
        <v>41990</v>
      </c>
      <c r="AR802" s="1" t="s">
        <v>2414</v>
      </c>
      <c r="AS802" s="11">
        <v>41992</v>
      </c>
      <c r="AT802" s="1" t="s">
        <v>49</v>
      </c>
      <c r="AU802" s="1" t="s">
        <v>4171</v>
      </c>
    </row>
    <row r="803" spans="1:47" ht="15" customHeight="1" x14ac:dyDescent="0.25">
      <c r="A803" s="1">
        <v>799</v>
      </c>
      <c r="B803" s="1" t="s">
        <v>1258</v>
      </c>
      <c r="C803" s="1" t="s">
        <v>38</v>
      </c>
      <c r="D803" s="1" t="s">
        <v>2412</v>
      </c>
      <c r="E803" s="5">
        <v>41899</v>
      </c>
      <c r="F803" s="1" t="s">
        <v>737</v>
      </c>
      <c r="G803" s="1" t="s">
        <v>40</v>
      </c>
      <c r="H803" s="1" t="s">
        <v>41</v>
      </c>
      <c r="I803" s="1" t="s">
        <v>2809</v>
      </c>
      <c r="J803" s="1" t="s">
        <v>2641</v>
      </c>
      <c r="K803" s="1">
        <v>38237090</v>
      </c>
      <c r="L803" s="6">
        <v>12</v>
      </c>
      <c r="M803" s="1" t="s">
        <v>70</v>
      </c>
      <c r="N803" s="7" t="s">
        <v>44</v>
      </c>
      <c r="O803" s="1" t="s">
        <v>53</v>
      </c>
      <c r="P803" s="8">
        <v>3828</v>
      </c>
      <c r="Q803" s="17">
        <f t="shared" si="83"/>
        <v>45936</v>
      </c>
      <c r="R803" s="9">
        <v>50</v>
      </c>
      <c r="S803" s="9">
        <v>6.57</v>
      </c>
      <c r="T803" s="9">
        <v>0</v>
      </c>
      <c r="U803" s="10">
        <v>0</v>
      </c>
      <c r="V803" s="1" t="s">
        <v>46</v>
      </c>
      <c r="W803" s="1" t="s">
        <v>54</v>
      </c>
      <c r="X803" s="1">
        <v>4917743</v>
      </c>
      <c r="Y803" s="11">
        <v>41892</v>
      </c>
      <c r="Z803" s="11">
        <v>41893</v>
      </c>
      <c r="AA803" s="9">
        <f t="shared" ref="AA803:AA896" si="86">Q803-R803-S803</f>
        <v>45879.43</v>
      </c>
      <c r="AB803" s="12">
        <v>60</v>
      </c>
      <c r="AC803" s="9">
        <f t="shared" si="84"/>
        <v>2756160</v>
      </c>
      <c r="AD803" s="9">
        <f t="shared" si="85"/>
        <v>2752765.8</v>
      </c>
      <c r="AE803" s="1" t="s">
        <v>48</v>
      </c>
      <c r="AF803" s="1" t="s">
        <v>53</v>
      </c>
      <c r="AG803" s="4">
        <f t="shared" si="81"/>
        <v>45936</v>
      </c>
      <c r="AH803" s="10">
        <v>45936</v>
      </c>
      <c r="AI803" s="10">
        <v>50</v>
      </c>
      <c r="AJ803" s="10">
        <v>6.57</v>
      </c>
      <c r="AK803" s="10">
        <v>0</v>
      </c>
      <c r="AL803" s="9">
        <f t="shared" si="82"/>
        <v>45879.43</v>
      </c>
      <c r="AM803" s="1"/>
      <c r="AN803" s="1"/>
      <c r="AO803" s="12" t="e">
        <f>AB803/#REF!</f>
        <v>#REF!</v>
      </c>
      <c r="AP803" s="1" t="s">
        <v>2413</v>
      </c>
      <c r="AQ803" s="11">
        <v>41990</v>
      </c>
      <c r="AR803" s="1" t="s">
        <v>2415</v>
      </c>
      <c r="AS803" s="11">
        <v>41992</v>
      </c>
      <c r="AT803" s="1" t="s">
        <v>49</v>
      </c>
      <c r="AU803" s="1" t="s">
        <v>4171</v>
      </c>
    </row>
    <row r="804" spans="1:47" ht="15" customHeight="1" x14ac:dyDescent="0.25">
      <c r="A804" s="1">
        <v>800</v>
      </c>
      <c r="B804" s="1" t="s">
        <v>1258</v>
      </c>
      <c r="C804" s="1" t="s">
        <v>38</v>
      </c>
      <c r="D804" s="1">
        <v>9103550626</v>
      </c>
      <c r="E804" s="5">
        <v>41900</v>
      </c>
      <c r="F804" s="1" t="s">
        <v>673</v>
      </c>
      <c r="G804" s="1" t="s">
        <v>40</v>
      </c>
      <c r="H804" s="1" t="s">
        <v>41</v>
      </c>
      <c r="I804" s="1" t="s">
        <v>2809</v>
      </c>
      <c r="J804" s="1" t="s">
        <v>187</v>
      </c>
      <c r="K804" s="1">
        <v>38237090</v>
      </c>
      <c r="L804" s="6">
        <v>54.42</v>
      </c>
      <c r="M804" s="1" t="s">
        <v>70</v>
      </c>
      <c r="N804" s="7" t="s">
        <v>44</v>
      </c>
      <c r="O804" s="1" t="s">
        <v>53</v>
      </c>
      <c r="P804" s="8">
        <v>1694</v>
      </c>
      <c r="Q804" s="17">
        <f t="shared" si="83"/>
        <v>92187.48</v>
      </c>
      <c r="R804" s="9">
        <v>9900</v>
      </c>
      <c r="S804" s="9">
        <v>13.18</v>
      </c>
      <c r="T804" s="9">
        <v>0</v>
      </c>
      <c r="U804" s="10">
        <v>0</v>
      </c>
      <c r="V804" s="1" t="s">
        <v>46</v>
      </c>
      <c r="W804" s="1" t="s">
        <v>56</v>
      </c>
      <c r="X804" s="1">
        <v>4917734</v>
      </c>
      <c r="Y804" s="11">
        <v>41892</v>
      </c>
      <c r="Z804" s="11">
        <v>41894</v>
      </c>
      <c r="AA804" s="9">
        <f t="shared" si="86"/>
        <v>82274.3</v>
      </c>
      <c r="AB804" s="12">
        <v>60</v>
      </c>
      <c r="AC804" s="9">
        <f t="shared" si="84"/>
        <v>5531248.7999999998</v>
      </c>
      <c r="AD804" s="9">
        <f t="shared" si="85"/>
        <v>4936458</v>
      </c>
      <c r="AE804" s="1" t="s">
        <v>48</v>
      </c>
      <c r="AF804" s="1" t="s">
        <v>53</v>
      </c>
      <c r="AG804" s="4">
        <f t="shared" si="81"/>
        <v>92187.48</v>
      </c>
      <c r="AH804" s="10">
        <v>92187.48</v>
      </c>
      <c r="AI804" s="10">
        <v>9303</v>
      </c>
      <c r="AJ804" s="10">
        <v>13.18</v>
      </c>
      <c r="AK804" s="10">
        <v>0</v>
      </c>
      <c r="AL804" s="9">
        <f t="shared" si="82"/>
        <v>82871.299999999988</v>
      </c>
      <c r="AM804" s="1"/>
      <c r="AN804" s="1"/>
      <c r="AO804" s="12" t="e">
        <f>AB804/#REF!</f>
        <v>#REF!</v>
      </c>
      <c r="AP804" s="1" t="s">
        <v>2416</v>
      </c>
      <c r="AQ804" s="11">
        <v>41964</v>
      </c>
      <c r="AR804" s="1" t="s">
        <v>2417</v>
      </c>
      <c r="AS804" s="11">
        <v>41967</v>
      </c>
      <c r="AT804" s="1" t="s">
        <v>49</v>
      </c>
      <c r="AU804" s="1" t="s">
        <v>4171</v>
      </c>
    </row>
    <row r="805" spans="1:47" ht="15" customHeight="1" x14ac:dyDescent="0.25">
      <c r="A805" s="1">
        <v>801</v>
      </c>
      <c r="B805" s="1" t="s">
        <v>1258</v>
      </c>
      <c r="C805" s="1" t="s">
        <v>38</v>
      </c>
      <c r="D805" s="1" t="s">
        <v>2971</v>
      </c>
      <c r="E805" s="5">
        <v>41906</v>
      </c>
      <c r="F805" s="1" t="s">
        <v>2972</v>
      </c>
      <c r="G805" s="1" t="s">
        <v>40</v>
      </c>
      <c r="H805" s="1" t="s">
        <v>41</v>
      </c>
      <c r="I805" s="1" t="s">
        <v>2810</v>
      </c>
      <c r="J805" s="1" t="s">
        <v>1116</v>
      </c>
      <c r="K805" s="1">
        <v>38237090</v>
      </c>
      <c r="L805" s="6">
        <v>187.24</v>
      </c>
      <c r="M805" s="1" t="s">
        <v>70</v>
      </c>
      <c r="N805" s="7" t="s">
        <v>67</v>
      </c>
      <c r="O805" s="1" t="s">
        <v>1117</v>
      </c>
      <c r="P805" s="8">
        <v>107000</v>
      </c>
      <c r="Q805" s="17">
        <f t="shared" si="83"/>
        <v>20034680</v>
      </c>
      <c r="R805" s="9">
        <v>0</v>
      </c>
      <c r="S805" s="9">
        <v>0</v>
      </c>
      <c r="T805" s="9">
        <v>767728.94</v>
      </c>
      <c r="U805" s="10">
        <v>0</v>
      </c>
      <c r="V805" s="1" t="s">
        <v>46</v>
      </c>
      <c r="W805" s="1" t="s">
        <v>361</v>
      </c>
      <c r="X805" s="1">
        <v>4904896</v>
      </c>
      <c r="Y805" s="11">
        <v>41891</v>
      </c>
      <c r="Z805" s="11">
        <v>41892</v>
      </c>
      <c r="AA805" s="9">
        <f t="shared" si="86"/>
        <v>20034680</v>
      </c>
      <c r="AB805" s="12">
        <v>1</v>
      </c>
      <c r="AC805" s="9">
        <f t="shared" si="84"/>
        <v>20034680</v>
      </c>
      <c r="AD805" s="9">
        <f t="shared" si="85"/>
        <v>20034680</v>
      </c>
      <c r="AE805" s="1" t="s">
        <v>4162</v>
      </c>
      <c r="AF805" s="1" t="s">
        <v>1117</v>
      </c>
      <c r="AG805" s="4">
        <f t="shared" si="81"/>
        <v>20034680</v>
      </c>
      <c r="AH805" s="10">
        <v>20034680</v>
      </c>
      <c r="AI805" s="10"/>
      <c r="AJ805" s="10"/>
      <c r="AK805" s="10"/>
      <c r="AL805" s="9">
        <f t="shared" si="82"/>
        <v>20034680</v>
      </c>
      <c r="AM805" s="1"/>
      <c r="AN805" s="1"/>
      <c r="AO805" s="12"/>
      <c r="AP805" s="1" t="s">
        <v>3917</v>
      </c>
      <c r="AQ805" s="11" t="s">
        <v>4163</v>
      </c>
      <c r="AR805" s="1" t="s">
        <v>4169</v>
      </c>
      <c r="AS805" s="1" t="s">
        <v>4164</v>
      </c>
      <c r="AT805" s="1" t="s">
        <v>49</v>
      </c>
      <c r="AU805" s="1" t="s">
        <v>4171</v>
      </c>
    </row>
    <row r="806" spans="1:47" ht="15" customHeight="1" x14ac:dyDescent="0.25">
      <c r="A806" s="1">
        <v>802</v>
      </c>
      <c r="B806" s="1" t="s">
        <v>1258</v>
      </c>
      <c r="C806" s="1" t="s">
        <v>38</v>
      </c>
      <c r="D806" s="1" t="s">
        <v>2971</v>
      </c>
      <c r="E806" s="5">
        <v>41906</v>
      </c>
      <c r="F806" s="1" t="s">
        <v>2973</v>
      </c>
      <c r="G806" s="1" t="s">
        <v>40</v>
      </c>
      <c r="H806" s="1" t="s">
        <v>41</v>
      </c>
      <c r="I806" s="1" t="s">
        <v>2810</v>
      </c>
      <c r="J806" s="1" t="s">
        <v>1116</v>
      </c>
      <c r="K806" s="1">
        <v>38237090</v>
      </c>
      <c r="L806" s="6">
        <v>18.5</v>
      </c>
      <c r="M806" s="1" t="s">
        <v>70</v>
      </c>
      <c r="N806" s="7" t="s">
        <v>67</v>
      </c>
      <c r="O806" s="1" t="s">
        <v>1117</v>
      </c>
      <c r="P806" s="8">
        <v>107000</v>
      </c>
      <c r="Q806" s="17">
        <f t="shared" si="83"/>
        <v>1979500</v>
      </c>
      <c r="R806" s="9">
        <v>0</v>
      </c>
      <c r="S806" s="9">
        <v>0</v>
      </c>
      <c r="T806" s="9">
        <v>75854.44</v>
      </c>
      <c r="U806" s="10">
        <v>0</v>
      </c>
      <c r="V806" s="1" t="s">
        <v>46</v>
      </c>
      <c r="W806" s="1" t="s">
        <v>361</v>
      </c>
      <c r="X806" s="1">
        <v>4918461</v>
      </c>
      <c r="Y806" s="11">
        <v>41892</v>
      </c>
      <c r="Z806" s="11">
        <v>41893</v>
      </c>
      <c r="AA806" s="9">
        <f t="shared" si="86"/>
        <v>1979500</v>
      </c>
      <c r="AB806" s="12">
        <v>1</v>
      </c>
      <c r="AC806" s="9">
        <f t="shared" si="84"/>
        <v>1979500</v>
      </c>
      <c r="AD806" s="9">
        <f t="shared" si="85"/>
        <v>1979500</v>
      </c>
      <c r="AE806" s="1" t="s">
        <v>4162</v>
      </c>
      <c r="AF806" s="1" t="s">
        <v>1117</v>
      </c>
      <c r="AG806" s="4">
        <f t="shared" si="81"/>
        <v>1979500</v>
      </c>
      <c r="AH806" s="10">
        <v>1979500</v>
      </c>
      <c r="AI806" s="10"/>
      <c r="AJ806" s="10"/>
      <c r="AK806" s="10"/>
      <c r="AL806" s="9">
        <f t="shared" si="82"/>
        <v>1979500</v>
      </c>
      <c r="AM806" s="1"/>
      <c r="AN806" s="1"/>
      <c r="AO806" s="12"/>
      <c r="AP806" s="1" t="s">
        <v>3917</v>
      </c>
      <c r="AQ806" s="11" t="s">
        <v>4163</v>
      </c>
      <c r="AR806" s="1" t="s">
        <v>4165</v>
      </c>
      <c r="AS806" s="1" t="s">
        <v>4164</v>
      </c>
      <c r="AT806" s="1" t="s">
        <v>49</v>
      </c>
      <c r="AU806" s="1" t="s">
        <v>4171</v>
      </c>
    </row>
    <row r="807" spans="1:47" ht="15" customHeight="1" x14ac:dyDescent="0.25">
      <c r="A807" s="1">
        <v>803</v>
      </c>
      <c r="B807" s="1" t="s">
        <v>1258</v>
      </c>
      <c r="C807" s="1" t="s">
        <v>38</v>
      </c>
      <c r="D807" s="1">
        <v>9103550629</v>
      </c>
      <c r="E807" s="5">
        <v>41900</v>
      </c>
      <c r="F807" s="1" t="s">
        <v>2925</v>
      </c>
      <c r="G807" s="1" t="s">
        <v>40</v>
      </c>
      <c r="H807" s="1" t="s">
        <v>41</v>
      </c>
      <c r="I807" s="1" t="s">
        <v>2809</v>
      </c>
      <c r="J807" s="1" t="s">
        <v>2149</v>
      </c>
      <c r="K807" s="1">
        <v>29159090</v>
      </c>
      <c r="L807" s="6">
        <v>12</v>
      </c>
      <c r="M807" s="1" t="s">
        <v>70</v>
      </c>
      <c r="N807" s="7" t="s">
        <v>44</v>
      </c>
      <c r="O807" s="1" t="s">
        <v>53</v>
      </c>
      <c r="P807" s="8">
        <v>4050</v>
      </c>
      <c r="Q807" s="17">
        <f t="shared" si="83"/>
        <v>48600</v>
      </c>
      <c r="R807" s="9">
        <v>2300</v>
      </c>
      <c r="S807" s="9">
        <v>6.95</v>
      </c>
      <c r="T807" s="9">
        <v>0</v>
      </c>
      <c r="U807" s="10">
        <v>0</v>
      </c>
      <c r="V807" s="1" t="s">
        <v>46</v>
      </c>
      <c r="W807" s="1" t="s">
        <v>188</v>
      </c>
      <c r="X807" s="1">
        <v>4920683</v>
      </c>
      <c r="Y807" s="11">
        <v>41892</v>
      </c>
      <c r="Z807" s="11">
        <v>41894</v>
      </c>
      <c r="AA807" s="9">
        <f t="shared" si="86"/>
        <v>46293.05</v>
      </c>
      <c r="AB807" s="12">
        <v>60</v>
      </c>
      <c r="AC807" s="9">
        <f t="shared" si="84"/>
        <v>2916000</v>
      </c>
      <c r="AD807" s="9">
        <f t="shared" si="85"/>
        <v>2777583</v>
      </c>
      <c r="AE807" s="1" t="s">
        <v>48</v>
      </c>
      <c r="AF807" s="1" t="s">
        <v>53</v>
      </c>
      <c r="AG807" s="4">
        <f t="shared" si="81"/>
        <v>48600</v>
      </c>
      <c r="AH807" s="10">
        <v>48565.5</v>
      </c>
      <c r="AI807" s="10">
        <v>2269</v>
      </c>
      <c r="AJ807" s="10">
        <v>6.95</v>
      </c>
      <c r="AK807" s="10">
        <v>0</v>
      </c>
      <c r="AL807" s="9">
        <f t="shared" si="82"/>
        <v>46289.55</v>
      </c>
      <c r="AM807" s="1"/>
      <c r="AN807" s="1"/>
      <c r="AO807" s="12" t="e">
        <f>AB807/#REF!</f>
        <v>#REF!</v>
      </c>
      <c r="AP807" s="1"/>
      <c r="AQ807" s="11">
        <v>42087</v>
      </c>
      <c r="AR807" s="1" t="s">
        <v>3352</v>
      </c>
      <c r="AS807" s="11">
        <v>42088</v>
      </c>
      <c r="AT807" s="1" t="s">
        <v>49</v>
      </c>
      <c r="AU807" s="1" t="s">
        <v>4171</v>
      </c>
    </row>
    <row r="808" spans="1:47" ht="15" customHeight="1" x14ac:dyDescent="0.25">
      <c r="A808" s="1">
        <v>804</v>
      </c>
      <c r="B808" s="1" t="s">
        <v>1258</v>
      </c>
      <c r="C808" s="1" t="s">
        <v>38</v>
      </c>
      <c r="D808" s="1">
        <v>9103550630</v>
      </c>
      <c r="E808" s="5">
        <v>41897</v>
      </c>
      <c r="F808" s="1" t="s">
        <v>2926</v>
      </c>
      <c r="G808" s="1" t="s">
        <v>40</v>
      </c>
      <c r="H808" s="1" t="s">
        <v>41</v>
      </c>
      <c r="I808" s="1" t="s">
        <v>2809</v>
      </c>
      <c r="J808" s="1" t="s">
        <v>169</v>
      </c>
      <c r="K808" s="1">
        <v>38231200</v>
      </c>
      <c r="L808" s="6">
        <v>39.909999999999997</v>
      </c>
      <c r="M808" s="1" t="s">
        <v>70</v>
      </c>
      <c r="N808" s="7" t="s">
        <v>67</v>
      </c>
      <c r="O808" s="1" t="s">
        <v>53</v>
      </c>
      <c r="P808" s="8">
        <v>1025</v>
      </c>
      <c r="Q808" s="17">
        <f t="shared" si="83"/>
        <v>40907.75</v>
      </c>
      <c r="R808" s="9">
        <v>0</v>
      </c>
      <c r="S808" s="9">
        <v>0</v>
      </c>
      <c r="T808" s="9">
        <v>0</v>
      </c>
      <c r="U808" s="10">
        <v>0</v>
      </c>
      <c r="V808" s="1" t="s">
        <v>46</v>
      </c>
      <c r="W808" s="1" t="s">
        <v>1323</v>
      </c>
      <c r="X808" s="1">
        <v>4925782</v>
      </c>
      <c r="Y808" s="11">
        <v>41892</v>
      </c>
      <c r="Z808" s="11">
        <v>41894</v>
      </c>
      <c r="AA808" s="9">
        <f t="shared" si="86"/>
        <v>40907.75</v>
      </c>
      <c r="AB808" s="12">
        <v>60</v>
      </c>
      <c r="AC808" s="9">
        <f t="shared" si="84"/>
        <v>2454465</v>
      </c>
      <c r="AD808" s="9">
        <f t="shared" si="85"/>
        <v>2454465</v>
      </c>
      <c r="AE808" s="1" t="s">
        <v>48</v>
      </c>
      <c r="AF808" s="1" t="s">
        <v>53</v>
      </c>
      <c r="AG808" s="4">
        <f t="shared" si="81"/>
        <v>40907.75</v>
      </c>
      <c r="AH808" s="10">
        <v>40907.75</v>
      </c>
      <c r="AI808" s="10">
        <v>0</v>
      </c>
      <c r="AJ808" s="10">
        <v>0</v>
      </c>
      <c r="AK808" s="10">
        <v>0</v>
      </c>
      <c r="AL808" s="9">
        <f t="shared" si="82"/>
        <v>40907.75</v>
      </c>
      <c r="AM808" s="1"/>
      <c r="AN808" s="1"/>
      <c r="AO808" s="12" t="e">
        <f>AB808/#REF!</f>
        <v>#REF!</v>
      </c>
      <c r="AP808" s="1"/>
      <c r="AQ808" s="11">
        <v>41996</v>
      </c>
      <c r="AR808" s="1" t="s">
        <v>3353</v>
      </c>
      <c r="AS808" s="11">
        <v>41997</v>
      </c>
      <c r="AT808" s="1" t="s">
        <v>49</v>
      </c>
      <c r="AU808" s="1" t="s">
        <v>4171</v>
      </c>
    </row>
    <row r="809" spans="1:47" ht="15" customHeight="1" x14ac:dyDescent="0.25">
      <c r="A809" s="1">
        <v>805</v>
      </c>
      <c r="B809" s="1" t="s">
        <v>1258</v>
      </c>
      <c r="C809" s="1" t="s">
        <v>38</v>
      </c>
      <c r="D809" s="1">
        <v>9103550631</v>
      </c>
      <c r="E809" s="5">
        <v>41897</v>
      </c>
      <c r="F809" s="1" t="s">
        <v>2927</v>
      </c>
      <c r="G809" s="1" t="s">
        <v>40</v>
      </c>
      <c r="H809" s="1" t="s">
        <v>41</v>
      </c>
      <c r="I809" s="1" t="s">
        <v>2809</v>
      </c>
      <c r="J809" s="1" t="s">
        <v>169</v>
      </c>
      <c r="K809" s="1">
        <v>38231200</v>
      </c>
      <c r="L809" s="6">
        <v>58.89</v>
      </c>
      <c r="M809" s="1" t="s">
        <v>70</v>
      </c>
      <c r="N809" s="7" t="s">
        <v>67</v>
      </c>
      <c r="O809" s="1" t="s">
        <v>53</v>
      </c>
      <c r="P809" s="8">
        <v>1025</v>
      </c>
      <c r="Q809" s="17">
        <f t="shared" si="83"/>
        <v>60362.25</v>
      </c>
      <c r="R809" s="9">
        <v>0</v>
      </c>
      <c r="S809" s="9">
        <v>0</v>
      </c>
      <c r="T809" s="9">
        <v>0</v>
      </c>
      <c r="U809" s="10">
        <v>0</v>
      </c>
      <c r="V809" s="1" t="s">
        <v>46</v>
      </c>
      <c r="W809" s="1" t="s">
        <v>1323</v>
      </c>
      <c r="X809" s="1">
        <v>4936084</v>
      </c>
      <c r="Y809" s="11">
        <v>41893</v>
      </c>
      <c r="Z809" s="11">
        <v>41894</v>
      </c>
      <c r="AA809" s="9">
        <f t="shared" si="86"/>
        <v>60362.25</v>
      </c>
      <c r="AB809" s="12">
        <v>60</v>
      </c>
      <c r="AC809" s="9">
        <f t="shared" si="84"/>
        <v>3621735</v>
      </c>
      <c r="AD809" s="9">
        <f t="shared" si="85"/>
        <v>3621735</v>
      </c>
      <c r="AE809" s="1" t="s">
        <v>48</v>
      </c>
      <c r="AF809" s="1" t="s">
        <v>53</v>
      </c>
      <c r="AG809" s="4">
        <f t="shared" si="81"/>
        <v>60362.25</v>
      </c>
      <c r="AH809" s="10">
        <v>60362.25</v>
      </c>
      <c r="AI809" s="10">
        <v>0</v>
      </c>
      <c r="AJ809" s="10">
        <v>0</v>
      </c>
      <c r="AK809" s="10">
        <v>0</v>
      </c>
      <c r="AL809" s="9">
        <f t="shared" si="82"/>
        <v>60362.25</v>
      </c>
      <c r="AM809" s="1"/>
      <c r="AN809" s="1"/>
      <c r="AO809" s="12" t="e">
        <f>AB809/#REF!</f>
        <v>#REF!</v>
      </c>
      <c r="AP809" s="1"/>
      <c r="AQ809" s="11">
        <v>41996</v>
      </c>
      <c r="AR809" s="1" t="s">
        <v>3354</v>
      </c>
      <c r="AS809" s="11">
        <v>41997</v>
      </c>
      <c r="AT809" s="1" t="s">
        <v>49</v>
      </c>
      <c r="AU809" s="1" t="s">
        <v>4171</v>
      </c>
    </row>
    <row r="810" spans="1:47" ht="15" customHeight="1" x14ac:dyDescent="0.25">
      <c r="A810" s="1">
        <v>806</v>
      </c>
      <c r="B810" s="1" t="s">
        <v>1258</v>
      </c>
      <c r="C810" s="1" t="s">
        <v>38</v>
      </c>
      <c r="D810" s="1">
        <v>9103550632</v>
      </c>
      <c r="E810" s="5">
        <v>41899</v>
      </c>
      <c r="F810" s="1" t="s">
        <v>739</v>
      </c>
      <c r="G810" s="1" t="s">
        <v>40</v>
      </c>
      <c r="H810" s="1" t="s">
        <v>41</v>
      </c>
      <c r="I810" s="1" t="s">
        <v>2809</v>
      </c>
      <c r="J810" s="1" t="s">
        <v>2418</v>
      </c>
      <c r="K810" s="1">
        <v>38231900</v>
      </c>
      <c r="L810" s="6">
        <v>79.36</v>
      </c>
      <c r="M810" s="1" t="s">
        <v>70</v>
      </c>
      <c r="N810" s="7" t="s">
        <v>44</v>
      </c>
      <c r="O810" s="1" t="s">
        <v>45</v>
      </c>
      <c r="P810" s="8">
        <v>2940</v>
      </c>
      <c r="Q810" s="17">
        <f t="shared" si="83"/>
        <v>233318.39999999999</v>
      </c>
      <c r="R810" s="9">
        <v>992.37</v>
      </c>
      <c r="S810" s="9">
        <v>33.36</v>
      </c>
      <c r="T810" s="9">
        <v>0</v>
      </c>
      <c r="U810" s="10">
        <v>0</v>
      </c>
      <c r="V810" s="1" t="s">
        <v>46</v>
      </c>
      <c r="W810" s="1" t="s">
        <v>47</v>
      </c>
      <c r="X810" s="1">
        <v>4936066</v>
      </c>
      <c r="Y810" s="11">
        <v>41893</v>
      </c>
      <c r="Z810" s="11">
        <v>41894</v>
      </c>
      <c r="AA810" s="9">
        <f t="shared" si="86"/>
        <v>232292.67</v>
      </c>
      <c r="AB810" s="12">
        <v>78.599999999999994</v>
      </c>
      <c r="AC810" s="9">
        <f t="shared" si="84"/>
        <v>18338826.239999998</v>
      </c>
      <c r="AD810" s="9">
        <f t="shared" si="85"/>
        <v>18258203.862</v>
      </c>
      <c r="AE810" s="1" t="s">
        <v>48</v>
      </c>
      <c r="AF810" s="1" t="s">
        <v>45</v>
      </c>
      <c r="AG810" s="4">
        <f t="shared" si="81"/>
        <v>233318.39999999999</v>
      </c>
      <c r="AH810" s="10">
        <v>233318.39999999999</v>
      </c>
      <c r="AI810" s="10">
        <v>4154.7</v>
      </c>
      <c r="AJ810" s="10">
        <v>33.36</v>
      </c>
      <c r="AK810" s="10">
        <v>0</v>
      </c>
      <c r="AL810" s="9">
        <f t="shared" si="82"/>
        <v>229130.34</v>
      </c>
      <c r="AM810" s="1"/>
      <c r="AN810" s="1"/>
      <c r="AO810" s="12" t="e">
        <f>AB810/#REF!</f>
        <v>#REF!</v>
      </c>
      <c r="AP810" s="1" t="s">
        <v>2419</v>
      </c>
      <c r="AQ810" s="11">
        <v>41907</v>
      </c>
      <c r="AR810" s="1" t="s">
        <v>2420</v>
      </c>
      <c r="AS810" s="11">
        <v>41908</v>
      </c>
      <c r="AT810" s="1" t="s">
        <v>49</v>
      </c>
      <c r="AU810" s="1" t="s">
        <v>4171</v>
      </c>
    </row>
    <row r="811" spans="1:47" ht="15" customHeight="1" x14ac:dyDescent="0.25">
      <c r="A811" s="1">
        <v>807</v>
      </c>
      <c r="B811" s="1" t="s">
        <v>1258</v>
      </c>
      <c r="C811" s="1" t="s">
        <v>38</v>
      </c>
      <c r="D811" s="1">
        <v>9103550633</v>
      </c>
      <c r="E811" s="5">
        <v>41899</v>
      </c>
      <c r="F811" s="1" t="s">
        <v>2924</v>
      </c>
      <c r="G811" s="1" t="s">
        <v>40</v>
      </c>
      <c r="H811" s="1" t="s">
        <v>41</v>
      </c>
      <c r="I811" s="1" t="s">
        <v>2809</v>
      </c>
      <c r="J811" s="1" t="s">
        <v>349</v>
      </c>
      <c r="K811" s="1">
        <v>29051700</v>
      </c>
      <c r="L811" s="6">
        <v>5.4</v>
      </c>
      <c r="M811" s="1" t="s">
        <v>70</v>
      </c>
      <c r="N811" s="7" t="s">
        <v>44</v>
      </c>
      <c r="O811" s="1" t="s">
        <v>53</v>
      </c>
      <c r="P811" s="8">
        <v>1970</v>
      </c>
      <c r="Q811" s="17">
        <f t="shared" si="83"/>
        <v>10638</v>
      </c>
      <c r="R811" s="9">
        <v>540</v>
      </c>
      <c r="S811" s="9">
        <v>1.52</v>
      </c>
      <c r="T811" s="9">
        <v>0</v>
      </c>
      <c r="U811" s="10">
        <v>0</v>
      </c>
      <c r="V811" s="1" t="s">
        <v>46</v>
      </c>
      <c r="W811" s="1" t="s">
        <v>294</v>
      </c>
      <c r="X811" s="1">
        <v>4946824</v>
      </c>
      <c r="Y811" s="11">
        <v>41893</v>
      </c>
      <c r="Z811" s="11">
        <v>41894</v>
      </c>
      <c r="AA811" s="9">
        <f t="shared" si="86"/>
        <v>10096.48</v>
      </c>
      <c r="AB811" s="12">
        <v>60</v>
      </c>
      <c r="AC811" s="9">
        <f t="shared" si="84"/>
        <v>638280</v>
      </c>
      <c r="AD811" s="9">
        <f t="shared" si="85"/>
        <v>605788.79999999993</v>
      </c>
      <c r="AE811" s="1" t="s">
        <v>48</v>
      </c>
      <c r="AF811" s="1" t="s">
        <v>53</v>
      </c>
      <c r="AG811" s="4">
        <f t="shared" si="81"/>
        <v>10638</v>
      </c>
      <c r="AH811" s="10">
        <v>10621</v>
      </c>
      <c r="AI811" s="10">
        <v>493.62</v>
      </c>
      <c r="AJ811" s="10">
        <v>1.52</v>
      </c>
      <c r="AK811" s="10">
        <v>0</v>
      </c>
      <c r="AL811" s="9">
        <f t="shared" si="82"/>
        <v>10125.86</v>
      </c>
      <c r="AM811" s="1"/>
      <c r="AN811" s="1"/>
      <c r="AO811" s="12" t="e">
        <f>AB811/#REF!</f>
        <v>#REF!</v>
      </c>
      <c r="AP811" s="1"/>
      <c r="AQ811" s="11">
        <v>41961</v>
      </c>
      <c r="AR811" s="1" t="s">
        <v>3355</v>
      </c>
      <c r="AS811" s="11">
        <v>41962</v>
      </c>
      <c r="AT811" s="1" t="s">
        <v>49</v>
      </c>
      <c r="AU811" s="1" t="s">
        <v>4171</v>
      </c>
    </row>
    <row r="812" spans="1:47" ht="15" customHeight="1" x14ac:dyDescent="0.25">
      <c r="A812" s="1">
        <v>808</v>
      </c>
      <c r="B812" s="1" t="s">
        <v>1258</v>
      </c>
      <c r="C812" s="1" t="s">
        <v>38</v>
      </c>
      <c r="D812" s="1">
        <v>9103550633</v>
      </c>
      <c r="E812" s="5">
        <v>41899</v>
      </c>
      <c r="F812" s="1" t="s">
        <v>2924</v>
      </c>
      <c r="G812" s="1" t="s">
        <v>40</v>
      </c>
      <c r="H812" s="1" t="s">
        <v>41</v>
      </c>
      <c r="I812" s="1" t="s">
        <v>2809</v>
      </c>
      <c r="J812" s="1" t="s">
        <v>349</v>
      </c>
      <c r="K812" s="1">
        <v>29051700</v>
      </c>
      <c r="L812" s="6">
        <v>2.4</v>
      </c>
      <c r="M812" s="1" t="s">
        <v>70</v>
      </c>
      <c r="N812" s="7" t="s">
        <v>44</v>
      </c>
      <c r="O812" s="1" t="s">
        <v>53</v>
      </c>
      <c r="P812" s="8">
        <v>1960</v>
      </c>
      <c r="Q812" s="17">
        <f t="shared" si="83"/>
        <v>4704</v>
      </c>
      <c r="R812" s="9">
        <v>240</v>
      </c>
      <c r="S812" s="9">
        <v>0.67</v>
      </c>
      <c r="T812" s="9">
        <v>0</v>
      </c>
      <c r="U812" s="10">
        <v>0</v>
      </c>
      <c r="V812" s="1" t="s">
        <v>46</v>
      </c>
      <c r="W812" s="1" t="s">
        <v>294</v>
      </c>
      <c r="X812" s="1">
        <v>4946824</v>
      </c>
      <c r="Y812" s="11">
        <v>41893</v>
      </c>
      <c r="Z812" s="11">
        <v>41894</v>
      </c>
      <c r="AA812" s="9">
        <f t="shared" si="86"/>
        <v>4463.33</v>
      </c>
      <c r="AB812" s="12">
        <v>60</v>
      </c>
      <c r="AC812" s="9">
        <f t="shared" si="84"/>
        <v>282240</v>
      </c>
      <c r="AD812" s="9">
        <f t="shared" si="85"/>
        <v>267799.8</v>
      </c>
      <c r="AE812" s="1" t="s">
        <v>48</v>
      </c>
      <c r="AF812" s="1" t="s">
        <v>53</v>
      </c>
      <c r="AG812" s="4">
        <f t="shared" si="81"/>
        <v>4704</v>
      </c>
      <c r="AH812" s="10">
        <v>4700</v>
      </c>
      <c r="AI812" s="10">
        <v>218.44</v>
      </c>
      <c r="AJ812" s="10">
        <v>0.68</v>
      </c>
      <c r="AK812" s="10">
        <v>0</v>
      </c>
      <c r="AL812" s="9">
        <f t="shared" si="82"/>
        <v>4480.88</v>
      </c>
      <c r="AM812" s="1"/>
      <c r="AN812" s="1"/>
      <c r="AO812" s="12" t="e">
        <f>AB812/#REF!</f>
        <v>#REF!</v>
      </c>
      <c r="AP812" s="1"/>
      <c r="AQ812" s="11">
        <v>41961</v>
      </c>
      <c r="AR812" s="1" t="s">
        <v>3355</v>
      </c>
      <c r="AS812" s="11">
        <v>41962</v>
      </c>
      <c r="AT812" s="1" t="s">
        <v>49</v>
      </c>
      <c r="AU812" s="1" t="s">
        <v>4171</v>
      </c>
    </row>
    <row r="813" spans="1:47" ht="15" customHeight="1" x14ac:dyDescent="0.25">
      <c r="A813" s="1">
        <v>809</v>
      </c>
      <c r="B813" s="1" t="s">
        <v>1258</v>
      </c>
      <c r="C813" s="1" t="s">
        <v>38</v>
      </c>
      <c r="D813" s="1">
        <v>9103550633</v>
      </c>
      <c r="E813" s="5">
        <v>41899</v>
      </c>
      <c r="F813" s="1" t="s">
        <v>2924</v>
      </c>
      <c r="G813" s="1" t="s">
        <v>40</v>
      </c>
      <c r="H813" s="1" t="s">
        <v>41</v>
      </c>
      <c r="I813" s="1" t="s">
        <v>2809</v>
      </c>
      <c r="J813" s="1" t="s">
        <v>349</v>
      </c>
      <c r="K813" s="1">
        <v>38237090</v>
      </c>
      <c r="L813" s="6">
        <v>2.4</v>
      </c>
      <c r="M813" s="1" t="s">
        <v>70</v>
      </c>
      <c r="N813" s="7" t="s">
        <v>44</v>
      </c>
      <c r="O813" s="1" t="s">
        <v>53</v>
      </c>
      <c r="P813" s="8">
        <v>2830</v>
      </c>
      <c r="Q813" s="17">
        <f t="shared" si="83"/>
        <v>6792</v>
      </c>
      <c r="R813" s="9">
        <v>240</v>
      </c>
      <c r="S813" s="9">
        <v>0.97</v>
      </c>
      <c r="T813" s="9">
        <v>0</v>
      </c>
      <c r="U813" s="10">
        <v>0</v>
      </c>
      <c r="V813" s="1" t="s">
        <v>46</v>
      </c>
      <c r="W813" s="1" t="s">
        <v>294</v>
      </c>
      <c r="X813" s="1">
        <v>4946824</v>
      </c>
      <c r="Y813" s="11">
        <v>41893</v>
      </c>
      <c r="Z813" s="11">
        <v>41894</v>
      </c>
      <c r="AA813" s="9">
        <f t="shared" si="86"/>
        <v>6551.03</v>
      </c>
      <c r="AB813" s="12">
        <v>60</v>
      </c>
      <c r="AC813" s="9">
        <f t="shared" si="84"/>
        <v>407520</v>
      </c>
      <c r="AD813" s="9">
        <f t="shared" si="85"/>
        <v>393061.8</v>
      </c>
      <c r="AE813" s="1" t="s">
        <v>48</v>
      </c>
      <c r="AF813" s="1" t="s">
        <v>53</v>
      </c>
      <c r="AG813" s="4">
        <f t="shared" si="81"/>
        <v>6792</v>
      </c>
      <c r="AH813" s="10">
        <v>6792</v>
      </c>
      <c r="AI813" s="10">
        <v>315.67</v>
      </c>
      <c r="AJ813" s="10">
        <v>0.97</v>
      </c>
      <c r="AK813" s="10">
        <v>0</v>
      </c>
      <c r="AL813" s="9">
        <f t="shared" si="82"/>
        <v>6475.36</v>
      </c>
      <c r="AM813" s="1"/>
      <c r="AN813" s="1"/>
      <c r="AO813" s="12" t="e">
        <f>AB813/#REF!</f>
        <v>#REF!</v>
      </c>
      <c r="AP813" s="1"/>
      <c r="AQ813" s="11">
        <v>41961</v>
      </c>
      <c r="AR813" s="1" t="s">
        <v>3355</v>
      </c>
      <c r="AS813" s="11">
        <v>41962</v>
      </c>
      <c r="AT813" s="1" t="s">
        <v>49</v>
      </c>
      <c r="AU813" s="1" t="s">
        <v>4171</v>
      </c>
    </row>
    <row r="814" spans="1:47" ht="15" customHeight="1" x14ac:dyDescent="0.25">
      <c r="A814" s="1">
        <v>810</v>
      </c>
      <c r="B814" s="1" t="s">
        <v>1258</v>
      </c>
      <c r="C814" s="1" t="s">
        <v>38</v>
      </c>
      <c r="D814" s="1">
        <v>9103550633</v>
      </c>
      <c r="E814" s="5">
        <v>41899</v>
      </c>
      <c r="F814" s="1" t="s">
        <v>2924</v>
      </c>
      <c r="G814" s="1" t="s">
        <v>40</v>
      </c>
      <c r="H814" s="1" t="s">
        <v>41</v>
      </c>
      <c r="I814" s="1" t="s">
        <v>2809</v>
      </c>
      <c r="J814" s="1" t="s">
        <v>349</v>
      </c>
      <c r="K814" s="1">
        <v>38237090</v>
      </c>
      <c r="L814" s="6">
        <v>1.8</v>
      </c>
      <c r="M814" s="1" t="s">
        <v>70</v>
      </c>
      <c r="N814" s="7" t="s">
        <v>44</v>
      </c>
      <c r="O814" s="1" t="s">
        <v>53</v>
      </c>
      <c r="P814" s="8">
        <v>1880</v>
      </c>
      <c r="Q814" s="17">
        <f t="shared" si="83"/>
        <v>3384</v>
      </c>
      <c r="R814" s="9">
        <v>180</v>
      </c>
      <c r="S814" s="9">
        <v>0.48</v>
      </c>
      <c r="T814" s="9">
        <v>0</v>
      </c>
      <c r="U814" s="10">
        <v>0</v>
      </c>
      <c r="V814" s="1" t="s">
        <v>46</v>
      </c>
      <c r="W814" s="1" t="s">
        <v>294</v>
      </c>
      <c r="X814" s="1">
        <v>4946824</v>
      </c>
      <c r="Y814" s="11">
        <v>41893</v>
      </c>
      <c r="Z814" s="11">
        <v>41894</v>
      </c>
      <c r="AA814" s="9">
        <f t="shared" si="86"/>
        <v>3203.52</v>
      </c>
      <c r="AB814" s="12">
        <v>60</v>
      </c>
      <c r="AC814" s="9">
        <f t="shared" si="84"/>
        <v>203040</v>
      </c>
      <c r="AD814" s="9">
        <f t="shared" si="85"/>
        <v>192211.20000000001</v>
      </c>
      <c r="AE814" s="1" t="s">
        <v>48</v>
      </c>
      <c r="AF814" s="1" t="s">
        <v>53</v>
      </c>
      <c r="AG814" s="4">
        <f t="shared" si="81"/>
        <v>3384</v>
      </c>
      <c r="AH814" s="10">
        <v>3384</v>
      </c>
      <c r="AI814" s="10">
        <v>157.27000000000001</v>
      </c>
      <c r="AJ814" s="10">
        <v>0.48</v>
      </c>
      <c r="AK814" s="10">
        <v>0</v>
      </c>
      <c r="AL814" s="9">
        <f t="shared" si="82"/>
        <v>3226.25</v>
      </c>
      <c r="AM814" s="1"/>
      <c r="AN814" s="1"/>
      <c r="AO814" s="12" t="e">
        <f>AB814/#REF!</f>
        <v>#REF!</v>
      </c>
      <c r="AP814" s="1"/>
      <c r="AQ814" s="11">
        <v>41961</v>
      </c>
      <c r="AR814" s="1" t="s">
        <v>3355</v>
      </c>
      <c r="AS814" s="11">
        <v>41962</v>
      </c>
      <c r="AT814" s="1" t="s">
        <v>49</v>
      </c>
      <c r="AU814" s="1" t="s">
        <v>4171</v>
      </c>
    </row>
    <row r="815" spans="1:47" ht="15" customHeight="1" x14ac:dyDescent="0.25">
      <c r="A815" s="1">
        <v>811</v>
      </c>
      <c r="B815" s="1" t="s">
        <v>1258</v>
      </c>
      <c r="C815" s="1" t="s">
        <v>38</v>
      </c>
      <c r="D815" s="1">
        <v>9103550634</v>
      </c>
      <c r="E815" s="5">
        <v>41899</v>
      </c>
      <c r="F815" s="1" t="s">
        <v>740</v>
      </c>
      <c r="G815" s="1" t="s">
        <v>40</v>
      </c>
      <c r="H815" s="1" t="s">
        <v>41</v>
      </c>
      <c r="I815" s="1" t="s">
        <v>2809</v>
      </c>
      <c r="J815" s="2" t="s">
        <v>58</v>
      </c>
      <c r="K815" s="1">
        <v>38231900</v>
      </c>
      <c r="L815" s="6">
        <v>19.91</v>
      </c>
      <c r="M815" s="1" t="s">
        <v>70</v>
      </c>
      <c r="N815" s="7" t="s">
        <v>44</v>
      </c>
      <c r="O815" s="1" t="s">
        <v>45</v>
      </c>
      <c r="P815" s="8">
        <v>2921</v>
      </c>
      <c r="Q815" s="17">
        <f t="shared" si="83"/>
        <v>58157.11</v>
      </c>
      <c r="R815" s="9">
        <v>1908.4</v>
      </c>
      <c r="S815" s="9">
        <v>8.32</v>
      </c>
      <c r="T815" s="9">
        <v>1099.03</v>
      </c>
      <c r="U815" s="10">
        <v>0</v>
      </c>
      <c r="V815" s="1" t="s">
        <v>46</v>
      </c>
      <c r="W815" s="1" t="s">
        <v>59</v>
      </c>
      <c r="X815" s="1">
        <v>4946812</v>
      </c>
      <c r="Y815" s="11">
        <v>41893</v>
      </c>
      <c r="Z815" s="11">
        <v>41894</v>
      </c>
      <c r="AA815" s="9">
        <f t="shared" si="86"/>
        <v>56240.39</v>
      </c>
      <c r="AB815" s="12">
        <v>78.599999999999994</v>
      </c>
      <c r="AC815" s="9">
        <f t="shared" si="84"/>
        <v>4571148.8459999999</v>
      </c>
      <c r="AD815" s="9">
        <f t="shared" si="85"/>
        <v>4420494.6540000001</v>
      </c>
      <c r="AE815" s="1" t="s">
        <v>284</v>
      </c>
      <c r="AF815" s="1" t="s">
        <v>45</v>
      </c>
      <c r="AG815" s="4">
        <f t="shared" si="81"/>
        <v>58157.11</v>
      </c>
      <c r="AH815" s="10">
        <v>58012.11</v>
      </c>
      <c r="AI815" s="10">
        <v>1999.36</v>
      </c>
      <c r="AJ815" s="10">
        <v>8.32</v>
      </c>
      <c r="AK815" s="10">
        <v>1099.03</v>
      </c>
      <c r="AL815" s="9">
        <f t="shared" si="82"/>
        <v>54905.4</v>
      </c>
      <c r="AM815" s="1"/>
      <c r="AN815" s="1"/>
      <c r="AO815" s="12" t="e">
        <f>AB815/#REF!</f>
        <v>#REF!</v>
      </c>
      <c r="AP815" s="1" t="s">
        <v>2421</v>
      </c>
      <c r="AQ815" s="11">
        <v>41920</v>
      </c>
      <c r="AR815" s="1" t="s">
        <v>2422</v>
      </c>
      <c r="AS815" s="11">
        <v>41920</v>
      </c>
      <c r="AT815" s="1" t="s">
        <v>49</v>
      </c>
      <c r="AU815" s="1" t="s">
        <v>4171</v>
      </c>
    </row>
    <row r="816" spans="1:47" ht="15" customHeight="1" x14ac:dyDescent="0.25">
      <c r="A816" s="1">
        <v>812</v>
      </c>
      <c r="B816" s="1" t="s">
        <v>1258</v>
      </c>
      <c r="C816" s="1" t="s">
        <v>38</v>
      </c>
      <c r="D816" s="1">
        <v>9103550635</v>
      </c>
      <c r="E816" s="5">
        <v>41899</v>
      </c>
      <c r="F816" s="1" t="s">
        <v>736</v>
      </c>
      <c r="G816" s="1" t="s">
        <v>40</v>
      </c>
      <c r="H816" s="1" t="s">
        <v>41</v>
      </c>
      <c r="I816" s="1" t="s">
        <v>2809</v>
      </c>
      <c r="J816" s="1" t="s">
        <v>360</v>
      </c>
      <c r="K816" s="1">
        <v>38237090</v>
      </c>
      <c r="L816" s="6">
        <v>2</v>
      </c>
      <c r="M816" s="1" t="s">
        <v>70</v>
      </c>
      <c r="N816" s="7" t="s">
        <v>67</v>
      </c>
      <c r="O816" s="1" t="s">
        <v>53</v>
      </c>
      <c r="P816" s="8">
        <v>1650</v>
      </c>
      <c r="Q816" s="17">
        <f t="shared" si="83"/>
        <v>3300</v>
      </c>
      <c r="R816" s="9">
        <v>0</v>
      </c>
      <c r="S816" s="9">
        <v>0</v>
      </c>
      <c r="T816" s="9">
        <v>0</v>
      </c>
      <c r="U816" s="10">
        <v>0</v>
      </c>
      <c r="V816" s="1" t="s">
        <v>46</v>
      </c>
      <c r="W816" s="1" t="s">
        <v>690</v>
      </c>
      <c r="X816" s="1">
        <v>4905120</v>
      </c>
      <c r="Y816" s="11">
        <v>41891</v>
      </c>
      <c r="Z816" s="11">
        <v>41894</v>
      </c>
      <c r="AA816" s="9">
        <f t="shared" si="86"/>
        <v>3300</v>
      </c>
      <c r="AB816" s="12">
        <v>60</v>
      </c>
      <c r="AC816" s="9">
        <f t="shared" si="84"/>
        <v>198000</v>
      </c>
      <c r="AD816" s="9">
        <f t="shared" si="85"/>
        <v>198000</v>
      </c>
      <c r="AE816" s="1" t="s">
        <v>48</v>
      </c>
      <c r="AF816" s="1" t="s">
        <v>53</v>
      </c>
      <c r="AG816" s="4">
        <f t="shared" si="81"/>
        <v>3300</v>
      </c>
      <c r="AH816" s="10">
        <v>3253</v>
      </c>
      <c r="AI816" s="10"/>
      <c r="AJ816" s="10"/>
      <c r="AK816" s="10"/>
      <c r="AL816" s="9">
        <f t="shared" si="82"/>
        <v>3253</v>
      </c>
      <c r="AM816" s="1"/>
      <c r="AN816" s="1"/>
      <c r="AO816" s="12" t="e">
        <f>AB816/#REF!</f>
        <v>#REF!</v>
      </c>
      <c r="AP816" s="1" t="s">
        <v>2423</v>
      </c>
      <c r="AQ816" s="11">
        <v>41912</v>
      </c>
      <c r="AR816" s="1" t="s">
        <v>2424</v>
      </c>
      <c r="AS816" s="11">
        <v>41916</v>
      </c>
      <c r="AT816" s="1" t="s">
        <v>49</v>
      </c>
      <c r="AU816" s="1" t="s">
        <v>4171</v>
      </c>
    </row>
    <row r="817" spans="1:47" ht="15" customHeight="1" x14ac:dyDescent="0.25">
      <c r="A817" s="1">
        <v>813</v>
      </c>
      <c r="B817" s="1" t="s">
        <v>1258</v>
      </c>
      <c r="C817" s="1" t="s">
        <v>38</v>
      </c>
      <c r="D817" s="1" t="s">
        <v>2929</v>
      </c>
      <c r="E817" s="5">
        <v>41906</v>
      </c>
      <c r="F817" s="1" t="s">
        <v>2928</v>
      </c>
      <c r="G817" s="1" t="s">
        <v>40</v>
      </c>
      <c r="H817" s="1" t="s">
        <v>41</v>
      </c>
      <c r="I817" s="1" t="s">
        <v>2810</v>
      </c>
      <c r="J817" s="1" t="s">
        <v>1116</v>
      </c>
      <c r="K817" s="1">
        <v>38237090</v>
      </c>
      <c r="L817" s="6">
        <v>37.15</v>
      </c>
      <c r="M817" s="1" t="s">
        <v>70</v>
      </c>
      <c r="N817" s="7" t="s">
        <v>67</v>
      </c>
      <c r="O817" s="1" t="s">
        <v>1117</v>
      </c>
      <c r="P817" s="8">
        <v>107000</v>
      </c>
      <c r="Q817" s="17">
        <f t="shared" si="83"/>
        <v>3975050</v>
      </c>
      <c r="R817" s="9">
        <v>0</v>
      </c>
      <c r="S817" s="9">
        <v>0</v>
      </c>
      <c r="T817" s="9">
        <v>152323.92000000001</v>
      </c>
      <c r="U817" s="10">
        <v>0</v>
      </c>
      <c r="V817" s="1" t="s">
        <v>46</v>
      </c>
      <c r="W817" s="1" t="s">
        <v>361</v>
      </c>
      <c r="X817" s="1">
        <v>4947947</v>
      </c>
      <c r="Y817" s="11">
        <v>41893</v>
      </c>
      <c r="Z817" s="11">
        <v>41894</v>
      </c>
      <c r="AA817" s="9">
        <f t="shared" si="86"/>
        <v>3975050</v>
      </c>
      <c r="AB817" s="12">
        <v>1</v>
      </c>
      <c r="AC817" s="9">
        <f t="shared" si="84"/>
        <v>3975050</v>
      </c>
      <c r="AD817" s="9">
        <f t="shared" si="85"/>
        <v>3975050</v>
      </c>
      <c r="AE817" s="1" t="s">
        <v>4162</v>
      </c>
      <c r="AF817" s="1" t="s">
        <v>1117</v>
      </c>
      <c r="AG817" s="4">
        <f t="shared" si="81"/>
        <v>3975050</v>
      </c>
      <c r="AH817" s="10">
        <v>3975050</v>
      </c>
      <c r="AI817" s="10"/>
      <c r="AJ817" s="10"/>
      <c r="AK817" s="10"/>
      <c r="AL817" s="9">
        <f t="shared" si="82"/>
        <v>3975050</v>
      </c>
      <c r="AM817" s="1"/>
      <c r="AN817" s="1"/>
      <c r="AO817" s="12"/>
      <c r="AP817" s="1" t="s">
        <v>4064</v>
      </c>
      <c r="AQ817" s="11" t="s">
        <v>4065</v>
      </c>
      <c r="AR817" s="1" t="s">
        <v>4068</v>
      </c>
      <c r="AS817" s="1" t="s">
        <v>4059</v>
      </c>
      <c r="AT817" s="1" t="s">
        <v>49</v>
      </c>
      <c r="AU817" s="1" t="s">
        <v>4171</v>
      </c>
    </row>
    <row r="818" spans="1:47" ht="15" customHeight="1" x14ac:dyDescent="0.25">
      <c r="A818" s="1">
        <v>814</v>
      </c>
      <c r="B818" s="1" t="s">
        <v>1258</v>
      </c>
      <c r="C818" s="1" t="s">
        <v>38</v>
      </c>
      <c r="D818" s="1" t="s">
        <v>2929</v>
      </c>
      <c r="E818" s="5">
        <v>41906</v>
      </c>
      <c r="F818" s="1" t="s">
        <v>2930</v>
      </c>
      <c r="G818" s="1" t="s">
        <v>40</v>
      </c>
      <c r="H818" s="1" t="s">
        <v>41</v>
      </c>
      <c r="I818" s="1" t="s">
        <v>2810</v>
      </c>
      <c r="J818" s="1" t="s">
        <v>1116</v>
      </c>
      <c r="K818" s="1">
        <v>38237090</v>
      </c>
      <c r="L818" s="6">
        <v>94.4</v>
      </c>
      <c r="M818" s="1" t="s">
        <v>70</v>
      </c>
      <c r="N818" s="7" t="s">
        <v>67</v>
      </c>
      <c r="O818" s="1" t="s">
        <v>1117</v>
      </c>
      <c r="P818" s="8">
        <v>107000</v>
      </c>
      <c r="Q818" s="17">
        <f t="shared" si="83"/>
        <v>10100800</v>
      </c>
      <c r="R818" s="9">
        <v>0</v>
      </c>
      <c r="S818" s="9">
        <v>0</v>
      </c>
      <c r="T818" s="9">
        <v>387062.66</v>
      </c>
      <c r="U818" s="10">
        <v>0</v>
      </c>
      <c r="V818" s="1" t="s">
        <v>46</v>
      </c>
      <c r="W818" s="1" t="s">
        <v>361</v>
      </c>
      <c r="X818" s="1">
        <v>4969765</v>
      </c>
      <c r="Y818" s="11">
        <v>41894</v>
      </c>
      <c r="Z818" s="11">
        <v>41895</v>
      </c>
      <c r="AA818" s="9">
        <f t="shared" si="86"/>
        <v>10100800</v>
      </c>
      <c r="AB818" s="12">
        <v>1</v>
      </c>
      <c r="AC818" s="9">
        <f t="shared" si="84"/>
        <v>10100800</v>
      </c>
      <c r="AD818" s="9">
        <f t="shared" si="85"/>
        <v>10100800</v>
      </c>
      <c r="AE818" s="1" t="s">
        <v>4162</v>
      </c>
      <c r="AF818" s="1" t="s">
        <v>1117</v>
      </c>
      <c r="AG818" s="4">
        <f t="shared" si="81"/>
        <v>10100800</v>
      </c>
      <c r="AH818" s="10">
        <v>10100800</v>
      </c>
      <c r="AI818" s="10"/>
      <c r="AJ818" s="10"/>
      <c r="AK818" s="10"/>
      <c r="AL818" s="9">
        <f t="shared" si="82"/>
        <v>10100800</v>
      </c>
      <c r="AM818" s="1"/>
      <c r="AN818" s="1"/>
      <c r="AO818" s="12"/>
      <c r="AP818" s="1" t="s">
        <v>4064</v>
      </c>
      <c r="AQ818" s="11" t="s">
        <v>4065</v>
      </c>
      <c r="AR818" s="1" t="s">
        <v>4075</v>
      </c>
      <c r="AS818" s="1" t="s">
        <v>4059</v>
      </c>
      <c r="AT818" s="1" t="s">
        <v>49</v>
      </c>
      <c r="AU818" s="1" t="s">
        <v>4171</v>
      </c>
    </row>
    <row r="819" spans="1:47" ht="15" customHeight="1" x14ac:dyDescent="0.25">
      <c r="A819" s="1">
        <v>815</v>
      </c>
      <c r="B819" s="1" t="s">
        <v>1258</v>
      </c>
      <c r="C819" s="1" t="s">
        <v>38</v>
      </c>
      <c r="D819" s="1" t="s">
        <v>2929</v>
      </c>
      <c r="E819" s="5">
        <v>41906</v>
      </c>
      <c r="F819" s="1" t="s">
        <v>2931</v>
      </c>
      <c r="G819" s="1" t="s">
        <v>40</v>
      </c>
      <c r="H819" s="1" t="s">
        <v>41</v>
      </c>
      <c r="I819" s="1" t="s">
        <v>2810</v>
      </c>
      <c r="J819" s="1" t="s">
        <v>1116</v>
      </c>
      <c r="K819" s="1">
        <v>38237090</v>
      </c>
      <c r="L819" s="6">
        <v>75.09</v>
      </c>
      <c r="M819" s="1" t="s">
        <v>70</v>
      </c>
      <c r="N819" s="7" t="s">
        <v>67</v>
      </c>
      <c r="O819" s="1" t="s">
        <v>1117</v>
      </c>
      <c r="P819" s="8">
        <v>107000</v>
      </c>
      <c r="Q819" s="17">
        <f t="shared" si="83"/>
        <v>8034630</v>
      </c>
      <c r="R819" s="9">
        <v>0</v>
      </c>
      <c r="S819" s="9">
        <v>0</v>
      </c>
      <c r="T819" s="9">
        <v>307887.02</v>
      </c>
      <c r="U819" s="10">
        <v>0</v>
      </c>
      <c r="V819" s="1" t="s">
        <v>46</v>
      </c>
      <c r="W819" s="1" t="s">
        <v>361</v>
      </c>
      <c r="X819" s="1">
        <v>4969763</v>
      </c>
      <c r="Y819" s="11">
        <v>41894</v>
      </c>
      <c r="Z819" s="11">
        <v>41895</v>
      </c>
      <c r="AA819" s="9">
        <f t="shared" si="86"/>
        <v>8034630</v>
      </c>
      <c r="AB819" s="12">
        <v>1</v>
      </c>
      <c r="AC819" s="9">
        <f t="shared" si="84"/>
        <v>8034630</v>
      </c>
      <c r="AD819" s="9">
        <f t="shared" si="85"/>
        <v>8034630</v>
      </c>
      <c r="AE819" s="1" t="s">
        <v>4162</v>
      </c>
      <c r="AF819" s="1" t="s">
        <v>1117</v>
      </c>
      <c r="AG819" s="4">
        <f t="shared" si="81"/>
        <v>8034630</v>
      </c>
      <c r="AH819" s="10">
        <v>8034630</v>
      </c>
      <c r="AI819" s="10"/>
      <c r="AJ819" s="10"/>
      <c r="AK819" s="10"/>
      <c r="AL819" s="9">
        <f t="shared" si="82"/>
        <v>8034630</v>
      </c>
      <c r="AM819" s="1"/>
      <c r="AN819" s="1"/>
      <c r="AO819" s="12"/>
      <c r="AP819" s="1" t="s">
        <v>4064</v>
      </c>
      <c r="AQ819" s="11" t="s">
        <v>4065</v>
      </c>
      <c r="AR819" s="1" t="s">
        <v>4074</v>
      </c>
      <c r="AS819" s="1" t="s">
        <v>4059</v>
      </c>
      <c r="AT819" s="1" t="s">
        <v>49</v>
      </c>
      <c r="AU819" s="1" t="s">
        <v>4171</v>
      </c>
    </row>
    <row r="820" spans="1:47" ht="15" customHeight="1" x14ac:dyDescent="0.25">
      <c r="A820" s="1">
        <v>816</v>
      </c>
      <c r="B820" s="1" t="s">
        <v>1258</v>
      </c>
      <c r="C820" s="1" t="s">
        <v>38</v>
      </c>
      <c r="D820" s="1">
        <v>9103550638</v>
      </c>
      <c r="E820" s="5">
        <v>41900</v>
      </c>
      <c r="F820" s="1" t="s">
        <v>742</v>
      </c>
      <c r="G820" s="1" t="s">
        <v>40</v>
      </c>
      <c r="H820" s="1" t="s">
        <v>41</v>
      </c>
      <c r="I820" s="1" t="s">
        <v>2809</v>
      </c>
      <c r="J820" s="1" t="s">
        <v>63</v>
      </c>
      <c r="K820" s="1">
        <v>29161990</v>
      </c>
      <c r="L820" s="6">
        <v>39.08</v>
      </c>
      <c r="M820" s="1" t="s">
        <v>70</v>
      </c>
      <c r="N820" s="7" t="s">
        <v>44</v>
      </c>
      <c r="O820" s="1" t="s">
        <v>53</v>
      </c>
      <c r="P820" s="8">
        <v>2570</v>
      </c>
      <c r="Q820" s="17">
        <f t="shared" si="83"/>
        <v>100435.59999999999</v>
      </c>
      <c r="R820" s="9">
        <v>1120</v>
      </c>
      <c r="S820" s="9">
        <v>14.36</v>
      </c>
      <c r="T820" s="9">
        <v>0</v>
      </c>
      <c r="U820" s="10">
        <v>0</v>
      </c>
      <c r="V820" s="1" t="s">
        <v>46</v>
      </c>
      <c r="W820" s="1" t="s">
        <v>64</v>
      </c>
      <c r="X820" s="1">
        <v>4975234</v>
      </c>
      <c r="Y820" s="11">
        <v>41895</v>
      </c>
      <c r="Z820" s="11">
        <v>41897</v>
      </c>
      <c r="AA820" s="9">
        <f t="shared" si="86"/>
        <v>99301.239999999991</v>
      </c>
      <c r="AB820" s="12">
        <v>60</v>
      </c>
      <c r="AC820" s="9">
        <f t="shared" si="84"/>
        <v>6026135.9999999991</v>
      </c>
      <c r="AD820" s="9">
        <f t="shared" si="85"/>
        <v>5958074.3999999994</v>
      </c>
      <c r="AE820" s="1" t="s">
        <v>51</v>
      </c>
      <c r="AF820" s="1" t="s">
        <v>53</v>
      </c>
      <c r="AG820" s="4">
        <f t="shared" si="81"/>
        <v>100435.59999999999</v>
      </c>
      <c r="AH820" s="10">
        <v>100395</v>
      </c>
      <c r="AI820" s="10">
        <v>750</v>
      </c>
      <c r="AJ820" s="10">
        <v>14.36</v>
      </c>
      <c r="AK820" s="10">
        <v>0</v>
      </c>
      <c r="AL820" s="9">
        <f t="shared" si="82"/>
        <v>99630.64</v>
      </c>
      <c r="AM820" s="1"/>
      <c r="AN820" s="1"/>
      <c r="AO820" s="12" t="e">
        <f>AB820/#REF!</f>
        <v>#REF!</v>
      </c>
      <c r="AP820" s="1" t="s">
        <v>2425</v>
      </c>
      <c r="AQ820" s="11">
        <v>41918</v>
      </c>
      <c r="AR820" s="1" t="s">
        <v>2426</v>
      </c>
      <c r="AS820" s="11">
        <v>41975</v>
      </c>
      <c r="AT820" s="1" t="s">
        <v>49</v>
      </c>
      <c r="AU820" s="1" t="s">
        <v>4171</v>
      </c>
    </row>
    <row r="821" spans="1:47" ht="15" customHeight="1" x14ac:dyDescent="0.25">
      <c r="A821" s="1">
        <v>817</v>
      </c>
      <c r="B821" s="1" t="s">
        <v>1258</v>
      </c>
      <c r="C821" s="1" t="s">
        <v>38</v>
      </c>
      <c r="D821" s="1" t="s">
        <v>2427</v>
      </c>
      <c r="E821" s="5">
        <v>41901</v>
      </c>
      <c r="F821" s="1" t="s">
        <v>741</v>
      </c>
      <c r="G821" s="1" t="s">
        <v>40</v>
      </c>
      <c r="H821" s="1" t="s">
        <v>41</v>
      </c>
      <c r="I821" s="1" t="s">
        <v>2809</v>
      </c>
      <c r="J821" s="1" t="s">
        <v>200</v>
      </c>
      <c r="K821" s="1">
        <v>38231900</v>
      </c>
      <c r="L821" s="6">
        <v>79.58</v>
      </c>
      <c r="M821" s="1" t="s">
        <v>70</v>
      </c>
      <c r="N821" s="7" t="s">
        <v>44</v>
      </c>
      <c r="O821" s="1" t="s">
        <v>53</v>
      </c>
      <c r="P821" s="8">
        <v>1650</v>
      </c>
      <c r="Q821" s="17">
        <f t="shared" si="83"/>
        <v>131307</v>
      </c>
      <c r="R821" s="9">
        <v>3600</v>
      </c>
      <c r="S821" s="9">
        <v>18.78</v>
      </c>
      <c r="T821" s="9">
        <v>1313.07</v>
      </c>
      <c r="U821" s="10">
        <v>0</v>
      </c>
      <c r="V821" s="1" t="s">
        <v>46</v>
      </c>
      <c r="W821" s="1" t="s">
        <v>59</v>
      </c>
      <c r="X821" s="1">
        <v>4969955</v>
      </c>
      <c r="Y821" s="11">
        <v>41894</v>
      </c>
      <c r="Z821" s="11">
        <v>41897</v>
      </c>
      <c r="AA821" s="9">
        <f t="shared" si="86"/>
        <v>127688.22</v>
      </c>
      <c r="AB821" s="12">
        <v>60</v>
      </c>
      <c r="AC821" s="9">
        <f t="shared" si="84"/>
        <v>7878420</v>
      </c>
      <c r="AD821" s="9">
        <f t="shared" si="85"/>
        <v>7661293.2000000002</v>
      </c>
      <c r="AE821" s="1" t="s">
        <v>51</v>
      </c>
      <c r="AF821" s="1" t="s">
        <v>53</v>
      </c>
      <c r="AG821" s="4">
        <f t="shared" si="81"/>
        <v>131307</v>
      </c>
      <c r="AH821" s="10">
        <v>131307</v>
      </c>
      <c r="AI821" s="10">
        <v>3600</v>
      </c>
      <c r="AJ821" s="10">
        <v>18.78</v>
      </c>
      <c r="AK821" s="10">
        <v>1313.07</v>
      </c>
      <c r="AL821" s="9">
        <f t="shared" si="82"/>
        <v>126375.15</v>
      </c>
      <c r="AM821" s="1"/>
      <c r="AN821" s="1"/>
      <c r="AO821" s="12" t="e">
        <f>AB821/#REF!</f>
        <v>#REF!</v>
      </c>
      <c r="AP821" s="1" t="s">
        <v>2428</v>
      </c>
      <c r="AQ821" s="11">
        <v>41932</v>
      </c>
      <c r="AR821" s="1" t="s">
        <v>2429</v>
      </c>
      <c r="AS821" s="11">
        <v>41978</v>
      </c>
      <c r="AT821" s="1" t="s">
        <v>49</v>
      </c>
      <c r="AU821" s="1" t="s">
        <v>4171</v>
      </c>
    </row>
    <row r="822" spans="1:47" ht="15" customHeight="1" x14ac:dyDescent="0.25">
      <c r="A822" s="1">
        <v>818</v>
      </c>
      <c r="B822" s="1" t="s">
        <v>1258</v>
      </c>
      <c r="C822" s="1" t="s">
        <v>38</v>
      </c>
      <c r="D822" s="1" t="s">
        <v>2427</v>
      </c>
      <c r="E822" s="5">
        <v>41901</v>
      </c>
      <c r="F822" s="1" t="s">
        <v>749</v>
      </c>
      <c r="G822" s="1" t="s">
        <v>40</v>
      </c>
      <c r="H822" s="1" t="s">
        <v>41</v>
      </c>
      <c r="I822" s="1" t="s">
        <v>2809</v>
      </c>
      <c r="J822" s="1" t="s">
        <v>200</v>
      </c>
      <c r="K822" s="1">
        <v>38231900</v>
      </c>
      <c r="L822" s="6">
        <v>39.56</v>
      </c>
      <c r="M822" s="1" t="s">
        <v>70</v>
      </c>
      <c r="N822" s="7" t="s">
        <v>44</v>
      </c>
      <c r="O822" s="1" t="s">
        <v>53</v>
      </c>
      <c r="P822" s="8">
        <v>1650</v>
      </c>
      <c r="Q822" s="17">
        <f t="shared" si="83"/>
        <v>65274.000000000007</v>
      </c>
      <c r="R822" s="9">
        <v>1800</v>
      </c>
      <c r="S822" s="9">
        <v>9.33</v>
      </c>
      <c r="T822" s="9">
        <v>652.74</v>
      </c>
      <c r="U822" s="10">
        <v>0</v>
      </c>
      <c r="V822" s="1" t="s">
        <v>46</v>
      </c>
      <c r="W822" s="1" t="s">
        <v>59</v>
      </c>
      <c r="X822" s="1">
        <v>4975039</v>
      </c>
      <c r="Y822" s="11">
        <v>41895</v>
      </c>
      <c r="Z822" s="11">
        <v>41897</v>
      </c>
      <c r="AA822" s="9">
        <f t="shared" si="86"/>
        <v>63464.670000000006</v>
      </c>
      <c r="AB822" s="12">
        <v>60</v>
      </c>
      <c r="AC822" s="9">
        <f t="shared" si="84"/>
        <v>3916440.0000000005</v>
      </c>
      <c r="AD822" s="9">
        <f t="shared" si="85"/>
        <v>3807880.2</v>
      </c>
      <c r="AE822" s="1" t="s">
        <v>51</v>
      </c>
      <c r="AF822" s="1" t="s">
        <v>53</v>
      </c>
      <c r="AG822" s="4">
        <f t="shared" si="81"/>
        <v>65274.000000000007</v>
      </c>
      <c r="AH822" s="10">
        <v>65259</v>
      </c>
      <c r="AI822" s="10">
        <v>1800</v>
      </c>
      <c r="AJ822" s="10">
        <v>9.33</v>
      </c>
      <c r="AK822" s="10">
        <v>652.74</v>
      </c>
      <c r="AL822" s="9">
        <f t="shared" si="82"/>
        <v>62796.93</v>
      </c>
      <c r="AM822" s="1"/>
      <c r="AN822" s="1"/>
      <c r="AO822" s="12" t="e">
        <f>AB822/#REF!</f>
        <v>#REF!</v>
      </c>
      <c r="AP822" s="1" t="s">
        <v>2428</v>
      </c>
      <c r="AQ822" s="11">
        <v>41932</v>
      </c>
      <c r="AR822" s="1" t="s">
        <v>2430</v>
      </c>
      <c r="AS822" s="11">
        <v>41978</v>
      </c>
      <c r="AT822" s="1" t="s">
        <v>49</v>
      </c>
      <c r="AU822" s="1" t="s">
        <v>4171</v>
      </c>
    </row>
    <row r="823" spans="1:47" ht="15" customHeight="1" x14ac:dyDescent="0.25">
      <c r="A823" s="1">
        <v>819</v>
      </c>
      <c r="B823" s="1" t="s">
        <v>1258</v>
      </c>
      <c r="C823" s="1" t="s">
        <v>38</v>
      </c>
      <c r="D823" s="1">
        <v>9103550641</v>
      </c>
      <c r="E823" s="5">
        <v>41899</v>
      </c>
      <c r="F823" s="1" t="s">
        <v>751</v>
      </c>
      <c r="G823" s="1" t="s">
        <v>40</v>
      </c>
      <c r="H823" s="1" t="s">
        <v>41</v>
      </c>
      <c r="I823" s="1" t="s">
        <v>2809</v>
      </c>
      <c r="J823" s="1" t="s">
        <v>2955</v>
      </c>
      <c r="K823" s="1">
        <v>38231900</v>
      </c>
      <c r="L823" s="6">
        <v>39.58</v>
      </c>
      <c r="M823" s="1" t="s">
        <v>70</v>
      </c>
      <c r="N823" s="7" t="s">
        <v>44</v>
      </c>
      <c r="O823" s="1" t="s">
        <v>45</v>
      </c>
      <c r="P823" s="8">
        <v>2920</v>
      </c>
      <c r="Q823" s="17">
        <f t="shared" si="83"/>
        <v>115573.59999999999</v>
      </c>
      <c r="R823" s="9">
        <v>1450.38</v>
      </c>
      <c r="S823" s="9">
        <v>16.53</v>
      </c>
      <c r="T823" s="9">
        <v>2216.48</v>
      </c>
      <c r="U823" s="10">
        <v>0</v>
      </c>
      <c r="V823" s="1" t="s">
        <v>46</v>
      </c>
      <c r="W823" s="1" t="s">
        <v>2657</v>
      </c>
      <c r="X823" s="1">
        <v>4981801</v>
      </c>
      <c r="Y823" s="11">
        <v>41895</v>
      </c>
      <c r="Z823" s="11">
        <v>41897</v>
      </c>
      <c r="AA823" s="9">
        <f t="shared" si="86"/>
        <v>114106.68999999999</v>
      </c>
      <c r="AB823" s="12">
        <v>78.599999999999994</v>
      </c>
      <c r="AC823" s="9">
        <f t="shared" si="84"/>
        <v>9084084.959999999</v>
      </c>
      <c r="AD823" s="9">
        <f t="shared" si="85"/>
        <v>8968785.8339999989</v>
      </c>
      <c r="AE823" s="1" t="s">
        <v>57</v>
      </c>
      <c r="AF823" s="1" t="s">
        <v>45</v>
      </c>
      <c r="AG823" s="4">
        <f t="shared" si="81"/>
        <v>115573.59999999999</v>
      </c>
      <c r="AH823" s="10">
        <v>115573.6</v>
      </c>
      <c r="AI823" s="10">
        <v>1519.51</v>
      </c>
      <c r="AJ823" s="10">
        <v>16.53</v>
      </c>
      <c r="AK823" s="10">
        <v>2216.48</v>
      </c>
      <c r="AL823" s="9">
        <f t="shared" si="82"/>
        <v>111821.08</v>
      </c>
      <c r="AM823" s="1"/>
      <c r="AN823" s="1"/>
      <c r="AO823" s="12" t="e">
        <f>AB823/#REF!</f>
        <v>#REF!</v>
      </c>
      <c r="AP823" s="1" t="s">
        <v>2431</v>
      </c>
      <c r="AQ823" s="11">
        <v>41975</v>
      </c>
      <c r="AR823" s="1" t="s">
        <v>2432</v>
      </c>
      <c r="AS823" s="11">
        <v>42060</v>
      </c>
      <c r="AT823" s="1" t="s">
        <v>49</v>
      </c>
      <c r="AU823" s="1" t="s">
        <v>4171</v>
      </c>
    </row>
    <row r="824" spans="1:47" ht="15" customHeight="1" x14ac:dyDescent="0.25">
      <c r="A824" s="1">
        <v>820</v>
      </c>
      <c r="B824" s="1" t="s">
        <v>1258</v>
      </c>
      <c r="C824" s="1" t="s">
        <v>38</v>
      </c>
      <c r="D824" s="1">
        <v>9103550642</v>
      </c>
      <c r="E824" s="5">
        <v>41900</v>
      </c>
      <c r="F824" s="1" t="s">
        <v>746</v>
      </c>
      <c r="G824" s="1" t="s">
        <v>40</v>
      </c>
      <c r="H824" s="1" t="s">
        <v>41</v>
      </c>
      <c r="I824" s="1" t="s">
        <v>2809</v>
      </c>
      <c r="J824" s="1" t="s">
        <v>82</v>
      </c>
      <c r="K824" s="1">
        <v>38231900</v>
      </c>
      <c r="L824" s="6">
        <v>9.36</v>
      </c>
      <c r="M824" s="1" t="s">
        <v>70</v>
      </c>
      <c r="N824" s="7" t="s">
        <v>44</v>
      </c>
      <c r="O824" s="1" t="s">
        <v>53</v>
      </c>
      <c r="P824" s="8">
        <v>1865</v>
      </c>
      <c r="Q824" s="17">
        <f t="shared" si="83"/>
        <v>17456.399999999998</v>
      </c>
      <c r="R824" s="9">
        <v>100</v>
      </c>
      <c r="S824" s="9">
        <v>2.5</v>
      </c>
      <c r="T824" s="9">
        <v>0</v>
      </c>
      <c r="U824" s="10">
        <v>0</v>
      </c>
      <c r="V824" s="1" t="s">
        <v>46</v>
      </c>
      <c r="W824" s="1" t="s">
        <v>72</v>
      </c>
      <c r="X824" s="1">
        <v>4979494</v>
      </c>
      <c r="Y824" s="11">
        <v>41895</v>
      </c>
      <c r="Z824" s="11">
        <v>41897</v>
      </c>
      <c r="AA824" s="9">
        <f t="shared" si="86"/>
        <v>17353.899999999998</v>
      </c>
      <c r="AB824" s="12">
        <v>60</v>
      </c>
      <c r="AC824" s="9">
        <f t="shared" si="84"/>
        <v>1047383.9999999999</v>
      </c>
      <c r="AD824" s="9">
        <f t="shared" si="85"/>
        <v>1041233.9999999999</v>
      </c>
      <c r="AE824" s="1" t="s">
        <v>48</v>
      </c>
      <c r="AF824" s="1" t="s">
        <v>53</v>
      </c>
      <c r="AG824" s="4">
        <f t="shared" si="81"/>
        <v>17456.399999999998</v>
      </c>
      <c r="AH824" s="10">
        <v>17416.400000000001</v>
      </c>
      <c r="AI824" s="10">
        <v>65</v>
      </c>
      <c r="AJ824" s="10">
        <v>2.5</v>
      </c>
      <c r="AK824" s="10">
        <v>0</v>
      </c>
      <c r="AL824" s="9">
        <f t="shared" si="82"/>
        <v>17348.900000000001</v>
      </c>
      <c r="AM824" s="1"/>
      <c r="AN824" s="1"/>
      <c r="AO824" s="12" t="e">
        <f>AB824/#REF!</f>
        <v>#REF!</v>
      </c>
      <c r="AP824" s="1" t="s">
        <v>2433</v>
      </c>
      <c r="AQ824" s="11">
        <v>42025</v>
      </c>
      <c r="AR824" s="1" t="s">
        <v>2434</v>
      </c>
      <c r="AS824" s="11">
        <v>42026</v>
      </c>
      <c r="AT824" s="1" t="s">
        <v>49</v>
      </c>
      <c r="AU824" s="1" t="s">
        <v>4171</v>
      </c>
    </row>
    <row r="825" spans="1:47" ht="15" customHeight="1" x14ac:dyDescent="0.25">
      <c r="A825" s="1">
        <v>821</v>
      </c>
      <c r="B825" s="1" t="s">
        <v>1258</v>
      </c>
      <c r="C825" s="1" t="s">
        <v>38</v>
      </c>
      <c r="D825" s="1">
        <v>9103550643</v>
      </c>
      <c r="E825" s="5">
        <v>41904</v>
      </c>
      <c r="F825" s="1" t="s">
        <v>750</v>
      </c>
      <c r="G825" s="1" t="s">
        <v>40</v>
      </c>
      <c r="H825" s="1" t="s">
        <v>41</v>
      </c>
      <c r="I825" s="1" t="s">
        <v>2809</v>
      </c>
      <c r="J825" s="1" t="s">
        <v>187</v>
      </c>
      <c r="K825" s="1">
        <v>29051700</v>
      </c>
      <c r="L825" s="6">
        <v>18.21</v>
      </c>
      <c r="M825" s="1" t="s">
        <v>70</v>
      </c>
      <c r="N825" s="7" t="s">
        <v>44</v>
      </c>
      <c r="O825" s="1" t="s">
        <v>53</v>
      </c>
      <c r="P825" s="8">
        <v>2343</v>
      </c>
      <c r="Q825" s="17">
        <f t="shared" si="83"/>
        <v>42666.03</v>
      </c>
      <c r="R825" s="9">
        <v>4850</v>
      </c>
      <c r="S825" s="9">
        <v>6.1</v>
      </c>
      <c r="T825" s="9">
        <v>0</v>
      </c>
      <c r="U825" s="10">
        <v>0</v>
      </c>
      <c r="V825" s="1" t="s">
        <v>46</v>
      </c>
      <c r="W825" s="1" t="s">
        <v>56</v>
      </c>
      <c r="X825" s="1">
        <v>5007363</v>
      </c>
      <c r="Y825" s="11">
        <v>41897</v>
      </c>
      <c r="Z825" s="11">
        <v>41898</v>
      </c>
      <c r="AA825" s="9">
        <f t="shared" si="86"/>
        <v>37809.93</v>
      </c>
      <c r="AB825" s="12">
        <v>60</v>
      </c>
      <c r="AC825" s="9">
        <f t="shared" si="84"/>
        <v>2559961.7999999998</v>
      </c>
      <c r="AD825" s="9">
        <f t="shared" si="85"/>
        <v>2268595.7999999998</v>
      </c>
      <c r="AE825" s="1" t="s">
        <v>48</v>
      </c>
      <c r="AF825" s="1" t="s">
        <v>53</v>
      </c>
      <c r="AG825" s="4">
        <f t="shared" si="81"/>
        <v>42666.03</v>
      </c>
      <c r="AH825" s="10">
        <v>42666.03</v>
      </c>
      <c r="AI825" s="10">
        <v>4800</v>
      </c>
      <c r="AJ825" s="10">
        <v>6.1</v>
      </c>
      <c r="AK825" s="10">
        <v>0</v>
      </c>
      <c r="AL825" s="9">
        <f t="shared" si="82"/>
        <v>37859.93</v>
      </c>
      <c r="AM825" s="1"/>
      <c r="AN825" s="1"/>
      <c r="AO825" s="12" t="e">
        <f>AB825/#REF!</f>
        <v>#REF!</v>
      </c>
      <c r="AP825" s="1" t="s">
        <v>2435</v>
      </c>
      <c r="AQ825" s="11">
        <v>41964</v>
      </c>
      <c r="AR825" s="1" t="s">
        <v>2436</v>
      </c>
      <c r="AS825" s="11">
        <v>41967</v>
      </c>
      <c r="AT825" s="1" t="s">
        <v>49</v>
      </c>
      <c r="AU825" s="1" t="s">
        <v>4171</v>
      </c>
    </row>
    <row r="826" spans="1:47" ht="15" customHeight="1" x14ac:dyDescent="0.25">
      <c r="A826" s="1">
        <v>822</v>
      </c>
      <c r="B826" s="1" t="s">
        <v>1258</v>
      </c>
      <c r="C826" s="1" t="s">
        <v>38</v>
      </c>
      <c r="D826" s="1">
        <v>9103550644</v>
      </c>
      <c r="E826" s="5">
        <v>41906</v>
      </c>
      <c r="F826" s="1" t="s">
        <v>2932</v>
      </c>
      <c r="G826" s="1" t="s">
        <v>40</v>
      </c>
      <c r="H826" s="1" t="s">
        <v>41</v>
      </c>
      <c r="I826" s="1" t="s">
        <v>2810</v>
      </c>
      <c r="J826" s="1" t="s">
        <v>1116</v>
      </c>
      <c r="K826" s="1">
        <v>29054500</v>
      </c>
      <c r="L826" s="6">
        <v>20</v>
      </c>
      <c r="M826" s="1" t="s">
        <v>70</v>
      </c>
      <c r="N826" s="7" t="s">
        <v>67</v>
      </c>
      <c r="O826" s="1" t="s">
        <v>1117</v>
      </c>
      <c r="P826" s="8">
        <v>61980</v>
      </c>
      <c r="Q826" s="17">
        <f t="shared" si="83"/>
        <v>1239600</v>
      </c>
      <c r="R826" s="9">
        <v>0</v>
      </c>
      <c r="S826" s="9">
        <v>0</v>
      </c>
      <c r="T826" s="9">
        <v>47501.47</v>
      </c>
      <c r="U826" s="10">
        <v>0</v>
      </c>
      <c r="V826" s="1" t="s">
        <v>46</v>
      </c>
      <c r="W826" s="1" t="s">
        <v>361</v>
      </c>
      <c r="X826" s="1">
        <v>5007369</v>
      </c>
      <c r="Y826" s="11">
        <v>41897</v>
      </c>
      <c r="Z826" s="11">
        <v>41898</v>
      </c>
      <c r="AA826" s="9">
        <f t="shared" si="86"/>
        <v>1239600</v>
      </c>
      <c r="AB826" s="12">
        <v>1</v>
      </c>
      <c r="AC826" s="9">
        <f t="shared" si="84"/>
        <v>1239600</v>
      </c>
      <c r="AD826" s="9">
        <f t="shared" si="85"/>
        <v>1239600</v>
      </c>
      <c r="AE826" s="1" t="s">
        <v>4162</v>
      </c>
      <c r="AF826" s="1" t="s">
        <v>1117</v>
      </c>
      <c r="AG826" s="4">
        <f t="shared" si="81"/>
        <v>1239600</v>
      </c>
      <c r="AH826" s="10">
        <v>1239600</v>
      </c>
      <c r="AI826" s="10"/>
      <c r="AJ826" s="10"/>
      <c r="AK826" s="10"/>
      <c r="AL826" s="9">
        <f t="shared" si="82"/>
        <v>1239600</v>
      </c>
      <c r="AM826" s="1"/>
      <c r="AN826" s="1"/>
      <c r="AO826" s="12"/>
      <c r="AP826" s="1" t="s">
        <v>3939</v>
      </c>
      <c r="AQ826" s="11" t="s">
        <v>3940</v>
      </c>
      <c r="AR826" s="1" t="s">
        <v>3937</v>
      </c>
      <c r="AS826" s="1" t="s">
        <v>3938</v>
      </c>
      <c r="AT826" s="1" t="s">
        <v>49</v>
      </c>
      <c r="AU826" s="1" t="s">
        <v>4171</v>
      </c>
    </row>
    <row r="827" spans="1:47" ht="15" customHeight="1" x14ac:dyDescent="0.25">
      <c r="A827" s="1">
        <v>823</v>
      </c>
      <c r="B827" s="1" t="s">
        <v>1258</v>
      </c>
      <c r="C827" s="1" t="s">
        <v>38</v>
      </c>
      <c r="D827" s="1">
        <v>9103550645</v>
      </c>
      <c r="E827" s="5">
        <v>41903</v>
      </c>
      <c r="F827" s="1" t="s">
        <v>748</v>
      </c>
      <c r="G827" s="1" t="s">
        <v>40</v>
      </c>
      <c r="H827" s="1" t="s">
        <v>41</v>
      </c>
      <c r="I827" s="1" t="s">
        <v>2809</v>
      </c>
      <c r="J827" s="1" t="s">
        <v>187</v>
      </c>
      <c r="K827" s="1">
        <v>38237090</v>
      </c>
      <c r="L827" s="6">
        <v>54</v>
      </c>
      <c r="M827" s="1" t="s">
        <v>70</v>
      </c>
      <c r="N827" s="7" t="s">
        <v>44</v>
      </c>
      <c r="O827" s="1" t="s">
        <v>53</v>
      </c>
      <c r="P827" s="8">
        <v>4094</v>
      </c>
      <c r="Q827" s="17">
        <f t="shared" si="83"/>
        <v>221076</v>
      </c>
      <c r="R827" s="9">
        <v>10230</v>
      </c>
      <c r="S827" s="9">
        <v>31.61</v>
      </c>
      <c r="T827" s="9">
        <v>0</v>
      </c>
      <c r="U827" s="10">
        <v>0</v>
      </c>
      <c r="V827" s="1" t="s">
        <v>46</v>
      </c>
      <c r="W827" s="1" t="s">
        <v>56</v>
      </c>
      <c r="X827" s="1">
        <v>4999377</v>
      </c>
      <c r="Y827" s="11">
        <v>41897</v>
      </c>
      <c r="Z827" s="11">
        <v>41898</v>
      </c>
      <c r="AA827" s="9">
        <f t="shared" si="86"/>
        <v>210814.39</v>
      </c>
      <c r="AB827" s="12">
        <v>60</v>
      </c>
      <c r="AC827" s="9">
        <f t="shared" si="84"/>
        <v>13264560</v>
      </c>
      <c r="AD827" s="9">
        <f t="shared" si="85"/>
        <v>12648863.4</v>
      </c>
      <c r="AE827" s="1" t="s">
        <v>48</v>
      </c>
      <c r="AF827" s="1" t="s">
        <v>53</v>
      </c>
      <c r="AG827" s="4">
        <f t="shared" si="81"/>
        <v>221076</v>
      </c>
      <c r="AH827" s="10">
        <v>221076</v>
      </c>
      <c r="AI827" s="10">
        <v>10209</v>
      </c>
      <c r="AJ827" s="10">
        <v>31.61</v>
      </c>
      <c r="AK827" s="10">
        <v>0</v>
      </c>
      <c r="AL827" s="9">
        <f t="shared" si="82"/>
        <v>210835.39</v>
      </c>
      <c r="AM827" s="1"/>
      <c r="AN827" s="1"/>
      <c r="AO827" s="12" t="e">
        <f>AB827/#REF!</f>
        <v>#REF!</v>
      </c>
      <c r="AP827" s="1" t="s">
        <v>2437</v>
      </c>
      <c r="AQ827" s="11">
        <v>41964</v>
      </c>
      <c r="AR827" s="1" t="s">
        <v>2438</v>
      </c>
      <c r="AS827" s="11">
        <v>41967</v>
      </c>
      <c r="AT827" s="1" t="s">
        <v>49</v>
      </c>
      <c r="AU827" s="1" t="s">
        <v>4171</v>
      </c>
    </row>
    <row r="828" spans="1:47" ht="15" customHeight="1" x14ac:dyDescent="0.25">
      <c r="A828" s="1">
        <v>824</v>
      </c>
      <c r="B828" s="1" t="s">
        <v>1258</v>
      </c>
      <c r="C828" s="1" t="s">
        <v>38</v>
      </c>
      <c r="D828" s="1">
        <v>9103550646</v>
      </c>
      <c r="E828" s="5">
        <v>41903</v>
      </c>
      <c r="F828" s="1" t="s">
        <v>743</v>
      </c>
      <c r="G828" s="1" t="s">
        <v>40</v>
      </c>
      <c r="H828" s="1" t="s">
        <v>41</v>
      </c>
      <c r="I828" s="1" t="s">
        <v>2809</v>
      </c>
      <c r="J828" s="1" t="s">
        <v>187</v>
      </c>
      <c r="K828" s="1">
        <v>29051700</v>
      </c>
      <c r="L828" s="6">
        <v>54.42</v>
      </c>
      <c r="M828" s="1" t="s">
        <v>70</v>
      </c>
      <c r="N828" s="7" t="s">
        <v>44</v>
      </c>
      <c r="O828" s="1" t="s">
        <v>53</v>
      </c>
      <c r="P828" s="8">
        <v>1712</v>
      </c>
      <c r="Q828" s="17">
        <f t="shared" si="83"/>
        <v>93167.040000000008</v>
      </c>
      <c r="R828" s="9">
        <v>9000</v>
      </c>
      <c r="S828" s="9">
        <v>13.32</v>
      </c>
      <c r="T828" s="9">
        <v>0</v>
      </c>
      <c r="U828" s="10">
        <v>0</v>
      </c>
      <c r="V828" s="1" t="s">
        <v>46</v>
      </c>
      <c r="W828" s="1" t="s">
        <v>56</v>
      </c>
      <c r="X828" s="1">
        <v>4996023</v>
      </c>
      <c r="Y828" s="11">
        <v>41897</v>
      </c>
      <c r="Z828" s="11">
        <v>41899</v>
      </c>
      <c r="AA828" s="9">
        <f t="shared" si="86"/>
        <v>84153.72</v>
      </c>
      <c r="AB828" s="12">
        <v>60</v>
      </c>
      <c r="AC828" s="9">
        <f t="shared" si="84"/>
        <v>5590022.4000000004</v>
      </c>
      <c r="AD828" s="9">
        <f t="shared" si="85"/>
        <v>5049223.2</v>
      </c>
      <c r="AE828" s="1" t="s">
        <v>48</v>
      </c>
      <c r="AF828" s="1" t="s">
        <v>53</v>
      </c>
      <c r="AG828" s="4">
        <f t="shared" si="81"/>
        <v>93167.040000000008</v>
      </c>
      <c r="AH828" s="10">
        <v>93167.039999999994</v>
      </c>
      <c r="AI828" s="10">
        <v>8802</v>
      </c>
      <c r="AJ828" s="10">
        <v>13.32</v>
      </c>
      <c r="AK828" s="10">
        <v>0</v>
      </c>
      <c r="AL828" s="9">
        <f t="shared" si="82"/>
        <v>84351.72</v>
      </c>
      <c r="AM828" s="1"/>
      <c r="AN828" s="1"/>
      <c r="AO828" s="12" t="e">
        <f>AB828/#REF!</f>
        <v>#REF!</v>
      </c>
      <c r="AP828" s="1" t="s">
        <v>2439</v>
      </c>
      <c r="AQ828" s="11">
        <v>41964</v>
      </c>
      <c r="AR828" s="1" t="s">
        <v>2440</v>
      </c>
      <c r="AS828" s="11">
        <v>41967</v>
      </c>
      <c r="AT828" s="1" t="s">
        <v>49</v>
      </c>
      <c r="AU828" s="1" t="s">
        <v>4171</v>
      </c>
    </row>
    <row r="829" spans="1:47" ht="15" customHeight="1" x14ac:dyDescent="0.25">
      <c r="A829" s="1">
        <v>825</v>
      </c>
      <c r="B829" s="1" t="s">
        <v>1258</v>
      </c>
      <c r="C829" s="1" t="s">
        <v>38</v>
      </c>
      <c r="D829" s="1">
        <v>9103550647</v>
      </c>
      <c r="E829" s="5">
        <v>41903</v>
      </c>
      <c r="F829" s="1" t="s">
        <v>744</v>
      </c>
      <c r="G829" s="1" t="s">
        <v>40</v>
      </c>
      <c r="H829" s="1" t="s">
        <v>41</v>
      </c>
      <c r="I829" s="1" t="s">
        <v>2809</v>
      </c>
      <c r="J829" s="1" t="s">
        <v>187</v>
      </c>
      <c r="K829" s="1">
        <v>29051700</v>
      </c>
      <c r="L829" s="6">
        <v>18.14</v>
      </c>
      <c r="M829" s="1" t="s">
        <v>70</v>
      </c>
      <c r="N829" s="7" t="s">
        <v>44</v>
      </c>
      <c r="O829" s="1" t="s">
        <v>53</v>
      </c>
      <c r="P829" s="8">
        <v>1701</v>
      </c>
      <c r="Q829" s="17">
        <f t="shared" si="83"/>
        <v>30856.14</v>
      </c>
      <c r="R829" s="9">
        <v>3450</v>
      </c>
      <c r="S829" s="9">
        <v>4.41</v>
      </c>
      <c r="T829" s="9">
        <v>0</v>
      </c>
      <c r="U829" s="10">
        <v>0</v>
      </c>
      <c r="V829" s="1" t="s">
        <v>46</v>
      </c>
      <c r="W829" s="1" t="s">
        <v>56</v>
      </c>
      <c r="X829" s="1">
        <v>4979337</v>
      </c>
      <c r="Y829" s="11">
        <v>41895</v>
      </c>
      <c r="Z829" s="11">
        <v>41897</v>
      </c>
      <c r="AA829" s="9">
        <f t="shared" si="86"/>
        <v>27401.73</v>
      </c>
      <c r="AB829" s="12">
        <v>60</v>
      </c>
      <c r="AC829" s="9">
        <f t="shared" si="84"/>
        <v>1851368.4</v>
      </c>
      <c r="AD829" s="9">
        <f t="shared" si="85"/>
        <v>1644103.8</v>
      </c>
      <c r="AE829" s="1" t="s">
        <v>48</v>
      </c>
      <c r="AF829" s="1" t="s">
        <v>53</v>
      </c>
      <c r="AG829" s="4">
        <f t="shared" si="81"/>
        <v>30856.14</v>
      </c>
      <c r="AH829" s="10">
        <v>30856.14</v>
      </c>
      <c r="AI829" s="10">
        <v>3304</v>
      </c>
      <c r="AJ829" s="10">
        <v>4.41</v>
      </c>
      <c r="AK829" s="10">
        <v>0</v>
      </c>
      <c r="AL829" s="9">
        <f t="shared" si="82"/>
        <v>27547.73</v>
      </c>
      <c r="AM829" s="1"/>
      <c r="AN829" s="1"/>
      <c r="AO829" s="12" t="e">
        <f>AB829/#REF!</f>
        <v>#REF!</v>
      </c>
      <c r="AP829" s="1" t="s">
        <v>2441</v>
      </c>
      <c r="AQ829" s="11">
        <v>41964</v>
      </c>
      <c r="AR829" s="1" t="s">
        <v>2442</v>
      </c>
      <c r="AS829" s="11">
        <v>41967</v>
      </c>
      <c r="AT829" s="1" t="s">
        <v>49</v>
      </c>
      <c r="AU829" s="1" t="s">
        <v>4171</v>
      </c>
    </row>
    <row r="830" spans="1:47" ht="15" customHeight="1" x14ac:dyDescent="0.25">
      <c r="A830" s="1">
        <v>826</v>
      </c>
      <c r="B830" s="1" t="s">
        <v>1258</v>
      </c>
      <c r="C830" s="1" t="s">
        <v>38</v>
      </c>
      <c r="D830" s="1">
        <v>9103550648</v>
      </c>
      <c r="E830" s="5">
        <v>41902</v>
      </c>
      <c r="F830" s="1" t="s">
        <v>2933</v>
      </c>
      <c r="G830" s="1" t="s">
        <v>40</v>
      </c>
      <c r="H830" s="1" t="s">
        <v>41</v>
      </c>
      <c r="I830" s="1" t="s">
        <v>2810</v>
      </c>
      <c r="J830" s="1" t="s">
        <v>1116</v>
      </c>
      <c r="K830" s="1">
        <v>38237090</v>
      </c>
      <c r="L830" s="6">
        <v>207.74</v>
      </c>
      <c r="M830" s="1" t="s">
        <v>70</v>
      </c>
      <c r="N830" s="7" t="s">
        <v>67</v>
      </c>
      <c r="O830" s="1" t="s">
        <v>1117</v>
      </c>
      <c r="P830" s="8">
        <v>102900</v>
      </c>
      <c r="Q830" s="17">
        <f t="shared" si="83"/>
        <v>21376446</v>
      </c>
      <c r="R830" s="9">
        <v>0</v>
      </c>
      <c r="S830" s="9">
        <v>0</v>
      </c>
      <c r="T830" s="9">
        <v>0</v>
      </c>
      <c r="U830" s="10">
        <v>0</v>
      </c>
      <c r="V830" s="1" t="s">
        <v>46</v>
      </c>
      <c r="W830" s="1" t="s">
        <v>361</v>
      </c>
      <c r="X830" s="1">
        <v>5028639</v>
      </c>
      <c r="Y830" s="11">
        <v>41898</v>
      </c>
      <c r="Z830" s="11">
        <v>41899</v>
      </c>
      <c r="AA830" s="9">
        <f t="shared" si="86"/>
        <v>21376446</v>
      </c>
      <c r="AB830" s="12">
        <v>1</v>
      </c>
      <c r="AC830" s="9">
        <f t="shared" si="84"/>
        <v>21376446</v>
      </c>
      <c r="AD830" s="9">
        <f t="shared" si="85"/>
        <v>21376446</v>
      </c>
      <c r="AE830" s="1" t="s">
        <v>4162</v>
      </c>
      <c r="AF830" s="1" t="s">
        <v>1117</v>
      </c>
      <c r="AG830" s="4">
        <f t="shared" si="81"/>
        <v>21376446</v>
      </c>
      <c r="AH830" s="10">
        <v>21376446</v>
      </c>
      <c r="AI830" s="10"/>
      <c r="AJ830" s="10"/>
      <c r="AK830" s="10"/>
      <c r="AL830" s="9">
        <f t="shared" si="82"/>
        <v>21376446</v>
      </c>
      <c r="AM830" s="1"/>
      <c r="AN830" s="1"/>
      <c r="AO830" s="12"/>
      <c r="AP830" s="1" t="s">
        <v>3927</v>
      </c>
      <c r="AQ830" s="11" t="s">
        <v>3928</v>
      </c>
      <c r="AR830" s="1" t="s">
        <v>3926</v>
      </c>
      <c r="AS830" s="1" t="s">
        <v>3923</v>
      </c>
      <c r="AT830" s="1" t="s">
        <v>49</v>
      </c>
      <c r="AU830" s="1" t="s">
        <v>4171</v>
      </c>
    </row>
    <row r="831" spans="1:47" ht="15" customHeight="1" x14ac:dyDescent="0.25">
      <c r="A831" s="1">
        <v>827</v>
      </c>
      <c r="B831" s="1" t="s">
        <v>1258</v>
      </c>
      <c r="C831" s="1" t="s">
        <v>38</v>
      </c>
      <c r="D831" s="1">
        <v>9103550649</v>
      </c>
      <c r="E831" s="5">
        <v>41910</v>
      </c>
      <c r="F831" s="1" t="s">
        <v>2934</v>
      </c>
      <c r="G831" s="1" t="s">
        <v>40</v>
      </c>
      <c r="H831" s="1" t="s">
        <v>41</v>
      </c>
      <c r="I831" s="1" t="s">
        <v>2809</v>
      </c>
      <c r="J831" s="1" t="s">
        <v>1714</v>
      </c>
      <c r="K831" s="1">
        <v>38237090</v>
      </c>
      <c r="L831" s="6">
        <v>72</v>
      </c>
      <c r="M831" s="1" t="s">
        <v>70</v>
      </c>
      <c r="N831" s="7" t="s">
        <v>52</v>
      </c>
      <c r="O831" s="1" t="s">
        <v>53</v>
      </c>
      <c r="P831" s="8">
        <v>1750</v>
      </c>
      <c r="Q831" s="17">
        <f t="shared" si="83"/>
        <v>126000</v>
      </c>
      <c r="R831" s="9">
        <v>7500</v>
      </c>
      <c r="S831" s="9">
        <v>0</v>
      </c>
      <c r="T831" s="9">
        <v>0</v>
      </c>
      <c r="U831" s="10">
        <v>0</v>
      </c>
      <c r="V831" s="1" t="s">
        <v>46</v>
      </c>
      <c r="W831" s="1" t="s">
        <v>745</v>
      </c>
      <c r="X831" s="1">
        <v>5045324</v>
      </c>
      <c r="Y831" s="11">
        <v>41899</v>
      </c>
      <c r="Z831" s="11">
        <v>41900</v>
      </c>
      <c r="AA831" s="9">
        <f t="shared" si="86"/>
        <v>118500</v>
      </c>
      <c r="AB831" s="12">
        <v>60</v>
      </c>
      <c r="AC831" s="9">
        <f t="shared" si="84"/>
        <v>7560000</v>
      </c>
      <c r="AD831" s="9">
        <f t="shared" si="85"/>
        <v>7110000</v>
      </c>
      <c r="AE831" s="1" t="s">
        <v>48</v>
      </c>
      <c r="AF831" s="1" t="s">
        <v>53</v>
      </c>
      <c r="AG831" s="4">
        <f t="shared" si="81"/>
        <v>126000</v>
      </c>
      <c r="AH831" s="10">
        <v>125749</v>
      </c>
      <c r="AI831" s="10">
        <v>6000</v>
      </c>
      <c r="AJ831" s="10">
        <v>0</v>
      </c>
      <c r="AK831" s="10">
        <v>0</v>
      </c>
      <c r="AL831" s="9">
        <f t="shared" si="82"/>
        <v>119749</v>
      </c>
      <c r="AM831" s="1"/>
      <c r="AN831" s="1"/>
      <c r="AO831" s="12" t="e">
        <f>AB831/#REF!</f>
        <v>#REF!</v>
      </c>
      <c r="AP831" s="1"/>
      <c r="AQ831" s="11">
        <v>41939</v>
      </c>
      <c r="AR831" s="1" t="s">
        <v>3356</v>
      </c>
      <c r="AS831" s="11">
        <v>41940</v>
      </c>
      <c r="AT831" s="1" t="s">
        <v>49</v>
      </c>
      <c r="AU831" s="1" t="s">
        <v>4171</v>
      </c>
    </row>
    <row r="832" spans="1:47" ht="15" customHeight="1" x14ac:dyDescent="0.25">
      <c r="A832" s="1">
        <v>828</v>
      </c>
      <c r="B832" s="1" t="s">
        <v>1258</v>
      </c>
      <c r="C832" s="1" t="s">
        <v>38</v>
      </c>
      <c r="D832" s="1">
        <v>9103550650</v>
      </c>
      <c r="E832" s="5">
        <v>41904</v>
      </c>
      <c r="F832" s="1" t="s">
        <v>2935</v>
      </c>
      <c r="G832" s="1" t="s">
        <v>40</v>
      </c>
      <c r="H832" s="1" t="s">
        <v>41</v>
      </c>
      <c r="I832" s="1" t="s">
        <v>2809</v>
      </c>
      <c r="J832" s="1" t="s">
        <v>837</v>
      </c>
      <c r="K832" s="1">
        <v>38231900</v>
      </c>
      <c r="L832" s="6">
        <v>19.899999999999999</v>
      </c>
      <c r="M832" s="1" t="s">
        <v>70</v>
      </c>
      <c r="N832" s="7" t="s">
        <v>44</v>
      </c>
      <c r="O832" s="1" t="s">
        <v>53</v>
      </c>
      <c r="P832" s="8">
        <v>3799.9</v>
      </c>
      <c r="Q832" s="17">
        <f t="shared" si="83"/>
        <v>75618.009999999995</v>
      </c>
      <c r="R832" s="9">
        <v>6650</v>
      </c>
      <c r="S832" s="9">
        <v>10.81</v>
      </c>
      <c r="T832" s="9">
        <v>0</v>
      </c>
      <c r="U832" s="10">
        <v>0</v>
      </c>
      <c r="V832" s="1" t="s">
        <v>46</v>
      </c>
      <c r="W832" s="1" t="s">
        <v>56</v>
      </c>
      <c r="X832" s="1">
        <v>5050508</v>
      </c>
      <c r="Y832" s="11">
        <v>41899</v>
      </c>
      <c r="Z832" s="11">
        <v>41900</v>
      </c>
      <c r="AA832" s="9">
        <f t="shared" si="86"/>
        <v>68957.2</v>
      </c>
      <c r="AB832" s="12">
        <v>60</v>
      </c>
      <c r="AC832" s="9">
        <f t="shared" si="84"/>
        <v>4537080.5999999996</v>
      </c>
      <c r="AD832" s="9">
        <f t="shared" si="85"/>
        <v>4137432</v>
      </c>
      <c r="AE832" s="1" t="s">
        <v>57</v>
      </c>
      <c r="AF832" s="1" t="s">
        <v>53</v>
      </c>
      <c r="AG832" s="4">
        <f t="shared" si="81"/>
        <v>75618.009999999995</v>
      </c>
      <c r="AH832" s="10">
        <v>75213.009999999995</v>
      </c>
      <c r="AI832" s="10">
        <v>6250</v>
      </c>
      <c r="AJ832" s="10">
        <v>10.81</v>
      </c>
      <c r="AK832" s="10">
        <v>0</v>
      </c>
      <c r="AL832" s="9">
        <f t="shared" si="82"/>
        <v>68952.2</v>
      </c>
      <c r="AM832" s="1"/>
      <c r="AN832" s="1"/>
      <c r="AO832" s="12" t="e">
        <f>AB832/#REF!</f>
        <v>#REF!</v>
      </c>
      <c r="AP832" s="1"/>
      <c r="AQ832" s="11">
        <v>41961</v>
      </c>
      <c r="AR832" s="1" t="s">
        <v>3624</v>
      </c>
      <c r="AS832" s="11">
        <v>42060</v>
      </c>
      <c r="AT832" s="1" t="s">
        <v>49</v>
      </c>
      <c r="AU832" s="1" t="s">
        <v>4171</v>
      </c>
    </row>
    <row r="833" spans="1:47" ht="15" customHeight="1" x14ac:dyDescent="0.25">
      <c r="A833" s="1">
        <v>829</v>
      </c>
      <c r="B833" s="1" t="s">
        <v>1258</v>
      </c>
      <c r="C833" s="1" t="s">
        <v>38</v>
      </c>
      <c r="D833" s="1">
        <v>9103550651</v>
      </c>
      <c r="E833" s="5">
        <v>41904</v>
      </c>
      <c r="F833" s="1" t="s">
        <v>2936</v>
      </c>
      <c r="G833" s="1" t="s">
        <v>40</v>
      </c>
      <c r="H833" s="1" t="s">
        <v>41</v>
      </c>
      <c r="I833" s="1" t="s">
        <v>2809</v>
      </c>
      <c r="J833" s="1" t="s">
        <v>169</v>
      </c>
      <c r="K833" s="1">
        <v>38231200</v>
      </c>
      <c r="L833" s="6">
        <v>98.54</v>
      </c>
      <c r="M833" s="1" t="s">
        <v>70</v>
      </c>
      <c r="N833" s="7" t="s">
        <v>67</v>
      </c>
      <c r="O833" s="1" t="s">
        <v>53</v>
      </c>
      <c r="P833" s="8">
        <v>1025</v>
      </c>
      <c r="Q833" s="17">
        <f t="shared" si="83"/>
        <v>101003.5</v>
      </c>
      <c r="R833" s="9">
        <v>0</v>
      </c>
      <c r="S833" s="9">
        <v>0</v>
      </c>
      <c r="T833" s="9">
        <v>0</v>
      </c>
      <c r="U833" s="10">
        <v>0</v>
      </c>
      <c r="V833" s="1" t="s">
        <v>46</v>
      </c>
      <c r="W833" s="1" t="s">
        <v>1323</v>
      </c>
      <c r="X833" s="1">
        <v>5050890</v>
      </c>
      <c r="Y833" s="11">
        <v>41899</v>
      </c>
      <c r="Z833" s="11">
        <v>41900</v>
      </c>
      <c r="AA833" s="9">
        <f t="shared" si="86"/>
        <v>101003.5</v>
      </c>
      <c r="AB833" s="12">
        <v>60</v>
      </c>
      <c r="AC833" s="9">
        <f t="shared" si="84"/>
        <v>6060210</v>
      </c>
      <c r="AD833" s="9">
        <f t="shared" si="85"/>
        <v>6060210</v>
      </c>
      <c r="AE833" s="1" t="s">
        <v>48</v>
      </c>
      <c r="AF833" s="1" t="s">
        <v>53</v>
      </c>
      <c r="AG833" s="4">
        <f t="shared" si="81"/>
        <v>101003.5</v>
      </c>
      <c r="AH833" s="10">
        <v>100966.5</v>
      </c>
      <c r="AI833" s="10">
        <v>0</v>
      </c>
      <c r="AJ833" s="10">
        <v>0</v>
      </c>
      <c r="AK833" s="10">
        <v>0</v>
      </c>
      <c r="AL833" s="9">
        <f t="shared" si="82"/>
        <v>100966.5</v>
      </c>
      <c r="AM833" s="1"/>
      <c r="AN833" s="1"/>
      <c r="AO833" s="12" t="e">
        <f>AB833/#REF!</f>
        <v>#REF!</v>
      </c>
      <c r="AP833" s="1"/>
      <c r="AQ833" s="11">
        <v>42087</v>
      </c>
      <c r="AR833" s="1" t="s">
        <v>3357</v>
      </c>
      <c r="AS833" s="11">
        <v>42088</v>
      </c>
      <c r="AT833" s="1" t="s">
        <v>49</v>
      </c>
      <c r="AU833" s="1" t="s">
        <v>4171</v>
      </c>
    </row>
    <row r="834" spans="1:47" ht="15" customHeight="1" x14ac:dyDescent="0.25">
      <c r="A834" s="1">
        <v>830</v>
      </c>
      <c r="B834" s="1" t="s">
        <v>1258</v>
      </c>
      <c r="C834" s="1" t="s">
        <v>38</v>
      </c>
      <c r="D834" s="1">
        <v>9103550652</v>
      </c>
      <c r="E834" s="5">
        <v>41910</v>
      </c>
      <c r="F834" s="1" t="s">
        <v>2937</v>
      </c>
      <c r="G834" s="1" t="s">
        <v>40</v>
      </c>
      <c r="H834" s="1" t="s">
        <v>41</v>
      </c>
      <c r="I834" s="1" t="s">
        <v>2809</v>
      </c>
      <c r="J834" s="1" t="s">
        <v>50</v>
      </c>
      <c r="K834" s="1">
        <v>29051700</v>
      </c>
      <c r="L834" s="6">
        <v>15</v>
      </c>
      <c r="M834" s="1" t="s">
        <v>70</v>
      </c>
      <c r="N834" s="7" t="s">
        <v>52</v>
      </c>
      <c r="O834" s="1" t="s">
        <v>53</v>
      </c>
      <c r="P834" s="8">
        <v>1575</v>
      </c>
      <c r="Q834" s="17">
        <f t="shared" si="83"/>
        <v>23625</v>
      </c>
      <c r="R834" s="9">
        <v>860</v>
      </c>
      <c r="S834" s="9">
        <v>0</v>
      </c>
      <c r="T834" s="9">
        <v>0</v>
      </c>
      <c r="U834" s="10">
        <v>0</v>
      </c>
      <c r="V834" s="1" t="s">
        <v>46</v>
      </c>
      <c r="W834" s="1" t="s">
        <v>2657</v>
      </c>
      <c r="X834" s="1">
        <v>5059453</v>
      </c>
      <c r="Y834" s="11">
        <v>41900</v>
      </c>
      <c r="Z834" s="11">
        <v>41904</v>
      </c>
      <c r="AA834" s="9">
        <f t="shared" si="86"/>
        <v>22765</v>
      </c>
      <c r="AB834" s="12">
        <v>60</v>
      </c>
      <c r="AC834" s="9">
        <f t="shared" si="84"/>
        <v>1417500</v>
      </c>
      <c r="AD834" s="9">
        <f t="shared" si="85"/>
        <v>1365900</v>
      </c>
      <c r="AE834" s="1" t="s">
        <v>284</v>
      </c>
      <c r="AF834" s="1" t="s">
        <v>53</v>
      </c>
      <c r="AG834" s="4">
        <f t="shared" ref="AG834:AG874" si="87">Q834</f>
        <v>23625</v>
      </c>
      <c r="AH834" s="10">
        <v>23613</v>
      </c>
      <c r="AI834" s="10">
        <v>922</v>
      </c>
      <c r="AJ834" s="10">
        <v>0</v>
      </c>
      <c r="AK834" s="10">
        <v>0</v>
      </c>
      <c r="AL834" s="9">
        <f t="shared" ref="AL834:AL874" si="88">AH834-(AI834+AJ834+AK834)</f>
        <v>22691</v>
      </c>
      <c r="AM834" s="1"/>
      <c r="AN834" s="1"/>
      <c r="AO834" s="12" t="e">
        <f>AB834/#REF!</f>
        <v>#REF!</v>
      </c>
      <c r="AP834" s="1"/>
      <c r="AQ834" s="11">
        <v>42026</v>
      </c>
      <c r="AR834" s="1" t="s">
        <v>3625</v>
      </c>
      <c r="AS834" s="11">
        <v>42026</v>
      </c>
      <c r="AT834" s="1" t="s">
        <v>49</v>
      </c>
      <c r="AU834" s="1" t="s">
        <v>4171</v>
      </c>
    </row>
    <row r="835" spans="1:47" ht="15" customHeight="1" x14ac:dyDescent="0.25">
      <c r="A835" s="1">
        <v>831</v>
      </c>
      <c r="B835" s="1" t="s">
        <v>1258</v>
      </c>
      <c r="C835" s="1" t="s">
        <v>38</v>
      </c>
      <c r="D835" s="1">
        <v>9103550653</v>
      </c>
      <c r="E835" s="5">
        <v>41904</v>
      </c>
      <c r="F835" s="1" t="s">
        <v>752</v>
      </c>
      <c r="G835" s="1" t="s">
        <v>40</v>
      </c>
      <c r="H835" s="1" t="s">
        <v>41</v>
      </c>
      <c r="I835" s="1" t="s">
        <v>2809</v>
      </c>
      <c r="J835" s="1" t="s">
        <v>50</v>
      </c>
      <c r="K835" s="1">
        <v>29159090</v>
      </c>
      <c r="L835" s="6">
        <v>20</v>
      </c>
      <c r="M835" s="1" t="s">
        <v>70</v>
      </c>
      <c r="N835" s="7" t="s">
        <v>52</v>
      </c>
      <c r="O835" s="1" t="s">
        <v>53</v>
      </c>
      <c r="P835" s="8">
        <v>3600</v>
      </c>
      <c r="Q835" s="17">
        <f t="shared" si="83"/>
        <v>72000</v>
      </c>
      <c r="R835" s="9">
        <v>200</v>
      </c>
      <c r="S835" s="9">
        <v>0</v>
      </c>
      <c r="T835" s="9">
        <v>0</v>
      </c>
      <c r="U835" s="10">
        <v>0</v>
      </c>
      <c r="V835" s="1" t="s">
        <v>46</v>
      </c>
      <c r="W835" s="1" t="s">
        <v>75</v>
      </c>
      <c r="X835" s="1">
        <v>5059470</v>
      </c>
      <c r="Y835" s="11">
        <v>41900</v>
      </c>
      <c r="Z835" s="11">
        <v>41902</v>
      </c>
      <c r="AA835" s="9">
        <f t="shared" si="86"/>
        <v>71800</v>
      </c>
      <c r="AB835" s="12">
        <v>60</v>
      </c>
      <c r="AC835" s="9">
        <f t="shared" si="84"/>
        <v>4320000</v>
      </c>
      <c r="AD835" s="9">
        <f t="shared" si="85"/>
        <v>4308000</v>
      </c>
      <c r="AE835" s="1" t="s">
        <v>51</v>
      </c>
      <c r="AF835" s="1" t="s">
        <v>53</v>
      </c>
      <c r="AG835" s="4">
        <f t="shared" si="87"/>
        <v>72000</v>
      </c>
      <c r="AH835" s="10">
        <v>72000</v>
      </c>
      <c r="AI835" s="10">
        <v>200</v>
      </c>
      <c r="AJ835" s="10">
        <v>0</v>
      </c>
      <c r="AK835" s="10">
        <v>0</v>
      </c>
      <c r="AL835" s="9">
        <f t="shared" si="88"/>
        <v>71800</v>
      </c>
      <c r="AM835" s="1"/>
      <c r="AN835" s="1"/>
      <c r="AO835" s="12" t="e">
        <f>AB835/#REF!</f>
        <v>#REF!</v>
      </c>
      <c r="AP835" s="1" t="s">
        <v>2443</v>
      </c>
      <c r="AQ835" s="11">
        <v>41932</v>
      </c>
      <c r="AR835" s="1" t="s">
        <v>2444</v>
      </c>
      <c r="AS835" s="11">
        <v>41975</v>
      </c>
      <c r="AT835" s="1" t="s">
        <v>49</v>
      </c>
      <c r="AU835" s="1" t="s">
        <v>4171</v>
      </c>
    </row>
    <row r="836" spans="1:47" ht="15" customHeight="1" x14ac:dyDescent="0.25">
      <c r="A836" s="1">
        <v>832</v>
      </c>
      <c r="B836" s="1" t="s">
        <v>1258</v>
      </c>
      <c r="C836" s="1" t="s">
        <v>38</v>
      </c>
      <c r="D836" s="1">
        <v>9103550654</v>
      </c>
      <c r="E836" s="5">
        <v>41905</v>
      </c>
      <c r="F836" s="1" t="s">
        <v>2938</v>
      </c>
      <c r="G836" s="1" t="s">
        <v>40</v>
      </c>
      <c r="H836" s="1" t="s">
        <v>41</v>
      </c>
      <c r="I836" s="1" t="s">
        <v>2809</v>
      </c>
      <c r="J836" s="1" t="s">
        <v>50</v>
      </c>
      <c r="K836" s="1">
        <v>38237090</v>
      </c>
      <c r="L836" s="6">
        <v>93.66</v>
      </c>
      <c r="M836" s="1" t="s">
        <v>70</v>
      </c>
      <c r="N836" s="7" t="s">
        <v>52</v>
      </c>
      <c r="O836" s="1" t="s">
        <v>45</v>
      </c>
      <c r="P836" s="8">
        <v>950</v>
      </c>
      <c r="Q836" s="17">
        <f t="shared" si="83"/>
        <v>88977</v>
      </c>
      <c r="R836" s="9">
        <v>3435.11</v>
      </c>
      <c r="S836" s="9">
        <v>0</v>
      </c>
      <c r="T836" s="9">
        <v>0</v>
      </c>
      <c r="U836" s="10">
        <v>0</v>
      </c>
      <c r="V836" s="1" t="s">
        <v>46</v>
      </c>
      <c r="W836" s="1" t="s">
        <v>2657</v>
      </c>
      <c r="X836" s="1">
        <v>5068692</v>
      </c>
      <c r="Y836" s="11">
        <v>41900</v>
      </c>
      <c r="Z836" s="11">
        <v>41901</v>
      </c>
      <c r="AA836" s="9">
        <f t="shared" si="86"/>
        <v>85541.89</v>
      </c>
      <c r="AB836" s="12">
        <v>78.599999999999994</v>
      </c>
      <c r="AC836" s="9">
        <f t="shared" si="84"/>
        <v>6993592.1999999993</v>
      </c>
      <c r="AD836" s="9">
        <f t="shared" si="85"/>
        <v>6723592.5539999995</v>
      </c>
      <c r="AE836" s="1" t="s">
        <v>284</v>
      </c>
      <c r="AF836" s="1" t="s">
        <v>45</v>
      </c>
      <c r="AG836" s="4">
        <f t="shared" si="87"/>
        <v>88977</v>
      </c>
      <c r="AH836" s="10">
        <v>88977</v>
      </c>
      <c r="AI836" s="10">
        <v>3893.13</v>
      </c>
      <c r="AJ836" s="10">
        <v>0</v>
      </c>
      <c r="AK836" s="10">
        <v>0</v>
      </c>
      <c r="AL836" s="9">
        <f t="shared" si="88"/>
        <v>85083.87</v>
      </c>
      <c r="AM836" s="1"/>
      <c r="AN836" s="1"/>
      <c r="AO836" s="12" t="e">
        <f>AB836/#REF!</f>
        <v>#REF!</v>
      </c>
      <c r="AP836" s="1"/>
      <c r="AQ836" s="11">
        <v>41971</v>
      </c>
      <c r="AR836" s="1" t="s">
        <v>3680</v>
      </c>
      <c r="AS836" s="11">
        <v>41971</v>
      </c>
      <c r="AT836" s="1" t="s">
        <v>49</v>
      </c>
      <c r="AU836" s="1" t="s">
        <v>4171</v>
      </c>
    </row>
    <row r="837" spans="1:47" ht="15" customHeight="1" x14ac:dyDescent="0.25">
      <c r="A837" s="1">
        <v>833</v>
      </c>
      <c r="B837" s="1" t="s">
        <v>1258</v>
      </c>
      <c r="C837" s="1" t="s">
        <v>38</v>
      </c>
      <c r="D837" s="1">
        <v>9103550654</v>
      </c>
      <c r="E837" s="5">
        <v>41905</v>
      </c>
      <c r="F837" s="1" t="s">
        <v>2939</v>
      </c>
      <c r="G837" s="1" t="s">
        <v>40</v>
      </c>
      <c r="H837" s="1" t="s">
        <v>41</v>
      </c>
      <c r="I837" s="1" t="s">
        <v>2809</v>
      </c>
      <c r="J837" s="1" t="s">
        <v>50</v>
      </c>
      <c r="K837" s="1">
        <v>38237090</v>
      </c>
      <c r="L837" s="6">
        <v>18.649999999999999</v>
      </c>
      <c r="M837" s="1" t="s">
        <v>70</v>
      </c>
      <c r="N837" s="7" t="s">
        <v>52</v>
      </c>
      <c r="O837" s="1" t="s">
        <v>45</v>
      </c>
      <c r="P837" s="8">
        <v>950</v>
      </c>
      <c r="Q837" s="17">
        <f t="shared" si="83"/>
        <v>17717.5</v>
      </c>
      <c r="R837" s="9">
        <v>687.02</v>
      </c>
      <c r="S837" s="9">
        <v>0</v>
      </c>
      <c r="T837" s="9">
        <v>0</v>
      </c>
      <c r="U837" s="10">
        <v>0</v>
      </c>
      <c r="V837" s="1" t="s">
        <v>46</v>
      </c>
      <c r="W837" s="1" t="s">
        <v>2657</v>
      </c>
      <c r="X837" s="1">
        <v>5072415</v>
      </c>
      <c r="Y837" s="11">
        <v>41900</v>
      </c>
      <c r="Z837" s="11">
        <v>41901</v>
      </c>
      <c r="AA837" s="9">
        <f t="shared" si="86"/>
        <v>17030.48</v>
      </c>
      <c r="AB837" s="12">
        <v>78.599999999999994</v>
      </c>
      <c r="AC837" s="9">
        <f t="shared" si="84"/>
        <v>1392595.5</v>
      </c>
      <c r="AD837" s="9">
        <f t="shared" si="85"/>
        <v>1338595.7279999999</v>
      </c>
      <c r="AE837" s="1" t="s">
        <v>284</v>
      </c>
      <c r="AF837" s="1" t="s">
        <v>45</v>
      </c>
      <c r="AG837" s="4">
        <f t="shared" si="87"/>
        <v>17717.5</v>
      </c>
      <c r="AH837" s="10">
        <v>17717.5</v>
      </c>
      <c r="AI837" s="10">
        <v>550</v>
      </c>
      <c r="AJ837" s="10">
        <v>0</v>
      </c>
      <c r="AK837" s="10">
        <v>0</v>
      </c>
      <c r="AL837" s="9">
        <f t="shared" si="88"/>
        <v>17167.5</v>
      </c>
      <c r="AM837" s="1"/>
      <c r="AN837" s="1"/>
      <c r="AO837" s="12" t="e">
        <f>AB837/#REF!</f>
        <v>#REF!</v>
      </c>
      <c r="AP837" s="1"/>
      <c r="AQ837" s="11">
        <v>41971</v>
      </c>
      <c r="AR837" s="1" t="s">
        <v>3681</v>
      </c>
      <c r="AS837" s="11">
        <v>41971</v>
      </c>
      <c r="AT837" s="1" t="s">
        <v>49</v>
      </c>
      <c r="AU837" s="1" t="s">
        <v>4171</v>
      </c>
    </row>
    <row r="838" spans="1:47" ht="15" customHeight="1" x14ac:dyDescent="0.25">
      <c r="A838" s="1">
        <v>834</v>
      </c>
      <c r="B838" s="1" t="s">
        <v>1258</v>
      </c>
      <c r="C838" s="1" t="s">
        <v>38</v>
      </c>
      <c r="D838" s="1">
        <v>9103550655</v>
      </c>
      <c r="E838" s="5">
        <v>41916</v>
      </c>
      <c r="F838" s="1" t="s">
        <v>2940</v>
      </c>
      <c r="G838" s="1" t="s">
        <v>40</v>
      </c>
      <c r="H838" s="1" t="s">
        <v>41</v>
      </c>
      <c r="I838" s="1" t="s">
        <v>2809</v>
      </c>
      <c r="J838" s="1" t="s">
        <v>63</v>
      </c>
      <c r="K838" s="1">
        <v>29161990</v>
      </c>
      <c r="L838" s="6">
        <v>39.450000000000003</v>
      </c>
      <c r="M838" s="1" t="s">
        <v>70</v>
      </c>
      <c r="N838" s="7" t="s">
        <v>44</v>
      </c>
      <c r="O838" s="1" t="s">
        <v>53</v>
      </c>
      <c r="P838" s="8">
        <v>2570</v>
      </c>
      <c r="Q838" s="17">
        <f t="shared" si="83"/>
        <v>101386.50000000001</v>
      </c>
      <c r="R838" s="9">
        <v>1120</v>
      </c>
      <c r="S838" s="9">
        <v>14.5</v>
      </c>
      <c r="T838" s="9">
        <v>0</v>
      </c>
      <c r="U838" s="10">
        <v>0</v>
      </c>
      <c r="V838" s="1" t="s">
        <v>46</v>
      </c>
      <c r="W838" s="1" t="s">
        <v>64</v>
      </c>
      <c r="X838" s="1">
        <v>5082440</v>
      </c>
      <c r="Y838" s="11">
        <v>41901</v>
      </c>
      <c r="Z838" s="11">
        <v>41902</v>
      </c>
      <c r="AA838" s="9">
        <f t="shared" si="86"/>
        <v>100252.00000000001</v>
      </c>
      <c r="AB838" s="12">
        <v>60.75</v>
      </c>
      <c r="AC838" s="9">
        <f t="shared" si="84"/>
        <v>6159229.8750000009</v>
      </c>
      <c r="AD838" s="9">
        <f t="shared" si="85"/>
        <v>6090309.0000000009</v>
      </c>
      <c r="AE838" s="1" t="s">
        <v>51</v>
      </c>
      <c r="AF838" s="1" t="s">
        <v>53</v>
      </c>
      <c r="AG838" s="4">
        <f t="shared" si="87"/>
        <v>101386.50000000001</v>
      </c>
      <c r="AH838" s="10">
        <v>101387</v>
      </c>
      <c r="AI838" s="10">
        <v>1120</v>
      </c>
      <c r="AJ838" s="10">
        <v>14.5</v>
      </c>
      <c r="AK838" s="10">
        <v>0</v>
      </c>
      <c r="AL838" s="9">
        <f t="shared" si="88"/>
        <v>100252.5</v>
      </c>
      <c r="AM838" s="1"/>
      <c r="AN838" s="1"/>
      <c r="AO838" s="12" t="e">
        <f>AB838/#REF!</f>
        <v>#REF!</v>
      </c>
      <c r="AP838" s="1"/>
      <c r="AQ838" s="11">
        <v>41978</v>
      </c>
      <c r="AR838" s="1" t="s">
        <v>3626</v>
      </c>
      <c r="AS838" s="11">
        <v>41922</v>
      </c>
      <c r="AT838" s="1" t="s">
        <v>49</v>
      </c>
      <c r="AU838" s="1" t="s">
        <v>4171</v>
      </c>
    </row>
    <row r="839" spans="1:47" ht="15" customHeight="1" x14ac:dyDescent="0.25">
      <c r="A839" s="1">
        <v>835</v>
      </c>
      <c r="B839" s="1" t="s">
        <v>1258</v>
      </c>
      <c r="C839" s="1" t="s">
        <v>38</v>
      </c>
      <c r="D839" s="1">
        <v>9103550656</v>
      </c>
      <c r="E839" s="5">
        <v>41908</v>
      </c>
      <c r="F839" s="1" t="s">
        <v>755</v>
      </c>
      <c r="G839" s="1" t="s">
        <v>40</v>
      </c>
      <c r="H839" s="1" t="s">
        <v>41</v>
      </c>
      <c r="I839" s="1" t="s">
        <v>2809</v>
      </c>
      <c r="J839" s="1" t="s">
        <v>1125</v>
      </c>
      <c r="K839" s="1">
        <v>38237090</v>
      </c>
      <c r="L839" s="6">
        <v>12</v>
      </c>
      <c r="M839" s="1" t="s">
        <v>70</v>
      </c>
      <c r="N839" s="7" t="s">
        <v>44</v>
      </c>
      <c r="O839" s="1" t="s">
        <v>53</v>
      </c>
      <c r="P839" s="8">
        <v>1665</v>
      </c>
      <c r="Q839" s="17">
        <f t="shared" si="83"/>
        <v>19980</v>
      </c>
      <c r="R839" s="9">
        <v>81.819999999999993</v>
      </c>
      <c r="S839" s="9">
        <v>2.86</v>
      </c>
      <c r="T839" s="9">
        <v>0</v>
      </c>
      <c r="U839" s="10">
        <v>0</v>
      </c>
      <c r="V839" s="1" t="s">
        <v>46</v>
      </c>
      <c r="W839" s="1" t="s">
        <v>72</v>
      </c>
      <c r="X839" s="1">
        <v>5086313</v>
      </c>
      <c r="Y839" s="11">
        <v>41901</v>
      </c>
      <c r="Z839" s="11">
        <v>41902</v>
      </c>
      <c r="AA839" s="9">
        <f t="shared" si="86"/>
        <v>19895.32</v>
      </c>
      <c r="AB839" s="12">
        <v>60.75</v>
      </c>
      <c r="AC839" s="9">
        <f t="shared" si="84"/>
        <v>1213785</v>
      </c>
      <c r="AD839" s="9">
        <f t="shared" si="85"/>
        <v>1208640.69</v>
      </c>
      <c r="AE839" s="1" t="s">
        <v>48</v>
      </c>
      <c r="AF839" s="1" t="s">
        <v>53</v>
      </c>
      <c r="AG839" s="4">
        <f t="shared" si="87"/>
        <v>19980</v>
      </c>
      <c r="AH839" s="10">
        <v>19900</v>
      </c>
      <c r="AI839" s="10">
        <v>136.01</v>
      </c>
      <c r="AJ839" s="10">
        <v>2.86</v>
      </c>
      <c r="AK839" s="10">
        <v>0</v>
      </c>
      <c r="AL839" s="9">
        <f t="shared" si="88"/>
        <v>19761.13</v>
      </c>
      <c r="AM839" s="1"/>
      <c r="AN839" s="1"/>
      <c r="AO839" s="12" t="e">
        <f>AB839/#REF!</f>
        <v>#REF!</v>
      </c>
      <c r="AP839" s="1" t="s">
        <v>2445</v>
      </c>
      <c r="AQ839" s="11">
        <v>41940</v>
      </c>
      <c r="AR839" s="1" t="s">
        <v>2446</v>
      </c>
      <c r="AS839" s="11">
        <v>41941</v>
      </c>
      <c r="AT839" s="1" t="s">
        <v>49</v>
      </c>
      <c r="AU839" s="1" t="s">
        <v>4171</v>
      </c>
    </row>
    <row r="840" spans="1:47" ht="15" customHeight="1" x14ac:dyDescent="0.25">
      <c r="A840" s="1">
        <v>836</v>
      </c>
      <c r="B840" s="1" t="s">
        <v>1258</v>
      </c>
      <c r="C840" s="1" t="s">
        <v>38</v>
      </c>
      <c r="D840" s="1">
        <v>9103550656</v>
      </c>
      <c r="E840" s="5">
        <v>41908</v>
      </c>
      <c r="F840" s="1" t="s">
        <v>755</v>
      </c>
      <c r="G840" s="1" t="s">
        <v>40</v>
      </c>
      <c r="H840" s="1" t="s">
        <v>41</v>
      </c>
      <c r="I840" s="1" t="s">
        <v>2809</v>
      </c>
      <c r="J840" s="1" t="s">
        <v>1125</v>
      </c>
      <c r="K840" s="1">
        <v>38237090</v>
      </c>
      <c r="L840" s="6">
        <v>10</v>
      </c>
      <c r="M840" s="1" t="s">
        <v>70</v>
      </c>
      <c r="N840" s="7" t="s">
        <v>44</v>
      </c>
      <c r="O840" s="1" t="s">
        <v>53</v>
      </c>
      <c r="P840" s="8">
        <v>1765</v>
      </c>
      <c r="Q840" s="17">
        <f t="shared" si="83"/>
        <v>17650</v>
      </c>
      <c r="R840" s="9">
        <v>68.180000000000007</v>
      </c>
      <c r="S840" s="9">
        <v>2.52</v>
      </c>
      <c r="T840" s="9">
        <v>0</v>
      </c>
      <c r="U840" s="10">
        <v>0</v>
      </c>
      <c r="V840" s="1" t="s">
        <v>46</v>
      </c>
      <c r="W840" s="1" t="s">
        <v>72</v>
      </c>
      <c r="X840" s="1">
        <v>5086313</v>
      </c>
      <c r="Y840" s="11">
        <v>41901</v>
      </c>
      <c r="Z840" s="11">
        <v>41902</v>
      </c>
      <c r="AA840" s="9">
        <f t="shared" si="86"/>
        <v>17579.3</v>
      </c>
      <c r="AB840" s="12">
        <v>60.75</v>
      </c>
      <c r="AC840" s="9">
        <f t="shared" si="84"/>
        <v>1072237.5</v>
      </c>
      <c r="AD840" s="9">
        <f t="shared" si="85"/>
        <v>1067942.4749999999</v>
      </c>
      <c r="AE840" s="1" t="s">
        <v>48</v>
      </c>
      <c r="AF840" s="1" t="s">
        <v>53</v>
      </c>
      <c r="AG840" s="4">
        <f t="shared" si="87"/>
        <v>17650</v>
      </c>
      <c r="AH840" s="10">
        <v>17554</v>
      </c>
      <c r="AI840" s="10">
        <v>119.99</v>
      </c>
      <c r="AJ840" s="10">
        <v>2.52</v>
      </c>
      <c r="AK840" s="10">
        <v>0</v>
      </c>
      <c r="AL840" s="9">
        <f t="shared" si="88"/>
        <v>17431.490000000002</v>
      </c>
      <c r="AM840" s="1"/>
      <c r="AN840" s="1"/>
      <c r="AO840" s="12" t="e">
        <f>AB840/#REF!</f>
        <v>#REF!</v>
      </c>
      <c r="AP840" s="1" t="s">
        <v>2445</v>
      </c>
      <c r="AQ840" s="11">
        <v>41940</v>
      </c>
      <c r="AR840" s="1" t="s">
        <v>2446</v>
      </c>
      <c r="AS840" s="11">
        <v>41941</v>
      </c>
      <c r="AT840" s="1" t="s">
        <v>49</v>
      </c>
      <c r="AU840" s="1" t="s">
        <v>4171</v>
      </c>
    </row>
    <row r="841" spans="1:47" ht="15" customHeight="1" x14ac:dyDescent="0.25">
      <c r="A841" s="1">
        <v>837</v>
      </c>
      <c r="B841" s="1" t="s">
        <v>1258</v>
      </c>
      <c r="C841" s="1" t="s">
        <v>38</v>
      </c>
      <c r="D841" s="1">
        <v>9103550657</v>
      </c>
      <c r="E841" s="5">
        <v>41904</v>
      </c>
      <c r="F841" s="1" t="s">
        <v>754</v>
      </c>
      <c r="G841" s="1" t="s">
        <v>40</v>
      </c>
      <c r="H841" s="1" t="s">
        <v>41</v>
      </c>
      <c r="I841" s="1" t="s">
        <v>2809</v>
      </c>
      <c r="J841" s="1" t="s">
        <v>63</v>
      </c>
      <c r="K841" s="1">
        <v>38237090</v>
      </c>
      <c r="L841" s="6">
        <v>58.14</v>
      </c>
      <c r="M841" s="1" t="s">
        <v>70</v>
      </c>
      <c r="N841" s="7" t="s">
        <v>44</v>
      </c>
      <c r="O841" s="1" t="s">
        <v>53</v>
      </c>
      <c r="P841" s="8">
        <v>1270</v>
      </c>
      <c r="Q841" s="17">
        <f t="shared" si="83"/>
        <v>73837.8</v>
      </c>
      <c r="R841" s="9">
        <v>1350</v>
      </c>
      <c r="S841" s="9">
        <v>10.56</v>
      </c>
      <c r="T841" s="9">
        <v>0</v>
      </c>
      <c r="U841" s="10">
        <v>0</v>
      </c>
      <c r="V841" s="1" t="s">
        <v>46</v>
      </c>
      <c r="W841" s="1" t="s">
        <v>81</v>
      </c>
      <c r="X841" s="1">
        <v>5093839</v>
      </c>
      <c r="Y841" s="11">
        <v>41901</v>
      </c>
      <c r="Z841" s="11">
        <v>41902</v>
      </c>
      <c r="AA841" s="9">
        <f t="shared" si="86"/>
        <v>72477.240000000005</v>
      </c>
      <c r="AB841" s="12">
        <v>60.75</v>
      </c>
      <c r="AC841" s="9">
        <f t="shared" si="84"/>
        <v>4485646.3500000006</v>
      </c>
      <c r="AD841" s="9">
        <f t="shared" si="85"/>
        <v>4402992.33</v>
      </c>
      <c r="AE841" s="1" t="s">
        <v>51</v>
      </c>
      <c r="AF841" s="1" t="s">
        <v>53</v>
      </c>
      <c r="AG841" s="4">
        <f t="shared" si="87"/>
        <v>73837.8</v>
      </c>
      <c r="AH841" s="10">
        <v>73838</v>
      </c>
      <c r="AI841" s="10">
        <v>1200</v>
      </c>
      <c r="AJ841" s="10">
        <v>10.56</v>
      </c>
      <c r="AK841" s="10">
        <v>0</v>
      </c>
      <c r="AL841" s="9">
        <f t="shared" si="88"/>
        <v>72627.44</v>
      </c>
      <c r="AM841" s="1"/>
      <c r="AN841" s="1"/>
      <c r="AO841" s="12" t="e">
        <f>AB841/#REF!</f>
        <v>#REF!</v>
      </c>
      <c r="AP841" s="1" t="s">
        <v>2447</v>
      </c>
      <c r="AQ841" s="11">
        <v>41932</v>
      </c>
      <c r="AR841" s="1" t="s">
        <v>2448</v>
      </c>
      <c r="AS841" s="11">
        <v>41975</v>
      </c>
      <c r="AT841" s="1" t="s">
        <v>49</v>
      </c>
      <c r="AU841" s="1" t="s">
        <v>4171</v>
      </c>
    </row>
    <row r="842" spans="1:47" ht="15" customHeight="1" x14ac:dyDescent="0.25">
      <c r="A842" s="1">
        <v>838</v>
      </c>
      <c r="B842" s="1" t="s">
        <v>1258</v>
      </c>
      <c r="C842" s="1" t="s">
        <v>38</v>
      </c>
      <c r="D842" s="1">
        <v>9103550658</v>
      </c>
      <c r="E842" s="5">
        <v>41906</v>
      </c>
      <c r="F842" s="1" t="s">
        <v>758</v>
      </c>
      <c r="G842" s="1" t="s">
        <v>40</v>
      </c>
      <c r="H842" s="1" t="s">
        <v>41</v>
      </c>
      <c r="I842" s="1" t="s">
        <v>2809</v>
      </c>
      <c r="J842" s="1" t="s">
        <v>2740</v>
      </c>
      <c r="K842" s="1">
        <v>38237090</v>
      </c>
      <c r="L842" s="6">
        <v>12</v>
      </c>
      <c r="M842" s="1" t="s">
        <v>70</v>
      </c>
      <c r="N842" s="7" t="s">
        <v>44</v>
      </c>
      <c r="O842" s="1" t="s">
        <v>53</v>
      </c>
      <c r="P842" s="8">
        <v>1500</v>
      </c>
      <c r="Q842" s="17">
        <f t="shared" si="83"/>
        <v>18000</v>
      </c>
      <c r="R842" s="9">
        <v>900</v>
      </c>
      <c r="S842" s="9">
        <v>2.57</v>
      </c>
      <c r="T842" s="9">
        <v>0</v>
      </c>
      <c r="U842" s="10">
        <v>0</v>
      </c>
      <c r="V842" s="1" t="s">
        <v>46</v>
      </c>
      <c r="W842" s="1" t="s">
        <v>205</v>
      </c>
      <c r="X842" s="1">
        <v>5112376</v>
      </c>
      <c r="Y842" s="11">
        <v>41902</v>
      </c>
      <c r="Z842" s="11">
        <v>41904</v>
      </c>
      <c r="AA842" s="9">
        <f t="shared" si="86"/>
        <v>17097.43</v>
      </c>
      <c r="AB842" s="12">
        <v>60.75</v>
      </c>
      <c r="AC842" s="9">
        <f t="shared" si="84"/>
        <v>1093500</v>
      </c>
      <c r="AD842" s="9">
        <f t="shared" si="85"/>
        <v>1038668.8725000001</v>
      </c>
      <c r="AE842" s="1" t="s">
        <v>284</v>
      </c>
      <c r="AF842" s="1" t="s">
        <v>53</v>
      </c>
      <c r="AG842" s="4">
        <f t="shared" si="87"/>
        <v>18000</v>
      </c>
      <c r="AH842" s="10">
        <v>17987</v>
      </c>
      <c r="AI842" s="10">
        <v>876</v>
      </c>
      <c r="AJ842" s="10">
        <v>2.57</v>
      </c>
      <c r="AK842" s="10">
        <v>0</v>
      </c>
      <c r="AL842" s="9">
        <f t="shared" si="88"/>
        <v>17108.43</v>
      </c>
      <c r="AM842" s="1"/>
      <c r="AN842" s="1"/>
      <c r="AO842" s="12" t="e">
        <f>AB842/#REF!</f>
        <v>#REF!</v>
      </c>
      <c r="AP842" s="1" t="s">
        <v>2449</v>
      </c>
      <c r="AQ842" s="11">
        <v>41928</v>
      </c>
      <c r="AR842" s="1" t="s">
        <v>2450</v>
      </c>
      <c r="AS842" s="11">
        <v>41928</v>
      </c>
      <c r="AT842" s="1" t="s">
        <v>49</v>
      </c>
      <c r="AU842" s="1" t="s">
        <v>4171</v>
      </c>
    </row>
    <row r="843" spans="1:47" ht="15" customHeight="1" x14ac:dyDescent="0.25">
      <c r="A843" s="1">
        <v>839</v>
      </c>
      <c r="B843" s="1" t="s">
        <v>1258</v>
      </c>
      <c r="C843" s="1" t="s">
        <v>38</v>
      </c>
      <c r="D843" s="1">
        <v>9103550659</v>
      </c>
      <c r="E843" s="5">
        <v>41916</v>
      </c>
      <c r="F843" s="1" t="s">
        <v>2941</v>
      </c>
      <c r="G843" s="1" t="s">
        <v>40</v>
      </c>
      <c r="H843" s="1" t="s">
        <v>41</v>
      </c>
      <c r="I843" s="1" t="s">
        <v>2809</v>
      </c>
      <c r="J843" s="1" t="s">
        <v>1705</v>
      </c>
      <c r="K843" s="1">
        <v>38237090</v>
      </c>
      <c r="L843" s="6">
        <v>37.590000000000003</v>
      </c>
      <c r="M843" s="1" t="s">
        <v>70</v>
      </c>
      <c r="N843" s="7" t="s">
        <v>44</v>
      </c>
      <c r="O843" s="1" t="s">
        <v>53</v>
      </c>
      <c r="P843" s="8">
        <v>1265</v>
      </c>
      <c r="Q843" s="17">
        <f t="shared" si="83"/>
        <v>47551.350000000006</v>
      </c>
      <c r="R843" s="9">
        <v>1120</v>
      </c>
      <c r="S843" s="9">
        <v>6.8</v>
      </c>
      <c r="T843" s="9">
        <v>0</v>
      </c>
      <c r="U843" s="10">
        <v>0</v>
      </c>
      <c r="V843" s="1" t="s">
        <v>46</v>
      </c>
      <c r="W843" s="1" t="s">
        <v>85</v>
      </c>
      <c r="X843" s="1">
        <v>5111203</v>
      </c>
      <c r="Y843" s="11">
        <v>41902</v>
      </c>
      <c r="Z843" s="11">
        <v>41904</v>
      </c>
      <c r="AA843" s="9">
        <f t="shared" si="86"/>
        <v>46424.55</v>
      </c>
      <c r="AB843" s="12">
        <v>60.75</v>
      </c>
      <c r="AC843" s="9">
        <f t="shared" si="84"/>
        <v>2888744.5125000002</v>
      </c>
      <c r="AD843" s="9">
        <f t="shared" si="85"/>
        <v>2820291.4125000001</v>
      </c>
      <c r="AE843" s="1" t="s">
        <v>48</v>
      </c>
      <c r="AF843" s="1" t="s">
        <v>53</v>
      </c>
      <c r="AG843" s="4">
        <f t="shared" si="87"/>
        <v>47551.350000000006</v>
      </c>
      <c r="AH843" s="10">
        <v>47390.35</v>
      </c>
      <c r="AI843" s="10">
        <v>1000</v>
      </c>
      <c r="AJ843" s="10">
        <v>6.8</v>
      </c>
      <c r="AK843" s="10">
        <v>0</v>
      </c>
      <c r="AL843" s="9">
        <f t="shared" si="88"/>
        <v>46383.549999999996</v>
      </c>
      <c r="AM843" s="1"/>
      <c r="AN843" s="1"/>
      <c r="AO843" s="12" t="e">
        <f>AB843/#REF!</f>
        <v>#REF!</v>
      </c>
      <c r="AP843" s="1"/>
      <c r="AQ843" s="11">
        <v>41934</v>
      </c>
      <c r="AR843" s="1" t="s">
        <v>3358</v>
      </c>
      <c r="AS843" s="11">
        <v>41939</v>
      </c>
      <c r="AT843" s="1" t="s">
        <v>49</v>
      </c>
      <c r="AU843" s="1" t="s">
        <v>4171</v>
      </c>
    </row>
    <row r="844" spans="1:47" ht="15" customHeight="1" x14ac:dyDescent="0.25">
      <c r="A844" s="1">
        <v>840</v>
      </c>
      <c r="B844" s="1" t="s">
        <v>1258</v>
      </c>
      <c r="C844" s="1" t="s">
        <v>38</v>
      </c>
      <c r="D844" s="1">
        <v>9103550660</v>
      </c>
      <c r="E844" s="5">
        <v>41902</v>
      </c>
      <c r="F844" s="1" t="s">
        <v>2942</v>
      </c>
      <c r="G844" s="1" t="s">
        <v>40</v>
      </c>
      <c r="H844" s="1" t="s">
        <v>41</v>
      </c>
      <c r="I844" s="1" t="s">
        <v>2809</v>
      </c>
      <c r="J844" s="45" t="s">
        <v>2631</v>
      </c>
      <c r="K844" s="1">
        <v>38237090</v>
      </c>
      <c r="L844" s="6">
        <v>23.4</v>
      </c>
      <c r="M844" s="1" t="s">
        <v>70</v>
      </c>
      <c r="N844" s="7" t="s">
        <v>44</v>
      </c>
      <c r="O844" s="1" t="s">
        <v>53</v>
      </c>
      <c r="P844" s="8">
        <v>3530</v>
      </c>
      <c r="Q844" s="17">
        <f t="shared" si="83"/>
        <v>82602</v>
      </c>
      <c r="R844" s="9">
        <v>125</v>
      </c>
      <c r="S844" s="9">
        <v>11.81</v>
      </c>
      <c r="T844" s="9">
        <v>702</v>
      </c>
      <c r="U844" s="10">
        <v>0</v>
      </c>
      <c r="V844" s="1" t="s">
        <v>46</v>
      </c>
      <c r="W844" s="1" t="s">
        <v>64</v>
      </c>
      <c r="X844" s="1">
        <v>5105449</v>
      </c>
      <c r="Y844" s="11">
        <v>41902</v>
      </c>
      <c r="Z844" s="11">
        <v>41904</v>
      </c>
      <c r="AA844" s="9">
        <f t="shared" si="86"/>
        <v>82465.19</v>
      </c>
      <c r="AB844" s="12">
        <v>60.75</v>
      </c>
      <c r="AC844" s="9">
        <f t="shared" si="84"/>
        <v>5018071.5</v>
      </c>
      <c r="AD844" s="9">
        <f t="shared" si="85"/>
        <v>5009760.2925000004</v>
      </c>
      <c r="AE844" s="1" t="s">
        <v>48</v>
      </c>
      <c r="AF844" s="1" t="s">
        <v>53</v>
      </c>
      <c r="AG844" s="4">
        <f t="shared" si="87"/>
        <v>82602</v>
      </c>
      <c r="AH844" s="10">
        <v>82567.5</v>
      </c>
      <c r="AI844" s="10">
        <v>135</v>
      </c>
      <c r="AJ844" s="10">
        <v>11.81</v>
      </c>
      <c r="AK844" s="10">
        <v>702</v>
      </c>
      <c r="AL844" s="9">
        <f t="shared" si="88"/>
        <v>81718.69</v>
      </c>
      <c r="AM844" s="1"/>
      <c r="AN844" s="1"/>
      <c r="AO844" s="12" t="e">
        <f>AB844/#REF!</f>
        <v>#REF!</v>
      </c>
      <c r="AP844" s="1"/>
      <c r="AQ844" s="11">
        <v>41999</v>
      </c>
      <c r="AR844" s="1" t="s">
        <v>3359</v>
      </c>
      <c r="AS844" s="11">
        <v>42000</v>
      </c>
      <c r="AT844" s="1" t="s">
        <v>49</v>
      </c>
      <c r="AU844" s="1" t="s">
        <v>4171</v>
      </c>
    </row>
    <row r="845" spans="1:47" ht="15" customHeight="1" x14ac:dyDescent="0.25">
      <c r="A845" s="1">
        <v>841</v>
      </c>
      <c r="B845" s="1" t="s">
        <v>1258</v>
      </c>
      <c r="C845" s="1" t="s">
        <v>38</v>
      </c>
      <c r="D845" s="1">
        <v>9103550661</v>
      </c>
      <c r="E845" s="5">
        <v>41907</v>
      </c>
      <c r="F845" s="1" t="s">
        <v>2943</v>
      </c>
      <c r="G845" s="1" t="s">
        <v>40</v>
      </c>
      <c r="H845" s="1" t="s">
        <v>41</v>
      </c>
      <c r="I845" s="1" t="s">
        <v>2809</v>
      </c>
      <c r="J845" s="1" t="s">
        <v>2944</v>
      </c>
      <c r="K845" s="1">
        <v>29051700</v>
      </c>
      <c r="L845" s="6">
        <v>8</v>
      </c>
      <c r="M845" s="1" t="s">
        <v>70</v>
      </c>
      <c r="N845" s="7" t="s">
        <v>52</v>
      </c>
      <c r="O845" s="1" t="s">
        <v>53</v>
      </c>
      <c r="P845" s="8">
        <v>1926</v>
      </c>
      <c r="Q845" s="17">
        <f t="shared" si="83"/>
        <v>15408</v>
      </c>
      <c r="R845" s="9">
        <v>583.33000000000004</v>
      </c>
      <c r="S845" s="9">
        <v>0</v>
      </c>
      <c r="T845" s="9">
        <v>155.22</v>
      </c>
      <c r="U845" s="10">
        <v>0</v>
      </c>
      <c r="V845" s="1" t="s">
        <v>46</v>
      </c>
      <c r="W845" s="1" t="s">
        <v>243</v>
      </c>
      <c r="X845" s="1">
        <v>5110160</v>
      </c>
      <c r="Y845" s="11">
        <v>41902</v>
      </c>
      <c r="Z845" s="11">
        <v>41904</v>
      </c>
      <c r="AA845" s="9">
        <f t="shared" si="86"/>
        <v>14824.67</v>
      </c>
      <c r="AB845" s="12">
        <v>60.75</v>
      </c>
      <c r="AC845" s="9">
        <f t="shared" si="84"/>
        <v>936036</v>
      </c>
      <c r="AD845" s="9">
        <f t="shared" si="85"/>
        <v>900598.70250000001</v>
      </c>
      <c r="AE845" s="1" t="s">
        <v>48</v>
      </c>
      <c r="AF845" s="1" t="s">
        <v>53</v>
      </c>
      <c r="AG845" s="4">
        <f t="shared" si="87"/>
        <v>15408</v>
      </c>
      <c r="AH845" s="10">
        <v>15404</v>
      </c>
      <c r="AI845" s="10">
        <v>563</v>
      </c>
      <c r="AJ845" s="10">
        <v>0</v>
      </c>
      <c r="AK845" s="9">
        <v>155.22</v>
      </c>
      <c r="AL845" s="9">
        <f t="shared" si="88"/>
        <v>14685.78</v>
      </c>
      <c r="AM845" s="1"/>
      <c r="AN845" s="1"/>
      <c r="AO845" s="12" t="e">
        <f>AB845/#REF!</f>
        <v>#REF!</v>
      </c>
      <c r="AP845" s="1"/>
      <c r="AQ845" s="11">
        <v>41962</v>
      </c>
      <c r="AR845" s="1" t="s">
        <v>3360</v>
      </c>
      <c r="AS845" s="11">
        <v>41963</v>
      </c>
      <c r="AT845" s="1" t="s">
        <v>49</v>
      </c>
      <c r="AU845" s="1" t="s">
        <v>4171</v>
      </c>
    </row>
    <row r="846" spans="1:47" ht="15" customHeight="1" x14ac:dyDescent="0.25">
      <c r="A846" s="1">
        <v>842</v>
      </c>
      <c r="B846" s="1" t="s">
        <v>1258</v>
      </c>
      <c r="C846" s="1" t="s">
        <v>38</v>
      </c>
      <c r="D846" s="1">
        <v>9103550661</v>
      </c>
      <c r="E846" s="5">
        <v>41907</v>
      </c>
      <c r="F846" s="1" t="s">
        <v>2943</v>
      </c>
      <c r="G846" s="1" t="s">
        <v>40</v>
      </c>
      <c r="H846" s="1" t="s">
        <v>41</v>
      </c>
      <c r="I846" s="1" t="s">
        <v>2809</v>
      </c>
      <c r="J846" s="1" t="s">
        <v>2944</v>
      </c>
      <c r="K846" s="1">
        <v>29051700</v>
      </c>
      <c r="L846" s="6">
        <v>16</v>
      </c>
      <c r="M846" s="1" t="s">
        <v>70</v>
      </c>
      <c r="N846" s="7" t="s">
        <v>52</v>
      </c>
      <c r="O846" s="1" t="s">
        <v>53</v>
      </c>
      <c r="P846" s="8">
        <v>1866</v>
      </c>
      <c r="Q846" s="17">
        <f t="shared" si="83"/>
        <v>29856</v>
      </c>
      <c r="R846" s="9">
        <v>1166.67</v>
      </c>
      <c r="S846" s="9">
        <v>0</v>
      </c>
      <c r="T846" s="9">
        <v>300.77999999999997</v>
      </c>
      <c r="U846" s="10">
        <v>0</v>
      </c>
      <c r="V846" s="1" t="s">
        <v>46</v>
      </c>
      <c r="W846" s="1" t="s">
        <v>243</v>
      </c>
      <c r="X846" s="1">
        <v>5110160</v>
      </c>
      <c r="Y846" s="11">
        <v>41902</v>
      </c>
      <c r="Z846" s="11">
        <v>41904</v>
      </c>
      <c r="AA846" s="9">
        <f t="shared" si="86"/>
        <v>28689.33</v>
      </c>
      <c r="AB846" s="12">
        <v>60.75</v>
      </c>
      <c r="AC846" s="9">
        <f t="shared" si="84"/>
        <v>1813752</v>
      </c>
      <c r="AD846" s="9">
        <f t="shared" si="85"/>
        <v>1742876.7975000001</v>
      </c>
      <c r="AE846" s="1" t="s">
        <v>48</v>
      </c>
      <c r="AF846" s="1" t="s">
        <v>53</v>
      </c>
      <c r="AG846" s="4">
        <f t="shared" si="87"/>
        <v>29856</v>
      </c>
      <c r="AH846" s="10">
        <v>29850</v>
      </c>
      <c r="AI846" s="10">
        <v>1149</v>
      </c>
      <c r="AJ846" s="10">
        <v>0</v>
      </c>
      <c r="AK846" s="9">
        <v>300.77999999999997</v>
      </c>
      <c r="AL846" s="9">
        <f t="shared" si="88"/>
        <v>28400.22</v>
      </c>
      <c r="AM846" s="1"/>
      <c r="AN846" s="1"/>
      <c r="AO846" s="12" t="e">
        <f>AB846/#REF!</f>
        <v>#REF!</v>
      </c>
      <c r="AP846" s="1"/>
      <c r="AQ846" s="11">
        <v>41962</v>
      </c>
      <c r="AR846" s="1" t="s">
        <v>3360</v>
      </c>
      <c r="AS846" s="11">
        <v>41963</v>
      </c>
      <c r="AT846" s="1" t="s">
        <v>49</v>
      </c>
      <c r="AU846" s="1" t="s">
        <v>4171</v>
      </c>
    </row>
    <row r="847" spans="1:47" ht="15" customHeight="1" x14ac:dyDescent="0.25">
      <c r="A847" s="1">
        <v>843</v>
      </c>
      <c r="B847" s="1" t="s">
        <v>1258</v>
      </c>
      <c r="C847" s="1" t="s">
        <v>38</v>
      </c>
      <c r="D847" s="1" t="s">
        <v>2451</v>
      </c>
      <c r="E847" s="5">
        <v>41906</v>
      </c>
      <c r="F847" s="1" t="s">
        <v>753</v>
      </c>
      <c r="G847" s="1" t="s">
        <v>40</v>
      </c>
      <c r="H847" s="1" t="s">
        <v>41</v>
      </c>
      <c r="I847" s="1" t="s">
        <v>2809</v>
      </c>
      <c r="J847" s="1" t="s">
        <v>2153</v>
      </c>
      <c r="K847" s="1">
        <v>38231900</v>
      </c>
      <c r="L847" s="6">
        <v>19.82</v>
      </c>
      <c r="M847" s="1" t="s">
        <v>70</v>
      </c>
      <c r="N847" s="7" t="s">
        <v>44</v>
      </c>
      <c r="O847" s="1" t="s">
        <v>45</v>
      </c>
      <c r="P847" s="8">
        <v>2940</v>
      </c>
      <c r="Q847" s="17">
        <f t="shared" si="83"/>
        <v>58270.8</v>
      </c>
      <c r="R847" s="9">
        <v>992.37</v>
      </c>
      <c r="S847" s="9">
        <v>8.33</v>
      </c>
      <c r="T847" s="9">
        <v>0</v>
      </c>
      <c r="U847" s="10">
        <v>0</v>
      </c>
      <c r="V847" s="1" t="s">
        <v>46</v>
      </c>
      <c r="W847" s="1" t="s">
        <v>47</v>
      </c>
      <c r="X847" s="1">
        <v>5072759</v>
      </c>
      <c r="Y847" s="11">
        <v>41900</v>
      </c>
      <c r="Z847" s="11">
        <v>41902</v>
      </c>
      <c r="AA847" s="9">
        <f t="shared" si="86"/>
        <v>57270.1</v>
      </c>
      <c r="AB847" s="12">
        <v>78.599999999999994</v>
      </c>
      <c r="AC847" s="9">
        <f t="shared" si="84"/>
        <v>4580084.88</v>
      </c>
      <c r="AD847" s="9">
        <f t="shared" si="85"/>
        <v>4501429.8599999994</v>
      </c>
      <c r="AE847" s="1" t="s">
        <v>48</v>
      </c>
      <c r="AF847" s="1" t="s">
        <v>45</v>
      </c>
      <c r="AG847" s="4">
        <f t="shared" si="87"/>
        <v>58270.8</v>
      </c>
      <c r="AH847" s="10">
        <v>58270.8</v>
      </c>
      <c r="AI847" s="10">
        <v>992.37</v>
      </c>
      <c r="AJ847" s="10">
        <v>8.33</v>
      </c>
      <c r="AK847" s="10">
        <v>0</v>
      </c>
      <c r="AL847" s="9">
        <f t="shared" si="88"/>
        <v>57270.100000000006</v>
      </c>
      <c r="AM847" s="1"/>
      <c r="AN847" s="1"/>
      <c r="AO847" s="12" t="e">
        <f>AB847/#REF!</f>
        <v>#REF!</v>
      </c>
      <c r="AP847" s="1" t="s">
        <v>2452</v>
      </c>
      <c r="AQ847" s="11">
        <v>41981</v>
      </c>
      <c r="AR847" s="1" t="s">
        <v>2453</v>
      </c>
      <c r="AS847" s="11">
        <v>41982</v>
      </c>
      <c r="AT847" s="1" t="s">
        <v>49</v>
      </c>
      <c r="AU847" s="1" t="s">
        <v>4171</v>
      </c>
    </row>
    <row r="848" spans="1:47" ht="15" customHeight="1" x14ac:dyDescent="0.25">
      <c r="A848" s="1">
        <v>844</v>
      </c>
      <c r="B848" s="1" t="s">
        <v>1258</v>
      </c>
      <c r="C848" s="1" t="s">
        <v>38</v>
      </c>
      <c r="D848" s="1" t="s">
        <v>2451</v>
      </c>
      <c r="E848" s="5">
        <v>41906</v>
      </c>
      <c r="F848" s="1" t="s">
        <v>769</v>
      </c>
      <c r="G848" s="1" t="s">
        <v>40</v>
      </c>
      <c r="H848" s="1" t="s">
        <v>41</v>
      </c>
      <c r="I848" s="1" t="s">
        <v>2809</v>
      </c>
      <c r="J848" s="1" t="s">
        <v>2153</v>
      </c>
      <c r="K848" s="1">
        <v>38231900</v>
      </c>
      <c r="L848" s="6">
        <v>39.659999999999997</v>
      </c>
      <c r="M848" s="1" t="s">
        <v>70</v>
      </c>
      <c r="N848" s="7" t="s">
        <v>44</v>
      </c>
      <c r="O848" s="1" t="s">
        <v>45</v>
      </c>
      <c r="P848" s="8">
        <v>2940</v>
      </c>
      <c r="Q848" s="17">
        <f t="shared" si="83"/>
        <v>116600.4</v>
      </c>
      <c r="R848" s="9">
        <v>2031.51</v>
      </c>
      <c r="S848" s="9">
        <v>16.670000000000002</v>
      </c>
      <c r="T848" s="9">
        <v>0</v>
      </c>
      <c r="U848" s="10">
        <v>0</v>
      </c>
      <c r="V848" s="1" t="s">
        <v>46</v>
      </c>
      <c r="W848" s="1" t="s">
        <v>47</v>
      </c>
      <c r="X848" s="1">
        <v>5084542</v>
      </c>
      <c r="Y848" s="11">
        <v>41901</v>
      </c>
      <c r="Z848" s="11">
        <v>41902</v>
      </c>
      <c r="AA848" s="9">
        <f t="shared" si="86"/>
        <v>114552.22</v>
      </c>
      <c r="AB848" s="12">
        <v>77.75</v>
      </c>
      <c r="AC848" s="9">
        <f t="shared" si="84"/>
        <v>9065681.0999999996</v>
      </c>
      <c r="AD848" s="9">
        <f t="shared" si="85"/>
        <v>8906435.1050000004</v>
      </c>
      <c r="AE848" s="1" t="s">
        <v>48</v>
      </c>
      <c r="AF848" s="1" t="s">
        <v>45</v>
      </c>
      <c r="AG848" s="4">
        <f t="shared" si="87"/>
        <v>116600.4</v>
      </c>
      <c r="AH848" s="10">
        <v>116600.4</v>
      </c>
      <c r="AI848" s="10">
        <v>1984.73</v>
      </c>
      <c r="AJ848" s="10">
        <v>16.670000000000002</v>
      </c>
      <c r="AK848" s="10">
        <v>0</v>
      </c>
      <c r="AL848" s="9">
        <f t="shared" si="88"/>
        <v>114599</v>
      </c>
      <c r="AM848" s="1"/>
      <c r="AN848" s="1"/>
      <c r="AO848" s="12" t="e">
        <f>AB848/#REF!</f>
        <v>#REF!</v>
      </c>
      <c r="AP848" s="1" t="s">
        <v>2452</v>
      </c>
      <c r="AQ848" s="11">
        <v>41981</v>
      </c>
      <c r="AR848" s="1" t="s">
        <v>2454</v>
      </c>
      <c r="AS848" s="11">
        <v>41982</v>
      </c>
      <c r="AT848" s="1" t="s">
        <v>49</v>
      </c>
      <c r="AU848" s="1" t="s">
        <v>4171</v>
      </c>
    </row>
    <row r="849" spans="1:47" ht="15" customHeight="1" x14ac:dyDescent="0.25">
      <c r="A849" s="1">
        <v>845</v>
      </c>
      <c r="B849" s="1" t="s">
        <v>1258</v>
      </c>
      <c r="C849" s="1" t="s">
        <v>38</v>
      </c>
      <c r="D849" s="1" t="s">
        <v>2451</v>
      </c>
      <c r="E849" s="5">
        <v>41906</v>
      </c>
      <c r="F849" s="1" t="s">
        <v>756</v>
      </c>
      <c r="G849" s="1" t="s">
        <v>40</v>
      </c>
      <c r="H849" s="1" t="s">
        <v>41</v>
      </c>
      <c r="I849" s="1" t="s">
        <v>2809</v>
      </c>
      <c r="J849" s="1" t="s">
        <v>2153</v>
      </c>
      <c r="K849" s="1">
        <v>38231900</v>
      </c>
      <c r="L849" s="6">
        <v>19.77</v>
      </c>
      <c r="M849" s="1" t="s">
        <v>70</v>
      </c>
      <c r="N849" s="7" t="s">
        <v>44</v>
      </c>
      <c r="O849" s="1" t="s">
        <v>45</v>
      </c>
      <c r="P849" s="8">
        <v>2940</v>
      </c>
      <c r="Q849" s="17">
        <f t="shared" si="83"/>
        <v>58123.799999999996</v>
      </c>
      <c r="R849" s="9">
        <v>1015.76</v>
      </c>
      <c r="S849" s="9">
        <v>8.31</v>
      </c>
      <c r="T849" s="9">
        <v>0</v>
      </c>
      <c r="U849" s="10">
        <v>0</v>
      </c>
      <c r="V849" s="1" t="s">
        <v>46</v>
      </c>
      <c r="W849" s="1" t="s">
        <v>47</v>
      </c>
      <c r="X849" s="1">
        <v>5103698</v>
      </c>
      <c r="Y849" s="11">
        <v>41902</v>
      </c>
      <c r="Z849" s="11">
        <v>41904</v>
      </c>
      <c r="AA849" s="9">
        <f t="shared" si="86"/>
        <v>57099.729999999996</v>
      </c>
      <c r="AB849" s="12">
        <v>77.75</v>
      </c>
      <c r="AC849" s="9">
        <f t="shared" si="84"/>
        <v>4519125.4499999993</v>
      </c>
      <c r="AD849" s="9">
        <f t="shared" si="85"/>
        <v>4439504.0074999994</v>
      </c>
      <c r="AE849" s="1" t="s">
        <v>48</v>
      </c>
      <c r="AF849" s="1" t="s">
        <v>45</v>
      </c>
      <c r="AG849" s="4">
        <f t="shared" si="87"/>
        <v>58123.799999999996</v>
      </c>
      <c r="AH849" s="10">
        <v>58123.8</v>
      </c>
      <c r="AI849" s="10">
        <v>992.37</v>
      </c>
      <c r="AJ849" s="10">
        <v>8.31</v>
      </c>
      <c r="AK849" s="10">
        <v>0</v>
      </c>
      <c r="AL849" s="9">
        <f t="shared" si="88"/>
        <v>57123.12</v>
      </c>
      <c r="AM849" s="1"/>
      <c r="AN849" s="1"/>
      <c r="AO849" s="12" t="e">
        <f>AB849/#REF!</f>
        <v>#REF!</v>
      </c>
      <c r="AP849" s="1" t="s">
        <v>2452</v>
      </c>
      <c r="AQ849" s="11">
        <v>41981</v>
      </c>
      <c r="AR849" s="1" t="s">
        <v>2455</v>
      </c>
      <c r="AS849" s="11">
        <v>41982</v>
      </c>
      <c r="AT849" s="1" t="s">
        <v>49</v>
      </c>
      <c r="AU849" s="1" t="s">
        <v>4171</v>
      </c>
    </row>
    <row r="850" spans="1:47" ht="15" customHeight="1" x14ac:dyDescent="0.25">
      <c r="A850" s="1">
        <v>846</v>
      </c>
      <c r="B850" s="1" t="s">
        <v>1258</v>
      </c>
      <c r="C850" s="1" t="s">
        <v>38</v>
      </c>
      <c r="D850" s="1">
        <v>9103550665</v>
      </c>
      <c r="E850" s="5">
        <v>41908</v>
      </c>
      <c r="F850" s="1" t="s">
        <v>757</v>
      </c>
      <c r="G850" s="1" t="s">
        <v>40</v>
      </c>
      <c r="H850" s="1" t="s">
        <v>41</v>
      </c>
      <c r="I850" s="1" t="s">
        <v>2809</v>
      </c>
      <c r="J850" s="1" t="s">
        <v>50</v>
      </c>
      <c r="K850" s="1">
        <v>38237090</v>
      </c>
      <c r="L850" s="6">
        <v>92.98</v>
      </c>
      <c r="M850" s="1" t="s">
        <v>70</v>
      </c>
      <c r="N850" s="7" t="s">
        <v>52</v>
      </c>
      <c r="O850" s="1" t="s">
        <v>45</v>
      </c>
      <c r="P850" s="8">
        <v>950</v>
      </c>
      <c r="Q850" s="17">
        <f t="shared" si="83"/>
        <v>88331</v>
      </c>
      <c r="R850" s="9">
        <v>3516.08</v>
      </c>
      <c r="S850" s="9">
        <v>0</v>
      </c>
      <c r="T850" s="9">
        <v>0</v>
      </c>
      <c r="U850" s="10">
        <v>0</v>
      </c>
      <c r="V850" s="1" t="s">
        <v>46</v>
      </c>
      <c r="W850" s="1" t="s">
        <v>2657</v>
      </c>
      <c r="X850" s="1">
        <v>5123218</v>
      </c>
      <c r="Y850" s="11">
        <v>41904</v>
      </c>
      <c r="Z850" s="11">
        <v>41905</v>
      </c>
      <c r="AA850" s="9">
        <f t="shared" si="86"/>
        <v>84814.92</v>
      </c>
      <c r="AB850" s="12">
        <v>77.75</v>
      </c>
      <c r="AC850" s="9">
        <f t="shared" si="84"/>
        <v>6867735.25</v>
      </c>
      <c r="AD850" s="9">
        <f t="shared" si="85"/>
        <v>6594360.0300000003</v>
      </c>
      <c r="AE850" s="1" t="s">
        <v>284</v>
      </c>
      <c r="AF850" s="1" t="s">
        <v>45</v>
      </c>
      <c r="AG850" s="4">
        <f t="shared" si="87"/>
        <v>88331</v>
      </c>
      <c r="AH850" s="10">
        <v>88331</v>
      </c>
      <c r="AI850" s="10">
        <v>3320.74</v>
      </c>
      <c r="AJ850" s="10">
        <v>0</v>
      </c>
      <c r="AK850" s="10">
        <v>0</v>
      </c>
      <c r="AL850" s="9">
        <f t="shared" si="88"/>
        <v>85010.26</v>
      </c>
      <c r="AM850" s="1"/>
      <c r="AN850" s="1"/>
      <c r="AO850" s="12" t="e">
        <f>AB850/#REF!</f>
        <v>#REF!</v>
      </c>
      <c r="AP850" s="1" t="s">
        <v>2456</v>
      </c>
      <c r="AQ850" s="11">
        <v>41971</v>
      </c>
      <c r="AR850" s="1" t="s">
        <v>2457</v>
      </c>
      <c r="AS850" s="11">
        <v>41971</v>
      </c>
      <c r="AT850" s="1" t="s">
        <v>49</v>
      </c>
      <c r="AU850" s="1" t="s">
        <v>4171</v>
      </c>
    </row>
    <row r="851" spans="1:47" ht="15" customHeight="1" x14ac:dyDescent="0.25">
      <c r="A851" s="1">
        <v>847</v>
      </c>
      <c r="B851" s="1" t="s">
        <v>1258</v>
      </c>
      <c r="C851" s="1" t="s">
        <v>38</v>
      </c>
      <c r="D851" s="1" t="s">
        <v>2458</v>
      </c>
      <c r="E851" s="5">
        <v>41908</v>
      </c>
      <c r="F851" s="1" t="s">
        <v>766</v>
      </c>
      <c r="G851" s="1" t="s">
        <v>40</v>
      </c>
      <c r="H851" s="1" t="s">
        <v>41</v>
      </c>
      <c r="I851" s="1" t="s">
        <v>2809</v>
      </c>
      <c r="J851" s="1" t="s">
        <v>187</v>
      </c>
      <c r="K851" s="1">
        <v>29051700</v>
      </c>
      <c r="L851" s="6">
        <v>54.42</v>
      </c>
      <c r="M851" s="1" t="s">
        <v>70</v>
      </c>
      <c r="N851" s="7" t="s">
        <v>44</v>
      </c>
      <c r="O851" s="1" t="s">
        <v>53</v>
      </c>
      <c r="P851" s="8">
        <v>1765</v>
      </c>
      <c r="Q851" s="17">
        <f t="shared" si="83"/>
        <v>96051.3</v>
      </c>
      <c r="R851" s="9">
        <v>7740</v>
      </c>
      <c r="S851" s="9">
        <v>13.74</v>
      </c>
      <c r="T851" s="9">
        <v>0</v>
      </c>
      <c r="U851" s="10">
        <v>0</v>
      </c>
      <c r="V851" s="1" t="s">
        <v>46</v>
      </c>
      <c r="W851" s="1" t="s">
        <v>56</v>
      </c>
      <c r="X851" s="1">
        <v>5111086</v>
      </c>
      <c r="Y851" s="11">
        <v>41902</v>
      </c>
      <c r="Z851" s="11">
        <v>41904</v>
      </c>
      <c r="AA851" s="9">
        <f t="shared" si="86"/>
        <v>88297.56</v>
      </c>
      <c r="AB851" s="12">
        <v>60.75</v>
      </c>
      <c r="AC851" s="9">
        <f t="shared" si="84"/>
        <v>5835116.4750000006</v>
      </c>
      <c r="AD851" s="9">
        <f t="shared" si="85"/>
        <v>5364076.7699999996</v>
      </c>
      <c r="AE851" s="1" t="s">
        <v>48</v>
      </c>
      <c r="AF851" s="1" t="s">
        <v>53</v>
      </c>
      <c r="AG851" s="4">
        <f t="shared" si="87"/>
        <v>96051.3</v>
      </c>
      <c r="AH851" s="10">
        <v>96051.3</v>
      </c>
      <c r="AI851" s="9">
        <v>7740</v>
      </c>
      <c r="AJ851" s="9">
        <v>13.74</v>
      </c>
      <c r="AK851" s="10">
        <v>0</v>
      </c>
      <c r="AL851" s="9">
        <f t="shared" si="88"/>
        <v>88297.56</v>
      </c>
      <c r="AM851" s="1"/>
      <c r="AN851" s="1"/>
      <c r="AO851" s="12" t="e">
        <f>AB851/#REF!</f>
        <v>#REF!</v>
      </c>
      <c r="AP851" s="1" t="s">
        <v>2459</v>
      </c>
      <c r="AQ851" s="11">
        <v>41964</v>
      </c>
      <c r="AR851" s="1" t="s">
        <v>2460</v>
      </c>
      <c r="AS851" s="11">
        <v>41967</v>
      </c>
      <c r="AT851" s="1" t="s">
        <v>49</v>
      </c>
      <c r="AU851" s="1" t="s">
        <v>4171</v>
      </c>
    </row>
    <row r="852" spans="1:47" ht="15" customHeight="1" x14ac:dyDescent="0.25">
      <c r="A852" s="1">
        <v>848</v>
      </c>
      <c r="B852" s="1" t="s">
        <v>1258</v>
      </c>
      <c r="C852" s="1" t="s">
        <v>38</v>
      </c>
      <c r="D852" s="1" t="s">
        <v>2458</v>
      </c>
      <c r="E852" s="5">
        <v>41908</v>
      </c>
      <c r="F852" s="1" t="s">
        <v>759</v>
      </c>
      <c r="G852" s="1" t="s">
        <v>40</v>
      </c>
      <c r="H852" s="1" t="s">
        <v>41</v>
      </c>
      <c r="I852" s="1" t="s">
        <v>2809</v>
      </c>
      <c r="J852" s="1" t="s">
        <v>187</v>
      </c>
      <c r="K852" s="1">
        <v>29051700</v>
      </c>
      <c r="L852" s="6">
        <v>18.14</v>
      </c>
      <c r="M852" s="1" t="s">
        <v>70</v>
      </c>
      <c r="N852" s="7" t="s">
        <v>44</v>
      </c>
      <c r="O852" s="1" t="s">
        <v>53</v>
      </c>
      <c r="P852" s="8">
        <v>1765</v>
      </c>
      <c r="Q852" s="17">
        <f t="shared" si="83"/>
        <v>32017.100000000002</v>
      </c>
      <c r="R852" s="9">
        <v>2580</v>
      </c>
      <c r="S852" s="9">
        <v>4.58</v>
      </c>
      <c r="T852" s="9">
        <v>0</v>
      </c>
      <c r="U852" s="10">
        <v>0</v>
      </c>
      <c r="V852" s="1" t="s">
        <v>46</v>
      </c>
      <c r="W852" s="1" t="s">
        <v>56</v>
      </c>
      <c r="X852" s="1">
        <v>5129472</v>
      </c>
      <c r="Y852" s="11">
        <v>41904</v>
      </c>
      <c r="Z852" s="11">
        <v>41905</v>
      </c>
      <c r="AA852" s="9">
        <f t="shared" si="86"/>
        <v>29432.52</v>
      </c>
      <c r="AB852" s="12">
        <v>60.75</v>
      </c>
      <c r="AC852" s="9">
        <f t="shared" si="84"/>
        <v>1945038.8250000002</v>
      </c>
      <c r="AD852" s="9">
        <f t="shared" si="85"/>
        <v>1788025.59</v>
      </c>
      <c r="AE852" s="1" t="s">
        <v>48</v>
      </c>
      <c r="AF852" s="1" t="s">
        <v>53</v>
      </c>
      <c r="AG852" s="4">
        <f t="shared" si="87"/>
        <v>32017.100000000002</v>
      </c>
      <c r="AH852" s="10">
        <v>32017.1</v>
      </c>
      <c r="AI852" s="9">
        <v>2580</v>
      </c>
      <c r="AJ852" s="9">
        <v>4.58</v>
      </c>
      <c r="AK852" s="10">
        <v>0</v>
      </c>
      <c r="AL852" s="9">
        <f t="shared" si="88"/>
        <v>29432.519999999997</v>
      </c>
      <c r="AM852" s="1"/>
      <c r="AN852" s="1"/>
      <c r="AO852" s="12" t="e">
        <f>AB852/#REF!</f>
        <v>#REF!</v>
      </c>
      <c r="AP852" s="1" t="s">
        <v>2459</v>
      </c>
      <c r="AQ852" s="11">
        <v>41964</v>
      </c>
      <c r="AR852" s="1" t="s">
        <v>2461</v>
      </c>
      <c r="AS852" s="11">
        <v>41967</v>
      </c>
      <c r="AT852" s="1" t="s">
        <v>49</v>
      </c>
      <c r="AU852" s="1" t="s">
        <v>4171</v>
      </c>
    </row>
    <row r="853" spans="1:47" ht="15" customHeight="1" x14ac:dyDescent="0.25">
      <c r="A853" s="1">
        <v>849</v>
      </c>
      <c r="B853" s="1" t="s">
        <v>1258</v>
      </c>
      <c r="C853" s="1" t="s">
        <v>38</v>
      </c>
      <c r="D853" s="1">
        <v>9103550668</v>
      </c>
      <c r="E853" s="5">
        <v>41915</v>
      </c>
      <c r="F853" s="1" t="s">
        <v>760</v>
      </c>
      <c r="G853" s="1" t="s">
        <v>40</v>
      </c>
      <c r="H853" s="1" t="s">
        <v>41</v>
      </c>
      <c r="I853" s="1" t="s">
        <v>2809</v>
      </c>
      <c r="J853" s="1" t="s">
        <v>126</v>
      </c>
      <c r="K853" s="1">
        <v>38237090</v>
      </c>
      <c r="L853" s="6">
        <v>14</v>
      </c>
      <c r="M853" s="1" t="s">
        <v>70</v>
      </c>
      <c r="N853" s="7" t="s">
        <v>52</v>
      </c>
      <c r="O853" s="1" t="s">
        <v>53</v>
      </c>
      <c r="P853" s="8">
        <v>4440</v>
      </c>
      <c r="Q853" s="17">
        <f t="shared" si="83"/>
        <v>62160</v>
      </c>
      <c r="R853" s="9">
        <v>150</v>
      </c>
      <c r="S853" s="9">
        <v>0</v>
      </c>
      <c r="T853" s="9">
        <v>0</v>
      </c>
      <c r="U853" s="10">
        <v>0</v>
      </c>
      <c r="V853" s="1" t="s">
        <v>46</v>
      </c>
      <c r="W853" s="1" t="s">
        <v>127</v>
      </c>
      <c r="X853" s="1">
        <v>5129945</v>
      </c>
      <c r="Y853" s="11">
        <v>41904</v>
      </c>
      <c r="Z853" s="11">
        <v>41905</v>
      </c>
      <c r="AA853" s="9">
        <f t="shared" si="86"/>
        <v>62010</v>
      </c>
      <c r="AB853" s="12">
        <v>60.75</v>
      </c>
      <c r="AC853" s="9">
        <f t="shared" si="84"/>
        <v>3776220</v>
      </c>
      <c r="AD853" s="9">
        <f t="shared" si="85"/>
        <v>3767107.5</v>
      </c>
      <c r="AE853" s="1" t="s">
        <v>48</v>
      </c>
      <c r="AF853" s="1" t="s">
        <v>53</v>
      </c>
      <c r="AG853" s="4">
        <f t="shared" si="87"/>
        <v>62160</v>
      </c>
      <c r="AH853" s="10">
        <v>62113</v>
      </c>
      <c r="AI853" s="10">
        <v>98</v>
      </c>
      <c r="AJ853" s="10">
        <v>0</v>
      </c>
      <c r="AK853" s="10">
        <v>0</v>
      </c>
      <c r="AL853" s="9">
        <f t="shared" si="88"/>
        <v>62015</v>
      </c>
      <c r="AM853" s="1"/>
      <c r="AN853" s="1"/>
      <c r="AO853" s="12" t="e">
        <f>AB853/#REF!</f>
        <v>#REF!</v>
      </c>
      <c r="AP853" s="1" t="s">
        <v>2462</v>
      </c>
      <c r="AQ853" s="11">
        <v>41989</v>
      </c>
      <c r="AR853" s="1" t="s">
        <v>2463</v>
      </c>
      <c r="AS853" s="11">
        <v>41992</v>
      </c>
      <c r="AT853" s="1" t="s">
        <v>49</v>
      </c>
      <c r="AU853" s="1" t="s">
        <v>4171</v>
      </c>
    </row>
    <row r="854" spans="1:47" ht="15" customHeight="1" x14ac:dyDescent="0.25">
      <c r="A854" s="1">
        <v>850</v>
      </c>
      <c r="B854" s="1" t="s">
        <v>1258</v>
      </c>
      <c r="C854" s="1" t="s">
        <v>38</v>
      </c>
      <c r="D854" s="1">
        <v>9103550669</v>
      </c>
      <c r="E854" s="5">
        <v>41908</v>
      </c>
      <c r="F854" s="1" t="s">
        <v>763</v>
      </c>
      <c r="G854" s="1" t="s">
        <v>40</v>
      </c>
      <c r="H854" s="1" t="s">
        <v>41</v>
      </c>
      <c r="I854" s="1" t="s">
        <v>2809</v>
      </c>
      <c r="J854" s="1" t="s">
        <v>187</v>
      </c>
      <c r="K854" s="1">
        <v>38237090</v>
      </c>
      <c r="L854" s="6">
        <v>36</v>
      </c>
      <c r="M854" s="1" t="s">
        <v>70</v>
      </c>
      <c r="N854" s="7" t="s">
        <v>44</v>
      </c>
      <c r="O854" s="1" t="s">
        <v>53</v>
      </c>
      <c r="P854" s="8">
        <v>4094</v>
      </c>
      <c r="Q854" s="17">
        <f t="shared" si="83"/>
        <v>147384</v>
      </c>
      <c r="R854" s="9">
        <v>6820</v>
      </c>
      <c r="S854" s="9">
        <v>21.08</v>
      </c>
      <c r="T854" s="9">
        <v>0</v>
      </c>
      <c r="U854" s="10">
        <v>0</v>
      </c>
      <c r="V854" s="1" t="s">
        <v>46</v>
      </c>
      <c r="W854" s="1" t="s">
        <v>56</v>
      </c>
      <c r="X854" s="1">
        <v>5136326</v>
      </c>
      <c r="Y854" s="11">
        <v>41904</v>
      </c>
      <c r="Z854" s="11">
        <v>41905</v>
      </c>
      <c r="AA854" s="9">
        <f t="shared" si="86"/>
        <v>140542.92000000001</v>
      </c>
      <c r="AB854" s="12">
        <v>60.75</v>
      </c>
      <c r="AC854" s="9">
        <f t="shared" si="84"/>
        <v>8953578</v>
      </c>
      <c r="AD854" s="9">
        <f t="shared" si="85"/>
        <v>8537982.3900000006</v>
      </c>
      <c r="AE854" s="1" t="s">
        <v>48</v>
      </c>
      <c r="AF854" s="1" t="s">
        <v>53</v>
      </c>
      <c r="AG854" s="4">
        <f t="shared" si="87"/>
        <v>147384</v>
      </c>
      <c r="AH854" s="10">
        <v>147384</v>
      </c>
      <c r="AI854" s="10">
        <v>6806</v>
      </c>
      <c r="AJ854" s="10">
        <v>21.08</v>
      </c>
      <c r="AK854" s="10"/>
      <c r="AL854" s="9">
        <f t="shared" si="88"/>
        <v>140556.92000000001</v>
      </c>
      <c r="AM854" s="1"/>
      <c r="AN854" s="1"/>
      <c r="AO854" s="12" t="e">
        <f>AB854/#REF!</f>
        <v>#REF!</v>
      </c>
      <c r="AP854" s="1" t="s">
        <v>2464</v>
      </c>
      <c r="AQ854" s="11">
        <v>41964</v>
      </c>
      <c r="AR854" s="1" t="s">
        <v>2465</v>
      </c>
      <c r="AS854" s="11">
        <v>41967</v>
      </c>
      <c r="AT854" s="1" t="s">
        <v>49</v>
      </c>
      <c r="AU854" s="1" t="s">
        <v>4171</v>
      </c>
    </row>
    <row r="855" spans="1:47" ht="15" customHeight="1" x14ac:dyDescent="0.25">
      <c r="A855" s="1">
        <v>851</v>
      </c>
      <c r="B855" s="1" t="s">
        <v>1258</v>
      </c>
      <c r="C855" s="1" t="s">
        <v>38</v>
      </c>
      <c r="D855" s="1">
        <v>9103550670</v>
      </c>
      <c r="E855" s="5">
        <v>41908</v>
      </c>
      <c r="F855" s="1" t="s">
        <v>761</v>
      </c>
      <c r="G855" s="1" t="s">
        <v>40</v>
      </c>
      <c r="H855" s="1" t="s">
        <v>41</v>
      </c>
      <c r="I855" s="1" t="s">
        <v>2809</v>
      </c>
      <c r="J855" s="1" t="s">
        <v>200</v>
      </c>
      <c r="K855" s="1">
        <v>38231900</v>
      </c>
      <c r="L855" s="6">
        <v>39.590000000000003</v>
      </c>
      <c r="M855" s="1" t="s">
        <v>70</v>
      </c>
      <c r="N855" s="7" t="s">
        <v>44</v>
      </c>
      <c r="O855" s="1" t="s">
        <v>53</v>
      </c>
      <c r="P855" s="8">
        <v>1650</v>
      </c>
      <c r="Q855" s="17">
        <f t="shared" si="83"/>
        <v>65323.500000000007</v>
      </c>
      <c r="R855" s="9">
        <v>1800</v>
      </c>
      <c r="S855" s="9">
        <v>9.34</v>
      </c>
      <c r="T855" s="9">
        <v>653.24</v>
      </c>
      <c r="U855" s="10">
        <v>0</v>
      </c>
      <c r="V855" s="1" t="s">
        <v>46</v>
      </c>
      <c r="W855" s="1" t="s">
        <v>59</v>
      </c>
      <c r="X855" s="1">
        <v>5145157</v>
      </c>
      <c r="Y855" s="11">
        <v>41905</v>
      </c>
      <c r="Z855" s="11">
        <v>41906</v>
      </c>
      <c r="AA855" s="9">
        <f t="shared" si="86"/>
        <v>63514.160000000011</v>
      </c>
      <c r="AB855" s="12">
        <v>60.75</v>
      </c>
      <c r="AC855" s="9">
        <f t="shared" si="84"/>
        <v>3968402.6250000005</v>
      </c>
      <c r="AD855" s="9">
        <f t="shared" si="85"/>
        <v>3858485.2200000007</v>
      </c>
      <c r="AE855" s="1" t="s">
        <v>51</v>
      </c>
      <c r="AF855" s="1" t="s">
        <v>53</v>
      </c>
      <c r="AG855" s="4">
        <f t="shared" si="87"/>
        <v>65323.500000000007</v>
      </c>
      <c r="AH855" s="46">
        <v>65323</v>
      </c>
      <c r="AI855" s="46">
        <v>1800</v>
      </c>
      <c r="AJ855" s="46">
        <v>9.34</v>
      </c>
      <c r="AK855" s="46">
        <v>653.24</v>
      </c>
      <c r="AL855" s="9">
        <f t="shared" si="88"/>
        <v>62860.42</v>
      </c>
      <c r="AM855" s="1"/>
      <c r="AN855" s="1"/>
      <c r="AO855" s="12" t="e">
        <f>AB855/#REF!</f>
        <v>#REF!</v>
      </c>
      <c r="AP855" s="1" t="s">
        <v>2466</v>
      </c>
      <c r="AQ855" s="11">
        <v>41940</v>
      </c>
      <c r="AR855" s="1" t="s">
        <v>2467</v>
      </c>
      <c r="AS855" s="11">
        <v>42017</v>
      </c>
      <c r="AT855" s="1" t="s">
        <v>49</v>
      </c>
      <c r="AU855" s="1" t="s">
        <v>4171</v>
      </c>
    </row>
    <row r="856" spans="1:47" ht="15" customHeight="1" x14ac:dyDescent="0.25">
      <c r="A856" s="1">
        <v>852</v>
      </c>
      <c r="B856" s="1" t="s">
        <v>1258</v>
      </c>
      <c r="C856" s="1" t="s">
        <v>38</v>
      </c>
      <c r="D856" s="1">
        <v>9103550671</v>
      </c>
      <c r="E856" s="5">
        <v>41910</v>
      </c>
      <c r="F856" s="1" t="s">
        <v>762</v>
      </c>
      <c r="G856" s="1" t="s">
        <v>40</v>
      </c>
      <c r="H856" s="1" t="s">
        <v>41</v>
      </c>
      <c r="I856" s="1" t="s">
        <v>2809</v>
      </c>
      <c r="J856" s="1" t="s">
        <v>2468</v>
      </c>
      <c r="K856" s="1">
        <v>38237090</v>
      </c>
      <c r="L856" s="6">
        <v>24</v>
      </c>
      <c r="M856" s="1" t="s">
        <v>70</v>
      </c>
      <c r="N856" s="7" t="s">
        <v>52</v>
      </c>
      <c r="O856" s="1" t="s">
        <v>45</v>
      </c>
      <c r="P856" s="8">
        <v>1351</v>
      </c>
      <c r="Q856" s="17">
        <f t="shared" si="83"/>
        <v>32424</v>
      </c>
      <c r="R856" s="9">
        <v>1465.81</v>
      </c>
      <c r="S856" s="9">
        <v>0</v>
      </c>
      <c r="T856" s="9">
        <v>0</v>
      </c>
      <c r="U856" s="10">
        <v>0</v>
      </c>
      <c r="V856" s="1" t="s">
        <v>46</v>
      </c>
      <c r="W856" s="1" t="s">
        <v>123</v>
      </c>
      <c r="X856" s="1">
        <v>5154856</v>
      </c>
      <c r="Y856" s="11">
        <v>41905</v>
      </c>
      <c r="Z856" s="11">
        <v>41906</v>
      </c>
      <c r="AA856" s="9">
        <f t="shared" si="86"/>
        <v>30958.19</v>
      </c>
      <c r="AB856" s="12">
        <v>77.75</v>
      </c>
      <c r="AC856" s="9">
        <f t="shared" si="84"/>
        <v>2520966</v>
      </c>
      <c r="AD856" s="9">
        <f t="shared" si="85"/>
        <v>2406999.2725</v>
      </c>
      <c r="AE856" s="1" t="s">
        <v>48</v>
      </c>
      <c r="AF856" s="1" t="s">
        <v>45</v>
      </c>
      <c r="AG856" s="4">
        <f t="shared" si="87"/>
        <v>32424</v>
      </c>
      <c r="AH856" s="10">
        <v>32424</v>
      </c>
      <c r="AI856" s="10">
        <v>987.45</v>
      </c>
      <c r="AJ856" s="10">
        <v>0</v>
      </c>
      <c r="AK856" s="10">
        <v>0</v>
      </c>
      <c r="AL856" s="9">
        <f t="shared" si="88"/>
        <v>31436.55</v>
      </c>
      <c r="AM856" s="1"/>
      <c r="AN856" s="1"/>
      <c r="AO856" s="12" t="e">
        <f>AB856/#REF!</f>
        <v>#REF!</v>
      </c>
      <c r="AP856" s="1" t="s">
        <v>2469</v>
      </c>
      <c r="AQ856" s="11">
        <v>42014</v>
      </c>
      <c r="AR856" s="1" t="s">
        <v>2470</v>
      </c>
      <c r="AS856" s="11">
        <v>42016</v>
      </c>
      <c r="AT856" s="1" t="s">
        <v>49</v>
      </c>
      <c r="AU856" s="1" t="s">
        <v>4171</v>
      </c>
    </row>
    <row r="857" spans="1:47" ht="15" customHeight="1" x14ac:dyDescent="0.25">
      <c r="A857" s="1">
        <v>853</v>
      </c>
      <c r="B857" s="1" t="s">
        <v>1258</v>
      </c>
      <c r="C857" s="1" t="s">
        <v>38</v>
      </c>
      <c r="D857" s="1">
        <v>9103550672</v>
      </c>
      <c r="E857" s="5">
        <v>41913</v>
      </c>
      <c r="F857" s="1" t="s">
        <v>765</v>
      </c>
      <c r="G857" s="1" t="s">
        <v>40</v>
      </c>
      <c r="H857" s="1" t="s">
        <v>41</v>
      </c>
      <c r="I857" s="1" t="s">
        <v>2809</v>
      </c>
      <c r="J857" s="1" t="s">
        <v>1714</v>
      </c>
      <c r="K857" s="1">
        <v>38237090</v>
      </c>
      <c r="L857" s="6">
        <v>24</v>
      </c>
      <c r="M857" s="1" t="s">
        <v>70</v>
      </c>
      <c r="N857" s="7" t="s">
        <v>52</v>
      </c>
      <c r="O857" s="1" t="s">
        <v>53</v>
      </c>
      <c r="P857" s="8">
        <v>1750</v>
      </c>
      <c r="Q857" s="17">
        <f t="shared" si="83"/>
        <v>42000</v>
      </c>
      <c r="R857" s="9">
        <v>2450</v>
      </c>
      <c r="S857" s="9">
        <v>0</v>
      </c>
      <c r="T857" s="9">
        <v>0</v>
      </c>
      <c r="U857" s="10">
        <v>0</v>
      </c>
      <c r="V857" s="1" t="s">
        <v>46</v>
      </c>
      <c r="W857" s="1" t="s">
        <v>745</v>
      </c>
      <c r="X857" s="1">
        <v>5179021</v>
      </c>
      <c r="Y857" s="11">
        <v>41906</v>
      </c>
      <c r="Z857" s="11">
        <v>41908</v>
      </c>
      <c r="AA857" s="9">
        <f t="shared" si="86"/>
        <v>39550</v>
      </c>
      <c r="AB857" s="12">
        <v>60.75</v>
      </c>
      <c r="AC857" s="9">
        <f t="shared" si="84"/>
        <v>2551500</v>
      </c>
      <c r="AD857" s="9">
        <f t="shared" si="85"/>
        <v>2402662.5</v>
      </c>
      <c r="AE857" s="1" t="s">
        <v>48</v>
      </c>
      <c r="AF857" s="1" t="s">
        <v>53</v>
      </c>
      <c r="AG857" s="4">
        <f t="shared" si="87"/>
        <v>42000</v>
      </c>
      <c r="AH857" s="10">
        <v>41799</v>
      </c>
      <c r="AI857" s="10">
        <v>2050</v>
      </c>
      <c r="AJ857" s="10">
        <v>0</v>
      </c>
      <c r="AK857" s="10">
        <v>0</v>
      </c>
      <c r="AL857" s="9">
        <f t="shared" si="88"/>
        <v>39749</v>
      </c>
      <c r="AM857" s="1"/>
      <c r="AN857" s="1"/>
      <c r="AO857" s="12" t="e">
        <f>AB857/#REF!</f>
        <v>#REF!</v>
      </c>
      <c r="AP857" s="1" t="s">
        <v>2471</v>
      </c>
      <c r="AQ857" s="11">
        <v>41939</v>
      </c>
      <c r="AR857" s="1" t="s">
        <v>2472</v>
      </c>
      <c r="AS857" s="11">
        <v>41940</v>
      </c>
      <c r="AT857" s="1" t="s">
        <v>49</v>
      </c>
      <c r="AU857" s="1" t="s">
        <v>4171</v>
      </c>
    </row>
    <row r="858" spans="1:47" s="23" customFormat="1" ht="15" customHeight="1" x14ac:dyDescent="0.25">
      <c r="A858" s="3">
        <v>854</v>
      </c>
      <c r="B858" s="3" t="s">
        <v>1258</v>
      </c>
      <c r="C858" s="3" t="s">
        <v>38</v>
      </c>
      <c r="D858" s="3">
        <v>9103550673</v>
      </c>
      <c r="E858" s="19">
        <v>41911</v>
      </c>
      <c r="F858" s="3" t="s">
        <v>770</v>
      </c>
      <c r="G858" s="3" t="s">
        <v>40</v>
      </c>
      <c r="H858" s="3" t="s">
        <v>41</v>
      </c>
      <c r="I858" s="3" t="s">
        <v>2809</v>
      </c>
      <c r="J858" s="3" t="s">
        <v>1670</v>
      </c>
      <c r="K858" s="3">
        <v>38237090</v>
      </c>
      <c r="L858" s="48">
        <v>10</v>
      </c>
      <c r="M858" s="3" t="s">
        <v>70</v>
      </c>
      <c r="N858" s="49" t="s">
        <v>52</v>
      </c>
      <c r="O858" s="3" t="s">
        <v>53</v>
      </c>
      <c r="P858" s="50">
        <v>1525</v>
      </c>
      <c r="Q858" s="17">
        <f t="shared" si="83"/>
        <v>15250</v>
      </c>
      <c r="R858" s="20">
        <v>104</v>
      </c>
      <c r="S858" s="20">
        <v>0</v>
      </c>
      <c r="T858" s="20">
        <v>0</v>
      </c>
      <c r="U858" s="4">
        <v>0</v>
      </c>
      <c r="V858" s="3" t="s">
        <v>46</v>
      </c>
      <c r="W858" s="3" t="s">
        <v>72</v>
      </c>
      <c r="X858" s="3">
        <v>5181054</v>
      </c>
      <c r="Y858" s="21">
        <v>41906</v>
      </c>
      <c r="Z858" s="21">
        <v>41907</v>
      </c>
      <c r="AA858" s="20">
        <f t="shared" si="86"/>
        <v>15146</v>
      </c>
      <c r="AB858" s="22">
        <v>60.75</v>
      </c>
      <c r="AC858" s="20">
        <f t="shared" si="84"/>
        <v>926437.5</v>
      </c>
      <c r="AD858" s="20">
        <f t="shared" si="85"/>
        <v>920119.5</v>
      </c>
      <c r="AE858" s="3"/>
      <c r="AF858" s="3" t="s">
        <v>53</v>
      </c>
      <c r="AG858" s="4">
        <f t="shared" si="87"/>
        <v>15250</v>
      </c>
      <c r="AH858" s="4">
        <v>15250</v>
      </c>
      <c r="AI858" s="20">
        <v>104</v>
      </c>
      <c r="AJ858" s="20">
        <v>0</v>
      </c>
      <c r="AK858" s="20">
        <v>0</v>
      </c>
      <c r="AL858" s="20">
        <f t="shared" si="88"/>
        <v>15146</v>
      </c>
      <c r="AM858" s="3"/>
      <c r="AN858" s="3"/>
      <c r="AO858" s="22" t="e">
        <f>AB858/#REF!</f>
        <v>#REF!</v>
      </c>
      <c r="AP858" s="3" t="s">
        <v>4224</v>
      </c>
      <c r="AQ858" s="21">
        <v>42382</v>
      </c>
      <c r="AR858" s="3" t="s">
        <v>4225</v>
      </c>
      <c r="AS858" s="21">
        <v>42383</v>
      </c>
      <c r="AT858" s="3" t="s">
        <v>49</v>
      </c>
      <c r="AU858" s="3" t="s">
        <v>4171</v>
      </c>
    </row>
    <row r="859" spans="1:47" s="23" customFormat="1" ht="15" customHeight="1" x14ac:dyDescent="0.25">
      <c r="A859" s="3">
        <v>855</v>
      </c>
      <c r="B859" s="3" t="s">
        <v>1258</v>
      </c>
      <c r="C859" s="3" t="s">
        <v>38</v>
      </c>
      <c r="D859" s="3">
        <v>9103550673</v>
      </c>
      <c r="E859" s="19">
        <v>41911</v>
      </c>
      <c r="F859" s="3" t="s">
        <v>770</v>
      </c>
      <c r="G859" s="3" t="s">
        <v>40</v>
      </c>
      <c r="H859" s="3" t="s">
        <v>41</v>
      </c>
      <c r="I859" s="3" t="s">
        <v>2809</v>
      </c>
      <c r="J859" s="3" t="s">
        <v>1670</v>
      </c>
      <c r="K859" s="3">
        <v>29051700</v>
      </c>
      <c r="L859" s="48">
        <v>5</v>
      </c>
      <c r="M859" s="3" t="s">
        <v>70</v>
      </c>
      <c r="N859" s="49" t="s">
        <v>52</v>
      </c>
      <c r="O859" s="3" t="s">
        <v>53</v>
      </c>
      <c r="P859" s="50">
        <v>1635</v>
      </c>
      <c r="Q859" s="17">
        <f t="shared" si="83"/>
        <v>8175</v>
      </c>
      <c r="R859" s="20">
        <v>52</v>
      </c>
      <c r="S859" s="20">
        <v>0</v>
      </c>
      <c r="T859" s="20">
        <v>0</v>
      </c>
      <c r="U859" s="4">
        <v>0</v>
      </c>
      <c r="V859" s="3" t="s">
        <v>46</v>
      </c>
      <c r="W859" s="3" t="s">
        <v>72</v>
      </c>
      <c r="X859" s="3">
        <v>5181054</v>
      </c>
      <c r="Y859" s="21">
        <v>41906</v>
      </c>
      <c r="Z859" s="21">
        <v>41907</v>
      </c>
      <c r="AA859" s="20">
        <f t="shared" si="86"/>
        <v>8123</v>
      </c>
      <c r="AB859" s="22">
        <v>60.75</v>
      </c>
      <c r="AC859" s="20">
        <f t="shared" si="84"/>
        <v>496631.25</v>
      </c>
      <c r="AD859" s="20">
        <f t="shared" si="85"/>
        <v>493472.25</v>
      </c>
      <c r="AE859" s="3"/>
      <c r="AF859" s="3" t="s">
        <v>53</v>
      </c>
      <c r="AG859" s="4">
        <f t="shared" si="87"/>
        <v>8175</v>
      </c>
      <c r="AH859" s="4">
        <v>8175</v>
      </c>
      <c r="AI859" s="20">
        <v>52</v>
      </c>
      <c r="AJ859" s="20">
        <v>0</v>
      </c>
      <c r="AK859" s="20">
        <v>0</v>
      </c>
      <c r="AL859" s="20">
        <f t="shared" si="88"/>
        <v>8123</v>
      </c>
      <c r="AM859" s="3"/>
      <c r="AN859" s="3"/>
      <c r="AO859" s="22" t="e">
        <f>AB859/#REF!</f>
        <v>#REF!</v>
      </c>
      <c r="AP859" s="3" t="s">
        <v>4224</v>
      </c>
      <c r="AQ859" s="21">
        <v>42382</v>
      </c>
      <c r="AR859" s="3" t="s">
        <v>4225</v>
      </c>
      <c r="AS859" s="21">
        <v>42383</v>
      </c>
      <c r="AT859" s="3" t="s">
        <v>49</v>
      </c>
      <c r="AU859" s="3" t="s">
        <v>4171</v>
      </c>
    </row>
    <row r="860" spans="1:47" ht="15" customHeight="1" x14ac:dyDescent="0.25">
      <c r="A860" s="1">
        <v>856</v>
      </c>
      <c r="B860" s="1" t="s">
        <v>1258</v>
      </c>
      <c r="C860" s="1" t="s">
        <v>38</v>
      </c>
      <c r="D860" s="1">
        <v>9103550674</v>
      </c>
      <c r="E860" s="5">
        <v>41917</v>
      </c>
      <c r="F860" s="1" t="s">
        <v>767</v>
      </c>
      <c r="G860" s="1" t="s">
        <v>40</v>
      </c>
      <c r="H860" s="1" t="s">
        <v>41</v>
      </c>
      <c r="I860" s="1" t="s">
        <v>2809</v>
      </c>
      <c r="J860" s="1" t="s">
        <v>63</v>
      </c>
      <c r="K860" s="1">
        <v>29159090</v>
      </c>
      <c r="L860" s="6">
        <v>20</v>
      </c>
      <c r="M860" s="1" t="s">
        <v>70</v>
      </c>
      <c r="N860" s="7" t="s">
        <v>52</v>
      </c>
      <c r="O860" s="1" t="s">
        <v>53</v>
      </c>
      <c r="P860" s="8">
        <v>3600</v>
      </c>
      <c r="Q860" s="17">
        <f t="shared" si="83"/>
        <v>72000</v>
      </c>
      <c r="R860" s="9">
        <v>200</v>
      </c>
      <c r="S860" s="9">
        <v>0</v>
      </c>
      <c r="T860" s="9">
        <v>0</v>
      </c>
      <c r="U860" s="10">
        <v>0</v>
      </c>
      <c r="V860" s="1" t="s">
        <v>46</v>
      </c>
      <c r="W860" s="1" t="s">
        <v>75</v>
      </c>
      <c r="X860" s="1">
        <v>5180314</v>
      </c>
      <c r="Y860" s="11">
        <v>41906</v>
      </c>
      <c r="Z860" s="11">
        <v>41907</v>
      </c>
      <c r="AA860" s="9">
        <f t="shared" si="86"/>
        <v>71800</v>
      </c>
      <c r="AB860" s="12">
        <v>60.75</v>
      </c>
      <c r="AC860" s="9">
        <f t="shared" si="84"/>
        <v>4374000</v>
      </c>
      <c r="AD860" s="9">
        <f t="shared" si="85"/>
        <v>4361850</v>
      </c>
      <c r="AE860" s="1" t="s">
        <v>51</v>
      </c>
      <c r="AF860" s="1" t="s">
        <v>53</v>
      </c>
      <c r="AG860" s="4">
        <f t="shared" si="87"/>
        <v>72000</v>
      </c>
      <c r="AH860" s="10">
        <v>71959</v>
      </c>
      <c r="AI860" s="9">
        <v>200</v>
      </c>
      <c r="AJ860" s="9">
        <v>0</v>
      </c>
      <c r="AK860" s="9">
        <v>0</v>
      </c>
      <c r="AL860" s="9">
        <f t="shared" si="88"/>
        <v>71759</v>
      </c>
      <c r="AM860" s="1"/>
      <c r="AN860" s="1"/>
      <c r="AO860" s="12" t="e">
        <f>AB860/#REF!</f>
        <v>#REF!</v>
      </c>
      <c r="AP860" s="1" t="s">
        <v>2473</v>
      </c>
      <c r="AQ860" s="11">
        <v>41947</v>
      </c>
      <c r="AR860" s="1" t="s">
        <v>2474</v>
      </c>
      <c r="AS860" s="11">
        <v>41978</v>
      </c>
      <c r="AT860" s="1" t="s">
        <v>49</v>
      </c>
      <c r="AU860" s="1" t="s">
        <v>4171</v>
      </c>
    </row>
    <row r="861" spans="1:47" ht="15" customHeight="1" x14ac:dyDescent="0.25">
      <c r="A861" s="1">
        <v>857</v>
      </c>
      <c r="B861" s="1" t="s">
        <v>1258</v>
      </c>
      <c r="C861" s="1" t="s">
        <v>38</v>
      </c>
      <c r="D861" s="1">
        <v>9103550675</v>
      </c>
      <c r="E861" s="5">
        <v>41910</v>
      </c>
      <c r="F861" s="1" t="s">
        <v>764</v>
      </c>
      <c r="G861" s="1" t="s">
        <v>40</v>
      </c>
      <c r="H861" s="1" t="s">
        <v>41</v>
      </c>
      <c r="I861" s="1" t="s">
        <v>2809</v>
      </c>
      <c r="J861" s="1" t="s">
        <v>2708</v>
      </c>
      <c r="K861" s="1">
        <v>29161990</v>
      </c>
      <c r="L861" s="6">
        <v>28.8</v>
      </c>
      <c r="M861" s="1" t="s">
        <v>70</v>
      </c>
      <c r="N861" s="7" t="s">
        <v>44</v>
      </c>
      <c r="O861" s="1" t="s">
        <v>53</v>
      </c>
      <c r="P861" s="8">
        <v>2905</v>
      </c>
      <c r="Q861" s="17">
        <f t="shared" si="83"/>
        <v>83664</v>
      </c>
      <c r="R861" s="9">
        <v>100</v>
      </c>
      <c r="S861" s="9">
        <v>11.96</v>
      </c>
      <c r="T861" s="9">
        <v>0</v>
      </c>
      <c r="U861" s="10">
        <v>0</v>
      </c>
      <c r="V861" s="1" t="s">
        <v>46</v>
      </c>
      <c r="W861" s="1" t="s">
        <v>54</v>
      </c>
      <c r="X861" s="1">
        <v>5183301</v>
      </c>
      <c r="Y861" s="11">
        <v>41906</v>
      </c>
      <c r="Z861" s="11">
        <v>41907</v>
      </c>
      <c r="AA861" s="9">
        <f t="shared" si="86"/>
        <v>83552.039999999994</v>
      </c>
      <c r="AB861" s="12">
        <v>60.75</v>
      </c>
      <c r="AC861" s="9">
        <f t="shared" si="84"/>
        <v>5082588</v>
      </c>
      <c r="AD861" s="9">
        <f t="shared" si="85"/>
        <v>5075786.43</v>
      </c>
      <c r="AE861" s="1" t="s">
        <v>48</v>
      </c>
      <c r="AF861" s="1" t="s">
        <v>53</v>
      </c>
      <c r="AG861" s="4">
        <f t="shared" si="87"/>
        <v>83664</v>
      </c>
      <c r="AH861" s="10">
        <v>83473</v>
      </c>
      <c r="AI861" s="10">
        <v>60</v>
      </c>
      <c r="AJ861" s="10">
        <v>11.96</v>
      </c>
      <c r="AK861" s="10">
        <v>0</v>
      </c>
      <c r="AL861" s="9">
        <f t="shared" si="88"/>
        <v>83401.039999999994</v>
      </c>
      <c r="AM861" s="1"/>
      <c r="AN861" s="1"/>
      <c r="AO861" s="12" t="e">
        <f>AB861/#REF!</f>
        <v>#REF!</v>
      </c>
      <c r="AP861" s="1" t="s">
        <v>2475</v>
      </c>
      <c r="AQ861" s="11">
        <v>41928</v>
      </c>
      <c r="AR861" s="1" t="s">
        <v>2476</v>
      </c>
      <c r="AS861" s="11">
        <v>41930</v>
      </c>
      <c r="AT861" s="1" t="s">
        <v>49</v>
      </c>
      <c r="AU861" s="1" t="s">
        <v>4171</v>
      </c>
    </row>
    <row r="862" spans="1:47" ht="15" customHeight="1" x14ac:dyDescent="0.25">
      <c r="A862" s="1">
        <v>858</v>
      </c>
      <c r="B862" s="1" t="s">
        <v>1258</v>
      </c>
      <c r="C862" s="1" t="s">
        <v>38</v>
      </c>
      <c r="D862" s="1">
        <v>9103550676</v>
      </c>
      <c r="E862" s="5">
        <v>41911</v>
      </c>
      <c r="F862" s="1" t="s">
        <v>768</v>
      </c>
      <c r="G862" s="1" t="s">
        <v>40</v>
      </c>
      <c r="H862" s="1" t="s">
        <v>41</v>
      </c>
      <c r="I862" s="1" t="s">
        <v>2809</v>
      </c>
      <c r="J862" s="1" t="s">
        <v>264</v>
      </c>
      <c r="K862" s="1">
        <v>29157010</v>
      </c>
      <c r="L862" s="6">
        <v>30</v>
      </c>
      <c r="M862" s="1" t="s">
        <v>70</v>
      </c>
      <c r="N862" s="7" t="s">
        <v>44</v>
      </c>
      <c r="O862" s="1" t="s">
        <v>53</v>
      </c>
      <c r="P862" s="8">
        <v>1058</v>
      </c>
      <c r="Q862" s="17">
        <f t="shared" si="83"/>
        <v>31740</v>
      </c>
      <c r="R862" s="9">
        <v>480</v>
      </c>
      <c r="S862" s="9">
        <v>4.54</v>
      </c>
      <c r="T862" s="9">
        <v>0</v>
      </c>
      <c r="U862" s="10">
        <v>0</v>
      </c>
      <c r="V862" s="1" t="s">
        <v>46</v>
      </c>
      <c r="W862" s="1" t="s">
        <v>54</v>
      </c>
      <c r="X862" s="1">
        <v>5202281</v>
      </c>
      <c r="Y862" s="11">
        <v>41907</v>
      </c>
      <c r="Z862" s="11">
        <v>41908</v>
      </c>
      <c r="AA862" s="9">
        <f t="shared" si="86"/>
        <v>31255.46</v>
      </c>
      <c r="AB862" s="12">
        <v>60.75</v>
      </c>
      <c r="AC862" s="9">
        <f t="shared" si="84"/>
        <v>1928205</v>
      </c>
      <c r="AD862" s="9">
        <f t="shared" si="85"/>
        <v>1898769.1949999998</v>
      </c>
      <c r="AE862" s="1" t="s">
        <v>48</v>
      </c>
      <c r="AF862" s="1" t="s">
        <v>53</v>
      </c>
      <c r="AG862" s="4">
        <f t="shared" si="87"/>
        <v>31740</v>
      </c>
      <c r="AH862" s="10">
        <v>31544</v>
      </c>
      <c r="AI862" s="10">
        <v>532</v>
      </c>
      <c r="AJ862" s="10">
        <v>4.54</v>
      </c>
      <c r="AK862" s="10">
        <v>0</v>
      </c>
      <c r="AL862" s="9">
        <f t="shared" si="88"/>
        <v>31007.46</v>
      </c>
      <c r="AM862" s="1"/>
      <c r="AN862" s="1"/>
      <c r="AO862" s="12" t="e">
        <f>AB862/#REF!</f>
        <v>#REF!</v>
      </c>
      <c r="AP862" s="1" t="s">
        <v>2477</v>
      </c>
      <c r="AQ862" s="11">
        <v>41940</v>
      </c>
      <c r="AR862" s="1" t="s">
        <v>2478</v>
      </c>
      <c r="AS862" s="11">
        <v>41941</v>
      </c>
      <c r="AT862" s="1" t="s">
        <v>49</v>
      </c>
      <c r="AU862" s="1" t="s">
        <v>4171</v>
      </c>
    </row>
    <row r="863" spans="1:47" ht="15" customHeight="1" x14ac:dyDescent="0.25">
      <c r="A863" s="1">
        <v>859</v>
      </c>
      <c r="B863" s="1" t="s">
        <v>1258</v>
      </c>
      <c r="C863" s="1" t="s">
        <v>38</v>
      </c>
      <c r="D863" s="1">
        <v>9103550677</v>
      </c>
      <c r="E863" s="5">
        <v>41914</v>
      </c>
      <c r="F863" s="1" t="s">
        <v>2945</v>
      </c>
      <c r="G863" s="1" t="s">
        <v>40</v>
      </c>
      <c r="H863" s="1" t="s">
        <v>41</v>
      </c>
      <c r="I863" s="1" t="s">
        <v>2809</v>
      </c>
      <c r="J863" s="1" t="s">
        <v>2759</v>
      </c>
      <c r="K863" s="1">
        <v>38237090</v>
      </c>
      <c r="L863" s="6">
        <v>12</v>
      </c>
      <c r="M863" s="1" t="s">
        <v>70</v>
      </c>
      <c r="N863" s="7" t="s">
        <v>44</v>
      </c>
      <c r="O863" s="1" t="s">
        <v>53</v>
      </c>
      <c r="P863" s="8">
        <v>1510</v>
      </c>
      <c r="Q863" s="17">
        <f t="shared" si="83"/>
        <v>18120</v>
      </c>
      <c r="R863" s="9">
        <v>60</v>
      </c>
      <c r="S863" s="9">
        <v>2.59</v>
      </c>
      <c r="T863" s="9"/>
      <c r="U863" s="10"/>
      <c r="V863" s="1" t="s">
        <v>46</v>
      </c>
      <c r="W863" s="1" t="s">
        <v>72</v>
      </c>
      <c r="X863" s="1">
        <v>5205669</v>
      </c>
      <c r="Y863" s="11">
        <v>41907</v>
      </c>
      <c r="Z863" s="11">
        <v>41908</v>
      </c>
      <c r="AA863" s="9">
        <f t="shared" si="86"/>
        <v>18057.41</v>
      </c>
      <c r="AB863" s="12">
        <v>60.75</v>
      </c>
      <c r="AC863" s="9">
        <f t="shared" si="84"/>
        <v>1100790</v>
      </c>
      <c r="AD863" s="9">
        <f t="shared" si="85"/>
        <v>1096987.6575</v>
      </c>
      <c r="AE863" s="1" t="s">
        <v>48</v>
      </c>
      <c r="AF863" s="1" t="s">
        <v>53</v>
      </c>
      <c r="AG863" s="4">
        <f t="shared" si="87"/>
        <v>18120</v>
      </c>
      <c r="AH863" s="10">
        <v>18120</v>
      </c>
      <c r="AI863" s="10">
        <v>51.29</v>
      </c>
      <c r="AJ863" s="10">
        <v>2.59</v>
      </c>
      <c r="AK863" s="10">
        <v>0</v>
      </c>
      <c r="AL863" s="9">
        <f t="shared" si="88"/>
        <v>18066.12</v>
      </c>
      <c r="AM863" s="1"/>
      <c r="AN863" s="1"/>
      <c r="AO863" s="12" t="e">
        <f>AB863/#REF!</f>
        <v>#REF!</v>
      </c>
      <c r="AP863" s="1"/>
      <c r="AQ863" s="11">
        <v>41962</v>
      </c>
      <c r="AR863" s="1" t="s">
        <v>3361</v>
      </c>
      <c r="AS863" s="11">
        <v>41963</v>
      </c>
      <c r="AT863" s="1" t="s">
        <v>49</v>
      </c>
      <c r="AU863" s="1" t="s">
        <v>4171</v>
      </c>
    </row>
    <row r="864" spans="1:47" ht="15" customHeight="1" x14ac:dyDescent="0.25">
      <c r="A864" s="1">
        <v>860</v>
      </c>
      <c r="B864" s="1" t="s">
        <v>1258</v>
      </c>
      <c r="C864" s="1" t="s">
        <v>38</v>
      </c>
      <c r="D864" s="1">
        <v>9103550677</v>
      </c>
      <c r="E864" s="5">
        <v>41914</v>
      </c>
      <c r="F864" s="1" t="s">
        <v>2945</v>
      </c>
      <c r="G864" s="1" t="s">
        <v>40</v>
      </c>
      <c r="H864" s="1" t="s">
        <v>41</v>
      </c>
      <c r="I864" s="1" t="s">
        <v>2809</v>
      </c>
      <c r="J864" s="1" t="s">
        <v>2759</v>
      </c>
      <c r="K864" s="1">
        <v>29051700</v>
      </c>
      <c r="L864" s="6">
        <v>3</v>
      </c>
      <c r="M864" s="1" t="s">
        <v>70</v>
      </c>
      <c r="N864" s="7" t="s">
        <v>44</v>
      </c>
      <c r="O864" s="1" t="s">
        <v>53</v>
      </c>
      <c r="P864" s="8">
        <v>1615</v>
      </c>
      <c r="Q864" s="17">
        <f t="shared" si="83"/>
        <v>4845</v>
      </c>
      <c r="R864" s="9">
        <v>15</v>
      </c>
      <c r="S864" s="9">
        <v>0.69</v>
      </c>
      <c r="T864" s="9"/>
      <c r="U864" s="10"/>
      <c r="V864" s="1" t="s">
        <v>46</v>
      </c>
      <c r="W864" s="1" t="s">
        <v>72</v>
      </c>
      <c r="X864" s="1">
        <v>5205669</v>
      </c>
      <c r="Y864" s="11">
        <v>41907</v>
      </c>
      <c r="Z864" s="11">
        <v>41908</v>
      </c>
      <c r="AA864" s="9">
        <f t="shared" si="86"/>
        <v>4829.3100000000004</v>
      </c>
      <c r="AB864" s="12">
        <v>60.75</v>
      </c>
      <c r="AC864" s="9">
        <f t="shared" si="84"/>
        <v>294333.75</v>
      </c>
      <c r="AD864" s="9">
        <f t="shared" si="85"/>
        <v>293380.58250000002</v>
      </c>
      <c r="AE864" s="1" t="s">
        <v>48</v>
      </c>
      <c r="AF864" s="1" t="s">
        <v>53</v>
      </c>
      <c r="AG864" s="4">
        <f t="shared" si="87"/>
        <v>4845</v>
      </c>
      <c r="AH864" s="10">
        <v>4845</v>
      </c>
      <c r="AI864" s="10">
        <v>13.71</v>
      </c>
      <c r="AJ864" s="10">
        <v>0.69</v>
      </c>
      <c r="AK864" s="10">
        <v>0</v>
      </c>
      <c r="AL864" s="9">
        <f t="shared" si="88"/>
        <v>4830.6000000000004</v>
      </c>
      <c r="AM864" s="1"/>
      <c r="AN864" s="1"/>
      <c r="AO864" s="12" t="e">
        <f>AB864/#REF!</f>
        <v>#REF!</v>
      </c>
      <c r="AP864" s="1"/>
      <c r="AQ864" s="11">
        <v>41962</v>
      </c>
      <c r="AR864" s="1" t="s">
        <v>3361</v>
      </c>
      <c r="AS864" s="11">
        <v>41963</v>
      </c>
      <c r="AT864" s="1" t="s">
        <v>49</v>
      </c>
      <c r="AU864" s="1" t="s">
        <v>4171</v>
      </c>
    </row>
    <row r="865" spans="1:47" ht="15" customHeight="1" x14ac:dyDescent="0.25">
      <c r="A865" s="1">
        <v>861</v>
      </c>
      <c r="B865" s="1" t="s">
        <v>1258</v>
      </c>
      <c r="C865" s="1" t="s">
        <v>38</v>
      </c>
      <c r="D865" s="1">
        <v>9103550679</v>
      </c>
      <c r="E865" s="5">
        <v>41911</v>
      </c>
      <c r="F865" s="1" t="s">
        <v>779</v>
      </c>
      <c r="G865" s="1" t="s">
        <v>40</v>
      </c>
      <c r="H865" s="1" t="s">
        <v>41</v>
      </c>
      <c r="I865" s="1" t="s">
        <v>2809</v>
      </c>
      <c r="J865" s="1" t="s">
        <v>1705</v>
      </c>
      <c r="K865" s="1">
        <v>38237090</v>
      </c>
      <c r="L865" s="6">
        <v>38.31</v>
      </c>
      <c r="M865" s="1" t="s">
        <v>70</v>
      </c>
      <c r="N865" s="7" t="s">
        <v>44</v>
      </c>
      <c r="O865" s="1" t="s">
        <v>53</v>
      </c>
      <c r="P865" s="8">
        <v>1265</v>
      </c>
      <c r="Q865" s="17">
        <f t="shared" si="83"/>
        <v>48462.15</v>
      </c>
      <c r="R865" s="9">
        <v>1120</v>
      </c>
      <c r="S865" s="9">
        <v>6.93</v>
      </c>
      <c r="T865" s="9">
        <v>0</v>
      </c>
      <c r="U865" s="10">
        <v>0</v>
      </c>
      <c r="V865" s="1" t="s">
        <v>46</v>
      </c>
      <c r="W865" s="1" t="s">
        <v>64</v>
      </c>
      <c r="X865" s="1">
        <v>5207419</v>
      </c>
      <c r="Y865" s="11">
        <v>41907</v>
      </c>
      <c r="Z865" s="11">
        <v>41908</v>
      </c>
      <c r="AA865" s="9">
        <f t="shared" si="86"/>
        <v>47335.22</v>
      </c>
      <c r="AB865" s="12">
        <v>60.75</v>
      </c>
      <c r="AC865" s="9">
        <f t="shared" si="84"/>
        <v>2944075.6125000003</v>
      </c>
      <c r="AD865" s="9">
        <f t="shared" si="85"/>
        <v>2875614.6150000002</v>
      </c>
      <c r="AE865" s="1" t="s">
        <v>48</v>
      </c>
      <c r="AF865" s="1" t="s">
        <v>53</v>
      </c>
      <c r="AG865" s="4">
        <f t="shared" si="87"/>
        <v>48462.15</v>
      </c>
      <c r="AH865" s="10">
        <v>48301.15</v>
      </c>
      <c r="AI865" s="10">
        <v>1120</v>
      </c>
      <c r="AJ865" s="10">
        <v>6.93</v>
      </c>
      <c r="AK865" s="10">
        <v>0</v>
      </c>
      <c r="AL865" s="9">
        <f t="shared" si="88"/>
        <v>47174.22</v>
      </c>
      <c r="AM865" s="1"/>
      <c r="AN865" s="1"/>
      <c r="AO865" s="12" t="e">
        <f>AB865/#REF!</f>
        <v>#REF!</v>
      </c>
      <c r="AP865" s="1" t="s">
        <v>2479</v>
      </c>
      <c r="AQ865" s="11">
        <v>41932</v>
      </c>
      <c r="AR865" s="1" t="s">
        <v>2480</v>
      </c>
      <c r="AS865" s="11">
        <v>41933</v>
      </c>
      <c r="AT865" s="1" t="s">
        <v>49</v>
      </c>
      <c r="AU865" s="1" t="s">
        <v>4171</v>
      </c>
    </row>
    <row r="866" spans="1:47" ht="15" customHeight="1" x14ac:dyDescent="0.25">
      <c r="A866" s="1">
        <v>862</v>
      </c>
      <c r="B866" s="1" t="s">
        <v>1258</v>
      </c>
      <c r="C866" s="1" t="s">
        <v>38</v>
      </c>
      <c r="D866" s="1">
        <v>9103550680</v>
      </c>
      <c r="E866" s="5">
        <v>41911</v>
      </c>
      <c r="F866" s="1" t="s">
        <v>793</v>
      </c>
      <c r="G866" s="1" t="s">
        <v>40</v>
      </c>
      <c r="H866" s="1" t="s">
        <v>41</v>
      </c>
      <c r="I866" s="1" t="s">
        <v>2809</v>
      </c>
      <c r="J866" s="1" t="s">
        <v>2481</v>
      </c>
      <c r="K866" s="1">
        <v>38237090</v>
      </c>
      <c r="L866" s="6">
        <v>19.5</v>
      </c>
      <c r="M866" s="1" t="s">
        <v>70</v>
      </c>
      <c r="N866" s="7" t="s">
        <v>44</v>
      </c>
      <c r="O866" s="1" t="s">
        <v>53</v>
      </c>
      <c r="P866" s="8">
        <v>1265</v>
      </c>
      <c r="Q866" s="17">
        <f t="shared" si="83"/>
        <v>24667.5</v>
      </c>
      <c r="R866" s="9">
        <v>560</v>
      </c>
      <c r="S866" s="9">
        <v>3.53</v>
      </c>
      <c r="T866" s="9">
        <v>0</v>
      </c>
      <c r="U866" s="10">
        <v>0</v>
      </c>
      <c r="V866" s="1" t="s">
        <v>46</v>
      </c>
      <c r="W866" s="1" t="s">
        <v>64</v>
      </c>
      <c r="X866" s="1">
        <v>5213229</v>
      </c>
      <c r="Y866" s="11">
        <v>41908</v>
      </c>
      <c r="Z866" s="11">
        <v>41908</v>
      </c>
      <c r="AA866" s="9">
        <f t="shared" si="86"/>
        <v>24103.97</v>
      </c>
      <c r="AB866" s="12">
        <v>60.75</v>
      </c>
      <c r="AC866" s="9">
        <f t="shared" si="84"/>
        <v>1498550.625</v>
      </c>
      <c r="AD866" s="9">
        <f t="shared" si="85"/>
        <v>1464316.1775</v>
      </c>
      <c r="AE866" s="1" t="s">
        <v>48</v>
      </c>
      <c r="AF866" s="1" t="s">
        <v>53</v>
      </c>
      <c r="AG866" s="4">
        <f t="shared" si="87"/>
        <v>24667.5</v>
      </c>
      <c r="AH866" s="10">
        <v>24506.5</v>
      </c>
      <c r="AI866" s="10">
        <v>560</v>
      </c>
      <c r="AJ866" s="10">
        <v>3.53</v>
      </c>
      <c r="AK866" s="10">
        <v>0</v>
      </c>
      <c r="AL866" s="9">
        <f t="shared" si="88"/>
        <v>23942.97</v>
      </c>
      <c r="AM866" s="1"/>
      <c r="AN866" s="1"/>
      <c r="AO866" s="12" t="e">
        <f>AB866/#REF!</f>
        <v>#REF!</v>
      </c>
      <c r="AP866" s="1" t="s">
        <v>2482</v>
      </c>
      <c r="AQ866" s="11">
        <v>41928</v>
      </c>
      <c r="AR866" s="1" t="s">
        <v>2483</v>
      </c>
      <c r="AS866" s="11">
        <v>41930</v>
      </c>
      <c r="AT866" s="1" t="s">
        <v>49</v>
      </c>
      <c r="AU866" s="1" t="s">
        <v>4171</v>
      </c>
    </row>
    <row r="867" spans="1:47" ht="15" customHeight="1" x14ac:dyDescent="0.25">
      <c r="A867" s="1">
        <v>863</v>
      </c>
      <c r="B867" s="1" t="s">
        <v>1258</v>
      </c>
      <c r="C867" s="1" t="s">
        <v>38</v>
      </c>
      <c r="D867" s="1">
        <v>9103550681</v>
      </c>
      <c r="E867" s="5">
        <v>41913</v>
      </c>
      <c r="F867" s="1" t="s">
        <v>2946</v>
      </c>
      <c r="G867" s="1" t="s">
        <v>40</v>
      </c>
      <c r="H867" s="1" t="s">
        <v>41</v>
      </c>
      <c r="I867" s="1" t="s">
        <v>2809</v>
      </c>
      <c r="J867" s="1" t="s">
        <v>924</v>
      </c>
      <c r="K867" s="1">
        <v>38237090</v>
      </c>
      <c r="L867" s="6">
        <v>24</v>
      </c>
      <c r="M867" s="1" t="s">
        <v>70</v>
      </c>
      <c r="N867" s="7" t="s">
        <v>44</v>
      </c>
      <c r="O867" s="1" t="s">
        <v>53</v>
      </c>
      <c r="P867" s="8">
        <v>1625</v>
      </c>
      <c r="Q867" s="17">
        <f t="shared" si="83"/>
        <v>39000</v>
      </c>
      <c r="R867" s="9">
        <v>1800</v>
      </c>
      <c r="S867" s="9">
        <v>5.58</v>
      </c>
      <c r="T867" s="9">
        <v>720</v>
      </c>
      <c r="U867" s="10">
        <v>0</v>
      </c>
      <c r="V867" s="1" t="s">
        <v>46</v>
      </c>
      <c r="W867" s="1" t="s">
        <v>123</v>
      </c>
      <c r="X867" s="1">
        <v>5184584</v>
      </c>
      <c r="Y867" s="11">
        <v>41906</v>
      </c>
      <c r="Z867" s="11">
        <v>41908</v>
      </c>
      <c r="AA867" s="9">
        <f t="shared" si="86"/>
        <v>37194.42</v>
      </c>
      <c r="AB867" s="12">
        <v>60.75</v>
      </c>
      <c r="AC867" s="9">
        <f t="shared" si="84"/>
        <v>2369250</v>
      </c>
      <c r="AD867" s="9">
        <f t="shared" si="85"/>
        <v>2259561.0149999997</v>
      </c>
      <c r="AE867" s="1" t="s">
        <v>48</v>
      </c>
      <c r="AF867" s="1" t="s">
        <v>53</v>
      </c>
      <c r="AG867" s="4">
        <f t="shared" si="87"/>
        <v>39000</v>
      </c>
      <c r="AH867" s="10">
        <v>39000</v>
      </c>
      <c r="AI867" s="10">
        <v>1813</v>
      </c>
      <c r="AJ867" s="10">
        <v>5.58</v>
      </c>
      <c r="AK867" s="10">
        <v>720</v>
      </c>
      <c r="AL867" s="9">
        <f t="shared" si="88"/>
        <v>36461.42</v>
      </c>
      <c r="AM867" s="1"/>
      <c r="AN867" s="1"/>
      <c r="AO867" s="12" t="e">
        <f>AB867/#REF!</f>
        <v>#REF!</v>
      </c>
      <c r="AP867" s="1"/>
      <c r="AQ867" s="11">
        <v>42012</v>
      </c>
      <c r="AR867" s="1" t="s">
        <v>3362</v>
      </c>
      <c r="AS867" s="11">
        <v>42014</v>
      </c>
      <c r="AT867" s="1" t="s">
        <v>49</v>
      </c>
      <c r="AU867" s="1" t="s">
        <v>4171</v>
      </c>
    </row>
    <row r="868" spans="1:47" ht="15" customHeight="1" x14ac:dyDescent="0.25">
      <c r="A868" s="1">
        <v>864</v>
      </c>
      <c r="B868" s="1" t="s">
        <v>1258</v>
      </c>
      <c r="C868" s="1" t="s">
        <v>38</v>
      </c>
      <c r="D868" s="1">
        <v>9103550682</v>
      </c>
      <c r="E868" s="5">
        <v>41913</v>
      </c>
      <c r="F868" s="1" t="s">
        <v>2947</v>
      </c>
      <c r="G868" s="1" t="s">
        <v>40</v>
      </c>
      <c r="H868" s="1" t="s">
        <v>41</v>
      </c>
      <c r="I868" s="1" t="s">
        <v>2809</v>
      </c>
      <c r="J868" s="1" t="s">
        <v>924</v>
      </c>
      <c r="K868" s="1">
        <v>38237090</v>
      </c>
      <c r="L868" s="6">
        <v>24</v>
      </c>
      <c r="M868" s="1" t="s">
        <v>70</v>
      </c>
      <c r="N868" s="7" t="s">
        <v>44</v>
      </c>
      <c r="O868" s="1" t="s">
        <v>53</v>
      </c>
      <c r="P868" s="8">
        <v>1625</v>
      </c>
      <c r="Q868" s="17">
        <f t="shared" si="83"/>
        <v>39000</v>
      </c>
      <c r="R868" s="9">
        <v>1800</v>
      </c>
      <c r="S868" s="9">
        <v>5.58</v>
      </c>
      <c r="T868" s="9">
        <v>720</v>
      </c>
      <c r="U868" s="10">
        <v>0</v>
      </c>
      <c r="V868" s="1" t="s">
        <v>46</v>
      </c>
      <c r="W868" s="1" t="s">
        <v>123</v>
      </c>
      <c r="X868" s="1">
        <v>5208371</v>
      </c>
      <c r="Y868" s="11">
        <v>41907</v>
      </c>
      <c r="Z868" s="11">
        <v>41909</v>
      </c>
      <c r="AA868" s="9">
        <f t="shared" si="86"/>
        <v>37194.42</v>
      </c>
      <c r="AB868" s="12">
        <v>60.75</v>
      </c>
      <c r="AC868" s="9">
        <f t="shared" si="84"/>
        <v>2369250</v>
      </c>
      <c r="AD868" s="9">
        <f t="shared" si="85"/>
        <v>2259561.0149999997</v>
      </c>
      <c r="AE868" s="1" t="s">
        <v>48</v>
      </c>
      <c r="AF868" s="1" t="s">
        <v>53</v>
      </c>
      <c r="AG868" s="4">
        <f t="shared" si="87"/>
        <v>39000</v>
      </c>
      <c r="AH868" s="10">
        <v>39000</v>
      </c>
      <c r="AI868" s="10">
        <v>1813</v>
      </c>
      <c r="AJ868" s="10">
        <v>5.58</v>
      </c>
      <c r="AK868" s="10">
        <v>720</v>
      </c>
      <c r="AL868" s="9">
        <f t="shared" si="88"/>
        <v>36461.42</v>
      </c>
      <c r="AM868" s="1"/>
      <c r="AN868" s="1"/>
      <c r="AO868" s="12" t="e">
        <f>AB868/#REF!</f>
        <v>#REF!</v>
      </c>
      <c r="AP868" s="1"/>
      <c r="AQ868" s="11">
        <v>42012</v>
      </c>
      <c r="AR868" s="1" t="s">
        <v>3363</v>
      </c>
      <c r="AS868" s="11">
        <v>42014</v>
      </c>
      <c r="AT868" s="1" t="s">
        <v>49</v>
      </c>
      <c r="AU868" s="1" t="s">
        <v>4171</v>
      </c>
    </row>
    <row r="869" spans="1:47" ht="15" customHeight="1" x14ac:dyDescent="0.25">
      <c r="A869" s="1">
        <v>865</v>
      </c>
      <c r="B869" s="1" t="s">
        <v>1258</v>
      </c>
      <c r="C869" s="1" t="s">
        <v>38</v>
      </c>
      <c r="D869" s="1">
        <v>9103550683</v>
      </c>
      <c r="E869" s="5">
        <v>41915</v>
      </c>
      <c r="F869" s="1" t="s">
        <v>771</v>
      </c>
      <c r="G869" s="1" t="s">
        <v>40</v>
      </c>
      <c r="H869" s="1" t="s">
        <v>41</v>
      </c>
      <c r="I869" s="1" t="s">
        <v>2809</v>
      </c>
      <c r="J869" s="1" t="s">
        <v>256</v>
      </c>
      <c r="K869" s="1">
        <v>38237090</v>
      </c>
      <c r="L869" s="6">
        <v>12</v>
      </c>
      <c r="M869" s="1" t="s">
        <v>70</v>
      </c>
      <c r="N869" s="7" t="s">
        <v>67</v>
      </c>
      <c r="O869" s="1" t="s">
        <v>53</v>
      </c>
      <c r="P869" s="8">
        <v>2050</v>
      </c>
      <c r="Q869" s="17">
        <f t="shared" si="83"/>
        <v>24600</v>
      </c>
      <c r="R869" s="9">
        <v>0</v>
      </c>
      <c r="S869" s="9">
        <v>0</v>
      </c>
      <c r="T869" s="9">
        <v>0</v>
      </c>
      <c r="U869" s="10">
        <v>0</v>
      </c>
      <c r="V869" s="1" t="s">
        <v>46</v>
      </c>
      <c r="W869" s="1" t="s">
        <v>257</v>
      </c>
      <c r="X869" s="1">
        <v>5222937</v>
      </c>
      <c r="Y869" s="11">
        <v>41908</v>
      </c>
      <c r="Z869" s="11">
        <v>41909</v>
      </c>
      <c r="AA869" s="9">
        <f t="shared" si="86"/>
        <v>24600</v>
      </c>
      <c r="AB869" s="12">
        <v>60.75</v>
      </c>
      <c r="AC869" s="9">
        <f t="shared" si="84"/>
        <v>1494450</v>
      </c>
      <c r="AD869" s="9">
        <f t="shared" si="85"/>
        <v>1494450</v>
      </c>
      <c r="AE869" s="1" t="s">
        <v>48</v>
      </c>
      <c r="AF869" s="1" t="s">
        <v>53</v>
      </c>
      <c r="AG869" s="4">
        <f t="shared" si="87"/>
        <v>24600</v>
      </c>
      <c r="AH869" s="10">
        <v>24585</v>
      </c>
      <c r="AI869" s="10">
        <v>0</v>
      </c>
      <c r="AJ869" s="10">
        <v>0</v>
      </c>
      <c r="AK869" s="10">
        <v>0</v>
      </c>
      <c r="AL869" s="9">
        <f t="shared" si="88"/>
        <v>24585</v>
      </c>
      <c r="AM869" s="1"/>
      <c r="AN869" s="1"/>
      <c r="AO869" s="12" t="e">
        <f>AB869/#REF!</f>
        <v>#REF!</v>
      </c>
      <c r="AP869" s="1" t="s">
        <v>2484</v>
      </c>
      <c r="AQ869" s="11">
        <v>41962</v>
      </c>
      <c r="AR869" s="1" t="s">
        <v>2485</v>
      </c>
      <c r="AS869" s="11">
        <v>41963</v>
      </c>
      <c r="AT869" s="1" t="s">
        <v>49</v>
      </c>
      <c r="AU869" s="1" t="s">
        <v>4171</v>
      </c>
    </row>
    <row r="870" spans="1:47" ht="15" customHeight="1" x14ac:dyDescent="0.25">
      <c r="A870" s="1">
        <v>866</v>
      </c>
      <c r="B870" s="1" t="s">
        <v>1258</v>
      </c>
      <c r="C870" s="1" t="s">
        <v>38</v>
      </c>
      <c r="D870" s="1">
        <v>9103550684</v>
      </c>
      <c r="E870" s="5">
        <v>41912</v>
      </c>
      <c r="F870" s="1" t="s">
        <v>772</v>
      </c>
      <c r="G870" s="1" t="s">
        <v>40</v>
      </c>
      <c r="H870" s="1" t="s">
        <v>41</v>
      </c>
      <c r="I870" s="1" t="s">
        <v>2809</v>
      </c>
      <c r="J870" s="1" t="s">
        <v>187</v>
      </c>
      <c r="K870" s="1">
        <v>29051700</v>
      </c>
      <c r="L870" s="6">
        <v>36.28</v>
      </c>
      <c r="M870" s="1" t="s">
        <v>70</v>
      </c>
      <c r="N870" s="7" t="s">
        <v>44</v>
      </c>
      <c r="O870" s="1" t="s">
        <v>53</v>
      </c>
      <c r="P870" s="8">
        <v>1708</v>
      </c>
      <c r="Q870" s="17">
        <f t="shared" si="83"/>
        <v>61966.240000000005</v>
      </c>
      <c r="R870" s="9">
        <v>4500</v>
      </c>
      <c r="S870" s="9">
        <v>8.86</v>
      </c>
      <c r="T870" s="9">
        <v>0</v>
      </c>
      <c r="U870" s="10">
        <v>0</v>
      </c>
      <c r="V870" s="1" t="s">
        <v>46</v>
      </c>
      <c r="W870" s="1" t="s">
        <v>56</v>
      </c>
      <c r="X870" s="1">
        <v>5222443</v>
      </c>
      <c r="Y870" s="11">
        <v>41908</v>
      </c>
      <c r="Z870" s="11">
        <v>41909</v>
      </c>
      <c r="AA870" s="9">
        <f t="shared" si="86"/>
        <v>57457.380000000005</v>
      </c>
      <c r="AB870" s="12">
        <v>60.75</v>
      </c>
      <c r="AC870" s="9">
        <f t="shared" si="84"/>
        <v>3764449.0800000005</v>
      </c>
      <c r="AD870" s="9">
        <f t="shared" si="85"/>
        <v>3490535.8350000004</v>
      </c>
      <c r="AE870" s="1" t="s">
        <v>48</v>
      </c>
      <c r="AF870" s="1" t="s">
        <v>53</v>
      </c>
      <c r="AG870" s="4">
        <f t="shared" si="87"/>
        <v>61966.240000000005</v>
      </c>
      <c r="AH870" s="10">
        <v>61966.239999999998</v>
      </c>
      <c r="AI870" s="10">
        <v>4432</v>
      </c>
      <c r="AJ870" s="10">
        <v>8.86</v>
      </c>
      <c r="AK870" s="10">
        <v>0</v>
      </c>
      <c r="AL870" s="9">
        <f t="shared" si="88"/>
        <v>57525.38</v>
      </c>
      <c r="AM870" s="1"/>
      <c r="AN870" s="1"/>
      <c r="AO870" s="12" t="e">
        <f>AB870/#REF!</f>
        <v>#REF!</v>
      </c>
      <c r="AP870" s="1" t="s">
        <v>2486</v>
      </c>
      <c r="AQ870" s="11">
        <v>41964</v>
      </c>
      <c r="AR870" s="1" t="s">
        <v>2487</v>
      </c>
      <c r="AS870" s="11">
        <v>41967</v>
      </c>
      <c r="AT870" s="1" t="s">
        <v>49</v>
      </c>
      <c r="AU870" s="1" t="s">
        <v>4171</v>
      </c>
    </row>
    <row r="871" spans="1:47" ht="15" customHeight="1" x14ac:dyDescent="0.25">
      <c r="A871" s="1">
        <v>867</v>
      </c>
      <c r="B871" s="1" t="s">
        <v>1258</v>
      </c>
      <c r="C871" s="1" t="s">
        <v>38</v>
      </c>
      <c r="D871" s="1">
        <v>9103550685</v>
      </c>
      <c r="E871" s="5">
        <v>41915</v>
      </c>
      <c r="F871" s="1" t="s">
        <v>777</v>
      </c>
      <c r="G871" s="1" t="s">
        <v>40</v>
      </c>
      <c r="H871" s="1" t="s">
        <v>41</v>
      </c>
      <c r="I871" s="1" t="s">
        <v>2809</v>
      </c>
      <c r="J871" s="1" t="s">
        <v>256</v>
      </c>
      <c r="K871" s="1">
        <v>38237090</v>
      </c>
      <c r="L871" s="6">
        <v>12</v>
      </c>
      <c r="M871" s="1" t="s">
        <v>70</v>
      </c>
      <c r="N871" s="7" t="s">
        <v>67</v>
      </c>
      <c r="O871" s="1" t="s">
        <v>53</v>
      </c>
      <c r="P871" s="8">
        <v>2050</v>
      </c>
      <c r="Q871" s="17">
        <f t="shared" si="83"/>
        <v>24600</v>
      </c>
      <c r="R871" s="9">
        <v>0</v>
      </c>
      <c r="S871" s="9">
        <v>0</v>
      </c>
      <c r="T871" s="9">
        <v>0</v>
      </c>
      <c r="U871" s="10">
        <v>0</v>
      </c>
      <c r="V871" s="1" t="s">
        <v>46</v>
      </c>
      <c r="W871" s="1" t="s">
        <v>257</v>
      </c>
      <c r="X871" s="1">
        <v>5225747</v>
      </c>
      <c r="Y871" s="11">
        <v>41908</v>
      </c>
      <c r="Z871" s="11">
        <v>41910</v>
      </c>
      <c r="AA871" s="9">
        <f t="shared" si="86"/>
        <v>24600</v>
      </c>
      <c r="AB871" s="12">
        <v>60.75</v>
      </c>
      <c r="AC871" s="9">
        <f t="shared" si="84"/>
        <v>1494450</v>
      </c>
      <c r="AD871" s="9">
        <f t="shared" si="85"/>
        <v>1494450</v>
      </c>
      <c r="AE871" s="1" t="s">
        <v>48</v>
      </c>
      <c r="AF871" s="1" t="s">
        <v>53</v>
      </c>
      <c r="AG871" s="4">
        <f t="shared" si="87"/>
        <v>24600</v>
      </c>
      <c r="AH871" s="10">
        <v>24585</v>
      </c>
      <c r="AI871" s="10">
        <v>0</v>
      </c>
      <c r="AJ871" s="10">
        <v>0</v>
      </c>
      <c r="AK871" s="10">
        <v>0</v>
      </c>
      <c r="AL871" s="9">
        <f t="shared" si="88"/>
        <v>24585</v>
      </c>
      <c r="AM871" s="1"/>
      <c r="AN871" s="1"/>
      <c r="AO871" s="12" t="e">
        <f>AB871/#REF!</f>
        <v>#REF!</v>
      </c>
      <c r="AP871" s="1" t="s">
        <v>2488</v>
      </c>
      <c r="AQ871" s="11">
        <v>41962</v>
      </c>
      <c r="AR871" s="1" t="s">
        <v>2489</v>
      </c>
      <c r="AS871" s="11">
        <v>41963</v>
      </c>
      <c r="AT871" s="1" t="s">
        <v>49</v>
      </c>
      <c r="AU871" s="1" t="s">
        <v>4171</v>
      </c>
    </row>
    <row r="872" spans="1:47" ht="15" customHeight="1" x14ac:dyDescent="0.25">
      <c r="A872" s="1">
        <v>868</v>
      </c>
      <c r="B872" s="1" t="s">
        <v>1258</v>
      </c>
      <c r="C872" s="1" t="s">
        <v>38</v>
      </c>
      <c r="D872" s="1">
        <v>9103550686</v>
      </c>
      <c r="E872" s="5">
        <v>41916</v>
      </c>
      <c r="F872" s="1" t="s">
        <v>794</v>
      </c>
      <c r="G872" s="1" t="s">
        <v>40</v>
      </c>
      <c r="H872" s="1" t="s">
        <v>41</v>
      </c>
      <c r="I872" s="1" t="s">
        <v>2809</v>
      </c>
      <c r="J872" s="1" t="s">
        <v>2641</v>
      </c>
      <c r="K872" s="1">
        <v>38237090</v>
      </c>
      <c r="L872" s="6">
        <v>57.21</v>
      </c>
      <c r="M872" s="1" t="s">
        <v>70</v>
      </c>
      <c r="N872" s="7" t="s">
        <v>44</v>
      </c>
      <c r="O872" s="1" t="s">
        <v>53</v>
      </c>
      <c r="P872" s="8">
        <v>1170</v>
      </c>
      <c r="Q872" s="17">
        <f t="shared" si="83"/>
        <v>66935.7</v>
      </c>
      <c r="R872" s="9">
        <v>2280</v>
      </c>
      <c r="S872" s="9">
        <v>9.57</v>
      </c>
      <c r="T872" s="9">
        <v>0</v>
      </c>
      <c r="U872" s="10">
        <v>0</v>
      </c>
      <c r="V872" s="1" t="s">
        <v>46</v>
      </c>
      <c r="W872" s="1" t="s">
        <v>54</v>
      </c>
      <c r="X872" s="1">
        <v>5227943</v>
      </c>
      <c r="Y872" s="11">
        <v>41908</v>
      </c>
      <c r="Z872" s="11">
        <v>41911</v>
      </c>
      <c r="AA872" s="9">
        <f t="shared" si="86"/>
        <v>64646.13</v>
      </c>
      <c r="AB872" s="12">
        <v>60.75</v>
      </c>
      <c r="AC872" s="9">
        <f t="shared" si="84"/>
        <v>4066343.7749999999</v>
      </c>
      <c r="AD872" s="9">
        <f t="shared" si="85"/>
        <v>3927252.3975</v>
      </c>
      <c r="AE872" s="1" t="s">
        <v>48</v>
      </c>
      <c r="AF872" s="1" t="s">
        <v>53</v>
      </c>
      <c r="AG872" s="4">
        <f t="shared" si="87"/>
        <v>66935.7</v>
      </c>
      <c r="AH872" s="10">
        <v>66779.7</v>
      </c>
      <c r="AI872" s="10">
        <v>2280</v>
      </c>
      <c r="AJ872" s="10">
        <v>9.57</v>
      </c>
      <c r="AK872" s="10">
        <v>0</v>
      </c>
      <c r="AL872" s="9">
        <f t="shared" si="88"/>
        <v>64490.13</v>
      </c>
      <c r="AM872" s="1"/>
      <c r="AN872" s="1"/>
      <c r="AO872" s="12" t="e">
        <f>AB872/#REF!</f>
        <v>#REF!</v>
      </c>
      <c r="AP872" s="1" t="s">
        <v>2490</v>
      </c>
      <c r="AQ872" s="11">
        <v>42010</v>
      </c>
      <c r="AR872" s="1" t="s">
        <v>2491</v>
      </c>
      <c r="AS872" s="11">
        <v>42011</v>
      </c>
      <c r="AT872" s="1" t="s">
        <v>49</v>
      </c>
      <c r="AU872" s="1" t="s">
        <v>4171</v>
      </c>
    </row>
    <row r="873" spans="1:47" ht="15" customHeight="1" x14ac:dyDescent="0.25">
      <c r="A873" s="1">
        <v>869</v>
      </c>
      <c r="B873" s="1" t="s">
        <v>1258</v>
      </c>
      <c r="C873" s="1" t="s">
        <v>38</v>
      </c>
      <c r="D873" s="1" t="s">
        <v>2492</v>
      </c>
      <c r="E873" s="5">
        <v>41915</v>
      </c>
      <c r="F873" s="1" t="s">
        <v>808</v>
      </c>
      <c r="G873" s="1" t="s">
        <v>40</v>
      </c>
      <c r="H873" s="1" t="s">
        <v>41</v>
      </c>
      <c r="I873" s="1" t="s">
        <v>2809</v>
      </c>
      <c r="J873" s="1" t="s">
        <v>142</v>
      </c>
      <c r="K873" s="1">
        <v>38237090</v>
      </c>
      <c r="L873" s="6">
        <v>60</v>
      </c>
      <c r="M873" s="1" t="s">
        <v>70</v>
      </c>
      <c r="N873" s="7" t="s">
        <v>52</v>
      </c>
      <c r="O873" s="1" t="s">
        <v>53</v>
      </c>
      <c r="P873" s="8">
        <v>1525</v>
      </c>
      <c r="Q873" s="17">
        <f t="shared" si="83"/>
        <v>91500</v>
      </c>
      <c r="R873" s="9">
        <v>3500</v>
      </c>
      <c r="S873" s="9">
        <v>0</v>
      </c>
      <c r="T873" s="9">
        <v>915</v>
      </c>
      <c r="U873" s="10">
        <v>0</v>
      </c>
      <c r="V873" s="1" t="s">
        <v>46</v>
      </c>
      <c r="W873" s="1" t="s">
        <v>143</v>
      </c>
      <c r="X873" s="1">
        <v>5231041</v>
      </c>
      <c r="Y873" s="11">
        <v>41908</v>
      </c>
      <c r="Z873" s="11">
        <v>41909</v>
      </c>
      <c r="AA873" s="9">
        <f t="shared" si="86"/>
        <v>88000</v>
      </c>
      <c r="AB873" s="12">
        <v>60.75</v>
      </c>
      <c r="AC873" s="9">
        <f t="shared" si="84"/>
        <v>5558625</v>
      </c>
      <c r="AD873" s="9">
        <f t="shared" si="85"/>
        <v>5346000</v>
      </c>
      <c r="AE873" s="1" t="s">
        <v>48</v>
      </c>
      <c r="AF873" s="1" t="s">
        <v>53</v>
      </c>
      <c r="AG873" s="4">
        <f t="shared" si="87"/>
        <v>91500</v>
      </c>
      <c r="AH873" s="10">
        <v>91500</v>
      </c>
      <c r="AI873" s="10">
        <v>3440</v>
      </c>
      <c r="AJ873" s="10">
        <v>0</v>
      </c>
      <c r="AK873" s="10">
        <v>915</v>
      </c>
      <c r="AL873" s="9">
        <f t="shared" si="88"/>
        <v>87145</v>
      </c>
      <c r="AM873" s="1"/>
      <c r="AN873" s="1"/>
      <c r="AO873" s="12" t="e">
        <f>AB873/#REF!</f>
        <v>#REF!</v>
      </c>
      <c r="AP873" s="1" t="s">
        <v>2493</v>
      </c>
      <c r="AQ873" s="11">
        <v>41939</v>
      </c>
      <c r="AR873" s="1" t="s">
        <v>2494</v>
      </c>
      <c r="AS873" s="11">
        <v>41940</v>
      </c>
      <c r="AT873" s="1" t="s">
        <v>49</v>
      </c>
      <c r="AU873" s="1" t="s">
        <v>4171</v>
      </c>
    </row>
    <row r="874" spans="1:47" ht="15" customHeight="1" x14ac:dyDescent="0.25">
      <c r="A874" s="1">
        <v>870</v>
      </c>
      <c r="B874" s="1" t="s">
        <v>1258</v>
      </c>
      <c r="C874" s="1" t="s">
        <v>38</v>
      </c>
      <c r="D874" s="1" t="s">
        <v>2492</v>
      </c>
      <c r="E874" s="5">
        <v>41915</v>
      </c>
      <c r="F874" s="1" t="s">
        <v>807</v>
      </c>
      <c r="G874" s="1" t="s">
        <v>40</v>
      </c>
      <c r="H874" s="1" t="s">
        <v>41</v>
      </c>
      <c r="I874" s="1" t="s">
        <v>2809</v>
      </c>
      <c r="J874" s="1" t="s">
        <v>142</v>
      </c>
      <c r="K874" s="1">
        <v>38237090</v>
      </c>
      <c r="L874" s="6">
        <v>84</v>
      </c>
      <c r="M874" s="1" t="s">
        <v>70</v>
      </c>
      <c r="N874" s="7" t="s">
        <v>52</v>
      </c>
      <c r="O874" s="1" t="s">
        <v>53</v>
      </c>
      <c r="P874" s="8">
        <v>1525</v>
      </c>
      <c r="Q874" s="17">
        <f t="shared" si="83"/>
        <v>128100</v>
      </c>
      <c r="R874" s="9">
        <v>4900</v>
      </c>
      <c r="S874" s="9">
        <v>0</v>
      </c>
      <c r="T874" s="9">
        <v>1281</v>
      </c>
      <c r="U874" s="10">
        <v>0</v>
      </c>
      <c r="V874" s="1" t="s">
        <v>46</v>
      </c>
      <c r="W874" s="1" t="s">
        <v>143</v>
      </c>
      <c r="X874" s="1">
        <v>5245808</v>
      </c>
      <c r="Y874" s="11">
        <v>41909</v>
      </c>
      <c r="Z874" s="11">
        <v>41910</v>
      </c>
      <c r="AA874" s="9">
        <f t="shared" si="86"/>
        <v>123200</v>
      </c>
      <c r="AB874" s="12">
        <v>60.75</v>
      </c>
      <c r="AC874" s="9">
        <f t="shared" si="84"/>
        <v>7782075</v>
      </c>
      <c r="AD874" s="9">
        <f t="shared" si="85"/>
        <v>7484400</v>
      </c>
      <c r="AE874" s="1" t="s">
        <v>48</v>
      </c>
      <c r="AF874" s="1" t="s">
        <v>53</v>
      </c>
      <c r="AG874" s="4">
        <f t="shared" si="87"/>
        <v>128100</v>
      </c>
      <c r="AH874" s="10">
        <v>128100</v>
      </c>
      <c r="AI874" s="10">
        <v>4816</v>
      </c>
      <c r="AJ874" s="10">
        <v>0</v>
      </c>
      <c r="AK874" s="10">
        <v>1281</v>
      </c>
      <c r="AL874" s="9">
        <f t="shared" si="88"/>
        <v>122003</v>
      </c>
      <c r="AM874" s="1"/>
      <c r="AN874" s="1"/>
      <c r="AO874" s="12" t="e">
        <f>AB874/#REF!</f>
        <v>#REF!</v>
      </c>
      <c r="AP874" s="1" t="s">
        <v>2493</v>
      </c>
      <c r="AQ874" s="11">
        <v>41939</v>
      </c>
      <c r="AR874" s="1" t="s">
        <v>2495</v>
      </c>
      <c r="AS874" s="11">
        <v>41940</v>
      </c>
      <c r="AT874" s="1" t="s">
        <v>49</v>
      </c>
      <c r="AU874" s="1" t="s">
        <v>4171</v>
      </c>
    </row>
    <row r="875" spans="1:47" ht="15" customHeight="1" x14ac:dyDescent="0.25">
      <c r="A875" s="1">
        <v>870</v>
      </c>
      <c r="B875" s="1" t="s">
        <v>1258</v>
      </c>
      <c r="C875" s="1" t="s">
        <v>38</v>
      </c>
      <c r="D875" s="1">
        <v>9103550689</v>
      </c>
      <c r="E875" s="5"/>
      <c r="F875" s="1"/>
      <c r="G875" s="1"/>
      <c r="H875" s="1"/>
      <c r="I875" s="1"/>
      <c r="J875" s="1"/>
      <c r="K875" s="1"/>
      <c r="L875" s="6"/>
      <c r="M875" s="1"/>
      <c r="N875" s="7"/>
      <c r="O875" s="1"/>
      <c r="P875" s="8"/>
      <c r="Q875" s="17"/>
      <c r="R875" s="9"/>
      <c r="S875" s="9"/>
      <c r="T875" s="9"/>
      <c r="U875" s="10"/>
      <c r="V875" s="1"/>
      <c r="W875" s="1"/>
      <c r="X875" s="1"/>
      <c r="Y875" s="11"/>
      <c r="Z875" s="11"/>
      <c r="AA875" s="9"/>
      <c r="AB875" s="12"/>
      <c r="AC875" s="9"/>
      <c r="AD875" s="9"/>
      <c r="AE875" s="1"/>
      <c r="AF875" s="1"/>
      <c r="AG875" s="4"/>
      <c r="AH875" s="10"/>
      <c r="AI875" s="10"/>
      <c r="AJ875" s="10"/>
      <c r="AK875" s="10"/>
      <c r="AL875" s="9"/>
      <c r="AM875" s="1"/>
      <c r="AN875" s="1"/>
      <c r="AO875" s="12"/>
      <c r="AP875" s="1"/>
      <c r="AQ875" s="11"/>
      <c r="AR875" s="1" t="s">
        <v>4381</v>
      </c>
      <c r="AS875" s="11"/>
      <c r="AT875" s="1"/>
      <c r="AU875" s="1"/>
    </row>
    <row r="876" spans="1:47" ht="15" customHeight="1" x14ac:dyDescent="0.25">
      <c r="A876" s="1">
        <v>871</v>
      </c>
      <c r="B876" s="1" t="s">
        <v>1258</v>
      </c>
      <c r="C876" s="1" t="s">
        <v>38</v>
      </c>
      <c r="D876" s="1">
        <v>9103550690</v>
      </c>
      <c r="E876" s="5">
        <v>41913</v>
      </c>
      <c r="F876" s="1" t="s">
        <v>775</v>
      </c>
      <c r="G876" s="1" t="s">
        <v>40</v>
      </c>
      <c r="H876" s="1" t="s">
        <v>41</v>
      </c>
      <c r="I876" s="1" t="s">
        <v>2809</v>
      </c>
      <c r="J876" s="1" t="s">
        <v>1714</v>
      </c>
      <c r="K876" s="1">
        <v>38237090</v>
      </c>
      <c r="L876" s="6">
        <v>24</v>
      </c>
      <c r="M876" s="1" t="s">
        <v>70</v>
      </c>
      <c r="N876" s="7" t="s">
        <v>52</v>
      </c>
      <c r="O876" s="1" t="s">
        <v>53</v>
      </c>
      <c r="P876" s="8">
        <v>1750</v>
      </c>
      <c r="Q876" s="17">
        <f t="shared" si="83"/>
        <v>42000</v>
      </c>
      <c r="R876" s="9">
        <v>2400</v>
      </c>
      <c r="S876" s="9">
        <v>0</v>
      </c>
      <c r="T876" s="9">
        <v>0</v>
      </c>
      <c r="U876" s="10">
        <v>0</v>
      </c>
      <c r="V876" s="1" t="s">
        <v>46</v>
      </c>
      <c r="W876" s="1" t="s">
        <v>745</v>
      </c>
      <c r="X876" s="1">
        <v>5247999</v>
      </c>
      <c r="Y876" s="11">
        <v>41909</v>
      </c>
      <c r="Z876" s="11">
        <v>41910</v>
      </c>
      <c r="AA876" s="9">
        <f t="shared" si="86"/>
        <v>39600</v>
      </c>
      <c r="AB876" s="12">
        <v>60.75</v>
      </c>
      <c r="AC876" s="9">
        <f t="shared" si="84"/>
        <v>2551500</v>
      </c>
      <c r="AD876" s="9">
        <f t="shared" si="85"/>
        <v>2405700</v>
      </c>
      <c r="AE876" s="1" t="s">
        <v>48</v>
      </c>
      <c r="AF876" s="1" t="s">
        <v>53</v>
      </c>
      <c r="AG876" s="4">
        <f t="shared" ref="AG876:AG939" si="89">Q876</f>
        <v>42000</v>
      </c>
      <c r="AH876" s="10">
        <v>41799</v>
      </c>
      <c r="AI876" s="10">
        <v>2050</v>
      </c>
      <c r="AJ876" s="10">
        <v>0</v>
      </c>
      <c r="AK876" s="10">
        <v>0</v>
      </c>
      <c r="AL876" s="9">
        <f t="shared" ref="AL876:AL939" si="90">AH876-(AI876+AJ876+AK876)</f>
        <v>39749</v>
      </c>
      <c r="AM876" s="1"/>
      <c r="AN876" s="1"/>
      <c r="AO876" s="12" t="e">
        <f>AB876/#REF!</f>
        <v>#REF!</v>
      </c>
      <c r="AP876" s="1" t="s">
        <v>2496</v>
      </c>
      <c r="AQ876" s="11">
        <v>41939</v>
      </c>
      <c r="AR876" s="1" t="s">
        <v>2497</v>
      </c>
      <c r="AS876" s="11">
        <v>41940</v>
      </c>
      <c r="AT876" s="1" t="s">
        <v>49</v>
      </c>
      <c r="AU876" s="1" t="s">
        <v>4171</v>
      </c>
    </row>
    <row r="877" spans="1:47" ht="15" customHeight="1" x14ac:dyDescent="0.25">
      <c r="A877" s="1">
        <v>872</v>
      </c>
      <c r="B877" s="1" t="s">
        <v>1258</v>
      </c>
      <c r="C877" s="1" t="s">
        <v>38</v>
      </c>
      <c r="D877" s="1" t="s">
        <v>2498</v>
      </c>
      <c r="E877" s="5">
        <v>41914</v>
      </c>
      <c r="F877" s="1" t="s">
        <v>773</v>
      </c>
      <c r="G877" s="1" t="s">
        <v>40</v>
      </c>
      <c r="H877" s="1" t="s">
        <v>41</v>
      </c>
      <c r="I877" s="1" t="s">
        <v>2809</v>
      </c>
      <c r="J877" s="1" t="s">
        <v>63</v>
      </c>
      <c r="K877" s="1">
        <v>29161990</v>
      </c>
      <c r="L877" s="6">
        <v>19.95</v>
      </c>
      <c r="M877" s="1" t="s">
        <v>70</v>
      </c>
      <c r="N877" s="7" t="s">
        <v>44</v>
      </c>
      <c r="O877" s="1" t="s">
        <v>53</v>
      </c>
      <c r="P877" s="8">
        <v>2570</v>
      </c>
      <c r="Q877" s="17">
        <f t="shared" si="83"/>
        <v>51271.5</v>
      </c>
      <c r="R877" s="9">
        <v>400</v>
      </c>
      <c r="S877" s="9">
        <v>7.33</v>
      </c>
      <c r="T877" s="9">
        <v>0</v>
      </c>
      <c r="U877" s="10">
        <v>0</v>
      </c>
      <c r="V877" s="1" t="s">
        <v>46</v>
      </c>
      <c r="W877" s="1" t="s">
        <v>64</v>
      </c>
      <c r="X877" s="1">
        <v>5246709</v>
      </c>
      <c r="Y877" s="11">
        <v>41909</v>
      </c>
      <c r="Z877" s="11">
        <v>41910</v>
      </c>
      <c r="AA877" s="9">
        <f t="shared" si="86"/>
        <v>50864.17</v>
      </c>
      <c r="AB877" s="12">
        <v>60.75</v>
      </c>
      <c r="AC877" s="9">
        <f t="shared" si="84"/>
        <v>3114743.625</v>
      </c>
      <c r="AD877" s="9">
        <f t="shared" si="85"/>
        <v>3089998.3274999997</v>
      </c>
      <c r="AE877" s="1" t="s">
        <v>51</v>
      </c>
      <c r="AF877" s="1" t="s">
        <v>53</v>
      </c>
      <c r="AG877" s="4">
        <f t="shared" si="89"/>
        <v>51271.5</v>
      </c>
      <c r="AH877" s="10">
        <v>51230</v>
      </c>
      <c r="AI877" s="10">
        <v>375</v>
      </c>
      <c r="AJ877" s="10">
        <v>7.33</v>
      </c>
      <c r="AK877" s="10">
        <v>0</v>
      </c>
      <c r="AL877" s="9">
        <f t="shared" si="90"/>
        <v>50847.67</v>
      </c>
      <c r="AM877" s="1"/>
      <c r="AN877" s="1"/>
      <c r="AO877" s="12" t="e">
        <f>AB877/#REF!</f>
        <v>#REF!</v>
      </c>
      <c r="AP877" s="1"/>
      <c r="AQ877" s="11">
        <v>42107</v>
      </c>
      <c r="AR877" s="1" t="s">
        <v>3627</v>
      </c>
      <c r="AS877" s="11">
        <v>41932</v>
      </c>
      <c r="AT877" s="1" t="s">
        <v>49</v>
      </c>
      <c r="AU877" s="1" t="s">
        <v>4171</v>
      </c>
    </row>
    <row r="878" spans="1:47" ht="15" customHeight="1" x14ac:dyDescent="0.25">
      <c r="A878" s="1">
        <v>873</v>
      </c>
      <c r="B878" s="1" t="s">
        <v>1258</v>
      </c>
      <c r="C878" s="1" t="s">
        <v>38</v>
      </c>
      <c r="D878" s="1" t="s">
        <v>2498</v>
      </c>
      <c r="E878" s="5">
        <v>41914</v>
      </c>
      <c r="F878" s="1" t="s">
        <v>776</v>
      </c>
      <c r="G878" s="1" t="s">
        <v>40</v>
      </c>
      <c r="H878" s="1" t="s">
        <v>41</v>
      </c>
      <c r="I878" s="1" t="s">
        <v>2809</v>
      </c>
      <c r="J878" s="1" t="s">
        <v>63</v>
      </c>
      <c r="K878" s="1">
        <v>29161990</v>
      </c>
      <c r="L878" s="6">
        <v>19.88</v>
      </c>
      <c r="M878" s="1" t="s">
        <v>70</v>
      </c>
      <c r="N878" s="7" t="s">
        <v>44</v>
      </c>
      <c r="O878" s="1" t="s">
        <v>53</v>
      </c>
      <c r="P878" s="8">
        <v>2570</v>
      </c>
      <c r="Q878" s="17">
        <f t="shared" si="83"/>
        <v>51091.6</v>
      </c>
      <c r="R878" s="9">
        <v>400</v>
      </c>
      <c r="S878" s="9">
        <v>7.31</v>
      </c>
      <c r="T878" s="9">
        <v>0</v>
      </c>
      <c r="U878" s="10">
        <v>0</v>
      </c>
      <c r="V878" s="1" t="s">
        <v>46</v>
      </c>
      <c r="W878" s="1" t="s">
        <v>64</v>
      </c>
      <c r="X878" s="1">
        <v>5258863</v>
      </c>
      <c r="Y878" s="11">
        <v>41911</v>
      </c>
      <c r="Z878" s="11">
        <v>41912</v>
      </c>
      <c r="AA878" s="9">
        <f t="shared" si="86"/>
        <v>50684.29</v>
      </c>
      <c r="AB878" s="12">
        <v>60.75</v>
      </c>
      <c r="AC878" s="9">
        <f t="shared" si="84"/>
        <v>3103814.6999999997</v>
      </c>
      <c r="AD878" s="9">
        <f t="shared" si="85"/>
        <v>3079070.6175000002</v>
      </c>
      <c r="AE878" s="1" t="s">
        <v>51</v>
      </c>
      <c r="AF878" s="1" t="s">
        <v>53</v>
      </c>
      <c r="AG878" s="4">
        <f t="shared" si="89"/>
        <v>51091.6</v>
      </c>
      <c r="AH878" s="10">
        <v>51051</v>
      </c>
      <c r="AI878" s="10">
        <v>375</v>
      </c>
      <c r="AJ878" s="10">
        <v>7.31</v>
      </c>
      <c r="AK878" s="10">
        <v>0</v>
      </c>
      <c r="AL878" s="9">
        <f t="shared" si="90"/>
        <v>50668.69</v>
      </c>
      <c r="AM878" s="1"/>
      <c r="AN878" s="1"/>
      <c r="AO878" s="12" t="e">
        <f>AB878/#REF!</f>
        <v>#REF!</v>
      </c>
      <c r="AP878" s="1" t="s">
        <v>2499</v>
      </c>
      <c r="AQ878" s="11">
        <v>41932</v>
      </c>
      <c r="AR878" s="1" t="s">
        <v>2500</v>
      </c>
      <c r="AS878" s="11">
        <v>41978</v>
      </c>
      <c r="AT878" s="1" t="s">
        <v>49</v>
      </c>
      <c r="AU878" s="1" t="s">
        <v>4171</v>
      </c>
    </row>
    <row r="879" spans="1:47" ht="15" customHeight="1" x14ac:dyDescent="0.25">
      <c r="A879" s="1">
        <v>874</v>
      </c>
      <c r="B879" s="1" t="s">
        <v>1258</v>
      </c>
      <c r="C879" s="1" t="s">
        <v>38</v>
      </c>
      <c r="D879" s="1">
        <v>9103550693</v>
      </c>
      <c r="E879" s="5">
        <v>41913</v>
      </c>
      <c r="F879" s="1" t="s">
        <v>778</v>
      </c>
      <c r="G879" s="1" t="s">
        <v>40</v>
      </c>
      <c r="H879" s="1" t="s">
        <v>41</v>
      </c>
      <c r="I879" s="1" t="s">
        <v>2809</v>
      </c>
      <c r="J879" s="1" t="s">
        <v>386</v>
      </c>
      <c r="K879" s="1">
        <v>38237090</v>
      </c>
      <c r="L879" s="6">
        <v>195.52</v>
      </c>
      <c r="M879" s="1" t="s">
        <v>70</v>
      </c>
      <c r="N879" s="7" t="s">
        <v>52</v>
      </c>
      <c r="O879" s="1" t="s">
        <v>53</v>
      </c>
      <c r="P879" s="8">
        <v>1275</v>
      </c>
      <c r="Q879" s="17">
        <f t="shared" si="83"/>
        <v>249288</v>
      </c>
      <c r="R879" s="9">
        <v>7500</v>
      </c>
      <c r="S879" s="9">
        <v>0</v>
      </c>
      <c r="T879" s="9">
        <v>0</v>
      </c>
      <c r="U879" s="10">
        <v>0</v>
      </c>
      <c r="V879" s="1" t="s">
        <v>46</v>
      </c>
      <c r="W879" s="1" t="s">
        <v>241</v>
      </c>
      <c r="X879" s="1">
        <v>5269011</v>
      </c>
      <c r="Y879" s="11">
        <v>41911</v>
      </c>
      <c r="Z879" s="11">
        <v>41912</v>
      </c>
      <c r="AA879" s="9">
        <f t="shared" si="86"/>
        <v>241788</v>
      </c>
      <c r="AB879" s="12">
        <v>60.75</v>
      </c>
      <c r="AC879" s="9">
        <f t="shared" si="84"/>
        <v>15144246</v>
      </c>
      <c r="AD879" s="9">
        <f t="shared" si="85"/>
        <v>14688621</v>
      </c>
      <c r="AE879" s="1" t="s">
        <v>48</v>
      </c>
      <c r="AF879" s="1" t="s">
        <v>53</v>
      </c>
      <c r="AG879" s="4">
        <f t="shared" si="89"/>
        <v>249288</v>
      </c>
      <c r="AH879" s="10">
        <v>249267</v>
      </c>
      <c r="AI879" s="10">
        <v>7500</v>
      </c>
      <c r="AJ879" s="10">
        <v>0</v>
      </c>
      <c r="AK879" s="10">
        <v>0</v>
      </c>
      <c r="AL879" s="9">
        <f t="shared" si="90"/>
        <v>241767</v>
      </c>
      <c r="AM879" s="1"/>
      <c r="AN879" s="1"/>
      <c r="AO879" s="12" t="e">
        <f>AB879/#REF!</f>
        <v>#REF!</v>
      </c>
      <c r="AP879" s="1" t="s">
        <v>2501</v>
      </c>
      <c r="AQ879" s="11">
        <v>41976</v>
      </c>
      <c r="AR879" s="1" t="s">
        <v>2502</v>
      </c>
      <c r="AS879" s="11">
        <v>41977</v>
      </c>
      <c r="AT879" s="1" t="s">
        <v>49</v>
      </c>
      <c r="AU879" s="1" t="s">
        <v>4171</v>
      </c>
    </row>
    <row r="880" spans="1:47" ht="15" customHeight="1" x14ac:dyDescent="0.25">
      <c r="A880" s="1">
        <v>875</v>
      </c>
      <c r="B880" s="1" t="s">
        <v>1258</v>
      </c>
      <c r="C880" s="1" t="s">
        <v>38</v>
      </c>
      <c r="D880" s="1">
        <v>9103550694</v>
      </c>
      <c r="E880" s="5">
        <v>41915</v>
      </c>
      <c r="F880" s="1" t="s">
        <v>795</v>
      </c>
      <c r="G880" s="1" t="s">
        <v>40</v>
      </c>
      <c r="H880" s="1" t="s">
        <v>41</v>
      </c>
      <c r="I880" s="1" t="s">
        <v>2809</v>
      </c>
      <c r="J880" s="1" t="s">
        <v>50</v>
      </c>
      <c r="K880" s="1">
        <v>38237090</v>
      </c>
      <c r="L880" s="6">
        <v>94.06</v>
      </c>
      <c r="M880" s="1" t="s">
        <v>70</v>
      </c>
      <c r="N880" s="7" t="s">
        <v>52</v>
      </c>
      <c r="O880" s="1" t="s">
        <v>45</v>
      </c>
      <c r="P880" s="8">
        <v>950</v>
      </c>
      <c r="Q880" s="17">
        <f t="shared" si="83"/>
        <v>89357</v>
      </c>
      <c r="R880" s="9">
        <v>3516.08</v>
      </c>
      <c r="S880" s="9">
        <v>0</v>
      </c>
      <c r="T880" s="9">
        <v>0</v>
      </c>
      <c r="U880" s="10">
        <v>0</v>
      </c>
      <c r="V880" s="1" t="s">
        <v>46</v>
      </c>
      <c r="W880" s="1" t="s">
        <v>2657</v>
      </c>
      <c r="X880" s="1">
        <v>5275921</v>
      </c>
      <c r="Y880" s="11">
        <v>41911</v>
      </c>
      <c r="Z880" s="11">
        <v>41912</v>
      </c>
      <c r="AA880" s="9">
        <f t="shared" si="86"/>
        <v>85840.92</v>
      </c>
      <c r="AB880" s="12">
        <v>77.75</v>
      </c>
      <c r="AC880" s="9">
        <f t="shared" si="84"/>
        <v>6947506.75</v>
      </c>
      <c r="AD880" s="9">
        <f t="shared" si="85"/>
        <v>6674131.5300000003</v>
      </c>
      <c r="AE880" s="1" t="s">
        <v>51</v>
      </c>
      <c r="AF880" s="1" t="s">
        <v>45</v>
      </c>
      <c r="AG880" s="4">
        <f t="shared" si="89"/>
        <v>89357</v>
      </c>
      <c r="AH880" s="10">
        <v>89357</v>
      </c>
      <c r="AI880" s="10">
        <v>3393.98</v>
      </c>
      <c r="AJ880" s="10">
        <v>0</v>
      </c>
      <c r="AK880" s="10">
        <v>0</v>
      </c>
      <c r="AL880" s="9">
        <f t="shared" si="90"/>
        <v>85963.02</v>
      </c>
      <c r="AM880" s="1"/>
      <c r="AN880" s="1"/>
      <c r="AO880" s="12" t="e">
        <f>AB880/#REF!</f>
        <v>#REF!</v>
      </c>
      <c r="AP880" s="1" t="s">
        <v>2503</v>
      </c>
      <c r="AQ880" s="11">
        <v>41975</v>
      </c>
      <c r="AR880" s="1" t="s">
        <v>2504</v>
      </c>
      <c r="AS880" s="11">
        <v>42017</v>
      </c>
      <c r="AT880" s="1" t="s">
        <v>49</v>
      </c>
      <c r="AU880" s="1" t="s">
        <v>4171</v>
      </c>
    </row>
    <row r="881" spans="1:47" ht="15" customHeight="1" x14ac:dyDescent="0.25">
      <c r="A881" s="1">
        <v>876</v>
      </c>
      <c r="B881" s="1" t="s">
        <v>1258</v>
      </c>
      <c r="C881" s="1" t="s">
        <v>38</v>
      </c>
      <c r="D881" s="1">
        <v>9103550695</v>
      </c>
      <c r="E881" s="5">
        <v>41915</v>
      </c>
      <c r="F881" s="1" t="s">
        <v>774</v>
      </c>
      <c r="G881" s="1" t="s">
        <v>40</v>
      </c>
      <c r="H881" s="1" t="s">
        <v>41</v>
      </c>
      <c r="I881" s="1" t="s">
        <v>2809</v>
      </c>
      <c r="J881" s="1" t="s">
        <v>187</v>
      </c>
      <c r="K881" s="1">
        <v>29051700</v>
      </c>
      <c r="L881" s="6">
        <v>16.14</v>
      </c>
      <c r="M881" s="1" t="s">
        <v>70</v>
      </c>
      <c r="N881" s="7" t="s">
        <v>44</v>
      </c>
      <c r="O881" s="1" t="s">
        <v>53</v>
      </c>
      <c r="P881" s="8">
        <v>1765</v>
      </c>
      <c r="Q881" s="17">
        <f t="shared" si="83"/>
        <v>28487.100000000002</v>
      </c>
      <c r="R881" s="9">
        <v>2295.5500000000002</v>
      </c>
      <c r="S881" s="9">
        <v>4.07</v>
      </c>
      <c r="T881" s="9">
        <v>0</v>
      </c>
      <c r="U881" s="10">
        <v>0</v>
      </c>
      <c r="V881" s="1" t="s">
        <v>46</v>
      </c>
      <c r="W881" s="1" t="s">
        <v>56</v>
      </c>
      <c r="X881" s="1">
        <v>5297444</v>
      </c>
      <c r="Y881" s="11">
        <v>41912</v>
      </c>
      <c r="Z881" s="11">
        <v>41913</v>
      </c>
      <c r="AA881" s="9">
        <f t="shared" si="86"/>
        <v>26187.480000000003</v>
      </c>
      <c r="AB881" s="12">
        <v>60.75</v>
      </c>
      <c r="AC881" s="9">
        <f t="shared" si="84"/>
        <v>1730591.3250000002</v>
      </c>
      <c r="AD881" s="9">
        <f t="shared" si="85"/>
        <v>1590889.4100000001</v>
      </c>
      <c r="AE881" s="1" t="s">
        <v>48</v>
      </c>
      <c r="AF881" s="1" t="s">
        <v>53</v>
      </c>
      <c r="AG881" s="4">
        <f t="shared" si="89"/>
        <v>28487.100000000002</v>
      </c>
      <c r="AH881" s="10">
        <v>28487.1</v>
      </c>
      <c r="AI881" s="10">
        <v>492.37</v>
      </c>
      <c r="AJ881" s="10">
        <v>1.0900000000000001</v>
      </c>
      <c r="AK881" s="10">
        <v>0</v>
      </c>
      <c r="AL881" s="9">
        <f t="shared" si="90"/>
        <v>27993.64</v>
      </c>
      <c r="AM881" s="1"/>
      <c r="AN881" s="1"/>
      <c r="AO881" s="12" t="e">
        <f>AB881/#REF!</f>
        <v>#REF!</v>
      </c>
      <c r="AP881" s="1" t="s">
        <v>2505</v>
      </c>
      <c r="AQ881" s="11">
        <v>41964</v>
      </c>
      <c r="AR881" s="1" t="s">
        <v>2506</v>
      </c>
      <c r="AS881" s="11">
        <v>41967</v>
      </c>
      <c r="AT881" s="1" t="s">
        <v>49</v>
      </c>
      <c r="AU881" s="1" t="s">
        <v>4171</v>
      </c>
    </row>
    <row r="882" spans="1:47" ht="15" customHeight="1" x14ac:dyDescent="0.25">
      <c r="A882" s="1">
        <v>877</v>
      </c>
      <c r="B882" s="1" t="s">
        <v>1258</v>
      </c>
      <c r="C882" s="1" t="s">
        <v>38</v>
      </c>
      <c r="D882" s="1">
        <v>9103550695</v>
      </c>
      <c r="E882" s="5">
        <v>41915</v>
      </c>
      <c r="F882" s="1" t="s">
        <v>774</v>
      </c>
      <c r="G882" s="1" t="s">
        <v>40</v>
      </c>
      <c r="H882" s="1" t="s">
        <v>41</v>
      </c>
      <c r="I882" s="1" t="s">
        <v>2809</v>
      </c>
      <c r="J882" s="1" t="s">
        <v>187</v>
      </c>
      <c r="K882" s="1">
        <v>38237090</v>
      </c>
      <c r="L882" s="6">
        <v>1</v>
      </c>
      <c r="M882" s="1" t="s">
        <v>70</v>
      </c>
      <c r="N882" s="7" t="s">
        <v>44</v>
      </c>
      <c r="O882" s="1" t="s">
        <v>53</v>
      </c>
      <c r="P882" s="8">
        <v>5697</v>
      </c>
      <c r="Q882" s="17">
        <f t="shared" si="83"/>
        <v>5697</v>
      </c>
      <c r="R882" s="9">
        <v>142.22999999999999</v>
      </c>
      <c r="S882" s="9">
        <v>0.81</v>
      </c>
      <c r="T882" s="9">
        <v>0</v>
      </c>
      <c r="U882" s="10">
        <v>0</v>
      </c>
      <c r="V882" s="1" t="s">
        <v>46</v>
      </c>
      <c r="W882" s="1" t="s">
        <v>56</v>
      </c>
      <c r="X882" s="1">
        <v>5297444</v>
      </c>
      <c r="Y882" s="11">
        <v>41912</v>
      </c>
      <c r="Z882" s="11">
        <v>41913</v>
      </c>
      <c r="AA882" s="9">
        <f t="shared" si="86"/>
        <v>5553.96</v>
      </c>
      <c r="AB882" s="12">
        <v>60.75</v>
      </c>
      <c r="AC882" s="9">
        <f t="shared" si="84"/>
        <v>346092.75</v>
      </c>
      <c r="AD882" s="9">
        <f t="shared" si="85"/>
        <v>337403.07</v>
      </c>
      <c r="AE882" s="1" t="s">
        <v>48</v>
      </c>
      <c r="AF882" s="1" t="s">
        <v>53</v>
      </c>
      <c r="AG882" s="4">
        <f t="shared" si="89"/>
        <v>5697</v>
      </c>
      <c r="AH882" s="10">
        <v>5697</v>
      </c>
      <c r="AI882" s="10">
        <v>98.47</v>
      </c>
      <c r="AJ882" s="10">
        <v>0.217</v>
      </c>
      <c r="AK882" s="10">
        <v>0</v>
      </c>
      <c r="AL882" s="9">
        <f t="shared" si="90"/>
        <v>5598.3130000000001</v>
      </c>
      <c r="AM882" s="1"/>
      <c r="AN882" s="1"/>
      <c r="AO882" s="12" t="e">
        <f>AB882/#REF!</f>
        <v>#REF!</v>
      </c>
      <c r="AP882" s="1" t="s">
        <v>2505</v>
      </c>
      <c r="AQ882" s="11">
        <v>41964</v>
      </c>
      <c r="AR882" s="1" t="s">
        <v>2506</v>
      </c>
      <c r="AS882" s="11">
        <v>41967</v>
      </c>
      <c r="AT882" s="1" t="s">
        <v>49</v>
      </c>
      <c r="AU882" s="1" t="s">
        <v>4171</v>
      </c>
    </row>
    <row r="883" spans="1:47" ht="15" customHeight="1" x14ac:dyDescent="0.25">
      <c r="A883" s="1">
        <v>878</v>
      </c>
      <c r="B883" s="1" t="s">
        <v>1258</v>
      </c>
      <c r="C883" s="1" t="s">
        <v>38</v>
      </c>
      <c r="D883" s="1">
        <v>9103550695</v>
      </c>
      <c r="E883" s="5">
        <v>41915</v>
      </c>
      <c r="F883" s="1" t="s">
        <v>774</v>
      </c>
      <c r="G883" s="1" t="s">
        <v>40</v>
      </c>
      <c r="H883" s="1" t="s">
        <v>41</v>
      </c>
      <c r="I883" s="1" t="s">
        <v>2809</v>
      </c>
      <c r="J883" s="1" t="s">
        <v>187</v>
      </c>
      <c r="K883" s="1">
        <v>38237090</v>
      </c>
      <c r="L883" s="6">
        <v>1</v>
      </c>
      <c r="M883" s="1" t="s">
        <v>70</v>
      </c>
      <c r="N883" s="7" t="s">
        <v>44</v>
      </c>
      <c r="O883" s="1" t="s">
        <v>53</v>
      </c>
      <c r="P883" s="8">
        <v>5697</v>
      </c>
      <c r="Q883" s="17">
        <f t="shared" si="83"/>
        <v>5697</v>
      </c>
      <c r="R883" s="9">
        <v>142.22999999999999</v>
      </c>
      <c r="S883" s="9">
        <v>0.81</v>
      </c>
      <c r="T883" s="9">
        <v>0</v>
      </c>
      <c r="U883" s="10">
        <v>0</v>
      </c>
      <c r="V883" s="1" t="s">
        <v>46</v>
      </c>
      <c r="W883" s="1" t="s">
        <v>56</v>
      </c>
      <c r="X883" s="1">
        <v>5297444</v>
      </c>
      <c r="Y883" s="11">
        <v>41912</v>
      </c>
      <c r="Z883" s="11">
        <v>41913</v>
      </c>
      <c r="AA883" s="9">
        <f t="shared" si="86"/>
        <v>5553.96</v>
      </c>
      <c r="AB883" s="12">
        <v>60.75</v>
      </c>
      <c r="AC883" s="9">
        <f t="shared" si="84"/>
        <v>346092.75</v>
      </c>
      <c r="AD883" s="9">
        <f t="shared" si="85"/>
        <v>337403.07</v>
      </c>
      <c r="AE883" s="1" t="s">
        <v>48</v>
      </c>
      <c r="AF883" s="1" t="s">
        <v>53</v>
      </c>
      <c r="AG883" s="4">
        <f t="shared" si="89"/>
        <v>5697</v>
      </c>
      <c r="AH883" s="10">
        <v>5697</v>
      </c>
      <c r="AI883" s="10">
        <v>98.47</v>
      </c>
      <c r="AJ883" s="10">
        <v>0.217</v>
      </c>
      <c r="AK883" s="10">
        <v>0</v>
      </c>
      <c r="AL883" s="9">
        <f t="shared" si="90"/>
        <v>5598.3130000000001</v>
      </c>
      <c r="AM883" s="1"/>
      <c r="AN883" s="1"/>
      <c r="AO883" s="12" t="e">
        <f>AB883/#REF!</f>
        <v>#REF!</v>
      </c>
      <c r="AP883" s="1" t="s">
        <v>2505</v>
      </c>
      <c r="AQ883" s="11">
        <v>41964</v>
      </c>
      <c r="AR883" s="1" t="s">
        <v>2506</v>
      </c>
      <c r="AS883" s="11">
        <v>41967</v>
      </c>
      <c r="AT883" s="1" t="s">
        <v>49</v>
      </c>
      <c r="AU883" s="1" t="s">
        <v>4171</v>
      </c>
    </row>
    <row r="884" spans="1:47" ht="15" customHeight="1" x14ac:dyDescent="0.25">
      <c r="A884" s="1">
        <v>879</v>
      </c>
      <c r="B884" s="1" t="s">
        <v>1258</v>
      </c>
      <c r="C884" s="1" t="s">
        <v>38</v>
      </c>
      <c r="D884" s="1">
        <v>9103550696</v>
      </c>
      <c r="E884" s="5">
        <v>41917</v>
      </c>
      <c r="F884" s="1" t="s">
        <v>2948</v>
      </c>
      <c r="G884" s="1" t="s">
        <v>40</v>
      </c>
      <c r="H884" s="1" t="s">
        <v>41</v>
      </c>
      <c r="I884" s="1" t="s">
        <v>2809</v>
      </c>
      <c r="J884" s="1" t="s">
        <v>2949</v>
      </c>
      <c r="K884" s="1">
        <v>38237090</v>
      </c>
      <c r="L884" s="6">
        <v>15</v>
      </c>
      <c r="M884" s="1" t="s">
        <v>70</v>
      </c>
      <c r="N884" s="7" t="s">
        <v>67</v>
      </c>
      <c r="O884" s="1" t="s">
        <v>53</v>
      </c>
      <c r="P884" s="8">
        <v>1490</v>
      </c>
      <c r="Q884" s="17">
        <f t="shared" si="83"/>
        <v>22350</v>
      </c>
      <c r="R884" s="9">
        <v>0</v>
      </c>
      <c r="S884" s="9">
        <v>0</v>
      </c>
      <c r="T884" s="9">
        <v>0</v>
      </c>
      <c r="U884" s="10">
        <v>0</v>
      </c>
      <c r="V884" s="1" t="s">
        <v>46</v>
      </c>
      <c r="W884" s="1" t="s">
        <v>77</v>
      </c>
      <c r="X884" s="1">
        <v>5302238</v>
      </c>
      <c r="Y884" s="11">
        <v>41912</v>
      </c>
      <c r="Z884" s="11">
        <v>41913</v>
      </c>
      <c r="AA884" s="9">
        <f t="shared" si="86"/>
        <v>22350</v>
      </c>
      <c r="AB884" s="12">
        <v>60.75</v>
      </c>
      <c r="AC884" s="9">
        <f t="shared" si="84"/>
        <v>1357762.5</v>
      </c>
      <c r="AD884" s="9">
        <f t="shared" si="85"/>
        <v>1357762.5</v>
      </c>
      <c r="AE884" s="1" t="s">
        <v>48</v>
      </c>
      <c r="AF884" s="1" t="s">
        <v>53</v>
      </c>
      <c r="AG884" s="4">
        <f t="shared" si="89"/>
        <v>22350</v>
      </c>
      <c r="AH884" s="10">
        <v>22277</v>
      </c>
      <c r="AI884" s="10">
        <v>0</v>
      </c>
      <c r="AJ884" s="10">
        <v>0</v>
      </c>
      <c r="AK884" s="10">
        <v>0</v>
      </c>
      <c r="AL884" s="9">
        <f t="shared" si="90"/>
        <v>22277</v>
      </c>
      <c r="AM884" s="1"/>
      <c r="AN884" s="1"/>
      <c r="AO884" s="12" t="e">
        <f>AB884/#REF!</f>
        <v>#REF!</v>
      </c>
      <c r="AP884" s="1"/>
      <c r="AQ884" s="11">
        <v>41996</v>
      </c>
      <c r="AR884" s="1" t="s">
        <v>3364</v>
      </c>
      <c r="AS884" s="11">
        <v>41997</v>
      </c>
      <c r="AT884" s="1" t="s">
        <v>49</v>
      </c>
      <c r="AU884" s="1" t="s">
        <v>4171</v>
      </c>
    </row>
    <row r="885" spans="1:47" ht="15" customHeight="1" x14ac:dyDescent="0.25">
      <c r="A885" s="1">
        <v>880</v>
      </c>
      <c r="B885" s="1" t="s">
        <v>1258</v>
      </c>
      <c r="C885" s="1" t="s">
        <v>38</v>
      </c>
      <c r="D885" s="1">
        <v>9103550699</v>
      </c>
      <c r="E885" s="5">
        <v>41920</v>
      </c>
      <c r="F885" s="1" t="s">
        <v>780</v>
      </c>
      <c r="G885" s="1" t="s">
        <v>40</v>
      </c>
      <c r="H885" s="1" t="s">
        <v>41</v>
      </c>
      <c r="I885" s="1" t="s">
        <v>2809</v>
      </c>
      <c r="J885" s="1" t="s">
        <v>2740</v>
      </c>
      <c r="K885" s="1">
        <v>38237090</v>
      </c>
      <c r="L885" s="6">
        <v>24</v>
      </c>
      <c r="M885" s="1" t="s">
        <v>70</v>
      </c>
      <c r="N885" s="7" t="s">
        <v>44</v>
      </c>
      <c r="O885" s="1" t="s">
        <v>53</v>
      </c>
      <c r="P885" s="8">
        <v>1680</v>
      </c>
      <c r="Q885" s="17">
        <f t="shared" si="83"/>
        <v>40320</v>
      </c>
      <c r="R885" s="9">
        <v>1900</v>
      </c>
      <c r="S885" s="9">
        <v>5.77</v>
      </c>
      <c r="T885" s="9">
        <v>0</v>
      </c>
      <c r="U885" s="10">
        <v>0</v>
      </c>
      <c r="V885" s="1" t="s">
        <v>46</v>
      </c>
      <c r="W885" s="1" t="s">
        <v>205</v>
      </c>
      <c r="X885" s="1">
        <v>5324100</v>
      </c>
      <c r="Y885" s="11">
        <v>41913</v>
      </c>
      <c r="Z885" s="11">
        <v>41916</v>
      </c>
      <c r="AA885" s="9">
        <f t="shared" si="86"/>
        <v>38414.230000000003</v>
      </c>
      <c r="AB885" s="12">
        <v>60.75</v>
      </c>
      <c r="AC885" s="9">
        <f t="shared" si="84"/>
        <v>2449440</v>
      </c>
      <c r="AD885" s="9">
        <f t="shared" si="85"/>
        <v>2333664.4725000001</v>
      </c>
      <c r="AE885" s="1" t="s">
        <v>284</v>
      </c>
      <c r="AF885" s="1" t="s">
        <v>53</v>
      </c>
      <c r="AG885" s="4">
        <f t="shared" si="89"/>
        <v>40320</v>
      </c>
      <c r="AH885" s="10">
        <v>40310</v>
      </c>
      <c r="AI885" s="10">
        <v>1950</v>
      </c>
      <c r="AJ885" s="10">
        <v>5.76</v>
      </c>
      <c r="AK885" s="10">
        <v>0</v>
      </c>
      <c r="AL885" s="9">
        <f t="shared" si="90"/>
        <v>38354.239999999998</v>
      </c>
      <c r="AM885" s="1"/>
      <c r="AN885" s="1"/>
      <c r="AO885" s="12" t="e">
        <f>AB885/#REF!</f>
        <v>#REF!</v>
      </c>
      <c r="AP885" s="1" t="s">
        <v>2507</v>
      </c>
      <c r="AQ885" s="11">
        <v>41946</v>
      </c>
      <c r="AR885" s="1" t="s">
        <v>2508</v>
      </c>
      <c r="AS885" s="11">
        <v>41946</v>
      </c>
      <c r="AT885" s="1" t="s">
        <v>49</v>
      </c>
      <c r="AU885" s="1" t="s">
        <v>4171</v>
      </c>
    </row>
    <row r="886" spans="1:47" ht="15" customHeight="1" x14ac:dyDescent="0.25">
      <c r="A886" s="1">
        <v>881</v>
      </c>
      <c r="B886" s="1" t="s">
        <v>1258</v>
      </c>
      <c r="C886" s="1" t="s">
        <v>38</v>
      </c>
      <c r="D886" s="1">
        <v>9103550700</v>
      </c>
      <c r="E886" s="5">
        <v>41920</v>
      </c>
      <c r="F886" s="1" t="s">
        <v>781</v>
      </c>
      <c r="G886" s="1" t="s">
        <v>40</v>
      </c>
      <c r="H886" s="1" t="s">
        <v>41</v>
      </c>
      <c r="I886" s="1" t="s">
        <v>2809</v>
      </c>
      <c r="J886" s="1" t="s">
        <v>1092</v>
      </c>
      <c r="K886" s="1">
        <v>38237090</v>
      </c>
      <c r="L886" s="6">
        <v>10</v>
      </c>
      <c r="M886" s="1" t="s">
        <v>70</v>
      </c>
      <c r="N886" s="7" t="s">
        <v>44</v>
      </c>
      <c r="O886" s="1" t="s">
        <v>53</v>
      </c>
      <c r="P886" s="8">
        <v>1570</v>
      </c>
      <c r="Q886" s="17">
        <f t="shared" si="83"/>
        <v>15700</v>
      </c>
      <c r="R886" s="9">
        <v>466.67</v>
      </c>
      <c r="S886" s="9">
        <v>2.2400000000000002</v>
      </c>
      <c r="T886" s="9">
        <v>0</v>
      </c>
      <c r="U886" s="10">
        <v>0</v>
      </c>
      <c r="V886" s="1" t="s">
        <v>46</v>
      </c>
      <c r="W886" s="1" t="s">
        <v>143</v>
      </c>
      <c r="X886" s="1">
        <v>5323768</v>
      </c>
      <c r="Y886" s="11">
        <v>41913</v>
      </c>
      <c r="Z886" s="11">
        <v>41916</v>
      </c>
      <c r="AA886" s="9">
        <f t="shared" si="86"/>
        <v>15231.09</v>
      </c>
      <c r="AB886" s="12">
        <v>60.75</v>
      </c>
      <c r="AC886" s="9">
        <f t="shared" si="84"/>
        <v>953775</v>
      </c>
      <c r="AD886" s="9">
        <f t="shared" si="85"/>
        <v>925288.71750000003</v>
      </c>
      <c r="AE886" s="1" t="s">
        <v>48</v>
      </c>
      <c r="AF886" s="1" t="s">
        <v>53</v>
      </c>
      <c r="AG886" s="4">
        <f t="shared" si="89"/>
        <v>15700</v>
      </c>
      <c r="AH886" s="10">
        <v>15700</v>
      </c>
      <c r="AI886" s="10">
        <v>455.76</v>
      </c>
      <c r="AJ886" s="10">
        <v>2.2599999999999998</v>
      </c>
      <c r="AK886" s="10">
        <v>0</v>
      </c>
      <c r="AL886" s="9">
        <f t="shared" si="90"/>
        <v>15241.98</v>
      </c>
      <c r="AM886" s="1"/>
      <c r="AN886" s="1"/>
      <c r="AO886" s="12" t="e">
        <f>AB886/#REF!</f>
        <v>#REF!</v>
      </c>
      <c r="AP886" s="1" t="s">
        <v>2509</v>
      </c>
      <c r="AQ886" s="11">
        <v>41932</v>
      </c>
      <c r="AR886" s="1" t="s">
        <v>2510</v>
      </c>
      <c r="AS886" s="11">
        <v>41933</v>
      </c>
      <c r="AT886" s="1" t="s">
        <v>49</v>
      </c>
      <c r="AU886" s="1" t="s">
        <v>4171</v>
      </c>
    </row>
    <row r="887" spans="1:47" ht="15" customHeight="1" x14ac:dyDescent="0.25">
      <c r="A887" s="1">
        <v>882</v>
      </c>
      <c r="B887" s="1" t="s">
        <v>1258</v>
      </c>
      <c r="C887" s="1" t="s">
        <v>38</v>
      </c>
      <c r="D887" s="1">
        <v>9103550700</v>
      </c>
      <c r="E887" s="5">
        <v>41920</v>
      </c>
      <c r="F887" s="1" t="s">
        <v>781</v>
      </c>
      <c r="G887" s="1" t="s">
        <v>40</v>
      </c>
      <c r="H887" s="1" t="s">
        <v>41</v>
      </c>
      <c r="I887" s="1" t="s">
        <v>2809</v>
      </c>
      <c r="J887" s="1" t="s">
        <v>1092</v>
      </c>
      <c r="K887" s="1">
        <v>29051700</v>
      </c>
      <c r="L887" s="6">
        <v>5</v>
      </c>
      <c r="M887" s="1" t="s">
        <v>70</v>
      </c>
      <c r="N887" s="7" t="s">
        <v>44</v>
      </c>
      <c r="O887" s="1" t="s">
        <v>53</v>
      </c>
      <c r="P887" s="8">
        <v>1630</v>
      </c>
      <c r="Q887" s="17">
        <f t="shared" si="83"/>
        <v>8150</v>
      </c>
      <c r="R887" s="9">
        <v>233.33</v>
      </c>
      <c r="S887" s="9">
        <v>1.17</v>
      </c>
      <c r="T887" s="9">
        <v>0</v>
      </c>
      <c r="U887" s="10">
        <v>0</v>
      </c>
      <c r="V887" s="1" t="s">
        <v>46</v>
      </c>
      <c r="W887" s="1" t="s">
        <v>143</v>
      </c>
      <c r="X887" s="1">
        <v>5323768</v>
      </c>
      <c r="Y887" s="11">
        <v>41913</v>
      </c>
      <c r="Z887" s="11">
        <v>41916</v>
      </c>
      <c r="AA887" s="9">
        <f t="shared" si="86"/>
        <v>7915.5</v>
      </c>
      <c r="AB887" s="12">
        <v>60.75</v>
      </c>
      <c r="AC887" s="9">
        <f t="shared" si="84"/>
        <v>495112.5</v>
      </c>
      <c r="AD887" s="9">
        <f t="shared" si="85"/>
        <v>480866.625</v>
      </c>
      <c r="AE887" s="1" t="s">
        <v>48</v>
      </c>
      <c r="AF887" s="1" t="s">
        <v>53</v>
      </c>
      <c r="AG887" s="4">
        <f t="shared" si="89"/>
        <v>8150</v>
      </c>
      <c r="AH887" s="10">
        <v>8000</v>
      </c>
      <c r="AI887" s="10">
        <v>232.24</v>
      </c>
      <c r="AJ887" s="10">
        <v>1.1499999999999999</v>
      </c>
      <c r="AK887" s="10">
        <v>0</v>
      </c>
      <c r="AL887" s="9">
        <f t="shared" si="90"/>
        <v>7766.61</v>
      </c>
      <c r="AM887" s="1"/>
      <c r="AN887" s="1"/>
      <c r="AO887" s="12" t="e">
        <f>AB887/#REF!</f>
        <v>#REF!</v>
      </c>
      <c r="AP887" s="1" t="s">
        <v>2509</v>
      </c>
      <c r="AQ887" s="11">
        <v>41932</v>
      </c>
      <c r="AR887" s="1" t="s">
        <v>2510</v>
      </c>
      <c r="AS887" s="11">
        <v>41933</v>
      </c>
      <c r="AT887" s="1" t="s">
        <v>49</v>
      </c>
      <c r="AU887" s="1" t="s">
        <v>4171</v>
      </c>
    </row>
    <row r="888" spans="1:47" ht="15" customHeight="1" x14ac:dyDescent="0.25">
      <c r="A888" s="1">
        <v>883</v>
      </c>
      <c r="B888" s="1" t="s">
        <v>1258</v>
      </c>
      <c r="C888" s="1" t="s">
        <v>38</v>
      </c>
      <c r="D888" s="1">
        <v>9103550701</v>
      </c>
      <c r="E888" s="5">
        <v>41920</v>
      </c>
      <c r="F888" s="1" t="s">
        <v>2950</v>
      </c>
      <c r="G888" s="1" t="s">
        <v>40</v>
      </c>
      <c r="H888" s="1" t="s">
        <v>41</v>
      </c>
      <c r="I888" s="1" t="s">
        <v>2809</v>
      </c>
      <c r="J888" s="1" t="s">
        <v>1092</v>
      </c>
      <c r="K888" s="1">
        <v>38237090</v>
      </c>
      <c r="L888" s="6">
        <v>15</v>
      </c>
      <c r="M888" s="1" t="s">
        <v>70</v>
      </c>
      <c r="N888" s="7" t="s">
        <v>44</v>
      </c>
      <c r="O888" s="1" t="s">
        <v>53</v>
      </c>
      <c r="P888" s="8">
        <v>1570</v>
      </c>
      <c r="Q888" s="17">
        <f t="shared" si="83"/>
        <v>23550</v>
      </c>
      <c r="R888" s="9">
        <v>700</v>
      </c>
      <c r="S888" s="9">
        <v>3.37</v>
      </c>
      <c r="T888" s="9">
        <v>0</v>
      </c>
      <c r="U888" s="10">
        <v>0</v>
      </c>
      <c r="V888" s="1" t="s">
        <v>46</v>
      </c>
      <c r="W888" s="1" t="s">
        <v>143</v>
      </c>
      <c r="X888" s="1">
        <v>5325818</v>
      </c>
      <c r="Y888" s="11">
        <v>41913</v>
      </c>
      <c r="Z888" s="11">
        <v>41916</v>
      </c>
      <c r="AA888" s="9">
        <f t="shared" si="86"/>
        <v>22846.63</v>
      </c>
      <c r="AB888" s="12">
        <v>60.75</v>
      </c>
      <c r="AC888" s="9">
        <f t="shared" si="84"/>
        <v>1430662.5</v>
      </c>
      <c r="AD888" s="9">
        <f t="shared" si="85"/>
        <v>1387932.7725</v>
      </c>
      <c r="AE888" s="1" t="s">
        <v>48</v>
      </c>
      <c r="AF888" s="1" t="s">
        <v>53</v>
      </c>
      <c r="AG888" s="4">
        <f t="shared" si="89"/>
        <v>23550</v>
      </c>
      <c r="AH888" s="10">
        <v>23550</v>
      </c>
      <c r="AI888" s="10">
        <v>3.37</v>
      </c>
      <c r="AJ888" s="10">
        <v>688</v>
      </c>
      <c r="AK888" s="10">
        <v>3.37</v>
      </c>
      <c r="AL888" s="9">
        <f t="shared" si="90"/>
        <v>22855.26</v>
      </c>
      <c r="AM888" s="1"/>
      <c r="AN888" s="1"/>
      <c r="AO888" s="12" t="e">
        <f>AB888/#REF!</f>
        <v>#REF!</v>
      </c>
      <c r="AP888" s="1"/>
      <c r="AQ888" s="11">
        <v>41996</v>
      </c>
      <c r="AR888" s="1" t="s">
        <v>3365</v>
      </c>
      <c r="AS888" s="11">
        <v>41997</v>
      </c>
      <c r="AT888" s="1" t="s">
        <v>49</v>
      </c>
      <c r="AU888" s="1" t="s">
        <v>4171</v>
      </c>
    </row>
    <row r="889" spans="1:47" ht="15" customHeight="1" x14ac:dyDescent="0.25">
      <c r="A889" s="1">
        <v>884</v>
      </c>
      <c r="B889" s="1" t="s">
        <v>1258</v>
      </c>
      <c r="C889" s="1" t="s">
        <v>38</v>
      </c>
      <c r="D889" s="1">
        <v>9103550702</v>
      </c>
      <c r="E889" s="5">
        <v>41917</v>
      </c>
      <c r="F889" s="1" t="s">
        <v>784</v>
      </c>
      <c r="G889" s="1" t="s">
        <v>40</v>
      </c>
      <c r="H889" s="1" t="s">
        <v>41</v>
      </c>
      <c r="I889" s="1" t="s">
        <v>2809</v>
      </c>
      <c r="J889" s="1" t="s">
        <v>1714</v>
      </c>
      <c r="K889" s="1">
        <v>38237090</v>
      </c>
      <c r="L889" s="6">
        <v>48</v>
      </c>
      <c r="M889" s="1" t="s">
        <v>70</v>
      </c>
      <c r="N889" s="7" t="s">
        <v>52</v>
      </c>
      <c r="O889" s="1" t="s">
        <v>53</v>
      </c>
      <c r="P889" s="8">
        <v>1750</v>
      </c>
      <c r="Q889" s="17">
        <f t="shared" si="83"/>
        <v>84000</v>
      </c>
      <c r="R889" s="9">
        <v>4900</v>
      </c>
      <c r="S889" s="9">
        <v>0</v>
      </c>
      <c r="T889" s="9">
        <v>0</v>
      </c>
      <c r="U889" s="10">
        <v>0</v>
      </c>
      <c r="V889" s="1" t="s">
        <v>46</v>
      </c>
      <c r="W889" s="1" t="s">
        <v>745</v>
      </c>
      <c r="X889" s="1">
        <v>5330268</v>
      </c>
      <c r="Y889" s="11">
        <v>41913</v>
      </c>
      <c r="Z889" s="11">
        <v>41914</v>
      </c>
      <c r="AA889" s="9">
        <f t="shared" si="86"/>
        <v>79100</v>
      </c>
      <c r="AB889" s="12">
        <v>60.75</v>
      </c>
      <c r="AC889" s="9">
        <f t="shared" si="84"/>
        <v>5103000</v>
      </c>
      <c r="AD889" s="9">
        <f t="shared" si="85"/>
        <v>4805325</v>
      </c>
      <c r="AE889" s="1" t="s">
        <v>48</v>
      </c>
      <c r="AF889" s="1" t="s">
        <v>53</v>
      </c>
      <c r="AG889" s="4">
        <f t="shared" si="89"/>
        <v>84000</v>
      </c>
      <c r="AH889" s="10">
        <v>83799</v>
      </c>
      <c r="AI889" s="10">
        <v>4100</v>
      </c>
      <c r="AJ889" s="10">
        <v>0</v>
      </c>
      <c r="AK889" s="10">
        <v>0</v>
      </c>
      <c r="AL889" s="9">
        <f t="shared" si="90"/>
        <v>79699</v>
      </c>
      <c r="AM889" s="1"/>
      <c r="AN889" s="1"/>
      <c r="AO889" s="12" t="e">
        <f>AB889/#REF!</f>
        <v>#REF!</v>
      </c>
      <c r="AP889" s="1" t="s">
        <v>2511</v>
      </c>
      <c r="AQ889" s="11">
        <v>41948</v>
      </c>
      <c r="AR889" s="1" t="s">
        <v>2512</v>
      </c>
      <c r="AS889" s="11">
        <v>41950</v>
      </c>
      <c r="AT889" s="1" t="s">
        <v>49</v>
      </c>
      <c r="AU889" s="1" t="s">
        <v>4171</v>
      </c>
    </row>
    <row r="890" spans="1:47" ht="15" customHeight="1" x14ac:dyDescent="0.25">
      <c r="A890" s="1">
        <v>885</v>
      </c>
      <c r="B890" s="1" t="s">
        <v>1258</v>
      </c>
      <c r="C890" s="1" t="s">
        <v>38</v>
      </c>
      <c r="D890" s="1">
        <v>9103550703</v>
      </c>
      <c r="E890" s="5">
        <v>41920</v>
      </c>
      <c r="F890" s="1" t="s">
        <v>782</v>
      </c>
      <c r="G890" s="1" t="s">
        <v>40</v>
      </c>
      <c r="H890" s="1" t="s">
        <v>41</v>
      </c>
      <c r="I890" s="1" t="s">
        <v>2809</v>
      </c>
      <c r="J890" s="1" t="s">
        <v>187</v>
      </c>
      <c r="K890" s="1">
        <v>38237090</v>
      </c>
      <c r="L890" s="6">
        <v>36</v>
      </c>
      <c r="M890" s="1" t="s">
        <v>70</v>
      </c>
      <c r="N890" s="7" t="s">
        <v>44</v>
      </c>
      <c r="O890" s="1" t="s">
        <v>53</v>
      </c>
      <c r="P890" s="8">
        <v>1704</v>
      </c>
      <c r="Q890" s="17">
        <f t="shared" si="83"/>
        <v>61344</v>
      </c>
      <c r="R890" s="9">
        <v>8600</v>
      </c>
      <c r="S890" s="9">
        <v>8.77</v>
      </c>
      <c r="T890" s="9">
        <v>0</v>
      </c>
      <c r="U890" s="10">
        <v>0</v>
      </c>
      <c r="V890" s="1" t="s">
        <v>46</v>
      </c>
      <c r="W890" s="1" t="s">
        <v>56</v>
      </c>
      <c r="X890" s="1">
        <v>5332525</v>
      </c>
      <c r="Y890" s="11">
        <v>41913</v>
      </c>
      <c r="Z890" s="11">
        <v>41916</v>
      </c>
      <c r="AA890" s="9">
        <f t="shared" si="86"/>
        <v>52735.23</v>
      </c>
      <c r="AB890" s="12">
        <v>60.75</v>
      </c>
      <c r="AC890" s="9">
        <f t="shared" si="84"/>
        <v>3726648</v>
      </c>
      <c r="AD890" s="9">
        <f t="shared" si="85"/>
        <v>3203665.2225000001</v>
      </c>
      <c r="AE890" s="1" t="s">
        <v>48</v>
      </c>
      <c r="AF890" s="1" t="s">
        <v>53</v>
      </c>
      <c r="AG890" s="4">
        <f t="shared" si="89"/>
        <v>61344</v>
      </c>
      <c r="AH890" s="10">
        <v>61344</v>
      </c>
      <c r="AI890" s="10">
        <v>8226</v>
      </c>
      <c r="AJ890" s="10">
        <v>8.77</v>
      </c>
      <c r="AK890" s="10">
        <v>0</v>
      </c>
      <c r="AL890" s="9">
        <f t="shared" si="90"/>
        <v>53109.229999999996</v>
      </c>
      <c r="AM890" s="1"/>
      <c r="AN890" s="1"/>
      <c r="AO890" s="12" t="e">
        <f>AB890/#REF!</f>
        <v>#REF!</v>
      </c>
      <c r="AP890" s="1" t="s">
        <v>2513</v>
      </c>
      <c r="AQ890" s="11">
        <v>41964</v>
      </c>
      <c r="AR890" s="1" t="s">
        <v>2514</v>
      </c>
      <c r="AS890" s="11">
        <v>41967</v>
      </c>
      <c r="AT890" s="1" t="s">
        <v>49</v>
      </c>
      <c r="AU890" s="1" t="s">
        <v>4171</v>
      </c>
    </row>
    <row r="891" spans="1:47" ht="15" customHeight="1" x14ac:dyDescent="0.25">
      <c r="A891" s="1">
        <v>886</v>
      </c>
      <c r="B891" s="1" t="s">
        <v>1258</v>
      </c>
      <c r="C891" s="1" t="s">
        <v>38</v>
      </c>
      <c r="D891" s="1">
        <v>9103550704</v>
      </c>
      <c r="E891" s="5">
        <v>41919</v>
      </c>
      <c r="F891" s="1" t="s">
        <v>783</v>
      </c>
      <c r="G891" s="1" t="s">
        <v>40</v>
      </c>
      <c r="H891" s="1" t="s">
        <v>41</v>
      </c>
      <c r="I891" s="1" t="s">
        <v>2809</v>
      </c>
      <c r="J891" s="1" t="s">
        <v>200</v>
      </c>
      <c r="K891" s="1">
        <v>29157010</v>
      </c>
      <c r="L891" s="6">
        <v>78.739999999999995</v>
      </c>
      <c r="M891" s="1" t="s">
        <v>70</v>
      </c>
      <c r="N891" s="7" t="s">
        <v>44</v>
      </c>
      <c r="O891" s="1" t="s">
        <v>53</v>
      </c>
      <c r="P891" s="8">
        <v>1050</v>
      </c>
      <c r="Q891" s="17">
        <f t="shared" si="83"/>
        <v>82677</v>
      </c>
      <c r="R891" s="9">
        <v>3600</v>
      </c>
      <c r="S891" s="9">
        <v>11.82</v>
      </c>
      <c r="T891" s="9">
        <v>0</v>
      </c>
      <c r="U891" s="10">
        <v>0</v>
      </c>
      <c r="V891" s="1" t="s">
        <v>46</v>
      </c>
      <c r="W891" s="1" t="s">
        <v>59</v>
      </c>
      <c r="X891" s="1">
        <v>5332246</v>
      </c>
      <c r="Y891" s="11">
        <v>41913</v>
      </c>
      <c r="Z891" s="11">
        <v>41916</v>
      </c>
      <c r="AA891" s="9">
        <f t="shared" si="86"/>
        <v>79065.179999999993</v>
      </c>
      <c r="AB891" s="12">
        <v>60.75</v>
      </c>
      <c r="AC891" s="9">
        <f t="shared" si="84"/>
        <v>5022627.75</v>
      </c>
      <c r="AD891" s="9">
        <f t="shared" si="85"/>
        <v>4803209.6849999996</v>
      </c>
      <c r="AE891" s="1" t="s">
        <v>51</v>
      </c>
      <c r="AF891" s="1" t="s">
        <v>53</v>
      </c>
      <c r="AG891" s="4">
        <f t="shared" si="89"/>
        <v>82677</v>
      </c>
      <c r="AH891" s="10">
        <v>82677</v>
      </c>
      <c r="AI891" s="9">
        <v>3600</v>
      </c>
      <c r="AJ891" s="9">
        <v>11.82</v>
      </c>
      <c r="AK891" s="10">
        <v>0</v>
      </c>
      <c r="AL891" s="9">
        <f t="shared" si="90"/>
        <v>79065.179999999993</v>
      </c>
      <c r="AM891" s="1"/>
      <c r="AN891" s="1"/>
      <c r="AO891" s="12" t="e">
        <f>AB891/#REF!</f>
        <v>#REF!</v>
      </c>
      <c r="AP891" s="1" t="s">
        <v>2515</v>
      </c>
      <c r="AQ891" s="11">
        <v>41941</v>
      </c>
      <c r="AR891" s="1" t="s">
        <v>2516</v>
      </c>
      <c r="AS891" s="11">
        <v>42017</v>
      </c>
      <c r="AT891" s="1" t="s">
        <v>49</v>
      </c>
      <c r="AU891" s="1" t="s">
        <v>4171</v>
      </c>
    </row>
    <row r="892" spans="1:47" ht="15" customHeight="1" x14ac:dyDescent="0.25">
      <c r="A892" s="1">
        <v>887</v>
      </c>
      <c r="B892" s="1" t="s">
        <v>1258</v>
      </c>
      <c r="C892" s="1" t="s">
        <v>38</v>
      </c>
      <c r="D892" s="1">
        <v>9103550705</v>
      </c>
      <c r="E892" s="5">
        <v>41918</v>
      </c>
      <c r="F892" s="1" t="s">
        <v>786</v>
      </c>
      <c r="G892" s="1" t="s">
        <v>40</v>
      </c>
      <c r="H892" s="1" t="s">
        <v>41</v>
      </c>
      <c r="I892" s="1" t="s">
        <v>2809</v>
      </c>
      <c r="J892" s="1" t="s">
        <v>917</v>
      </c>
      <c r="K892" s="1">
        <v>38237090</v>
      </c>
      <c r="L892" s="6">
        <v>24</v>
      </c>
      <c r="M892" s="1" t="s">
        <v>70</v>
      </c>
      <c r="N892" s="7" t="s">
        <v>44</v>
      </c>
      <c r="O892" s="1" t="s">
        <v>53</v>
      </c>
      <c r="P892" s="8">
        <v>1650</v>
      </c>
      <c r="Q892" s="17">
        <f t="shared" si="83"/>
        <v>39600</v>
      </c>
      <c r="R892" s="9">
        <v>1840</v>
      </c>
      <c r="S892" s="9">
        <v>5.66</v>
      </c>
      <c r="T892" s="9">
        <v>734.4</v>
      </c>
      <c r="U892" s="10">
        <v>0</v>
      </c>
      <c r="V892" s="1" t="s">
        <v>46</v>
      </c>
      <c r="W892" s="1" t="s">
        <v>90</v>
      </c>
      <c r="X892" s="1">
        <v>5348791</v>
      </c>
      <c r="Y892" s="11">
        <v>41916</v>
      </c>
      <c r="Z892" s="11">
        <v>41917</v>
      </c>
      <c r="AA892" s="9">
        <f t="shared" si="86"/>
        <v>37754.339999999997</v>
      </c>
      <c r="AB892" s="12">
        <v>61.3</v>
      </c>
      <c r="AC892" s="9">
        <f t="shared" si="84"/>
        <v>2427480</v>
      </c>
      <c r="AD892" s="9">
        <f t="shared" si="85"/>
        <v>2314341.0419999999</v>
      </c>
      <c r="AE892" s="1" t="s">
        <v>48</v>
      </c>
      <c r="AF892" s="1" t="s">
        <v>53</v>
      </c>
      <c r="AG892" s="4">
        <f t="shared" si="89"/>
        <v>39600</v>
      </c>
      <c r="AH892" s="10">
        <v>39454</v>
      </c>
      <c r="AI892" s="10">
        <v>1840</v>
      </c>
      <c r="AJ892" s="10">
        <v>5.66</v>
      </c>
      <c r="AK892" s="10">
        <v>734.4</v>
      </c>
      <c r="AL892" s="9">
        <f t="shared" si="90"/>
        <v>36873.94</v>
      </c>
      <c r="AM892" s="1"/>
      <c r="AN892" s="1"/>
      <c r="AO892" s="12" t="e">
        <f>AB892/#REF!</f>
        <v>#REF!</v>
      </c>
      <c r="AP892" s="1" t="s">
        <v>2517</v>
      </c>
      <c r="AQ892" s="11">
        <v>41981</v>
      </c>
      <c r="AR892" s="1" t="s">
        <v>2518</v>
      </c>
      <c r="AS892" s="11">
        <v>41982</v>
      </c>
      <c r="AT892" s="1" t="s">
        <v>49</v>
      </c>
      <c r="AU892" s="1" t="s">
        <v>4171</v>
      </c>
    </row>
    <row r="893" spans="1:47" ht="15" customHeight="1" x14ac:dyDescent="0.25">
      <c r="A893" s="1">
        <v>888</v>
      </c>
      <c r="B893" s="1" t="s">
        <v>1258</v>
      </c>
      <c r="C893" s="1" t="s">
        <v>38</v>
      </c>
      <c r="D893" s="1">
        <v>9103550706</v>
      </c>
      <c r="E893" s="5">
        <v>41928</v>
      </c>
      <c r="F893" s="1" t="s">
        <v>785</v>
      </c>
      <c r="G893" s="1" t="s">
        <v>40</v>
      </c>
      <c r="H893" s="1" t="s">
        <v>41</v>
      </c>
      <c r="I893" s="1" t="s">
        <v>2809</v>
      </c>
      <c r="J893" s="1" t="s">
        <v>2690</v>
      </c>
      <c r="K893" s="1">
        <v>38237090</v>
      </c>
      <c r="L893" s="6">
        <v>13.2</v>
      </c>
      <c r="M893" s="1" t="s">
        <v>70</v>
      </c>
      <c r="N893" s="7" t="s">
        <v>44</v>
      </c>
      <c r="O893" s="1" t="s">
        <v>53</v>
      </c>
      <c r="P893" s="8">
        <v>1705</v>
      </c>
      <c r="Q893" s="17">
        <f t="shared" si="83"/>
        <v>22506</v>
      </c>
      <c r="R893" s="9">
        <v>1071.3</v>
      </c>
      <c r="S893" s="9">
        <v>3.22</v>
      </c>
      <c r="T893" s="9">
        <v>0</v>
      </c>
      <c r="U893" s="10">
        <v>0</v>
      </c>
      <c r="V893" s="1" t="s">
        <v>46</v>
      </c>
      <c r="W893" s="1" t="s">
        <v>205</v>
      </c>
      <c r="X893" s="1">
        <v>5352382</v>
      </c>
      <c r="Y893" s="11">
        <v>41916</v>
      </c>
      <c r="Z893" s="11">
        <v>41917</v>
      </c>
      <c r="AA893" s="9">
        <f t="shared" si="86"/>
        <v>21431.48</v>
      </c>
      <c r="AB893" s="12">
        <v>61.3</v>
      </c>
      <c r="AC893" s="9">
        <f t="shared" si="84"/>
        <v>1379617.8</v>
      </c>
      <c r="AD893" s="9">
        <f t="shared" si="85"/>
        <v>1313749.7239999999</v>
      </c>
      <c r="AE893" s="1" t="s">
        <v>48</v>
      </c>
      <c r="AF893" s="1" t="s">
        <v>53</v>
      </c>
      <c r="AG893" s="4">
        <f t="shared" si="89"/>
        <v>22506</v>
      </c>
      <c r="AH893" s="10">
        <v>22500</v>
      </c>
      <c r="AI893" s="10">
        <v>1036.4000000000001</v>
      </c>
      <c r="AJ893" s="10">
        <v>3.22</v>
      </c>
      <c r="AK893" s="10">
        <v>0</v>
      </c>
      <c r="AL893" s="9">
        <f t="shared" si="90"/>
        <v>21460.38</v>
      </c>
      <c r="AM893" s="1"/>
      <c r="AN893" s="1"/>
      <c r="AO893" s="12" t="e">
        <f>AB893/#REF!</f>
        <v>#REF!</v>
      </c>
      <c r="AP893" s="1" t="s">
        <v>2519</v>
      </c>
      <c r="AQ893" s="11">
        <v>41957</v>
      </c>
      <c r="AR893" s="1" t="s">
        <v>2520</v>
      </c>
      <c r="AS893" s="11">
        <v>41958</v>
      </c>
      <c r="AT893" s="1" t="s">
        <v>49</v>
      </c>
      <c r="AU893" s="1" t="s">
        <v>4171</v>
      </c>
    </row>
    <row r="894" spans="1:47" ht="15" customHeight="1" x14ac:dyDescent="0.25">
      <c r="A894" s="1">
        <v>889</v>
      </c>
      <c r="B894" s="1" t="s">
        <v>1258</v>
      </c>
      <c r="C894" s="1" t="s">
        <v>38</v>
      </c>
      <c r="D894" s="1">
        <v>9103550706</v>
      </c>
      <c r="E894" s="5">
        <v>41928</v>
      </c>
      <c r="F894" s="1" t="s">
        <v>785</v>
      </c>
      <c r="G894" s="1" t="s">
        <v>40</v>
      </c>
      <c r="H894" s="1" t="s">
        <v>41</v>
      </c>
      <c r="I894" s="1" t="s">
        <v>2809</v>
      </c>
      <c r="J894" s="1" t="s">
        <v>2690</v>
      </c>
      <c r="K894" s="1">
        <v>29051700</v>
      </c>
      <c r="L894" s="6">
        <v>4.05</v>
      </c>
      <c r="M894" s="1" t="s">
        <v>70</v>
      </c>
      <c r="N894" s="7" t="s">
        <v>44</v>
      </c>
      <c r="O894" s="1" t="s">
        <v>53</v>
      </c>
      <c r="P894" s="8">
        <v>1950</v>
      </c>
      <c r="Q894" s="17">
        <f t="shared" si="83"/>
        <v>7897.5</v>
      </c>
      <c r="R894" s="9">
        <v>4.05</v>
      </c>
      <c r="S894" s="9">
        <v>1.1299999999999999</v>
      </c>
      <c r="T894" s="9">
        <v>0</v>
      </c>
      <c r="U894" s="10">
        <v>0</v>
      </c>
      <c r="V894" s="1" t="s">
        <v>46</v>
      </c>
      <c r="W894" s="1" t="s">
        <v>205</v>
      </c>
      <c r="X894" s="1">
        <v>5352382</v>
      </c>
      <c r="Y894" s="11">
        <v>41916</v>
      </c>
      <c r="Z894" s="11">
        <v>41917</v>
      </c>
      <c r="AA894" s="9">
        <f t="shared" si="86"/>
        <v>7892.32</v>
      </c>
      <c r="AB894" s="12">
        <v>61.3</v>
      </c>
      <c r="AC894" s="9">
        <f t="shared" si="84"/>
        <v>484116.75</v>
      </c>
      <c r="AD894" s="9">
        <f t="shared" si="85"/>
        <v>483799.21599999996</v>
      </c>
      <c r="AE894" s="1" t="s">
        <v>48</v>
      </c>
      <c r="AF894" s="1" t="s">
        <v>53</v>
      </c>
      <c r="AG894" s="4">
        <f t="shared" si="89"/>
        <v>7897.5</v>
      </c>
      <c r="AH894" s="10">
        <v>7893.5</v>
      </c>
      <c r="AI894" s="10">
        <v>363.6</v>
      </c>
      <c r="AJ894" s="10">
        <v>1.1299999999999999</v>
      </c>
      <c r="AK894" s="10">
        <v>0</v>
      </c>
      <c r="AL894" s="9">
        <f t="shared" si="90"/>
        <v>7528.77</v>
      </c>
      <c r="AM894" s="1"/>
      <c r="AN894" s="1"/>
      <c r="AO894" s="12" t="e">
        <f>AB894/#REF!</f>
        <v>#REF!</v>
      </c>
      <c r="AP894" s="1" t="s">
        <v>2519</v>
      </c>
      <c r="AQ894" s="11">
        <v>41957</v>
      </c>
      <c r="AR894" s="1" t="s">
        <v>2520</v>
      </c>
      <c r="AS894" s="11">
        <v>41958</v>
      </c>
      <c r="AT894" s="1" t="s">
        <v>49</v>
      </c>
      <c r="AU894" s="1" t="s">
        <v>4171</v>
      </c>
    </row>
    <row r="895" spans="1:47" ht="15" customHeight="1" x14ac:dyDescent="0.25">
      <c r="A895" s="1">
        <v>890</v>
      </c>
      <c r="B895" s="1" t="s">
        <v>1258</v>
      </c>
      <c r="C895" s="1" t="s">
        <v>38</v>
      </c>
      <c r="D895" s="1">
        <v>9103550707</v>
      </c>
      <c r="E895" s="5">
        <v>41927</v>
      </c>
      <c r="F895" s="1" t="s">
        <v>787</v>
      </c>
      <c r="G895" s="1" t="s">
        <v>40</v>
      </c>
      <c r="H895" s="1" t="s">
        <v>41</v>
      </c>
      <c r="I895" s="1" t="s">
        <v>2809</v>
      </c>
      <c r="J895" s="1" t="s">
        <v>200</v>
      </c>
      <c r="K895" s="1">
        <v>38231900</v>
      </c>
      <c r="L895" s="6">
        <v>78.5</v>
      </c>
      <c r="M895" s="1" t="s">
        <v>70</v>
      </c>
      <c r="N895" s="7" t="s">
        <v>44</v>
      </c>
      <c r="O895" s="1" t="s">
        <v>53</v>
      </c>
      <c r="P895" s="8">
        <v>1650</v>
      </c>
      <c r="Q895" s="17">
        <f t="shared" si="83"/>
        <v>129525</v>
      </c>
      <c r="R895" s="9">
        <v>3400</v>
      </c>
      <c r="S895" s="9">
        <v>18.52</v>
      </c>
      <c r="T895" s="9">
        <v>1295.25</v>
      </c>
      <c r="U895" s="10">
        <v>0</v>
      </c>
      <c r="V895" s="1" t="s">
        <v>46</v>
      </c>
      <c r="W895" s="1" t="s">
        <v>59</v>
      </c>
      <c r="X895" s="1">
        <v>5409374</v>
      </c>
      <c r="Y895" s="11">
        <v>41920</v>
      </c>
      <c r="Z895" s="11">
        <v>41921</v>
      </c>
      <c r="AA895" s="9">
        <f t="shared" si="86"/>
        <v>126106.48</v>
      </c>
      <c r="AB895" s="12">
        <v>61.3</v>
      </c>
      <c r="AC895" s="9">
        <f t="shared" si="84"/>
        <v>7939882.5</v>
      </c>
      <c r="AD895" s="9">
        <f t="shared" si="85"/>
        <v>7730327.2239999995</v>
      </c>
      <c r="AE895" s="1" t="s">
        <v>51</v>
      </c>
      <c r="AF895" s="1" t="s">
        <v>53</v>
      </c>
      <c r="AG895" s="4">
        <f t="shared" si="89"/>
        <v>129525</v>
      </c>
      <c r="AH895" s="10">
        <v>129525</v>
      </c>
      <c r="AI895" s="10">
        <v>3400</v>
      </c>
      <c r="AJ895" s="10">
        <v>18.52</v>
      </c>
      <c r="AK895" s="10">
        <v>1295.25</v>
      </c>
      <c r="AL895" s="9">
        <f t="shared" si="90"/>
        <v>124811.23</v>
      </c>
      <c r="AM895" s="1"/>
      <c r="AN895" s="1"/>
      <c r="AO895" s="12" t="e">
        <f>AB895/#REF!</f>
        <v>#REF!</v>
      </c>
      <c r="AP895" s="1" t="s">
        <v>2521</v>
      </c>
      <c r="AQ895" s="11">
        <v>41961</v>
      </c>
      <c r="AR895" s="1" t="s">
        <v>2522</v>
      </c>
      <c r="AS895" s="11">
        <v>41680</v>
      </c>
      <c r="AT895" s="1" t="s">
        <v>49</v>
      </c>
      <c r="AU895" s="1" t="s">
        <v>4171</v>
      </c>
    </row>
    <row r="896" spans="1:47" ht="15" customHeight="1" x14ac:dyDescent="0.25">
      <c r="A896" s="1">
        <v>891</v>
      </c>
      <c r="B896" s="1" t="s">
        <v>1258</v>
      </c>
      <c r="C896" s="1" t="s">
        <v>38</v>
      </c>
      <c r="D896" s="1">
        <v>9103550707</v>
      </c>
      <c r="E896" s="5">
        <v>41927</v>
      </c>
      <c r="F896" s="1" t="s">
        <v>788</v>
      </c>
      <c r="G896" s="1" t="s">
        <v>40</v>
      </c>
      <c r="H896" s="1" t="s">
        <v>41</v>
      </c>
      <c r="I896" s="1" t="s">
        <v>2809</v>
      </c>
      <c r="J896" s="1" t="s">
        <v>200</v>
      </c>
      <c r="K896" s="1">
        <v>38231900</v>
      </c>
      <c r="L896" s="6">
        <v>39.29</v>
      </c>
      <c r="M896" s="1" t="s">
        <v>70</v>
      </c>
      <c r="N896" s="7" t="s">
        <v>44</v>
      </c>
      <c r="O896" s="1" t="s">
        <v>53</v>
      </c>
      <c r="P896" s="8">
        <v>1650</v>
      </c>
      <c r="Q896" s="17">
        <f t="shared" si="83"/>
        <v>64828.5</v>
      </c>
      <c r="R896" s="9">
        <v>1700</v>
      </c>
      <c r="S896" s="9">
        <v>9.27</v>
      </c>
      <c r="T896" s="9">
        <v>648.29</v>
      </c>
      <c r="U896" s="10">
        <v>0</v>
      </c>
      <c r="V896" s="1" t="s">
        <v>46</v>
      </c>
      <c r="W896" s="1" t="s">
        <v>59</v>
      </c>
      <c r="X896" s="1">
        <v>5413879</v>
      </c>
      <c r="Y896" s="11">
        <v>41920</v>
      </c>
      <c r="Z896" s="11">
        <v>41921</v>
      </c>
      <c r="AA896" s="9">
        <f t="shared" si="86"/>
        <v>63119.23</v>
      </c>
      <c r="AB896" s="12">
        <v>61.3</v>
      </c>
      <c r="AC896" s="9">
        <f t="shared" si="84"/>
        <v>3973987.05</v>
      </c>
      <c r="AD896" s="9">
        <f t="shared" si="85"/>
        <v>3869208.7990000001</v>
      </c>
      <c r="AE896" s="1" t="s">
        <v>51</v>
      </c>
      <c r="AF896" s="1" t="s">
        <v>53</v>
      </c>
      <c r="AG896" s="4">
        <f t="shared" si="89"/>
        <v>64828.5</v>
      </c>
      <c r="AH896" s="10">
        <v>64829</v>
      </c>
      <c r="AI896" s="10">
        <v>1700</v>
      </c>
      <c r="AJ896" s="10">
        <v>9.27</v>
      </c>
      <c r="AK896" s="10">
        <v>648.29</v>
      </c>
      <c r="AL896" s="9">
        <f t="shared" si="90"/>
        <v>62471.44</v>
      </c>
      <c r="AM896" s="1"/>
      <c r="AN896" s="1"/>
      <c r="AO896" s="12" t="e">
        <f>AB896/#REF!</f>
        <v>#REF!</v>
      </c>
      <c r="AP896" s="1" t="s">
        <v>2521</v>
      </c>
      <c r="AQ896" s="11">
        <v>41961</v>
      </c>
      <c r="AR896" s="1" t="s">
        <v>2523</v>
      </c>
      <c r="AS896" s="11">
        <v>41680</v>
      </c>
      <c r="AT896" s="1" t="s">
        <v>49</v>
      </c>
      <c r="AU896" s="1" t="s">
        <v>4171</v>
      </c>
    </row>
    <row r="897" spans="1:47" ht="15" customHeight="1" x14ac:dyDescent="0.25">
      <c r="A897" s="1">
        <v>892</v>
      </c>
      <c r="B897" s="1" t="s">
        <v>1258</v>
      </c>
      <c r="C897" s="1" t="s">
        <v>38</v>
      </c>
      <c r="D897" s="1">
        <v>9103550708</v>
      </c>
      <c r="E897" s="5">
        <v>41925</v>
      </c>
      <c r="F897" s="1" t="s">
        <v>796</v>
      </c>
      <c r="G897" s="1" t="s">
        <v>40</v>
      </c>
      <c r="H897" s="1" t="s">
        <v>41</v>
      </c>
      <c r="I897" s="1" t="s">
        <v>2809</v>
      </c>
      <c r="J897" s="1" t="s">
        <v>1747</v>
      </c>
      <c r="K897" s="1">
        <v>29051700</v>
      </c>
      <c r="L897" s="6">
        <v>4</v>
      </c>
      <c r="M897" s="1" t="s">
        <v>70</v>
      </c>
      <c r="N897" s="7" t="s">
        <v>44</v>
      </c>
      <c r="O897" s="1" t="s">
        <v>53</v>
      </c>
      <c r="P897" s="8">
        <v>1700</v>
      </c>
      <c r="Q897" s="17">
        <f>+L897*P897</f>
        <v>6800</v>
      </c>
      <c r="R897" s="9">
        <v>350</v>
      </c>
      <c r="S897" s="9">
        <v>0.97</v>
      </c>
      <c r="T897" s="9">
        <v>0</v>
      </c>
      <c r="U897" s="10">
        <v>0</v>
      </c>
      <c r="V897" s="1" t="s">
        <v>46</v>
      </c>
      <c r="W897" s="1" t="s">
        <v>137</v>
      </c>
      <c r="X897" s="1">
        <v>5382134</v>
      </c>
      <c r="Y897" s="11">
        <v>41919</v>
      </c>
      <c r="Z897" s="11">
        <v>41921</v>
      </c>
      <c r="AA897" s="9">
        <f>Q897-R897-S897</f>
        <v>6449.03</v>
      </c>
      <c r="AB897" s="12">
        <v>61.3</v>
      </c>
      <c r="AC897" s="9">
        <f>+Q897*AB897</f>
        <v>416840</v>
      </c>
      <c r="AD897" s="9">
        <f>+AA897*AB897</f>
        <v>395325.53899999999</v>
      </c>
      <c r="AE897" s="1" t="s">
        <v>48</v>
      </c>
      <c r="AF897" s="1" t="s">
        <v>53</v>
      </c>
      <c r="AG897" s="4">
        <f t="shared" si="89"/>
        <v>6800</v>
      </c>
      <c r="AH897" s="10">
        <v>6785</v>
      </c>
      <c r="AI897" s="10">
        <v>529</v>
      </c>
      <c r="AJ897" s="10">
        <v>0.97</v>
      </c>
      <c r="AK897" s="10">
        <v>0</v>
      </c>
      <c r="AL897" s="9">
        <f t="shared" si="90"/>
        <v>6255.03</v>
      </c>
      <c r="AM897" s="1"/>
      <c r="AN897" s="1"/>
      <c r="AO897" s="12" t="e">
        <f>AB897/#REF!</f>
        <v>#REF!</v>
      </c>
      <c r="AP897" s="1" t="s">
        <v>2524</v>
      </c>
      <c r="AQ897" s="11">
        <v>41946</v>
      </c>
      <c r="AR897" s="1" t="s">
        <v>2525</v>
      </c>
      <c r="AS897" s="11">
        <v>41948</v>
      </c>
      <c r="AT897" s="1" t="s">
        <v>49</v>
      </c>
      <c r="AU897" s="1" t="s">
        <v>4171</v>
      </c>
    </row>
    <row r="898" spans="1:47" ht="15" customHeight="1" x14ac:dyDescent="0.25">
      <c r="A898" s="1">
        <v>893</v>
      </c>
      <c r="B898" s="1" t="s">
        <v>1258</v>
      </c>
      <c r="C898" s="1" t="s">
        <v>38</v>
      </c>
      <c r="D898" s="1">
        <v>9103550709</v>
      </c>
      <c r="E898" s="5">
        <v>41929</v>
      </c>
      <c r="F898" s="1" t="s">
        <v>2951</v>
      </c>
      <c r="G898" s="1" t="s">
        <v>40</v>
      </c>
      <c r="H898" s="1" t="s">
        <v>41</v>
      </c>
      <c r="I898" s="1" t="s">
        <v>2809</v>
      </c>
      <c r="J898" s="1" t="s">
        <v>169</v>
      </c>
      <c r="K898" s="1">
        <v>38231200</v>
      </c>
      <c r="L898" s="6">
        <v>98.33</v>
      </c>
      <c r="M898" s="1" t="s">
        <v>70</v>
      </c>
      <c r="N898" s="7" t="s">
        <v>67</v>
      </c>
      <c r="O898" s="1" t="s">
        <v>53</v>
      </c>
      <c r="P898" s="8">
        <v>1025</v>
      </c>
      <c r="Q898" s="17">
        <f>+L898*P898</f>
        <v>100788.25</v>
      </c>
      <c r="R898" s="9">
        <v>0</v>
      </c>
      <c r="S898" s="9">
        <v>0</v>
      </c>
      <c r="T898" s="9">
        <v>0</v>
      </c>
      <c r="U898" s="10">
        <v>0</v>
      </c>
      <c r="V898" s="1" t="s">
        <v>46</v>
      </c>
      <c r="W898" s="1" t="s">
        <v>1323</v>
      </c>
      <c r="X898" s="1">
        <v>5423119</v>
      </c>
      <c r="Y898" s="11">
        <v>41921</v>
      </c>
      <c r="Z898" s="11">
        <v>41922</v>
      </c>
      <c r="AA898" s="9">
        <f>Q898-R898-S898</f>
        <v>100788.25</v>
      </c>
      <c r="AB898" s="12">
        <v>61.3</v>
      </c>
      <c r="AC898" s="9">
        <f>+Q898*AB898</f>
        <v>6178319.7249999996</v>
      </c>
      <c r="AD898" s="9">
        <f>+AA898*AB898</f>
        <v>6178319.7249999996</v>
      </c>
      <c r="AE898" s="1" t="s">
        <v>48</v>
      </c>
      <c r="AF898" s="1" t="s">
        <v>53</v>
      </c>
      <c r="AG898" s="4">
        <f t="shared" si="89"/>
        <v>100788.25</v>
      </c>
      <c r="AH898" s="10">
        <v>100751.25</v>
      </c>
      <c r="AI898" s="10">
        <v>0</v>
      </c>
      <c r="AJ898" s="10">
        <v>0</v>
      </c>
      <c r="AK898" s="10">
        <v>0</v>
      </c>
      <c r="AL898" s="9">
        <f t="shared" si="90"/>
        <v>100751.25</v>
      </c>
      <c r="AM898" s="1"/>
      <c r="AN898" s="1"/>
      <c r="AO898" s="12" t="e">
        <f>AB898/#REF!</f>
        <v>#REF!</v>
      </c>
      <c r="AP898" s="1"/>
      <c r="AQ898" s="11">
        <v>42012</v>
      </c>
      <c r="AR898" s="1" t="s">
        <v>3366</v>
      </c>
      <c r="AS898" s="11">
        <v>42014</v>
      </c>
      <c r="AT898" s="1" t="s">
        <v>49</v>
      </c>
      <c r="AU898" s="1" t="s">
        <v>4171</v>
      </c>
    </row>
    <row r="899" spans="1:47" ht="15" customHeight="1" x14ac:dyDescent="0.25">
      <c r="A899" s="1">
        <v>894</v>
      </c>
      <c r="B899" s="1" t="s">
        <v>1258</v>
      </c>
      <c r="C899" s="1" t="s">
        <v>38</v>
      </c>
      <c r="D899" s="1">
        <v>9103550710</v>
      </c>
      <c r="E899" s="5">
        <v>41925</v>
      </c>
      <c r="F899" s="1" t="s">
        <v>791</v>
      </c>
      <c r="G899" s="1" t="s">
        <v>40</v>
      </c>
      <c r="H899" s="1" t="s">
        <v>41</v>
      </c>
      <c r="I899" s="1" t="s">
        <v>2810</v>
      </c>
      <c r="J899" s="1" t="s">
        <v>1116</v>
      </c>
      <c r="K899" s="1">
        <v>38231200</v>
      </c>
      <c r="L899" s="6">
        <v>28.8</v>
      </c>
      <c r="M899" s="1" t="s">
        <v>70</v>
      </c>
      <c r="N899" s="7" t="s">
        <v>67</v>
      </c>
      <c r="O899" s="1" t="s">
        <v>1117</v>
      </c>
      <c r="P899" s="8">
        <v>78220</v>
      </c>
      <c r="Q899" s="17">
        <f>+L899*P899</f>
        <v>2252736</v>
      </c>
      <c r="R899" s="9">
        <v>0</v>
      </c>
      <c r="S899" s="9">
        <v>0</v>
      </c>
      <c r="T899" s="9">
        <v>158592.60999999999</v>
      </c>
      <c r="U899" s="10">
        <v>0</v>
      </c>
      <c r="V899" s="1" t="s">
        <v>46</v>
      </c>
      <c r="W899" s="1" t="s">
        <v>361</v>
      </c>
      <c r="X899" s="1">
        <v>5429456</v>
      </c>
      <c r="Y899" s="11">
        <v>41921</v>
      </c>
      <c r="Z899" s="11">
        <v>41922</v>
      </c>
      <c r="AA899" s="9">
        <f>Q899-R899-S899</f>
        <v>2252736</v>
      </c>
      <c r="AB899" s="12">
        <v>1</v>
      </c>
      <c r="AC899" s="9">
        <f>+Q899*AB899</f>
        <v>2252736</v>
      </c>
      <c r="AD899" s="9">
        <f>+AA899*AB899</f>
        <v>2252736</v>
      </c>
      <c r="AE899" s="1" t="s">
        <v>4162</v>
      </c>
      <c r="AF899" s="1" t="s">
        <v>1117</v>
      </c>
      <c r="AG899" s="4">
        <f t="shared" si="89"/>
        <v>2252736</v>
      </c>
      <c r="AH899" s="10">
        <v>2252736</v>
      </c>
      <c r="AI899" s="10"/>
      <c r="AJ899" s="10"/>
      <c r="AK899" s="10"/>
      <c r="AL899" s="9">
        <f t="shared" si="90"/>
        <v>2252736</v>
      </c>
      <c r="AM899" s="1"/>
      <c r="AN899" s="1"/>
      <c r="AO899" s="12"/>
      <c r="AP899" s="1" t="s">
        <v>3917</v>
      </c>
      <c r="AQ899" s="11" t="s">
        <v>4163</v>
      </c>
      <c r="AR899" s="1" t="s">
        <v>4166</v>
      </c>
      <c r="AS899" s="1" t="s">
        <v>4164</v>
      </c>
      <c r="AT899" s="1" t="s">
        <v>49</v>
      </c>
      <c r="AU899" s="1" t="s">
        <v>4171</v>
      </c>
    </row>
    <row r="900" spans="1:47" ht="15" customHeight="1" x14ac:dyDescent="0.25">
      <c r="A900" s="1">
        <v>895</v>
      </c>
      <c r="B900" s="1" t="s">
        <v>1258</v>
      </c>
      <c r="C900" s="1" t="s">
        <v>38</v>
      </c>
      <c r="D900" s="1">
        <v>9103550711</v>
      </c>
      <c r="E900" s="5">
        <v>41924</v>
      </c>
      <c r="F900" s="1" t="s">
        <v>792</v>
      </c>
      <c r="G900" s="1" t="s">
        <v>40</v>
      </c>
      <c r="H900" s="1" t="s">
        <v>41</v>
      </c>
      <c r="I900" s="1" t="s">
        <v>2809</v>
      </c>
      <c r="J900" s="1" t="s">
        <v>1714</v>
      </c>
      <c r="K900" s="1">
        <v>38237090</v>
      </c>
      <c r="L900" s="6">
        <v>48</v>
      </c>
      <c r="M900" s="1" t="s">
        <v>70</v>
      </c>
      <c r="N900" s="7" t="s">
        <v>52</v>
      </c>
      <c r="O900" s="1" t="s">
        <v>53</v>
      </c>
      <c r="P900" s="8">
        <v>1750</v>
      </c>
      <c r="Q900" s="17">
        <f t="shared" ref="Q900:Q974" si="91">+L900*P900</f>
        <v>84000</v>
      </c>
      <c r="R900" s="9">
        <v>4800</v>
      </c>
      <c r="S900" s="9">
        <v>0</v>
      </c>
      <c r="T900" s="9">
        <v>0</v>
      </c>
      <c r="U900" s="10">
        <v>0</v>
      </c>
      <c r="V900" s="1" t="s">
        <v>46</v>
      </c>
      <c r="W900" s="1" t="s">
        <v>745</v>
      </c>
      <c r="X900" s="1">
        <v>5433243</v>
      </c>
      <c r="Y900" s="11">
        <v>41921</v>
      </c>
      <c r="Z900" s="11">
        <v>41922</v>
      </c>
      <c r="AA900" s="9">
        <f t="shared" ref="AA900:AA980" si="92">Q900-R900-S900</f>
        <v>79200</v>
      </c>
      <c r="AB900" s="12">
        <v>61.3</v>
      </c>
      <c r="AC900" s="9">
        <f t="shared" ref="AC900:AC980" si="93">+Q900*AB900</f>
        <v>5149200</v>
      </c>
      <c r="AD900" s="9">
        <f t="shared" ref="AD900:AD980" si="94">+AA900*AB900</f>
        <v>4854960</v>
      </c>
      <c r="AE900" s="1" t="s">
        <v>48</v>
      </c>
      <c r="AF900" s="1" t="s">
        <v>53</v>
      </c>
      <c r="AG900" s="4">
        <f t="shared" si="89"/>
        <v>84000</v>
      </c>
      <c r="AH900" s="10">
        <v>83799</v>
      </c>
      <c r="AI900" s="10">
        <v>4800</v>
      </c>
      <c r="AJ900" s="10">
        <v>0</v>
      </c>
      <c r="AK900" s="10">
        <v>0</v>
      </c>
      <c r="AL900" s="9">
        <f t="shared" si="90"/>
        <v>78999</v>
      </c>
      <c r="AM900" s="1"/>
      <c r="AN900" s="1"/>
      <c r="AO900" s="12" t="e">
        <f>AB900/#REF!</f>
        <v>#REF!</v>
      </c>
      <c r="AP900" s="1" t="s">
        <v>2526</v>
      </c>
      <c r="AQ900" s="11">
        <v>41961</v>
      </c>
      <c r="AR900" s="1" t="s">
        <v>2527</v>
      </c>
      <c r="AS900" s="11">
        <v>41962</v>
      </c>
      <c r="AT900" s="1" t="s">
        <v>49</v>
      </c>
      <c r="AU900" s="1" t="s">
        <v>4171</v>
      </c>
    </row>
    <row r="901" spans="1:47" ht="15" customHeight="1" x14ac:dyDescent="0.25">
      <c r="A901" s="1">
        <v>896</v>
      </c>
      <c r="B901" s="1" t="s">
        <v>1258</v>
      </c>
      <c r="C901" s="1" t="s">
        <v>38</v>
      </c>
      <c r="D901" s="1">
        <v>9103550712</v>
      </c>
      <c r="E901" s="5">
        <v>41925</v>
      </c>
      <c r="F901" s="1" t="s">
        <v>797</v>
      </c>
      <c r="G901" s="1" t="s">
        <v>40</v>
      </c>
      <c r="H901" s="1" t="s">
        <v>41</v>
      </c>
      <c r="I901" s="1" t="s">
        <v>2809</v>
      </c>
      <c r="J901" s="1" t="s">
        <v>1705</v>
      </c>
      <c r="K901" s="1">
        <v>38237090</v>
      </c>
      <c r="L901" s="6">
        <v>37.340000000000003</v>
      </c>
      <c r="M901" s="1" t="s">
        <v>70</v>
      </c>
      <c r="N901" s="7" t="s">
        <v>44</v>
      </c>
      <c r="O901" s="1" t="s">
        <v>53</v>
      </c>
      <c r="P901" s="8">
        <v>1265</v>
      </c>
      <c r="Q901" s="17">
        <f t="shared" si="91"/>
        <v>47235.100000000006</v>
      </c>
      <c r="R901" s="9">
        <v>900</v>
      </c>
      <c r="S901" s="9">
        <v>6.75</v>
      </c>
      <c r="T901" s="9">
        <v>0</v>
      </c>
      <c r="U901" s="10">
        <v>0</v>
      </c>
      <c r="V901" s="1" t="s">
        <v>46</v>
      </c>
      <c r="W901" s="1" t="s">
        <v>64</v>
      </c>
      <c r="X901" s="1">
        <v>5446078</v>
      </c>
      <c r="Y901" s="11">
        <v>41922</v>
      </c>
      <c r="Z901" s="11">
        <v>41923</v>
      </c>
      <c r="AA901" s="9">
        <f t="shared" si="92"/>
        <v>46328.350000000006</v>
      </c>
      <c r="AB901" s="12">
        <v>61.3</v>
      </c>
      <c r="AC901" s="9">
        <f t="shared" si="93"/>
        <v>2895511.6300000004</v>
      </c>
      <c r="AD901" s="9">
        <f t="shared" si="94"/>
        <v>2839927.8550000004</v>
      </c>
      <c r="AE901" s="1" t="s">
        <v>48</v>
      </c>
      <c r="AF901" s="1" t="s">
        <v>53</v>
      </c>
      <c r="AG901" s="4">
        <f t="shared" si="89"/>
        <v>47235.100000000006</v>
      </c>
      <c r="AH901" s="10">
        <v>46994.1</v>
      </c>
      <c r="AI901" s="10">
        <v>1120</v>
      </c>
      <c r="AJ901" s="10">
        <v>6.76</v>
      </c>
      <c r="AK901" s="10">
        <v>0</v>
      </c>
      <c r="AL901" s="9">
        <f t="shared" si="90"/>
        <v>45867.34</v>
      </c>
      <c r="AM901" s="1"/>
      <c r="AN901" s="1"/>
      <c r="AO901" s="12" t="e">
        <f>AB901/#REF!</f>
        <v>#REF!</v>
      </c>
      <c r="AP901" s="1" t="s">
        <v>2528</v>
      </c>
      <c r="AQ901" s="11">
        <v>41948</v>
      </c>
      <c r="AR901" s="1" t="s">
        <v>2529</v>
      </c>
      <c r="AS901" s="11">
        <v>41950</v>
      </c>
      <c r="AT901" s="1" t="s">
        <v>49</v>
      </c>
      <c r="AU901" s="1" t="s">
        <v>4171</v>
      </c>
    </row>
    <row r="902" spans="1:47" ht="15" customHeight="1" x14ac:dyDescent="0.25">
      <c r="A902" s="1">
        <v>897</v>
      </c>
      <c r="B902" s="1" t="s">
        <v>1258</v>
      </c>
      <c r="C902" s="1" t="s">
        <v>38</v>
      </c>
      <c r="D902" s="1">
        <v>9103550713</v>
      </c>
      <c r="E902" s="5">
        <v>41925</v>
      </c>
      <c r="F902" s="1" t="s">
        <v>799</v>
      </c>
      <c r="G902" s="1" t="s">
        <v>40</v>
      </c>
      <c r="H902" s="1" t="s">
        <v>41</v>
      </c>
      <c r="I902" s="1" t="s">
        <v>2809</v>
      </c>
      <c r="J902" s="1" t="s">
        <v>2481</v>
      </c>
      <c r="K902" s="1">
        <v>38237090</v>
      </c>
      <c r="L902" s="6">
        <v>18.77</v>
      </c>
      <c r="M902" s="1" t="s">
        <v>70</v>
      </c>
      <c r="N902" s="7" t="s">
        <v>44</v>
      </c>
      <c r="O902" s="1" t="s">
        <v>53</v>
      </c>
      <c r="P902" s="8">
        <v>1265</v>
      </c>
      <c r="Q902" s="17">
        <f t="shared" si="91"/>
        <v>23744.05</v>
      </c>
      <c r="R902" s="9">
        <v>450</v>
      </c>
      <c r="S902" s="9">
        <v>3.4</v>
      </c>
      <c r="T902" s="9">
        <v>0</v>
      </c>
      <c r="U902" s="10">
        <v>0</v>
      </c>
      <c r="V902" s="1" t="s">
        <v>46</v>
      </c>
      <c r="W902" s="1" t="s">
        <v>64</v>
      </c>
      <c r="X902" s="1">
        <v>5446082</v>
      </c>
      <c r="Y902" s="11">
        <v>41922</v>
      </c>
      <c r="Z902" s="11">
        <v>41923</v>
      </c>
      <c r="AA902" s="9">
        <f t="shared" si="92"/>
        <v>23290.649999999998</v>
      </c>
      <c r="AB902" s="12">
        <v>61.3</v>
      </c>
      <c r="AC902" s="9">
        <f t="shared" si="93"/>
        <v>1455510.2649999999</v>
      </c>
      <c r="AD902" s="9">
        <f t="shared" si="94"/>
        <v>1427716.8449999997</v>
      </c>
      <c r="AE902" s="1" t="s">
        <v>48</v>
      </c>
      <c r="AF902" s="1" t="s">
        <v>53</v>
      </c>
      <c r="AG902" s="4">
        <f t="shared" si="89"/>
        <v>23744.05</v>
      </c>
      <c r="AH902" s="10">
        <v>23583.05</v>
      </c>
      <c r="AI902" s="10">
        <v>500</v>
      </c>
      <c r="AJ902" s="10">
        <v>3.4</v>
      </c>
      <c r="AK902" s="10">
        <v>0</v>
      </c>
      <c r="AL902" s="9">
        <f t="shared" si="90"/>
        <v>23079.649999999998</v>
      </c>
      <c r="AM902" s="1"/>
      <c r="AN902" s="1"/>
      <c r="AO902" s="12" t="e">
        <f>AB902/#REF!</f>
        <v>#REF!</v>
      </c>
      <c r="AP902" s="1" t="s">
        <v>2530</v>
      </c>
      <c r="AQ902" s="11">
        <v>41948</v>
      </c>
      <c r="AR902" s="1" t="s">
        <v>2531</v>
      </c>
      <c r="AS902" s="11">
        <v>41950</v>
      </c>
      <c r="AT902" s="1" t="s">
        <v>49</v>
      </c>
      <c r="AU902" s="1" t="s">
        <v>4171</v>
      </c>
    </row>
    <row r="903" spans="1:47" ht="15" customHeight="1" x14ac:dyDescent="0.25">
      <c r="A903" s="1">
        <v>898</v>
      </c>
      <c r="B903" s="1" t="s">
        <v>1258</v>
      </c>
      <c r="C903" s="1" t="s">
        <v>38</v>
      </c>
      <c r="D903" s="1">
        <v>9103550714</v>
      </c>
      <c r="E903" s="5">
        <v>41925</v>
      </c>
      <c r="F903" s="1" t="s">
        <v>798</v>
      </c>
      <c r="G903" s="1" t="s">
        <v>40</v>
      </c>
      <c r="H903" s="1" t="s">
        <v>41</v>
      </c>
      <c r="I903" s="1" t="s">
        <v>2809</v>
      </c>
      <c r="J903" s="1" t="s">
        <v>63</v>
      </c>
      <c r="K903" s="1">
        <v>29161990</v>
      </c>
      <c r="L903" s="6">
        <v>39.51</v>
      </c>
      <c r="M903" s="1" t="s">
        <v>70</v>
      </c>
      <c r="N903" s="7" t="s">
        <v>44</v>
      </c>
      <c r="O903" s="1" t="s">
        <v>53</v>
      </c>
      <c r="P903" s="8">
        <v>2570</v>
      </c>
      <c r="Q903" s="17">
        <f t="shared" si="91"/>
        <v>101540.7</v>
      </c>
      <c r="R903" s="9">
        <v>900</v>
      </c>
      <c r="S903" s="9">
        <v>14.52</v>
      </c>
      <c r="T903" s="9">
        <v>0</v>
      </c>
      <c r="U903" s="10">
        <v>0</v>
      </c>
      <c r="V903" s="1" t="s">
        <v>46</v>
      </c>
      <c r="W903" s="1" t="s">
        <v>64</v>
      </c>
      <c r="X903" s="1">
        <v>5446093</v>
      </c>
      <c r="Y903" s="11">
        <v>41922</v>
      </c>
      <c r="Z903" s="11">
        <v>41923</v>
      </c>
      <c r="AA903" s="9">
        <f t="shared" si="92"/>
        <v>100626.18</v>
      </c>
      <c r="AB903" s="12">
        <v>61.3</v>
      </c>
      <c r="AC903" s="9">
        <f t="shared" si="93"/>
        <v>6224444.9099999992</v>
      </c>
      <c r="AD903" s="9">
        <f t="shared" si="94"/>
        <v>6168384.8339999989</v>
      </c>
      <c r="AE903" s="1" t="s">
        <v>51</v>
      </c>
      <c r="AF903" s="1" t="s">
        <v>53</v>
      </c>
      <c r="AG903" s="4">
        <f t="shared" si="89"/>
        <v>101540.7</v>
      </c>
      <c r="AH903" s="10">
        <v>101500</v>
      </c>
      <c r="AI903" s="10">
        <v>1120</v>
      </c>
      <c r="AJ903" s="10">
        <v>14.52</v>
      </c>
      <c r="AK903" s="10">
        <v>0</v>
      </c>
      <c r="AL903" s="9">
        <f t="shared" si="90"/>
        <v>100365.48</v>
      </c>
      <c r="AM903" s="1"/>
      <c r="AN903" s="1"/>
      <c r="AO903" s="12" t="e">
        <f>AB903/#REF!</f>
        <v>#REF!</v>
      </c>
      <c r="AP903" s="1"/>
      <c r="AQ903" s="11">
        <v>42107</v>
      </c>
      <c r="AR903" s="1" t="s">
        <v>3628</v>
      </c>
      <c r="AS903" s="11">
        <v>42107</v>
      </c>
      <c r="AT903" s="1" t="s">
        <v>49</v>
      </c>
      <c r="AU903" s="1" t="s">
        <v>4171</v>
      </c>
    </row>
    <row r="904" spans="1:47" ht="15" customHeight="1" x14ac:dyDescent="0.25">
      <c r="A904" s="1">
        <v>899</v>
      </c>
      <c r="B904" s="1" t="s">
        <v>1258</v>
      </c>
      <c r="C904" s="1" t="s">
        <v>38</v>
      </c>
      <c r="D904" s="1">
        <v>9103550715</v>
      </c>
      <c r="E904" s="5">
        <v>41928</v>
      </c>
      <c r="F904" s="1" t="s">
        <v>809</v>
      </c>
      <c r="G904" s="1" t="s">
        <v>40</v>
      </c>
      <c r="H904" s="1" t="s">
        <v>41</v>
      </c>
      <c r="I904" s="1" t="s">
        <v>2809</v>
      </c>
      <c r="J904" s="1" t="s">
        <v>63</v>
      </c>
      <c r="K904" s="1">
        <v>29159090</v>
      </c>
      <c r="L904" s="6">
        <v>20</v>
      </c>
      <c r="M904" s="1" t="s">
        <v>70</v>
      </c>
      <c r="N904" s="7" t="s">
        <v>52</v>
      </c>
      <c r="O904" s="1" t="s">
        <v>53</v>
      </c>
      <c r="P904" s="8">
        <v>3550</v>
      </c>
      <c r="Q904" s="17">
        <f t="shared" si="91"/>
        <v>71000</v>
      </c>
      <c r="R904" s="9">
        <v>1300</v>
      </c>
      <c r="S904" s="9">
        <v>0</v>
      </c>
      <c r="T904" s="9">
        <v>0</v>
      </c>
      <c r="U904" s="10">
        <v>0</v>
      </c>
      <c r="V904" s="1" t="s">
        <v>46</v>
      </c>
      <c r="W904" s="1" t="s">
        <v>54</v>
      </c>
      <c r="X904" s="1">
        <v>5449754</v>
      </c>
      <c r="Y904" s="11">
        <v>41922</v>
      </c>
      <c r="Z904" s="11">
        <v>41923</v>
      </c>
      <c r="AA904" s="9">
        <f t="shared" si="92"/>
        <v>69700</v>
      </c>
      <c r="AB904" s="12">
        <v>61.3</v>
      </c>
      <c r="AC904" s="9">
        <f t="shared" si="93"/>
        <v>4352300</v>
      </c>
      <c r="AD904" s="9">
        <f t="shared" si="94"/>
        <v>4272610</v>
      </c>
      <c r="AE904" s="1" t="s">
        <v>51</v>
      </c>
      <c r="AF904" s="1" t="s">
        <v>53</v>
      </c>
      <c r="AG904" s="4">
        <f t="shared" si="89"/>
        <v>71000</v>
      </c>
      <c r="AH904" s="10">
        <v>70959</v>
      </c>
      <c r="AI904" s="10">
        <v>1230</v>
      </c>
      <c r="AJ904" s="10">
        <v>0</v>
      </c>
      <c r="AK904" s="10">
        <v>0</v>
      </c>
      <c r="AL904" s="9">
        <f t="shared" si="90"/>
        <v>69729</v>
      </c>
      <c r="AM904" s="1"/>
      <c r="AN904" s="1"/>
      <c r="AO904" s="12" t="e">
        <f>AB904/#REF!</f>
        <v>#REF!</v>
      </c>
      <c r="AP904" s="1" t="s">
        <v>2532</v>
      </c>
      <c r="AQ904" s="11">
        <v>41961</v>
      </c>
      <c r="AR904" s="1" t="s">
        <v>2533</v>
      </c>
      <c r="AS904" s="11">
        <v>42017</v>
      </c>
      <c r="AT904" s="1" t="s">
        <v>49</v>
      </c>
      <c r="AU904" s="1" t="s">
        <v>4171</v>
      </c>
    </row>
    <row r="905" spans="1:47" ht="15" customHeight="1" x14ac:dyDescent="0.25">
      <c r="A905" s="1">
        <v>900</v>
      </c>
      <c r="B905" s="1" t="s">
        <v>1258</v>
      </c>
      <c r="C905" s="1" t="s">
        <v>38</v>
      </c>
      <c r="D905" s="1">
        <v>9103550716</v>
      </c>
      <c r="E905" s="5">
        <v>41928</v>
      </c>
      <c r="F905" s="1" t="s">
        <v>2952</v>
      </c>
      <c r="G905" s="1" t="s">
        <v>40</v>
      </c>
      <c r="H905" s="1" t="s">
        <v>41</v>
      </c>
      <c r="I905" s="1" t="s">
        <v>2809</v>
      </c>
      <c r="J905" s="1" t="s">
        <v>487</v>
      </c>
      <c r="K905" s="1">
        <v>29051700</v>
      </c>
      <c r="L905" s="6">
        <v>13</v>
      </c>
      <c r="M905" s="1" t="s">
        <v>70</v>
      </c>
      <c r="N905" s="7" t="s">
        <v>44</v>
      </c>
      <c r="O905" s="1" t="s">
        <v>53</v>
      </c>
      <c r="P905" s="8">
        <v>1680</v>
      </c>
      <c r="Q905" s="17">
        <f t="shared" si="91"/>
        <v>21840</v>
      </c>
      <c r="R905" s="9">
        <v>953.33</v>
      </c>
      <c r="S905" s="9">
        <v>3.12</v>
      </c>
      <c r="T905" s="9">
        <v>410.15</v>
      </c>
      <c r="U905" s="10">
        <v>0</v>
      </c>
      <c r="V905" s="1" t="s">
        <v>46</v>
      </c>
      <c r="W905" s="1" t="s">
        <v>90</v>
      </c>
      <c r="X905" s="1">
        <v>5455381</v>
      </c>
      <c r="Y905" s="11">
        <v>41922</v>
      </c>
      <c r="Z905" s="11">
        <v>41923</v>
      </c>
      <c r="AA905" s="9">
        <f t="shared" si="92"/>
        <v>20883.55</v>
      </c>
      <c r="AB905" s="12">
        <v>61.3</v>
      </c>
      <c r="AC905" s="9">
        <f t="shared" si="93"/>
        <v>1338792</v>
      </c>
      <c r="AD905" s="9">
        <f t="shared" si="94"/>
        <v>1280161.615</v>
      </c>
      <c r="AE905" s="1" t="s">
        <v>48</v>
      </c>
      <c r="AF905" s="1" t="s">
        <v>53</v>
      </c>
      <c r="AG905" s="4">
        <f t="shared" si="89"/>
        <v>21840</v>
      </c>
      <c r="AH905" s="10">
        <v>21799</v>
      </c>
      <c r="AI905" s="10">
        <v>868.91</v>
      </c>
      <c r="AJ905" s="10">
        <v>3.12</v>
      </c>
      <c r="AK905" s="10">
        <v>409.71</v>
      </c>
      <c r="AL905" s="9">
        <f t="shared" si="90"/>
        <v>20517.259999999998</v>
      </c>
      <c r="AM905" s="1"/>
      <c r="AN905" s="1"/>
      <c r="AO905" s="12" t="e">
        <f>AB905/#REF!</f>
        <v>#REF!</v>
      </c>
      <c r="AP905" s="1"/>
      <c r="AQ905" s="11">
        <v>41999</v>
      </c>
      <c r="AR905" s="1" t="s">
        <v>3367</v>
      </c>
      <c r="AS905" s="11">
        <v>42000</v>
      </c>
      <c r="AT905" s="1" t="s">
        <v>49</v>
      </c>
      <c r="AU905" s="1" t="s">
        <v>4171</v>
      </c>
    </row>
    <row r="906" spans="1:47" ht="15" customHeight="1" x14ac:dyDescent="0.25">
      <c r="A906" s="1">
        <v>901</v>
      </c>
      <c r="B906" s="1" t="s">
        <v>1258</v>
      </c>
      <c r="C906" s="1" t="s">
        <v>38</v>
      </c>
      <c r="D906" s="1">
        <v>9103550716</v>
      </c>
      <c r="E906" s="5">
        <v>41928</v>
      </c>
      <c r="F906" s="1" t="s">
        <v>2952</v>
      </c>
      <c r="G906" s="1" t="s">
        <v>40</v>
      </c>
      <c r="H906" s="1" t="s">
        <v>41</v>
      </c>
      <c r="I906" s="1" t="s">
        <v>2809</v>
      </c>
      <c r="J906" s="1" t="s">
        <v>487</v>
      </c>
      <c r="K906" s="1">
        <v>29051700</v>
      </c>
      <c r="L906" s="6">
        <v>2</v>
      </c>
      <c r="M906" s="1" t="s">
        <v>70</v>
      </c>
      <c r="N906" s="7" t="s">
        <v>44</v>
      </c>
      <c r="O906" s="1" t="s">
        <v>53</v>
      </c>
      <c r="P906" s="8">
        <v>1660</v>
      </c>
      <c r="Q906" s="17">
        <f t="shared" si="91"/>
        <v>3320</v>
      </c>
      <c r="R906" s="9">
        <v>146.673</v>
      </c>
      <c r="S906" s="9">
        <v>0.48</v>
      </c>
      <c r="T906" s="9">
        <v>62.35</v>
      </c>
      <c r="U906" s="10">
        <v>0</v>
      </c>
      <c r="V906" s="1" t="s">
        <v>46</v>
      </c>
      <c r="W906" s="1" t="s">
        <v>90</v>
      </c>
      <c r="X906" s="1">
        <v>5455381</v>
      </c>
      <c r="Y906" s="11">
        <v>41922</v>
      </c>
      <c r="Z906" s="11">
        <v>41923</v>
      </c>
      <c r="AA906" s="9">
        <f t="shared" si="92"/>
        <v>3172.8470000000002</v>
      </c>
      <c r="AB906" s="12">
        <v>61.3</v>
      </c>
      <c r="AC906" s="9">
        <f t="shared" si="93"/>
        <v>203516</v>
      </c>
      <c r="AD906" s="9">
        <f t="shared" si="94"/>
        <v>194495.52110000001</v>
      </c>
      <c r="AE906" s="1" t="s">
        <v>48</v>
      </c>
      <c r="AF906" s="1" t="s">
        <v>53</v>
      </c>
      <c r="AG906" s="4">
        <f t="shared" si="89"/>
        <v>3320</v>
      </c>
      <c r="AH906" s="10">
        <v>3313.8</v>
      </c>
      <c r="AI906" s="10">
        <v>132.09</v>
      </c>
      <c r="AJ906" s="10">
        <v>0.48</v>
      </c>
      <c r="AK906" s="10">
        <v>62.29</v>
      </c>
      <c r="AL906" s="9">
        <f t="shared" si="90"/>
        <v>3118.94</v>
      </c>
      <c r="AM906" s="1"/>
      <c r="AN906" s="1"/>
      <c r="AO906" s="12" t="e">
        <f>AB906/#REF!</f>
        <v>#REF!</v>
      </c>
      <c r="AP906" s="1"/>
      <c r="AQ906" s="11">
        <v>41999</v>
      </c>
      <c r="AR906" s="1" t="s">
        <v>3367</v>
      </c>
      <c r="AS906" s="11">
        <v>42000</v>
      </c>
      <c r="AT906" s="1" t="s">
        <v>49</v>
      </c>
      <c r="AU906" s="1" t="s">
        <v>4171</v>
      </c>
    </row>
    <row r="907" spans="1:47" ht="15" customHeight="1" x14ac:dyDescent="0.25">
      <c r="A907" s="1">
        <v>902</v>
      </c>
      <c r="B907" s="1" t="s">
        <v>1258</v>
      </c>
      <c r="C907" s="1" t="s">
        <v>38</v>
      </c>
      <c r="D907" s="1">
        <v>9103550717</v>
      </c>
      <c r="E907" s="5">
        <v>41928</v>
      </c>
      <c r="F907" s="1" t="s">
        <v>802</v>
      </c>
      <c r="G907" s="1" t="s">
        <v>40</v>
      </c>
      <c r="H907" s="1" t="s">
        <v>41</v>
      </c>
      <c r="I907" s="1" t="s">
        <v>2809</v>
      </c>
      <c r="J907" s="1" t="s">
        <v>386</v>
      </c>
      <c r="K907" s="1">
        <v>38237090</v>
      </c>
      <c r="L907" s="6">
        <v>97.48</v>
      </c>
      <c r="M907" s="1" t="s">
        <v>70</v>
      </c>
      <c r="N907" s="7" t="s">
        <v>52</v>
      </c>
      <c r="O907" s="1" t="s">
        <v>53</v>
      </c>
      <c r="P907" s="8">
        <v>1275</v>
      </c>
      <c r="Q907" s="17">
        <f t="shared" si="91"/>
        <v>124287</v>
      </c>
      <c r="R907" s="9">
        <v>3750</v>
      </c>
      <c r="S907" s="9">
        <v>0</v>
      </c>
      <c r="T907" s="9">
        <v>0</v>
      </c>
      <c r="U907" s="10">
        <v>0</v>
      </c>
      <c r="V907" s="1" t="s">
        <v>46</v>
      </c>
      <c r="W907" s="1" t="s">
        <v>241</v>
      </c>
      <c r="X907" s="1">
        <v>5457534</v>
      </c>
      <c r="Y907" s="11">
        <v>41922</v>
      </c>
      <c r="Z907" s="11">
        <v>41923</v>
      </c>
      <c r="AA907" s="9">
        <f t="shared" si="92"/>
        <v>120537</v>
      </c>
      <c r="AB907" s="12">
        <v>61.3</v>
      </c>
      <c r="AC907" s="9">
        <f t="shared" si="93"/>
        <v>7618793.0999999996</v>
      </c>
      <c r="AD907" s="9">
        <f t="shared" si="94"/>
        <v>7388918.0999999996</v>
      </c>
      <c r="AE907" s="1" t="s">
        <v>48</v>
      </c>
      <c r="AF907" s="1" t="s">
        <v>53</v>
      </c>
      <c r="AG907" s="4">
        <f t="shared" si="89"/>
        <v>124287</v>
      </c>
      <c r="AH907" s="10">
        <v>124287</v>
      </c>
      <c r="AI907" s="10">
        <v>3750</v>
      </c>
      <c r="AJ907" s="10">
        <v>0</v>
      </c>
      <c r="AK907" s="10">
        <v>0</v>
      </c>
      <c r="AL907" s="9">
        <f t="shared" si="90"/>
        <v>120537</v>
      </c>
      <c r="AM907" s="1"/>
      <c r="AN907" s="1"/>
      <c r="AO907" s="12" t="e">
        <f>AB907/#REF!</f>
        <v>#REF!</v>
      </c>
      <c r="AP907" s="1" t="s">
        <v>2534</v>
      </c>
      <c r="AQ907" s="11">
        <v>41989</v>
      </c>
      <c r="AR907" s="1" t="s">
        <v>2535</v>
      </c>
      <c r="AS907" s="11">
        <v>41992</v>
      </c>
      <c r="AT907" s="1" t="s">
        <v>49</v>
      </c>
      <c r="AU907" s="1" t="s">
        <v>4171</v>
      </c>
    </row>
    <row r="908" spans="1:47" ht="15" customHeight="1" x14ac:dyDescent="0.25">
      <c r="A908" s="1">
        <v>903</v>
      </c>
      <c r="B908" s="1" t="s">
        <v>1258</v>
      </c>
      <c r="C908" s="1" t="s">
        <v>38</v>
      </c>
      <c r="D908" s="1" t="s">
        <v>2536</v>
      </c>
      <c r="E908" s="5">
        <v>41927</v>
      </c>
      <c r="F908" s="1" t="s">
        <v>800</v>
      </c>
      <c r="G908" s="1" t="s">
        <v>40</v>
      </c>
      <c r="H908" s="1" t="s">
        <v>41</v>
      </c>
      <c r="I908" s="1" t="s">
        <v>2809</v>
      </c>
      <c r="J908" s="1" t="s">
        <v>2537</v>
      </c>
      <c r="K908" s="1">
        <v>38237090</v>
      </c>
      <c r="L908" s="6">
        <v>97.23</v>
      </c>
      <c r="M908" s="1" t="s">
        <v>70</v>
      </c>
      <c r="N908" s="7" t="s">
        <v>44</v>
      </c>
      <c r="O908" s="1" t="s">
        <v>53</v>
      </c>
      <c r="P908" s="8">
        <v>1500</v>
      </c>
      <c r="Q908" s="17">
        <f t="shared" si="91"/>
        <v>145845</v>
      </c>
      <c r="R908" s="9">
        <v>10250</v>
      </c>
      <c r="S908" s="9">
        <v>20.86</v>
      </c>
      <c r="T908" s="9">
        <v>1944.6</v>
      </c>
      <c r="U908" s="10">
        <v>0</v>
      </c>
      <c r="V908" s="1" t="s">
        <v>46</v>
      </c>
      <c r="W908" s="1" t="s">
        <v>190</v>
      </c>
      <c r="X908" s="1">
        <v>5436983</v>
      </c>
      <c r="Y908" s="11">
        <v>41921</v>
      </c>
      <c r="Z908" s="11">
        <v>41923</v>
      </c>
      <c r="AA908" s="9">
        <f t="shared" si="92"/>
        <v>135574.14000000001</v>
      </c>
      <c r="AB908" s="12">
        <v>61.3</v>
      </c>
      <c r="AC908" s="9">
        <f t="shared" si="93"/>
        <v>8940298.5</v>
      </c>
      <c r="AD908" s="9">
        <f t="shared" si="94"/>
        <v>8310694.7820000006</v>
      </c>
      <c r="AE908" s="1" t="s">
        <v>48</v>
      </c>
      <c r="AF908" s="1" t="s">
        <v>53</v>
      </c>
      <c r="AG908" s="4">
        <f t="shared" si="89"/>
        <v>145845</v>
      </c>
      <c r="AH908" s="10">
        <v>145845</v>
      </c>
      <c r="AI908" s="10">
        <v>7092.5</v>
      </c>
      <c r="AJ908" s="10">
        <v>20.86</v>
      </c>
      <c r="AK908" s="10">
        <v>1944.6</v>
      </c>
      <c r="AL908" s="9">
        <f t="shared" si="90"/>
        <v>136787.04</v>
      </c>
      <c r="AM908" s="1"/>
      <c r="AN908" s="1"/>
      <c r="AO908" s="12" t="e">
        <f>AB908/#REF!</f>
        <v>#REF!</v>
      </c>
      <c r="AP908" s="1" t="s">
        <v>2538</v>
      </c>
      <c r="AQ908" s="11">
        <v>41989</v>
      </c>
      <c r="AR908" s="1" t="s">
        <v>2539</v>
      </c>
      <c r="AS908" s="11">
        <v>41992</v>
      </c>
      <c r="AT908" s="1" t="s">
        <v>49</v>
      </c>
      <c r="AU908" s="1" t="s">
        <v>4171</v>
      </c>
    </row>
    <row r="909" spans="1:47" ht="15" customHeight="1" x14ac:dyDescent="0.25">
      <c r="A909" s="1">
        <v>904</v>
      </c>
      <c r="B909" s="1" t="s">
        <v>1258</v>
      </c>
      <c r="C909" s="1" t="s">
        <v>38</v>
      </c>
      <c r="D909" s="1" t="s">
        <v>2536</v>
      </c>
      <c r="E909" s="5">
        <v>41927</v>
      </c>
      <c r="F909" s="1" t="s">
        <v>814</v>
      </c>
      <c r="G909" s="1" t="s">
        <v>40</v>
      </c>
      <c r="H909" s="1" t="s">
        <v>41</v>
      </c>
      <c r="I909" s="1" t="s">
        <v>2809</v>
      </c>
      <c r="J909" s="1" t="s">
        <v>2537</v>
      </c>
      <c r="K909" s="1">
        <v>38237090</v>
      </c>
      <c r="L909" s="6">
        <v>77.98</v>
      </c>
      <c r="M909" s="1" t="s">
        <v>70</v>
      </c>
      <c r="N909" s="7" t="s">
        <v>44</v>
      </c>
      <c r="O909" s="1" t="s">
        <v>53</v>
      </c>
      <c r="P909" s="8">
        <v>1500</v>
      </c>
      <c r="Q909" s="17">
        <f t="shared" si="91"/>
        <v>116970</v>
      </c>
      <c r="R909" s="9">
        <v>8200</v>
      </c>
      <c r="S909" s="9">
        <v>16.73</v>
      </c>
      <c r="T909" s="9">
        <v>1559.6</v>
      </c>
      <c r="U909" s="10">
        <v>0</v>
      </c>
      <c r="V909" s="1" t="s">
        <v>46</v>
      </c>
      <c r="W909" s="1" t="s">
        <v>190</v>
      </c>
      <c r="X909" s="1">
        <v>5457190</v>
      </c>
      <c r="Y909" s="11">
        <v>41922</v>
      </c>
      <c r="Z909" s="11">
        <v>41923</v>
      </c>
      <c r="AA909" s="9">
        <f t="shared" si="92"/>
        <v>108753.27</v>
      </c>
      <c r="AB909" s="12">
        <v>61.3</v>
      </c>
      <c r="AC909" s="9">
        <f t="shared" si="93"/>
        <v>7170261</v>
      </c>
      <c r="AD909" s="9">
        <f t="shared" si="94"/>
        <v>6666575.4510000004</v>
      </c>
      <c r="AE909" s="1" t="s">
        <v>48</v>
      </c>
      <c r="AF909" s="1" t="s">
        <v>53</v>
      </c>
      <c r="AG909" s="4">
        <f t="shared" si="89"/>
        <v>116970</v>
      </c>
      <c r="AH909" s="10">
        <v>116970</v>
      </c>
      <c r="AI909" s="10">
        <v>5674</v>
      </c>
      <c r="AJ909" s="10">
        <v>16.73</v>
      </c>
      <c r="AK909" s="10">
        <v>1559.6</v>
      </c>
      <c r="AL909" s="9">
        <f t="shared" si="90"/>
        <v>109719.67</v>
      </c>
      <c r="AM909" s="1"/>
      <c r="AN909" s="1"/>
      <c r="AO909" s="12" t="e">
        <f>AB909/#REF!</f>
        <v>#REF!</v>
      </c>
      <c r="AP909" s="1" t="s">
        <v>2538</v>
      </c>
      <c r="AQ909" s="11">
        <v>41989</v>
      </c>
      <c r="AR909" s="1" t="s">
        <v>2540</v>
      </c>
      <c r="AS909" s="11">
        <v>41992</v>
      </c>
      <c r="AT909" s="1" t="s">
        <v>49</v>
      </c>
      <c r="AU909" s="1" t="s">
        <v>4171</v>
      </c>
    </row>
    <row r="910" spans="1:47" ht="15" customHeight="1" x14ac:dyDescent="0.25">
      <c r="A910" s="1">
        <v>905</v>
      </c>
      <c r="B910" s="1" t="s">
        <v>1258</v>
      </c>
      <c r="C910" s="1" t="s">
        <v>38</v>
      </c>
      <c r="D910" s="1" t="s">
        <v>2536</v>
      </c>
      <c r="E910" s="5">
        <v>41927</v>
      </c>
      <c r="F910" s="1" t="s">
        <v>804</v>
      </c>
      <c r="G910" s="1" t="s">
        <v>40</v>
      </c>
      <c r="H910" s="1" t="s">
        <v>41</v>
      </c>
      <c r="I910" s="1" t="s">
        <v>2809</v>
      </c>
      <c r="J910" s="1" t="s">
        <v>2537</v>
      </c>
      <c r="K910" s="1">
        <v>38237090</v>
      </c>
      <c r="L910" s="6">
        <v>19.91</v>
      </c>
      <c r="M910" s="1" t="s">
        <v>70</v>
      </c>
      <c r="N910" s="7" t="s">
        <v>44</v>
      </c>
      <c r="O910" s="1" t="s">
        <v>53</v>
      </c>
      <c r="P910" s="8">
        <v>1500</v>
      </c>
      <c r="Q910" s="17">
        <f t="shared" si="91"/>
        <v>29865</v>
      </c>
      <c r="R910" s="9">
        <v>2050</v>
      </c>
      <c r="S910" s="9">
        <v>4.2699999999999996</v>
      </c>
      <c r="T910" s="9">
        <v>398.2</v>
      </c>
      <c r="U910" s="10">
        <v>0</v>
      </c>
      <c r="V910" s="1" t="s">
        <v>46</v>
      </c>
      <c r="W910" s="1" t="s">
        <v>190</v>
      </c>
      <c r="X910" s="1">
        <v>5469360</v>
      </c>
      <c r="Y910" s="11">
        <v>41923</v>
      </c>
      <c r="Z910" s="11">
        <v>41925</v>
      </c>
      <c r="AA910" s="9">
        <f t="shared" si="92"/>
        <v>27810.73</v>
      </c>
      <c r="AB910" s="12">
        <v>61.3</v>
      </c>
      <c r="AC910" s="9">
        <f t="shared" si="93"/>
        <v>1830724.5</v>
      </c>
      <c r="AD910" s="9">
        <f t="shared" si="94"/>
        <v>1704797.7489999998</v>
      </c>
      <c r="AE910" s="1" t="s">
        <v>48</v>
      </c>
      <c r="AF910" s="1" t="s">
        <v>53</v>
      </c>
      <c r="AG910" s="4">
        <f t="shared" si="89"/>
        <v>29865</v>
      </c>
      <c r="AH910" s="10">
        <v>29865</v>
      </c>
      <c r="AI910" s="10">
        <v>1418.5</v>
      </c>
      <c r="AJ910" s="10">
        <v>4.2699999999999996</v>
      </c>
      <c r="AK910" s="10">
        <v>398.2</v>
      </c>
      <c r="AL910" s="9">
        <f t="shared" si="90"/>
        <v>28044.03</v>
      </c>
      <c r="AM910" s="1"/>
      <c r="AN910" s="1"/>
      <c r="AO910" s="12" t="e">
        <f>AB910/#REF!</f>
        <v>#REF!</v>
      </c>
      <c r="AP910" s="1" t="s">
        <v>2538</v>
      </c>
      <c r="AQ910" s="11">
        <v>41989</v>
      </c>
      <c r="AR910" s="1" t="s">
        <v>2541</v>
      </c>
      <c r="AS910" s="11">
        <v>41992</v>
      </c>
      <c r="AT910" s="1" t="s">
        <v>49</v>
      </c>
      <c r="AU910" s="1" t="s">
        <v>4171</v>
      </c>
    </row>
    <row r="911" spans="1:47" ht="15" customHeight="1" x14ac:dyDescent="0.25">
      <c r="A911" s="1">
        <v>906</v>
      </c>
      <c r="B911" s="1" t="s">
        <v>1258</v>
      </c>
      <c r="C911" s="1" t="s">
        <v>38</v>
      </c>
      <c r="D911" s="1" t="s">
        <v>2542</v>
      </c>
      <c r="E911" s="5">
        <v>41928</v>
      </c>
      <c r="F911" s="1" t="s">
        <v>801</v>
      </c>
      <c r="G911" s="1" t="s">
        <v>40</v>
      </c>
      <c r="H911" s="1" t="s">
        <v>41</v>
      </c>
      <c r="I911" s="1" t="s">
        <v>2809</v>
      </c>
      <c r="J911" s="1" t="s">
        <v>386</v>
      </c>
      <c r="K911" s="1">
        <v>38237090</v>
      </c>
      <c r="L911" s="6">
        <v>58.3</v>
      </c>
      <c r="M911" s="1" t="s">
        <v>70</v>
      </c>
      <c r="N911" s="7" t="s">
        <v>52</v>
      </c>
      <c r="O911" s="1" t="s">
        <v>53</v>
      </c>
      <c r="P911" s="8">
        <v>1275</v>
      </c>
      <c r="Q911" s="17">
        <f t="shared" si="91"/>
        <v>74332.5</v>
      </c>
      <c r="R911" s="9">
        <v>2250</v>
      </c>
      <c r="S911" s="9">
        <v>0</v>
      </c>
      <c r="T911" s="9">
        <v>0</v>
      </c>
      <c r="U911" s="10">
        <v>0</v>
      </c>
      <c r="V911" s="1" t="s">
        <v>46</v>
      </c>
      <c r="W911" s="1" t="s">
        <v>241</v>
      </c>
      <c r="X911" s="1">
        <v>5457189</v>
      </c>
      <c r="Y911" s="11">
        <v>41922</v>
      </c>
      <c r="Z911" s="11">
        <v>41923</v>
      </c>
      <c r="AA911" s="9">
        <f t="shared" si="92"/>
        <v>72082.5</v>
      </c>
      <c r="AB911" s="12">
        <v>61.3</v>
      </c>
      <c r="AC911" s="9">
        <f t="shared" si="93"/>
        <v>4556582.25</v>
      </c>
      <c r="AD911" s="9">
        <f t="shared" si="94"/>
        <v>4418657.25</v>
      </c>
      <c r="AE911" s="1" t="s">
        <v>48</v>
      </c>
      <c r="AF911" s="1" t="s">
        <v>53</v>
      </c>
      <c r="AG911" s="4">
        <f t="shared" si="89"/>
        <v>74332.5</v>
      </c>
      <c r="AH911" s="10">
        <v>74332.5</v>
      </c>
      <c r="AI911" s="10">
        <v>2250</v>
      </c>
      <c r="AJ911" s="10">
        <v>0</v>
      </c>
      <c r="AK911" s="10">
        <v>0</v>
      </c>
      <c r="AL911" s="9">
        <f t="shared" si="90"/>
        <v>72082.5</v>
      </c>
      <c r="AM911" s="1"/>
      <c r="AN911" s="1"/>
      <c r="AO911" s="12" t="e">
        <f>AB911/#REF!</f>
        <v>#REF!</v>
      </c>
      <c r="AP911" s="1" t="s">
        <v>2543</v>
      </c>
      <c r="AQ911" s="11">
        <v>41989</v>
      </c>
      <c r="AR911" s="1" t="s">
        <v>2544</v>
      </c>
      <c r="AS911" s="11">
        <v>41992</v>
      </c>
      <c r="AT911" s="1" t="s">
        <v>49</v>
      </c>
      <c r="AU911" s="1" t="s">
        <v>4171</v>
      </c>
    </row>
    <row r="912" spans="1:47" ht="15" customHeight="1" x14ac:dyDescent="0.25">
      <c r="A912" s="1">
        <v>907</v>
      </c>
      <c r="B912" s="1" t="s">
        <v>1258</v>
      </c>
      <c r="C912" s="1" t="s">
        <v>38</v>
      </c>
      <c r="D912" s="1" t="s">
        <v>2542</v>
      </c>
      <c r="E912" s="5">
        <v>41928</v>
      </c>
      <c r="F912" s="1" t="s">
        <v>805</v>
      </c>
      <c r="G912" s="1" t="s">
        <v>40</v>
      </c>
      <c r="H912" s="1" t="s">
        <v>41</v>
      </c>
      <c r="I912" s="1" t="s">
        <v>2809</v>
      </c>
      <c r="J912" s="1" t="s">
        <v>386</v>
      </c>
      <c r="K912" s="1">
        <v>38237090</v>
      </c>
      <c r="L912" s="6">
        <v>39.380000000000003</v>
      </c>
      <c r="M912" s="1" t="s">
        <v>70</v>
      </c>
      <c r="N912" s="7" t="s">
        <v>52</v>
      </c>
      <c r="O912" s="1" t="s">
        <v>53</v>
      </c>
      <c r="P912" s="8">
        <v>1275</v>
      </c>
      <c r="Q912" s="17">
        <f t="shared" si="91"/>
        <v>50209.5</v>
      </c>
      <c r="R912" s="9">
        <v>1500</v>
      </c>
      <c r="S912" s="9">
        <v>0</v>
      </c>
      <c r="T912" s="9">
        <v>0</v>
      </c>
      <c r="U912" s="10">
        <v>0</v>
      </c>
      <c r="V912" s="1" t="s">
        <v>46</v>
      </c>
      <c r="W912" s="1" t="s">
        <v>241</v>
      </c>
      <c r="X912" s="1">
        <v>5470176</v>
      </c>
      <c r="Y912" s="11">
        <v>41923</v>
      </c>
      <c r="Z912" s="11">
        <v>41925</v>
      </c>
      <c r="AA912" s="9">
        <f t="shared" si="92"/>
        <v>48709.5</v>
      </c>
      <c r="AB912" s="12">
        <v>61.3</v>
      </c>
      <c r="AC912" s="9">
        <f t="shared" si="93"/>
        <v>3077842.3499999996</v>
      </c>
      <c r="AD912" s="9">
        <f t="shared" si="94"/>
        <v>2985892.35</v>
      </c>
      <c r="AE912" s="1" t="s">
        <v>48</v>
      </c>
      <c r="AF912" s="1" t="s">
        <v>53</v>
      </c>
      <c r="AG912" s="4">
        <f t="shared" si="89"/>
        <v>50209.5</v>
      </c>
      <c r="AH912" s="10">
        <v>50209.5</v>
      </c>
      <c r="AI912" s="10">
        <v>1500</v>
      </c>
      <c r="AJ912" s="10">
        <v>0</v>
      </c>
      <c r="AK912" s="10">
        <v>0</v>
      </c>
      <c r="AL912" s="9">
        <f t="shared" si="90"/>
        <v>48709.5</v>
      </c>
      <c r="AM912" s="1"/>
      <c r="AN912" s="1"/>
      <c r="AO912" s="12" t="e">
        <f>AB912/#REF!</f>
        <v>#REF!</v>
      </c>
      <c r="AP912" s="1" t="s">
        <v>2543</v>
      </c>
      <c r="AQ912" s="11">
        <v>41989</v>
      </c>
      <c r="AR912" s="1" t="s">
        <v>2545</v>
      </c>
      <c r="AS912" s="11">
        <v>41992</v>
      </c>
      <c r="AT912" s="1" t="s">
        <v>49</v>
      </c>
      <c r="AU912" s="1" t="s">
        <v>4171</v>
      </c>
    </row>
    <row r="913" spans="1:47" ht="15" customHeight="1" x14ac:dyDescent="0.25">
      <c r="A913" s="1">
        <v>908</v>
      </c>
      <c r="B913" s="1" t="s">
        <v>1258</v>
      </c>
      <c r="C913" s="1" t="s">
        <v>38</v>
      </c>
      <c r="D913" s="1">
        <v>9103550723</v>
      </c>
      <c r="E913" s="5">
        <v>41929</v>
      </c>
      <c r="F913" s="1" t="s">
        <v>806</v>
      </c>
      <c r="G913" s="1" t="s">
        <v>40</v>
      </c>
      <c r="H913" s="1" t="s">
        <v>41</v>
      </c>
      <c r="I913" s="1" t="s">
        <v>2809</v>
      </c>
      <c r="J913" s="1" t="s">
        <v>307</v>
      </c>
      <c r="K913" s="1">
        <v>38237090</v>
      </c>
      <c r="L913" s="6">
        <v>12</v>
      </c>
      <c r="M913" s="1" t="s">
        <v>70</v>
      </c>
      <c r="N913" s="7" t="s">
        <v>52</v>
      </c>
      <c r="O913" s="1" t="s">
        <v>53</v>
      </c>
      <c r="P913" s="8">
        <v>4605</v>
      </c>
      <c r="Q913" s="17">
        <f t="shared" si="91"/>
        <v>55260</v>
      </c>
      <c r="R913" s="9">
        <v>1250</v>
      </c>
      <c r="S913" s="9">
        <v>0</v>
      </c>
      <c r="T913" s="9">
        <v>0</v>
      </c>
      <c r="U913" s="10">
        <v>0</v>
      </c>
      <c r="V913" s="1" t="s">
        <v>46</v>
      </c>
      <c r="W913" s="1" t="s">
        <v>308</v>
      </c>
      <c r="X913" s="1">
        <v>5470456</v>
      </c>
      <c r="Y913" s="11">
        <v>41923</v>
      </c>
      <c r="Z913" s="11">
        <v>41925</v>
      </c>
      <c r="AA913" s="9">
        <f t="shared" si="92"/>
        <v>54010</v>
      </c>
      <c r="AB913" s="12">
        <v>61.3</v>
      </c>
      <c r="AC913" s="9">
        <f t="shared" si="93"/>
        <v>3387438</v>
      </c>
      <c r="AD913" s="9">
        <f t="shared" si="94"/>
        <v>3310813</v>
      </c>
      <c r="AE913" s="1" t="s">
        <v>48</v>
      </c>
      <c r="AF913" s="1" t="s">
        <v>53</v>
      </c>
      <c r="AG913" s="4">
        <f t="shared" si="89"/>
        <v>55260</v>
      </c>
      <c r="AH913" s="10">
        <v>55240</v>
      </c>
      <c r="AI913" s="10">
        <v>1275</v>
      </c>
      <c r="AJ913" s="10">
        <v>0</v>
      </c>
      <c r="AK913" s="10">
        <v>0</v>
      </c>
      <c r="AL913" s="9">
        <f t="shared" si="90"/>
        <v>53965</v>
      </c>
      <c r="AM913" s="1"/>
      <c r="AN913" s="1"/>
      <c r="AO913" s="12" t="e">
        <f>AB913/#REF!</f>
        <v>#REF!</v>
      </c>
      <c r="AP913" s="1" t="s">
        <v>2546</v>
      </c>
      <c r="AQ913" s="11">
        <v>42065</v>
      </c>
      <c r="AR913" s="1" t="s">
        <v>2547</v>
      </c>
      <c r="AS913" s="11">
        <v>42066</v>
      </c>
      <c r="AT913" s="1" t="s">
        <v>49</v>
      </c>
      <c r="AU913" s="1" t="s">
        <v>4171</v>
      </c>
    </row>
    <row r="914" spans="1:47" ht="15" customHeight="1" x14ac:dyDescent="0.25">
      <c r="A914" s="1">
        <v>909</v>
      </c>
      <c r="B914" s="1" t="s">
        <v>1258</v>
      </c>
      <c r="C914" s="1" t="s">
        <v>38</v>
      </c>
      <c r="D914" s="1">
        <v>9103550724</v>
      </c>
      <c r="E914" s="5">
        <v>41928</v>
      </c>
      <c r="F914" s="1" t="s">
        <v>2953</v>
      </c>
      <c r="G914" s="1" t="s">
        <v>40</v>
      </c>
      <c r="H914" s="1" t="s">
        <v>41</v>
      </c>
      <c r="I914" s="1" t="s">
        <v>2809</v>
      </c>
      <c r="J914" s="1" t="s">
        <v>1115</v>
      </c>
      <c r="K914" s="1">
        <v>38237090</v>
      </c>
      <c r="L914" s="6">
        <v>24</v>
      </c>
      <c r="M914" s="1" t="s">
        <v>70</v>
      </c>
      <c r="N914" s="7" t="s">
        <v>44</v>
      </c>
      <c r="O914" s="1" t="s">
        <v>53</v>
      </c>
      <c r="P914" s="8">
        <v>1630</v>
      </c>
      <c r="Q914" s="17">
        <f t="shared" si="91"/>
        <v>39120</v>
      </c>
      <c r="R914" s="9">
        <v>1650</v>
      </c>
      <c r="S914" s="9">
        <v>5.59</v>
      </c>
      <c r="T914" s="9">
        <v>0</v>
      </c>
      <c r="U914" s="10">
        <v>0</v>
      </c>
      <c r="V914" s="1" t="s">
        <v>46</v>
      </c>
      <c r="W914" s="1" t="s">
        <v>790</v>
      </c>
      <c r="X914" s="1">
        <v>5472056</v>
      </c>
      <c r="Y914" s="11">
        <v>41923</v>
      </c>
      <c r="Z914" s="11">
        <v>41925</v>
      </c>
      <c r="AA914" s="9">
        <f t="shared" si="92"/>
        <v>37464.410000000003</v>
      </c>
      <c r="AB914" s="12">
        <v>61.3</v>
      </c>
      <c r="AC914" s="9">
        <f t="shared" si="93"/>
        <v>2398056</v>
      </c>
      <c r="AD914" s="9">
        <f t="shared" si="94"/>
        <v>2296568.3330000001</v>
      </c>
      <c r="AE914" s="1" t="s">
        <v>48</v>
      </c>
      <c r="AF914" s="1" t="s">
        <v>53</v>
      </c>
      <c r="AG914" s="4">
        <f t="shared" si="89"/>
        <v>39120</v>
      </c>
      <c r="AH914" s="10">
        <v>39120</v>
      </c>
      <c r="AI914" s="10">
        <f>402.5+1207.5</f>
        <v>1610</v>
      </c>
      <c r="AJ914" s="10">
        <f>1.39+4.19</f>
        <v>5.58</v>
      </c>
      <c r="AK914" s="10">
        <v>0</v>
      </c>
      <c r="AL914" s="9">
        <f t="shared" si="90"/>
        <v>37504.42</v>
      </c>
      <c r="AM914" s="1"/>
      <c r="AN914" s="1"/>
      <c r="AO914" s="12" t="e">
        <f>AB914/#REF!</f>
        <v>#REF!</v>
      </c>
      <c r="AP914" s="1"/>
      <c r="AQ914" s="11">
        <v>42000</v>
      </c>
      <c r="AR914" s="1" t="s">
        <v>3368</v>
      </c>
      <c r="AS914" s="11">
        <v>42003</v>
      </c>
      <c r="AT914" s="1" t="s">
        <v>49</v>
      </c>
      <c r="AU914" s="1" t="s">
        <v>4171</v>
      </c>
    </row>
    <row r="915" spans="1:47" ht="15" customHeight="1" x14ac:dyDescent="0.25">
      <c r="A915" s="1">
        <v>910</v>
      </c>
      <c r="B915" s="1" t="s">
        <v>1258</v>
      </c>
      <c r="C915" s="1" t="s">
        <v>38</v>
      </c>
      <c r="D915" s="1">
        <v>9103550725</v>
      </c>
      <c r="E915" s="5">
        <v>41928</v>
      </c>
      <c r="F915" s="1" t="s">
        <v>810</v>
      </c>
      <c r="G915" s="1" t="s">
        <v>40</v>
      </c>
      <c r="H915" s="1" t="s">
        <v>41</v>
      </c>
      <c r="I915" s="1" t="s">
        <v>2809</v>
      </c>
      <c r="J915" s="1" t="s">
        <v>1705</v>
      </c>
      <c r="K915" s="1">
        <v>38237090</v>
      </c>
      <c r="L915" s="6">
        <v>38.299999999999997</v>
      </c>
      <c r="M915" s="1" t="s">
        <v>70</v>
      </c>
      <c r="N915" s="7" t="s">
        <v>44</v>
      </c>
      <c r="O915" s="1" t="s">
        <v>53</v>
      </c>
      <c r="P915" s="8">
        <v>1265</v>
      </c>
      <c r="Q915" s="17">
        <f t="shared" si="91"/>
        <v>48449.5</v>
      </c>
      <c r="R915" s="9">
        <v>800</v>
      </c>
      <c r="S915" s="9">
        <v>6.93</v>
      </c>
      <c r="T915" s="9">
        <v>0</v>
      </c>
      <c r="U915" s="10">
        <v>0</v>
      </c>
      <c r="V915" s="1" t="s">
        <v>46</v>
      </c>
      <c r="W915" s="1" t="s">
        <v>64</v>
      </c>
      <c r="X915" s="1">
        <v>5471106</v>
      </c>
      <c r="Y915" s="11">
        <v>41923</v>
      </c>
      <c r="Z915" s="11">
        <v>41925</v>
      </c>
      <c r="AA915" s="9">
        <f t="shared" si="92"/>
        <v>47642.57</v>
      </c>
      <c r="AB915" s="12">
        <v>61.3</v>
      </c>
      <c r="AC915" s="9">
        <f t="shared" si="93"/>
        <v>2969954.35</v>
      </c>
      <c r="AD915" s="9">
        <f t="shared" si="94"/>
        <v>2920489.5409999997</v>
      </c>
      <c r="AE915" s="1" t="s">
        <v>48</v>
      </c>
      <c r="AF915" s="1" t="s">
        <v>53</v>
      </c>
      <c r="AG915" s="4">
        <f t="shared" si="89"/>
        <v>48449.5</v>
      </c>
      <c r="AH915" s="10">
        <v>48299.5</v>
      </c>
      <c r="AI915" s="10">
        <v>712</v>
      </c>
      <c r="AJ915" s="10">
        <v>6.93</v>
      </c>
      <c r="AK915" s="10">
        <v>0</v>
      </c>
      <c r="AL915" s="9">
        <f t="shared" si="90"/>
        <v>47580.57</v>
      </c>
      <c r="AM915" s="1"/>
      <c r="AN915" s="1"/>
      <c r="AO915" s="12" t="e">
        <f>AB915/#REF!</f>
        <v>#REF!</v>
      </c>
      <c r="AP915" s="1" t="s">
        <v>2548</v>
      </c>
      <c r="AQ915" s="11">
        <v>41969</v>
      </c>
      <c r="AR915" s="1" t="s">
        <v>2549</v>
      </c>
      <c r="AS915" s="11">
        <v>41970</v>
      </c>
      <c r="AT915" s="1" t="s">
        <v>49</v>
      </c>
      <c r="AU915" s="1" t="s">
        <v>4171</v>
      </c>
    </row>
    <row r="916" spans="1:47" ht="15" customHeight="1" x14ac:dyDescent="0.25">
      <c r="A916" s="1">
        <v>911</v>
      </c>
      <c r="B916" s="1" t="s">
        <v>1258</v>
      </c>
      <c r="C916" s="1" t="s">
        <v>38</v>
      </c>
      <c r="D916" s="1">
        <v>9103550726</v>
      </c>
      <c r="E916" s="5">
        <v>41929</v>
      </c>
      <c r="F916" s="1" t="s">
        <v>812</v>
      </c>
      <c r="G916" s="1" t="s">
        <v>40</v>
      </c>
      <c r="H916" s="1" t="s">
        <v>41</v>
      </c>
      <c r="I916" s="1" t="s">
        <v>2809</v>
      </c>
      <c r="J916" s="1" t="s">
        <v>50</v>
      </c>
      <c r="K916" s="1">
        <v>38237090</v>
      </c>
      <c r="L916" s="6">
        <v>130.97</v>
      </c>
      <c r="M916" s="1" t="s">
        <v>70</v>
      </c>
      <c r="N916" s="7" t="s">
        <v>52</v>
      </c>
      <c r="O916" s="1" t="s">
        <v>45</v>
      </c>
      <c r="P916" s="8">
        <v>1000</v>
      </c>
      <c r="Q916" s="17">
        <f t="shared" si="91"/>
        <v>130970</v>
      </c>
      <c r="R916" s="9">
        <v>5008.95</v>
      </c>
      <c r="S916" s="9">
        <v>0</v>
      </c>
      <c r="T916" s="9">
        <v>0</v>
      </c>
      <c r="U916" s="10">
        <v>0</v>
      </c>
      <c r="V916" s="1" t="s">
        <v>46</v>
      </c>
      <c r="W916" s="1" t="s">
        <v>2657</v>
      </c>
      <c r="X916" s="1">
        <v>5471793</v>
      </c>
      <c r="Y916" s="11">
        <v>41923</v>
      </c>
      <c r="Z916" s="11">
        <v>41925</v>
      </c>
      <c r="AA916" s="9">
        <f t="shared" si="92"/>
        <v>125961.05</v>
      </c>
      <c r="AB916" s="12">
        <v>77.099999999999994</v>
      </c>
      <c r="AC916" s="9">
        <f t="shared" si="93"/>
        <v>10097787</v>
      </c>
      <c r="AD916" s="9">
        <f t="shared" si="94"/>
        <v>9711596.9550000001</v>
      </c>
      <c r="AE916" s="1" t="s">
        <v>51</v>
      </c>
      <c r="AF916" s="1" t="s">
        <v>45</v>
      </c>
      <c r="AG916" s="4">
        <f t="shared" si="89"/>
        <v>130970</v>
      </c>
      <c r="AH916" s="10">
        <v>130970</v>
      </c>
      <c r="AI916" s="10">
        <v>5191.9799999999996</v>
      </c>
      <c r="AJ916" s="10">
        <v>0</v>
      </c>
      <c r="AK916" s="10">
        <v>0</v>
      </c>
      <c r="AL916" s="9">
        <f t="shared" si="90"/>
        <v>125778.02</v>
      </c>
      <c r="AM916" s="1"/>
      <c r="AN916" s="1"/>
      <c r="AO916" s="12" t="e">
        <f>AB916/#REF!</f>
        <v>#REF!</v>
      </c>
      <c r="AP916" s="1" t="s">
        <v>2550</v>
      </c>
      <c r="AQ916" s="11">
        <v>42010</v>
      </c>
      <c r="AR916" s="1" t="s">
        <v>2551</v>
      </c>
      <c r="AS916" s="11">
        <v>42017</v>
      </c>
      <c r="AT916" s="1" t="s">
        <v>49</v>
      </c>
      <c r="AU916" s="1" t="s">
        <v>4171</v>
      </c>
    </row>
    <row r="917" spans="1:47" ht="15" customHeight="1" x14ac:dyDescent="0.25">
      <c r="A917" s="1">
        <v>912</v>
      </c>
      <c r="B917" s="1" t="s">
        <v>1258</v>
      </c>
      <c r="C917" s="1" t="s">
        <v>38</v>
      </c>
      <c r="D917" s="1" t="s">
        <v>2552</v>
      </c>
      <c r="E917" s="5">
        <v>41929</v>
      </c>
      <c r="F917" s="1" t="s">
        <v>811</v>
      </c>
      <c r="G917" s="1" t="s">
        <v>40</v>
      </c>
      <c r="H917" s="1" t="s">
        <v>41</v>
      </c>
      <c r="I917" s="1" t="s">
        <v>2809</v>
      </c>
      <c r="J917" s="1" t="s">
        <v>50</v>
      </c>
      <c r="K917" s="1">
        <v>38237090</v>
      </c>
      <c r="L917" s="6">
        <v>75.260000000000005</v>
      </c>
      <c r="M917" s="1" t="s">
        <v>70</v>
      </c>
      <c r="N917" s="7" t="s">
        <v>52</v>
      </c>
      <c r="O917" s="1" t="s">
        <v>45</v>
      </c>
      <c r="P917" s="8">
        <v>1000</v>
      </c>
      <c r="Q917" s="17">
        <f t="shared" si="91"/>
        <v>75260</v>
      </c>
      <c r="R917" s="9">
        <v>2862.26</v>
      </c>
      <c r="S917" s="9">
        <v>0</v>
      </c>
      <c r="T917" s="9">
        <v>0</v>
      </c>
      <c r="U917" s="10">
        <v>0</v>
      </c>
      <c r="V917" s="1" t="s">
        <v>46</v>
      </c>
      <c r="W917" s="1" t="s">
        <v>2657</v>
      </c>
      <c r="X917" s="1">
        <v>5472338</v>
      </c>
      <c r="Y917" s="11">
        <v>41923</v>
      </c>
      <c r="Z917" s="11">
        <v>41925</v>
      </c>
      <c r="AA917" s="9">
        <f t="shared" si="92"/>
        <v>72397.740000000005</v>
      </c>
      <c r="AB917" s="12">
        <v>77.099999999999994</v>
      </c>
      <c r="AC917" s="9">
        <f t="shared" si="93"/>
        <v>5802546</v>
      </c>
      <c r="AD917" s="9">
        <f t="shared" si="94"/>
        <v>5581865.7539999997</v>
      </c>
      <c r="AE917" s="1" t="s">
        <v>51</v>
      </c>
      <c r="AF917" s="1" t="s">
        <v>45</v>
      </c>
      <c r="AG917" s="4">
        <f t="shared" si="89"/>
        <v>75260</v>
      </c>
      <c r="AH917" s="10">
        <v>75260</v>
      </c>
      <c r="AI917" s="10">
        <v>2966.848</v>
      </c>
      <c r="AJ917" s="10">
        <v>0</v>
      </c>
      <c r="AK917" s="10">
        <v>0</v>
      </c>
      <c r="AL917" s="9">
        <f t="shared" si="90"/>
        <v>72293.152000000002</v>
      </c>
      <c r="AM917" s="1"/>
      <c r="AN917" s="1"/>
      <c r="AO917" s="12" t="e">
        <f>AB917/#REF!</f>
        <v>#REF!</v>
      </c>
      <c r="AP917" s="1" t="s">
        <v>2553</v>
      </c>
      <c r="AQ917" s="11">
        <v>42010</v>
      </c>
      <c r="AR917" s="1" t="s">
        <v>2554</v>
      </c>
      <c r="AS917" s="11">
        <v>42045</v>
      </c>
      <c r="AT917" s="1" t="s">
        <v>49</v>
      </c>
      <c r="AU917" s="1" t="s">
        <v>4171</v>
      </c>
    </row>
    <row r="918" spans="1:47" ht="15" customHeight="1" x14ac:dyDescent="0.25">
      <c r="A918" s="1">
        <v>913</v>
      </c>
      <c r="B918" s="1" t="s">
        <v>1258</v>
      </c>
      <c r="C918" s="1" t="s">
        <v>38</v>
      </c>
      <c r="D918" s="1" t="s">
        <v>2552</v>
      </c>
      <c r="E918" s="5">
        <v>41929</v>
      </c>
      <c r="F918" s="1" t="s">
        <v>813</v>
      </c>
      <c r="G918" s="1" t="s">
        <v>40</v>
      </c>
      <c r="H918" s="1" t="s">
        <v>41</v>
      </c>
      <c r="I918" s="1" t="s">
        <v>2809</v>
      </c>
      <c r="J918" s="1" t="s">
        <v>50</v>
      </c>
      <c r="K918" s="1">
        <v>38237090</v>
      </c>
      <c r="L918" s="6">
        <v>37.58</v>
      </c>
      <c r="M918" s="1" t="s">
        <v>70</v>
      </c>
      <c r="N918" s="7" t="s">
        <v>52</v>
      </c>
      <c r="O918" s="1" t="s">
        <v>45</v>
      </c>
      <c r="P918" s="8">
        <v>1000</v>
      </c>
      <c r="Q918" s="17">
        <f t="shared" si="91"/>
        <v>37580</v>
      </c>
      <c r="R918" s="9">
        <v>1431.13</v>
      </c>
      <c r="S918" s="9">
        <v>0</v>
      </c>
      <c r="T918" s="9">
        <v>0</v>
      </c>
      <c r="U918" s="10">
        <v>0</v>
      </c>
      <c r="V918" s="1" t="s">
        <v>46</v>
      </c>
      <c r="W918" s="1" t="s">
        <v>2657</v>
      </c>
      <c r="X918" s="1">
        <v>5479146</v>
      </c>
      <c r="Y918" s="11">
        <v>41925</v>
      </c>
      <c r="Z918" s="11">
        <v>41926</v>
      </c>
      <c r="AA918" s="9">
        <f t="shared" si="92"/>
        <v>36148.870000000003</v>
      </c>
      <c r="AB918" s="12">
        <v>77.099999999999994</v>
      </c>
      <c r="AC918" s="9">
        <f t="shared" si="93"/>
        <v>2897418</v>
      </c>
      <c r="AD918" s="9">
        <f t="shared" si="94"/>
        <v>2787077.8769999999</v>
      </c>
      <c r="AE918" s="1" t="s">
        <v>51</v>
      </c>
      <c r="AF918" s="1" t="s">
        <v>45</v>
      </c>
      <c r="AG918" s="4">
        <f t="shared" si="89"/>
        <v>37580</v>
      </c>
      <c r="AH918" s="10">
        <v>37580</v>
      </c>
      <c r="AI918" s="10">
        <v>1483.42</v>
      </c>
      <c r="AJ918" s="10">
        <v>0</v>
      </c>
      <c r="AK918" s="10">
        <v>0</v>
      </c>
      <c r="AL918" s="9">
        <f t="shared" si="90"/>
        <v>36096.58</v>
      </c>
      <c r="AM918" s="1"/>
      <c r="AN918" s="1"/>
      <c r="AO918" s="12" t="e">
        <f>AB918/#REF!</f>
        <v>#REF!</v>
      </c>
      <c r="AP918" s="1" t="s">
        <v>2553</v>
      </c>
      <c r="AQ918" s="11">
        <v>42010</v>
      </c>
      <c r="AR918" s="1" t="s">
        <v>2555</v>
      </c>
      <c r="AS918" s="11">
        <v>42045</v>
      </c>
      <c r="AT918" s="1" t="s">
        <v>49</v>
      </c>
      <c r="AU918" s="1" t="s">
        <v>4171</v>
      </c>
    </row>
    <row r="919" spans="1:47" ht="15" customHeight="1" x14ac:dyDescent="0.25">
      <c r="A919" s="1">
        <v>914</v>
      </c>
      <c r="B919" s="1" t="s">
        <v>1258</v>
      </c>
      <c r="C919" s="1" t="s">
        <v>38</v>
      </c>
      <c r="D919" s="1">
        <v>9103550729</v>
      </c>
      <c r="E919" s="5">
        <v>41929</v>
      </c>
      <c r="F919" s="1" t="s">
        <v>2954</v>
      </c>
      <c r="G919" s="1" t="s">
        <v>40</v>
      </c>
      <c r="H919" s="1" t="s">
        <v>41</v>
      </c>
      <c r="I919" s="1" t="s">
        <v>2809</v>
      </c>
      <c r="J919" s="1" t="s">
        <v>2689</v>
      </c>
      <c r="K919" s="1">
        <v>38237090</v>
      </c>
      <c r="L919" s="6">
        <v>30</v>
      </c>
      <c r="M919" s="1" t="s">
        <v>70</v>
      </c>
      <c r="N919" s="7" t="s">
        <v>52</v>
      </c>
      <c r="O919" s="1" t="s">
        <v>53</v>
      </c>
      <c r="P919" s="8">
        <v>1560</v>
      </c>
      <c r="Q919" s="17">
        <f t="shared" si="91"/>
        <v>46800</v>
      </c>
      <c r="R919" s="9">
        <v>3300</v>
      </c>
      <c r="S919" s="9">
        <v>0</v>
      </c>
      <c r="T919" s="9">
        <v>0</v>
      </c>
      <c r="U919" s="10">
        <v>0</v>
      </c>
      <c r="V919" s="1" t="s">
        <v>46</v>
      </c>
      <c r="W919" s="1" t="s">
        <v>75</v>
      </c>
      <c r="X919" s="1">
        <v>5490975</v>
      </c>
      <c r="Y919" s="11">
        <v>41925</v>
      </c>
      <c r="Z919" s="11">
        <v>41926</v>
      </c>
      <c r="AA919" s="9">
        <f t="shared" si="92"/>
        <v>43500</v>
      </c>
      <c r="AB919" s="12">
        <v>61.3</v>
      </c>
      <c r="AC919" s="9">
        <f t="shared" si="93"/>
        <v>2868840</v>
      </c>
      <c r="AD919" s="9">
        <f t="shared" si="94"/>
        <v>2666550</v>
      </c>
      <c r="AE919" s="1" t="s">
        <v>48</v>
      </c>
      <c r="AF919" s="1" t="s">
        <v>53</v>
      </c>
      <c r="AG919" s="4">
        <f t="shared" si="89"/>
        <v>46800</v>
      </c>
      <c r="AH919" s="10">
        <v>46800</v>
      </c>
      <c r="AI919" s="10">
        <v>3298</v>
      </c>
      <c r="AJ919" s="10">
        <v>0</v>
      </c>
      <c r="AK919" s="10">
        <v>0</v>
      </c>
      <c r="AL919" s="9">
        <f t="shared" si="90"/>
        <v>43502</v>
      </c>
      <c r="AM919" s="1"/>
      <c r="AN919" s="1"/>
      <c r="AO919" s="12" t="e">
        <f>AB919/#REF!</f>
        <v>#REF!</v>
      </c>
      <c r="AP919" s="1"/>
      <c r="AQ919" s="11">
        <v>42087</v>
      </c>
      <c r="AR919" s="1" t="s">
        <v>3369</v>
      </c>
      <c r="AS919" s="11">
        <v>42088</v>
      </c>
      <c r="AT919" s="1" t="s">
        <v>49</v>
      </c>
      <c r="AU919" s="1" t="s">
        <v>4171</v>
      </c>
    </row>
    <row r="920" spans="1:47" ht="15" customHeight="1" x14ac:dyDescent="0.25">
      <c r="A920" s="1">
        <v>915</v>
      </c>
      <c r="B920" s="1" t="s">
        <v>1258</v>
      </c>
      <c r="C920" s="1" t="s">
        <v>38</v>
      </c>
      <c r="D920" s="1">
        <v>9103550730</v>
      </c>
      <c r="E920" s="5">
        <v>41930</v>
      </c>
      <c r="F920" s="1" t="s">
        <v>829</v>
      </c>
      <c r="G920" s="1" t="s">
        <v>40</v>
      </c>
      <c r="H920" s="1" t="s">
        <v>41</v>
      </c>
      <c r="I920" s="1" t="s">
        <v>2809</v>
      </c>
      <c r="J920" s="1" t="s">
        <v>2468</v>
      </c>
      <c r="K920" s="1">
        <v>38237090</v>
      </c>
      <c r="L920" s="6">
        <v>24</v>
      </c>
      <c r="M920" s="1" t="s">
        <v>70</v>
      </c>
      <c r="N920" s="7" t="s">
        <v>52</v>
      </c>
      <c r="O920" s="1" t="s">
        <v>45</v>
      </c>
      <c r="P920" s="8">
        <v>1351</v>
      </c>
      <c r="Q920" s="17">
        <f t="shared" si="91"/>
        <v>32424</v>
      </c>
      <c r="R920" s="9">
        <v>1311.87</v>
      </c>
      <c r="S920" s="9">
        <v>0</v>
      </c>
      <c r="T920" s="9">
        <v>0</v>
      </c>
      <c r="U920" s="10">
        <v>0</v>
      </c>
      <c r="V920" s="1" t="s">
        <v>46</v>
      </c>
      <c r="W920" s="1" t="s">
        <v>123</v>
      </c>
      <c r="X920" s="1">
        <v>5491078</v>
      </c>
      <c r="Y920" s="11">
        <v>41925</v>
      </c>
      <c r="Z920" s="11">
        <v>41926</v>
      </c>
      <c r="AA920" s="9">
        <f t="shared" si="92"/>
        <v>31112.13</v>
      </c>
      <c r="AB920" s="12">
        <v>77.099999999999994</v>
      </c>
      <c r="AC920" s="9">
        <f t="shared" si="93"/>
        <v>2499890.4</v>
      </c>
      <c r="AD920" s="9">
        <f t="shared" si="94"/>
        <v>2398745.2229999998</v>
      </c>
      <c r="AE920" s="1" t="s">
        <v>48</v>
      </c>
      <c r="AF920" s="1" t="s">
        <v>45</v>
      </c>
      <c r="AG920" s="4">
        <f t="shared" si="89"/>
        <v>32424</v>
      </c>
      <c r="AH920" s="10">
        <v>32349.15</v>
      </c>
      <c r="AI920" s="10">
        <v>1001.29</v>
      </c>
      <c r="AJ920" s="10">
        <v>0</v>
      </c>
      <c r="AK920" s="10">
        <v>0</v>
      </c>
      <c r="AL920" s="9">
        <f t="shared" si="90"/>
        <v>31347.86</v>
      </c>
      <c r="AM920" s="1"/>
      <c r="AN920" s="1"/>
      <c r="AO920" s="12" t="e">
        <f>AB920/#REF!</f>
        <v>#REF!</v>
      </c>
      <c r="AP920" s="1" t="s">
        <v>2556</v>
      </c>
      <c r="AQ920" s="11">
        <v>42010</v>
      </c>
      <c r="AR920" s="1" t="s">
        <v>2557</v>
      </c>
      <c r="AS920" s="11">
        <v>42011</v>
      </c>
      <c r="AT920" s="1" t="s">
        <v>49</v>
      </c>
      <c r="AU920" s="1" t="s">
        <v>4171</v>
      </c>
    </row>
    <row r="921" spans="1:47" ht="15" customHeight="1" x14ac:dyDescent="0.25">
      <c r="A921" s="1">
        <v>916</v>
      </c>
      <c r="B921" s="1" t="s">
        <v>1258</v>
      </c>
      <c r="C921" s="1" t="s">
        <v>38</v>
      </c>
      <c r="D921" s="1">
        <v>9103550731</v>
      </c>
      <c r="E921" s="5">
        <v>41929</v>
      </c>
      <c r="F921" s="1" t="s">
        <v>816</v>
      </c>
      <c r="G921" s="1" t="s">
        <v>40</v>
      </c>
      <c r="H921" s="1" t="s">
        <v>41</v>
      </c>
      <c r="I921" s="1" t="s">
        <v>2809</v>
      </c>
      <c r="J921" s="1" t="s">
        <v>386</v>
      </c>
      <c r="K921" s="1">
        <v>38237090</v>
      </c>
      <c r="L921" s="6">
        <v>194.24</v>
      </c>
      <c r="M921" s="1" t="s">
        <v>70</v>
      </c>
      <c r="N921" s="7" t="s">
        <v>52</v>
      </c>
      <c r="O921" s="1" t="s">
        <v>53</v>
      </c>
      <c r="P921" s="8">
        <v>1275</v>
      </c>
      <c r="Q921" s="17">
        <f t="shared" si="91"/>
        <v>247656</v>
      </c>
      <c r="R921" s="9">
        <v>7500</v>
      </c>
      <c r="S921" s="9">
        <v>0</v>
      </c>
      <c r="T921" s="9">
        <v>0</v>
      </c>
      <c r="U921" s="10">
        <v>0</v>
      </c>
      <c r="V921" s="1" t="s">
        <v>46</v>
      </c>
      <c r="W921" s="1" t="s">
        <v>241</v>
      </c>
      <c r="X921" s="1">
        <v>5493294</v>
      </c>
      <c r="Y921" s="11">
        <v>41925</v>
      </c>
      <c r="Z921" s="11">
        <v>41926</v>
      </c>
      <c r="AA921" s="9">
        <f t="shared" si="92"/>
        <v>240156</v>
      </c>
      <c r="AB921" s="12">
        <v>61.3</v>
      </c>
      <c r="AC921" s="9">
        <f t="shared" si="93"/>
        <v>15181312.799999999</v>
      </c>
      <c r="AD921" s="9">
        <f t="shared" si="94"/>
        <v>14721562.799999999</v>
      </c>
      <c r="AE921" s="1" t="s">
        <v>48</v>
      </c>
      <c r="AF921" s="1" t="s">
        <v>53</v>
      </c>
      <c r="AG921" s="4">
        <f t="shared" si="89"/>
        <v>247656</v>
      </c>
      <c r="AH921" s="10">
        <v>247635</v>
      </c>
      <c r="AI921" s="10">
        <v>7500</v>
      </c>
      <c r="AJ921" s="10">
        <v>0</v>
      </c>
      <c r="AK921" s="10">
        <v>0</v>
      </c>
      <c r="AL921" s="9">
        <f t="shared" si="90"/>
        <v>240135</v>
      </c>
      <c r="AM921" s="1"/>
      <c r="AN921" s="1"/>
      <c r="AO921" s="12" t="e">
        <f>AB921/#REF!</f>
        <v>#REF!</v>
      </c>
      <c r="AP921" s="1" t="s">
        <v>2558</v>
      </c>
      <c r="AQ921" s="11">
        <v>41989</v>
      </c>
      <c r="AR921" s="1" t="s">
        <v>2559</v>
      </c>
      <c r="AS921" s="11">
        <v>41992</v>
      </c>
      <c r="AT921" s="1" t="s">
        <v>49</v>
      </c>
      <c r="AU921" s="1" t="s">
        <v>4171</v>
      </c>
    </row>
    <row r="922" spans="1:47" ht="15" customHeight="1" x14ac:dyDescent="0.25">
      <c r="A922" s="1">
        <v>917</v>
      </c>
      <c r="B922" s="1" t="s">
        <v>1258</v>
      </c>
      <c r="C922" s="1" t="s">
        <v>38</v>
      </c>
      <c r="D922" s="1">
        <v>9103550732</v>
      </c>
      <c r="E922" s="5">
        <v>41929</v>
      </c>
      <c r="F922" s="1" t="s">
        <v>803</v>
      </c>
      <c r="G922" s="1" t="s">
        <v>40</v>
      </c>
      <c r="H922" s="1" t="s">
        <v>41</v>
      </c>
      <c r="I922" s="1" t="s">
        <v>2809</v>
      </c>
      <c r="J922" s="1" t="s">
        <v>187</v>
      </c>
      <c r="K922" s="1">
        <v>29051700</v>
      </c>
      <c r="L922" s="6">
        <v>54.42</v>
      </c>
      <c r="M922" s="1" t="s">
        <v>70</v>
      </c>
      <c r="N922" s="7" t="s">
        <v>44</v>
      </c>
      <c r="O922" s="1" t="s">
        <v>53</v>
      </c>
      <c r="P922" s="8">
        <v>1700</v>
      </c>
      <c r="Q922" s="17">
        <f t="shared" si="91"/>
        <v>92514</v>
      </c>
      <c r="R922" s="9">
        <v>9930</v>
      </c>
      <c r="S922" s="9">
        <v>13.23</v>
      </c>
      <c r="T922" s="9">
        <v>0</v>
      </c>
      <c r="U922" s="10">
        <v>0</v>
      </c>
      <c r="V922" s="1" t="s">
        <v>46</v>
      </c>
      <c r="W922" s="1" t="s">
        <v>56</v>
      </c>
      <c r="X922" s="1">
        <v>5467680</v>
      </c>
      <c r="Y922" s="11">
        <v>41923</v>
      </c>
      <c r="Z922" s="11">
        <v>41925</v>
      </c>
      <c r="AA922" s="9">
        <f t="shared" si="92"/>
        <v>82570.77</v>
      </c>
      <c r="AB922" s="12">
        <v>61.3</v>
      </c>
      <c r="AC922" s="9">
        <f t="shared" si="93"/>
        <v>5671108.2000000002</v>
      </c>
      <c r="AD922" s="9">
        <f t="shared" si="94"/>
        <v>5061588.2010000004</v>
      </c>
      <c r="AE922" s="1" t="s">
        <v>48</v>
      </c>
      <c r="AF922" s="1" t="s">
        <v>53</v>
      </c>
      <c r="AG922" s="4">
        <f t="shared" si="89"/>
        <v>92514</v>
      </c>
      <c r="AH922" s="10">
        <v>92514</v>
      </c>
      <c r="AI922" s="10">
        <v>7740</v>
      </c>
      <c r="AJ922" s="10">
        <v>13.23</v>
      </c>
      <c r="AK922" s="10">
        <v>0</v>
      </c>
      <c r="AL922" s="9">
        <f t="shared" si="90"/>
        <v>84760.77</v>
      </c>
      <c r="AM922" s="1"/>
      <c r="AN922" s="1"/>
      <c r="AO922" s="12" t="e">
        <f>AB922/#REF!</f>
        <v>#REF!</v>
      </c>
      <c r="AP922" s="1" t="s">
        <v>2560</v>
      </c>
      <c r="AQ922" s="11">
        <v>41964</v>
      </c>
      <c r="AR922" s="1" t="s">
        <v>2561</v>
      </c>
      <c r="AS922" s="11">
        <v>41967</v>
      </c>
      <c r="AT922" s="1" t="s">
        <v>49</v>
      </c>
      <c r="AU922" s="1" t="s">
        <v>4171</v>
      </c>
    </row>
    <row r="923" spans="1:47" ht="15" customHeight="1" x14ac:dyDescent="0.25">
      <c r="A923" s="1">
        <v>918</v>
      </c>
      <c r="B923" s="1" t="s">
        <v>1258</v>
      </c>
      <c r="C923" s="1" t="s">
        <v>38</v>
      </c>
      <c r="D923" s="1">
        <v>9103550733</v>
      </c>
      <c r="E923" s="5">
        <v>41929</v>
      </c>
      <c r="F923" s="1" t="s">
        <v>815</v>
      </c>
      <c r="G923" s="1" t="s">
        <v>40</v>
      </c>
      <c r="H923" s="1" t="s">
        <v>41</v>
      </c>
      <c r="I923" s="1" t="s">
        <v>2809</v>
      </c>
      <c r="J923" s="1" t="s">
        <v>187</v>
      </c>
      <c r="K923" s="1">
        <v>29051700</v>
      </c>
      <c r="L923" s="6">
        <v>72.56</v>
      </c>
      <c r="M923" s="1" t="s">
        <v>70</v>
      </c>
      <c r="N923" s="7" t="s">
        <v>44</v>
      </c>
      <c r="O923" s="1" t="s">
        <v>53</v>
      </c>
      <c r="P923" s="8">
        <v>1708</v>
      </c>
      <c r="Q923" s="17">
        <f t="shared" si="91"/>
        <v>123932.48000000001</v>
      </c>
      <c r="R923" s="9">
        <v>13240</v>
      </c>
      <c r="S923" s="9">
        <v>17.72</v>
      </c>
      <c r="T923" s="9">
        <v>0</v>
      </c>
      <c r="U923" s="10">
        <v>0</v>
      </c>
      <c r="V923" s="1" t="s">
        <v>46</v>
      </c>
      <c r="W923" s="1" t="s">
        <v>56</v>
      </c>
      <c r="X923" s="1">
        <v>5496416</v>
      </c>
      <c r="Y923" s="11">
        <v>41925</v>
      </c>
      <c r="Z923" s="11">
        <v>41926</v>
      </c>
      <c r="AA923" s="9">
        <f t="shared" si="92"/>
        <v>110674.76000000001</v>
      </c>
      <c r="AB923" s="12">
        <v>61.3</v>
      </c>
      <c r="AC923" s="9">
        <f t="shared" si="93"/>
        <v>7597061.0240000002</v>
      </c>
      <c r="AD923" s="9">
        <f t="shared" si="94"/>
        <v>6784362.7880000006</v>
      </c>
      <c r="AE923" s="1" t="s">
        <v>48</v>
      </c>
      <c r="AF923" s="1" t="s">
        <v>53</v>
      </c>
      <c r="AG923" s="4">
        <f t="shared" si="89"/>
        <v>123932.48000000001</v>
      </c>
      <c r="AH923" s="10">
        <v>123932.48</v>
      </c>
      <c r="AI923" s="10">
        <v>12886</v>
      </c>
      <c r="AJ923" s="10">
        <v>17.72</v>
      </c>
      <c r="AK923" s="10">
        <v>0</v>
      </c>
      <c r="AL923" s="9">
        <f t="shared" si="90"/>
        <v>111028.76</v>
      </c>
      <c r="AM923" s="1"/>
      <c r="AN923" s="1"/>
      <c r="AO923" s="12" t="e">
        <f>AB923/#REF!</f>
        <v>#REF!</v>
      </c>
      <c r="AP923" s="1" t="s">
        <v>2562</v>
      </c>
      <c r="AQ923" s="11">
        <v>41964</v>
      </c>
      <c r="AR923" s="1" t="s">
        <v>2563</v>
      </c>
      <c r="AS923" s="11">
        <v>41967</v>
      </c>
      <c r="AT923" s="1" t="s">
        <v>49</v>
      </c>
      <c r="AU923" s="1" t="s">
        <v>4171</v>
      </c>
    </row>
    <row r="924" spans="1:47" ht="15" customHeight="1" x14ac:dyDescent="0.25">
      <c r="A924" s="1">
        <v>919</v>
      </c>
      <c r="B924" s="1" t="s">
        <v>1258</v>
      </c>
      <c r="C924" s="1" t="s">
        <v>38</v>
      </c>
      <c r="D924" s="1">
        <v>9103550734</v>
      </c>
      <c r="E924" s="5">
        <v>41929</v>
      </c>
      <c r="F924" s="1" t="s">
        <v>834</v>
      </c>
      <c r="G924" s="1" t="s">
        <v>40</v>
      </c>
      <c r="H924" s="1" t="s">
        <v>41</v>
      </c>
      <c r="I924" s="1" t="s">
        <v>2809</v>
      </c>
      <c r="J924" s="1" t="s">
        <v>386</v>
      </c>
      <c r="K924" s="1">
        <v>38237090</v>
      </c>
      <c r="L924" s="6">
        <v>77.78</v>
      </c>
      <c r="M924" s="1" t="s">
        <v>70</v>
      </c>
      <c r="N924" s="7" t="s">
        <v>52</v>
      </c>
      <c r="O924" s="1" t="s">
        <v>53</v>
      </c>
      <c r="P924" s="8">
        <v>1275</v>
      </c>
      <c r="Q924" s="17">
        <f t="shared" si="91"/>
        <v>99169.5</v>
      </c>
      <c r="R924" s="9">
        <v>3000</v>
      </c>
      <c r="S924" s="9">
        <v>0</v>
      </c>
      <c r="T924" s="9">
        <v>0</v>
      </c>
      <c r="U924" s="10">
        <v>0</v>
      </c>
      <c r="V924" s="1" t="s">
        <v>46</v>
      </c>
      <c r="W924" s="1" t="s">
        <v>241</v>
      </c>
      <c r="X924" s="1">
        <v>5486915</v>
      </c>
      <c r="Y924" s="11">
        <v>41925</v>
      </c>
      <c r="Z924" s="11">
        <v>41926</v>
      </c>
      <c r="AA924" s="9">
        <f t="shared" si="92"/>
        <v>96169.5</v>
      </c>
      <c r="AB924" s="12">
        <v>61.3</v>
      </c>
      <c r="AC924" s="9">
        <f t="shared" si="93"/>
        <v>6079090.3499999996</v>
      </c>
      <c r="AD924" s="9">
        <f t="shared" si="94"/>
        <v>5895190.3499999996</v>
      </c>
      <c r="AE924" s="1" t="s">
        <v>48</v>
      </c>
      <c r="AF924" s="1" t="s">
        <v>53</v>
      </c>
      <c r="AG924" s="4">
        <f t="shared" si="89"/>
        <v>99169.5</v>
      </c>
      <c r="AH924" s="10">
        <v>99169.5</v>
      </c>
      <c r="AI924" s="10">
        <v>3000</v>
      </c>
      <c r="AJ924" s="10">
        <v>0</v>
      </c>
      <c r="AK924" s="10">
        <v>0</v>
      </c>
      <c r="AL924" s="9">
        <f t="shared" si="90"/>
        <v>96169.5</v>
      </c>
      <c r="AM924" s="1"/>
      <c r="AN924" s="1"/>
      <c r="AO924" s="12" t="e">
        <f>AB924/#REF!</f>
        <v>#REF!</v>
      </c>
      <c r="AP924" s="1" t="s">
        <v>2564</v>
      </c>
      <c r="AQ924" s="11">
        <v>41996</v>
      </c>
      <c r="AR924" s="1" t="s">
        <v>2565</v>
      </c>
      <c r="AS924" s="11">
        <v>41997</v>
      </c>
      <c r="AT924" s="1" t="s">
        <v>49</v>
      </c>
      <c r="AU924" s="1" t="s">
        <v>4171</v>
      </c>
    </row>
    <row r="925" spans="1:47" ht="15" customHeight="1" x14ac:dyDescent="0.25">
      <c r="A925" s="1">
        <v>920</v>
      </c>
      <c r="B925" s="1" t="s">
        <v>1258</v>
      </c>
      <c r="C925" s="1" t="s">
        <v>38</v>
      </c>
      <c r="D925" s="1">
        <v>9103550734</v>
      </c>
      <c r="E925" s="5">
        <v>41929</v>
      </c>
      <c r="F925" s="1" t="s">
        <v>819</v>
      </c>
      <c r="G925" s="1" t="s">
        <v>40</v>
      </c>
      <c r="H925" s="1" t="s">
        <v>41</v>
      </c>
      <c r="I925" s="1" t="s">
        <v>2809</v>
      </c>
      <c r="J925" s="1" t="s">
        <v>386</v>
      </c>
      <c r="K925" s="1">
        <v>38237090</v>
      </c>
      <c r="L925" s="6">
        <v>19.440000000000001</v>
      </c>
      <c r="M925" s="1" t="s">
        <v>70</v>
      </c>
      <c r="N925" s="7" t="s">
        <v>52</v>
      </c>
      <c r="O925" s="1" t="s">
        <v>53</v>
      </c>
      <c r="P925" s="8">
        <v>1275</v>
      </c>
      <c r="Q925" s="17">
        <f t="shared" si="91"/>
        <v>24786</v>
      </c>
      <c r="R925" s="9">
        <v>750</v>
      </c>
      <c r="S925" s="9">
        <v>0</v>
      </c>
      <c r="T925" s="9">
        <v>0</v>
      </c>
      <c r="U925" s="10">
        <v>0</v>
      </c>
      <c r="V925" s="1" t="s">
        <v>46</v>
      </c>
      <c r="W925" s="1" t="s">
        <v>241</v>
      </c>
      <c r="X925" s="1">
        <v>5496408</v>
      </c>
      <c r="Y925" s="11">
        <v>41925</v>
      </c>
      <c r="Z925" s="11">
        <v>41926</v>
      </c>
      <c r="AA925" s="9">
        <f t="shared" si="92"/>
        <v>24036</v>
      </c>
      <c r="AB925" s="12">
        <v>61.3</v>
      </c>
      <c r="AC925" s="9">
        <f t="shared" si="93"/>
        <v>1519381.7999999998</v>
      </c>
      <c r="AD925" s="9">
        <f t="shared" si="94"/>
        <v>1473406.8</v>
      </c>
      <c r="AE925" s="1" t="s">
        <v>48</v>
      </c>
      <c r="AF925" s="1" t="s">
        <v>53</v>
      </c>
      <c r="AG925" s="4">
        <f t="shared" si="89"/>
        <v>24786</v>
      </c>
      <c r="AH925" s="10">
        <v>24786</v>
      </c>
      <c r="AI925" s="10">
        <v>750</v>
      </c>
      <c r="AJ925" s="10">
        <v>0</v>
      </c>
      <c r="AK925" s="10">
        <v>0</v>
      </c>
      <c r="AL925" s="9">
        <f t="shared" si="90"/>
        <v>24036</v>
      </c>
      <c r="AM925" s="1"/>
      <c r="AN925" s="1"/>
      <c r="AO925" s="12" t="e">
        <f>AB925/#REF!</f>
        <v>#REF!</v>
      </c>
      <c r="AP925" s="1" t="s">
        <v>2564</v>
      </c>
      <c r="AQ925" s="11">
        <v>41996</v>
      </c>
      <c r="AR925" s="1" t="s">
        <v>2566</v>
      </c>
      <c r="AS925" s="11">
        <v>41997</v>
      </c>
      <c r="AT925" s="1" t="s">
        <v>49</v>
      </c>
      <c r="AU925" s="1" t="s">
        <v>4171</v>
      </c>
    </row>
    <row r="926" spans="1:47" ht="15" customHeight="1" x14ac:dyDescent="0.25">
      <c r="A926" s="1">
        <v>921</v>
      </c>
      <c r="B926" s="1" t="s">
        <v>1258</v>
      </c>
      <c r="C926" s="1" t="s">
        <v>38</v>
      </c>
      <c r="D926" s="1">
        <v>9103550735</v>
      </c>
      <c r="E926" s="5">
        <v>41932</v>
      </c>
      <c r="F926" s="1" t="s">
        <v>840</v>
      </c>
      <c r="G926" s="1" t="s">
        <v>40</v>
      </c>
      <c r="H926" s="1" t="s">
        <v>41</v>
      </c>
      <c r="I926" s="1" t="s">
        <v>2809</v>
      </c>
      <c r="J926" s="1" t="s">
        <v>187</v>
      </c>
      <c r="K926" s="1">
        <v>29051700</v>
      </c>
      <c r="L926" s="6">
        <v>18.63</v>
      </c>
      <c r="M926" s="1" t="s">
        <v>70</v>
      </c>
      <c r="N926" s="7" t="s">
        <v>44</v>
      </c>
      <c r="O926" s="1" t="s">
        <v>53</v>
      </c>
      <c r="P926" s="8">
        <v>2343</v>
      </c>
      <c r="Q926" s="17">
        <f t="shared" si="91"/>
        <v>43650.09</v>
      </c>
      <c r="R926" s="9">
        <v>4400</v>
      </c>
      <c r="S926" s="9">
        <v>6.24</v>
      </c>
      <c r="T926" s="9">
        <v>0</v>
      </c>
      <c r="U926" s="10">
        <v>0</v>
      </c>
      <c r="V926" s="1" t="s">
        <v>46</v>
      </c>
      <c r="W926" s="1" t="s">
        <v>56</v>
      </c>
      <c r="X926" s="1">
        <v>5510288</v>
      </c>
      <c r="Y926" s="11">
        <v>41926</v>
      </c>
      <c r="Z926" s="11">
        <v>41928</v>
      </c>
      <c r="AA926" s="9">
        <f t="shared" si="92"/>
        <v>39243.85</v>
      </c>
      <c r="AB926" s="12">
        <v>61.3</v>
      </c>
      <c r="AC926" s="9">
        <f t="shared" si="93"/>
        <v>2675750.5169999995</v>
      </c>
      <c r="AD926" s="9">
        <f t="shared" si="94"/>
        <v>2405648.0049999999</v>
      </c>
      <c r="AE926" s="1" t="s">
        <v>48</v>
      </c>
      <c r="AF926" s="1" t="s">
        <v>53</v>
      </c>
      <c r="AG926" s="4">
        <f t="shared" si="89"/>
        <v>43650.09</v>
      </c>
      <c r="AH926" s="10">
        <v>43650.09</v>
      </c>
      <c r="AI926" s="10">
        <v>4235</v>
      </c>
      <c r="AJ926" s="10">
        <v>6.24</v>
      </c>
      <c r="AK926" s="10">
        <v>0</v>
      </c>
      <c r="AL926" s="9">
        <f t="shared" si="90"/>
        <v>39408.85</v>
      </c>
      <c r="AM926" s="1"/>
      <c r="AN926" s="1"/>
      <c r="AO926" s="12" t="e">
        <f>AB926/#REF!</f>
        <v>#REF!</v>
      </c>
      <c r="AP926" s="1" t="s">
        <v>2567</v>
      </c>
      <c r="AQ926" s="11">
        <v>41964</v>
      </c>
      <c r="AR926" s="1" t="s">
        <v>2568</v>
      </c>
      <c r="AS926" s="11">
        <v>41967</v>
      </c>
      <c r="AT926" s="1" t="s">
        <v>49</v>
      </c>
      <c r="AU926" s="1" t="s">
        <v>4171</v>
      </c>
    </row>
    <row r="927" spans="1:47" ht="15" customHeight="1" x14ac:dyDescent="0.25">
      <c r="A927" s="1">
        <v>922</v>
      </c>
      <c r="B927" s="1" t="s">
        <v>1258</v>
      </c>
      <c r="C927" s="1" t="s">
        <v>38</v>
      </c>
      <c r="D927" s="1">
        <v>9103550736</v>
      </c>
      <c r="E927" s="5">
        <v>41928</v>
      </c>
      <c r="F927" s="1" t="s">
        <v>2956</v>
      </c>
      <c r="G927" s="1" t="s">
        <v>40</v>
      </c>
      <c r="H927" s="1" t="s">
        <v>41</v>
      </c>
      <c r="I927" s="1" t="s">
        <v>2809</v>
      </c>
      <c r="J927" s="1" t="s">
        <v>2957</v>
      </c>
      <c r="K927" s="1">
        <v>38237090</v>
      </c>
      <c r="L927" s="6">
        <v>0.1</v>
      </c>
      <c r="M927" s="1" t="s">
        <v>70</v>
      </c>
      <c r="N927" s="7" t="s">
        <v>44</v>
      </c>
      <c r="O927" s="1" t="s">
        <v>53</v>
      </c>
      <c r="P927" s="8">
        <v>5450</v>
      </c>
      <c r="Q927" s="17">
        <f t="shared" si="91"/>
        <v>545</v>
      </c>
      <c r="R927" s="9">
        <v>206.99289999999999</v>
      </c>
      <c r="S927" s="9">
        <v>4.5599999999999996</v>
      </c>
      <c r="T927" s="9">
        <v>0</v>
      </c>
      <c r="U927" s="10">
        <v>0</v>
      </c>
      <c r="V927" s="1" t="s">
        <v>46</v>
      </c>
      <c r="W927" s="1" t="s">
        <v>2958</v>
      </c>
      <c r="X927" s="1">
        <v>5512092</v>
      </c>
      <c r="Y927" s="11">
        <v>41926</v>
      </c>
      <c r="Z927" s="11">
        <v>41928</v>
      </c>
      <c r="AA927" s="9">
        <f t="shared" si="92"/>
        <v>333.44710000000003</v>
      </c>
      <c r="AB927" s="12">
        <v>61.3</v>
      </c>
      <c r="AC927" s="9">
        <f t="shared" si="93"/>
        <v>33408.5</v>
      </c>
      <c r="AD927" s="9">
        <f t="shared" si="94"/>
        <v>20440.307230000002</v>
      </c>
      <c r="AE927" s="1" t="s">
        <v>48</v>
      </c>
      <c r="AF927" s="1" t="s">
        <v>53</v>
      </c>
      <c r="AG927" s="4">
        <f t="shared" si="89"/>
        <v>545</v>
      </c>
      <c r="AH927" s="10">
        <v>521</v>
      </c>
      <c r="AI927" s="9">
        <v>206.99289999999999</v>
      </c>
      <c r="AJ927" s="9">
        <v>4.5599999999999996</v>
      </c>
      <c r="AK927" s="10">
        <v>0</v>
      </c>
      <c r="AL927" s="9">
        <f t="shared" si="90"/>
        <v>309.44709999999998</v>
      </c>
      <c r="AM927" s="1"/>
      <c r="AN927" s="1"/>
      <c r="AO927" s="12" t="e">
        <f>AB927/#REF!</f>
        <v>#REF!</v>
      </c>
      <c r="AP927" s="1"/>
      <c r="AQ927" s="11">
        <v>41999</v>
      </c>
      <c r="AR927" s="1" t="s">
        <v>3370</v>
      </c>
      <c r="AS927" s="11">
        <v>42000</v>
      </c>
      <c r="AT927" s="1" t="s">
        <v>49</v>
      </c>
      <c r="AU927" s="1" t="s">
        <v>4171</v>
      </c>
    </row>
    <row r="928" spans="1:47" ht="15" customHeight="1" x14ac:dyDescent="0.25">
      <c r="A928" s="1">
        <v>923</v>
      </c>
      <c r="B928" s="1" t="s">
        <v>1258</v>
      </c>
      <c r="C928" s="1" t="s">
        <v>38</v>
      </c>
      <c r="D928" s="1">
        <v>9103550736</v>
      </c>
      <c r="E928" s="5">
        <v>41928</v>
      </c>
      <c r="F928" s="1" t="s">
        <v>2956</v>
      </c>
      <c r="G928" s="1" t="s">
        <v>40</v>
      </c>
      <c r="H928" s="1" t="s">
        <v>41</v>
      </c>
      <c r="I928" s="1" t="s">
        <v>2809</v>
      </c>
      <c r="J928" s="1" t="s">
        <v>2957</v>
      </c>
      <c r="K928" s="1">
        <v>38237090</v>
      </c>
      <c r="L928" s="6">
        <v>0.05</v>
      </c>
      <c r="M928" s="1" t="s">
        <v>70</v>
      </c>
      <c r="N928" s="7" t="s">
        <v>44</v>
      </c>
      <c r="O928" s="1" t="s">
        <v>53</v>
      </c>
      <c r="P928" s="8">
        <v>5850</v>
      </c>
      <c r="Q928" s="17">
        <f t="shared" si="91"/>
        <v>292.5</v>
      </c>
      <c r="R928" s="9">
        <v>103.33320000000001</v>
      </c>
      <c r="S928" s="9">
        <v>2.44</v>
      </c>
      <c r="T928" s="9"/>
      <c r="U928" s="10">
        <v>0</v>
      </c>
      <c r="V928" s="1" t="s">
        <v>46</v>
      </c>
      <c r="W928" s="1" t="s">
        <v>2958</v>
      </c>
      <c r="X928" s="1">
        <v>5512092</v>
      </c>
      <c r="Y928" s="11">
        <v>41926</v>
      </c>
      <c r="Z928" s="11">
        <v>41928</v>
      </c>
      <c r="AA928" s="9">
        <f t="shared" si="92"/>
        <v>186.7268</v>
      </c>
      <c r="AB928" s="12">
        <v>61.3</v>
      </c>
      <c r="AC928" s="9">
        <f t="shared" si="93"/>
        <v>17930.25</v>
      </c>
      <c r="AD928" s="9">
        <f t="shared" si="94"/>
        <v>11446.35284</v>
      </c>
      <c r="AE928" s="1" t="s">
        <v>48</v>
      </c>
      <c r="AF928" s="1" t="s">
        <v>53</v>
      </c>
      <c r="AG928" s="4">
        <f t="shared" si="89"/>
        <v>292.5</v>
      </c>
      <c r="AH928" s="10">
        <v>293.5</v>
      </c>
      <c r="AI928" s="9">
        <v>103.33320000000001</v>
      </c>
      <c r="AJ928" s="9">
        <v>2.44</v>
      </c>
      <c r="AK928" s="10">
        <v>0</v>
      </c>
      <c r="AL928" s="9">
        <f t="shared" si="90"/>
        <v>187.7268</v>
      </c>
      <c r="AM928" s="1"/>
      <c r="AN928" s="1"/>
      <c r="AO928" s="12" t="e">
        <f>AB928/#REF!</f>
        <v>#REF!</v>
      </c>
      <c r="AP928" s="1"/>
      <c r="AQ928" s="11">
        <v>41999</v>
      </c>
      <c r="AR928" s="1" t="s">
        <v>3370</v>
      </c>
      <c r="AS928" s="11">
        <v>42000</v>
      </c>
      <c r="AT928" s="1" t="s">
        <v>49</v>
      </c>
      <c r="AU928" s="1" t="s">
        <v>4171</v>
      </c>
    </row>
    <row r="929" spans="1:47" ht="15" customHeight="1" x14ac:dyDescent="0.25">
      <c r="A929" s="1">
        <v>924</v>
      </c>
      <c r="B929" s="1" t="s">
        <v>1258</v>
      </c>
      <c r="C929" s="1" t="s">
        <v>38</v>
      </c>
      <c r="D929" s="1">
        <v>9103550737</v>
      </c>
      <c r="E929" s="5">
        <v>41931</v>
      </c>
      <c r="F929" s="1" t="s">
        <v>818</v>
      </c>
      <c r="G929" s="1" t="s">
        <v>40</v>
      </c>
      <c r="H929" s="1" t="s">
        <v>41</v>
      </c>
      <c r="I929" s="1" t="s">
        <v>2809</v>
      </c>
      <c r="J929" s="1" t="s">
        <v>76</v>
      </c>
      <c r="K929" s="1">
        <v>29157010</v>
      </c>
      <c r="L929" s="6">
        <v>97.18</v>
      </c>
      <c r="M929" s="1" t="s">
        <v>70</v>
      </c>
      <c r="N929" s="7" t="s">
        <v>44</v>
      </c>
      <c r="O929" s="1" t="s">
        <v>53</v>
      </c>
      <c r="P929" s="8">
        <v>1090</v>
      </c>
      <c r="Q929" s="17">
        <f t="shared" si="91"/>
        <v>105926.20000000001</v>
      </c>
      <c r="R929" s="9">
        <v>2000</v>
      </c>
      <c r="S929" s="9">
        <v>15.15</v>
      </c>
      <c r="T929" s="9">
        <v>0</v>
      </c>
      <c r="U929" s="10">
        <v>0</v>
      </c>
      <c r="V929" s="1" t="s">
        <v>46</v>
      </c>
      <c r="W929" s="1" t="s">
        <v>492</v>
      </c>
      <c r="X929" s="1">
        <v>5522002</v>
      </c>
      <c r="Y929" s="11">
        <v>41926</v>
      </c>
      <c r="Z929" s="11">
        <v>41928</v>
      </c>
      <c r="AA929" s="9">
        <f t="shared" si="92"/>
        <v>103911.05000000002</v>
      </c>
      <c r="AB929" s="12">
        <v>61.3</v>
      </c>
      <c r="AC929" s="9">
        <f t="shared" si="93"/>
        <v>6493276.0600000005</v>
      </c>
      <c r="AD929" s="9">
        <f t="shared" si="94"/>
        <v>6369747.3650000012</v>
      </c>
      <c r="AE929" s="1" t="s">
        <v>48</v>
      </c>
      <c r="AF929" s="1" t="s">
        <v>53</v>
      </c>
      <c r="AG929" s="4">
        <f t="shared" si="89"/>
        <v>105926.20000000001</v>
      </c>
      <c r="AH929" s="10">
        <v>105926.2</v>
      </c>
      <c r="AI929" s="9">
        <v>2000</v>
      </c>
      <c r="AJ929" s="9">
        <v>15.15</v>
      </c>
      <c r="AK929" s="9">
        <v>0</v>
      </c>
      <c r="AL929" s="9">
        <f t="shared" si="90"/>
        <v>103911.05</v>
      </c>
      <c r="AM929" s="1"/>
      <c r="AN929" s="1"/>
      <c r="AO929" s="12" t="e">
        <f>AB929/#REF!</f>
        <v>#REF!</v>
      </c>
      <c r="AP929" s="1" t="s">
        <v>2569</v>
      </c>
      <c r="AQ929" s="11">
        <v>42051</v>
      </c>
      <c r="AR929" s="1" t="s">
        <v>2570</v>
      </c>
      <c r="AS929" s="11">
        <v>42053</v>
      </c>
      <c r="AT929" s="1" t="s">
        <v>49</v>
      </c>
      <c r="AU929" s="1" t="s">
        <v>4171</v>
      </c>
    </row>
    <row r="930" spans="1:47" s="23" customFormat="1" ht="15" customHeight="1" x14ac:dyDescent="0.25">
      <c r="A930" s="3">
        <v>925</v>
      </c>
      <c r="B930" s="3" t="s">
        <v>1258</v>
      </c>
      <c r="C930" s="3" t="s">
        <v>38</v>
      </c>
      <c r="D930" s="3">
        <v>9103550738</v>
      </c>
      <c r="E930" s="19">
        <v>41931</v>
      </c>
      <c r="F930" s="3" t="s">
        <v>2959</v>
      </c>
      <c r="G930" s="3" t="s">
        <v>40</v>
      </c>
      <c r="H930" s="3" t="s">
        <v>41</v>
      </c>
      <c r="I930" s="3" t="s">
        <v>2809</v>
      </c>
      <c r="J930" s="3" t="s">
        <v>1670</v>
      </c>
      <c r="K930" s="3">
        <v>38231190</v>
      </c>
      <c r="L930" s="48">
        <v>11</v>
      </c>
      <c r="M930" s="3" t="s">
        <v>70</v>
      </c>
      <c r="N930" s="49" t="s">
        <v>52</v>
      </c>
      <c r="O930" s="3" t="s">
        <v>53</v>
      </c>
      <c r="P930" s="50">
        <v>1020</v>
      </c>
      <c r="Q930" s="17">
        <f t="shared" si="91"/>
        <v>11220</v>
      </c>
      <c r="R930" s="20">
        <v>75</v>
      </c>
      <c r="S930" s="20">
        <v>0</v>
      </c>
      <c r="T930" s="20">
        <v>0</v>
      </c>
      <c r="U930" s="4">
        <v>0</v>
      </c>
      <c r="V930" s="3" t="s">
        <v>46</v>
      </c>
      <c r="W930" s="3" t="s">
        <v>72</v>
      </c>
      <c r="X930" s="3">
        <v>5553056</v>
      </c>
      <c r="Y930" s="21">
        <v>41928</v>
      </c>
      <c r="Z930" s="21">
        <v>41929</v>
      </c>
      <c r="AA930" s="20">
        <f t="shared" si="92"/>
        <v>11145</v>
      </c>
      <c r="AB930" s="22">
        <v>61.3</v>
      </c>
      <c r="AC930" s="20">
        <f t="shared" si="93"/>
        <v>687786</v>
      </c>
      <c r="AD930" s="20">
        <f t="shared" si="94"/>
        <v>683188.5</v>
      </c>
      <c r="AE930" s="3"/>
      <c r="AF930" s="3" t="s">
        <v>53</v>
      </c>
      <c r="AG930" s="4">
        <f t="shared" si="89"/>
        <v>11220</v>
      </c>
      <c r="AH930" s="4">
        <v>11220</v>
      </c>
      <c r="AI930" s="4">
        <v>66</v>
      </c>
      <c r="AJ930" s="4">
        <v>0</v>
      </c>
      <c r="AK930" s="4">
        <v>0</v>
      </c>
      <c r="AL930" s="20">
        <f t="shared" si="90"/>
        <v>11154</v>
      </c>
      <c r="AM930" s="3"/>
      <c r="AN930" s="3"/>
      <c r="AO930" s="22" t="e">
        <f>AB930/#REF!</f>
        <v>#REF!</v>
      </c>
      <c r="AP930" s="3" t="s">
        <v>4235</v>
      </c>
      <c r="AQ930" s="21">
        <v>42177</v>
      </c>
      <c r="AR930" s="3" t="s">
        <v>4236</v>
      </c>
      <c r="AS930" s="21">
        <v>42178</v>
      </c>
      <c r="AT930" s="1" t="s">
        <v>49</v>
      </c>
      <c r="AU930" s="1" t="s">
        <v>4171</v>
      </c>
    </row>
    <row r="931" spans="1:47" ht="15" customHeight="1" x14ac:dyDescent="0.25">
      <c r="A931" s="1">
        <v>926</v>
      </c>
      <c r="B931" s="1" t="s">
        <v>1258</v>
      </c>
      <c r="C931" s="1" t="s">
        <v>38</v>
      </c>
      <c r="D931" s="1">
        <v>9103550739</v>
      </c>
      <c r="E931" s="5">
        <v>41930</v>
      </c>
      <c r="F931" s="1" t="s">
        <v>817</v>
      </c>
      <c r="G931" s="1" t="s">
        <v>40</v>
      </c>
      <c r="H931" s="1" t="s">
        <v>41</v>
      </c>
      <c r="I931" s="1" t="s">
        <v>2809</v>
      </c>
      <c r="J931" s="1" t="s">
        <v>2468</v>
      </c>
      <c r="K931" s="1">
        <v>38237090</v>
      </c>
      <c r="L931" s="6">
        <v>24</v>
      </c>
      <c r="M931" s="1" t="s">
        <v>70</v>
      </c>
      <c r="N931" s="7" t="s">
        <v>52</v>
      </c>
      <c r="O931" s="1" t="s">
        <v>45</v>
      </c>
      <c r="P931" s="8">
        <v>1351</v>
      </c>
      <c r="Q931" s="17">
        <f t="shared" si="91"/>
        <v>32424</v>
      </c>
      <c r="R931" s="9">
        <v>1232.3800000000001</v>
      </c>
      <c r="S931" s="9">
        <v>0</v>
      </c>
      <c r="T931" s="9">
        <v>0</v>
      </c>
      <c r="U931" s="10">
        <v>0</v>
      </c>
      <c r="V931" s="1" t="s">
        <v>46</v>
      </c>
      <c r="W931" s="1" t="s">
        <v>123</v>
      </c>
      <c r="X931" s="1">
        <v>5553063</v>
      </c>
      <c r="Y931" s="11">
        <v>41928</v>
      </c>
      <c r="Z931" s="11">
        <v>41929</v>
      </c>
      <c r="AA931" s="9">
        <f t="shared" si="92"/>
        <v>31191.62</v>
      </c>
      <c r="AB931" s="12">
        <v>77.099999999999994</v>
      </c>
      <c r="AC931" s="9">
        <f t="shared" si="93"/>
        <v>2499890.4</v>
      </c>
      <c r="AD931" s="9">
        <f t="shared" si="94"/>
        <v>2404873.9019999998</v>
      </c>
      <c r="AE931" s="1" t="s">
        <v>48</v>
      </c>
      <c r="AF931" s="1" t="s">
        <v>45</v>
      </c>
      <c r="AG931" s="4">
        <f t="shared" si="89"/>
        <v>32424</v>
      </c>
      <c r="AH931" s="10">
        <v>32349.15</v>
      </c>
      <c r="AI931" s="10">
        <v>980.85</v>
      </c>
      <c r="AJ931" s="10">
        <v>0</v>
      </c>
      <c r="AK931" s="10">
        <v>0</v>
      </c>
      <c r="AL931" s="9">
        <f t="shared" si="90"/>
        <v>31368.300000000003</v>
      </c>
      <c r="AM931" s="1"/>
      <c r="AN931" s="1"/>
      <c r="AO931" s="12" t="e">
        <f>AB931/#REF!</f>
        <v>#REF!</v>
      </c>
      <c r="AP931" s="1" t="s">
        <v>2571</v>
      </c>
      <c r="AQ931" s="11">
        <v>41989</v>
      </c>
      <c r="AR931" s="1" t="s">
        <v>2572</v>
      </c>
      <c r="AS931" s="11">
        <v>41992</v>
      </c>
      <c r="AT931" s="1" t="s">
        <v>49</v>
      </c>
      <c r="AU931" s="1" t="s">
        <v>4171</v>
      </c>
    </row>
    <row r="932" spans="1:47" ht="15" customHeight="1" x14ac:dyDescent="0.25">
      <c r="A932" s="1">
        <v>927</v>
      </c>
      <c r="B932" s="1" t="s">
        <v>1258</v>
      </c>
      <c r="C932" s="1" t="s">
        <v>38</v>
      </c>
      <c r="D932" s="1">
        <v>9103550740</v>
      </c>
      <c r="E932" s="5">
        <v>41934</v>
      </c>
      <c r="F932" s="1" t="s">
        <v>822</v>
      </c>
      <c r="G932" s="1" t="s">
        <v>40</v>
      </c>
      <c r="H932" s="1" t="s">
        <v>41</v>
      </c>
      <c r="I932" s="1" t="s">
        <v>2809</v>
      </c>
      <c r="J932" s="1" t="s">
        <v>1705</v>
      </c>
      <c r="K932" s="1">
        <v>38237090</v>
      </c>
      <c r="L932" s="6">
        <v>38.9</v>
      </c>
      <c r="M932" s="1" t="s">
        <v>70</v>
      </c>
      <c r="N932" s="7" t="s">
        <v>44</v>
      </c>
      <c r="O932" s="1" t="s">
        <v>53</v>
      </c>
      <c r="P932" s="8">
        <v>1265</v>
      </c>
      <c r="Q932" s="17">
        <f t="shared" si="91"/>
        <v>49208.5</v>
      </c>
      <c r="R932" s="9">
        <v>800</v>
      </c>
      <c r="S932" s="9">
        <v>7.04</v>
      </c>
      <c r="T932" s="9">
        <v>0</v>
      </c>
      <c r="U932" s="10">
        <v>0</v>
      </c>
      <c r="V932" s="1" t="s">
        <v>46</v>
      </c>
      <c r="W932" s="1" t="s">
        <v>64</v>
      </c>
      <c r="X932" s="1">
        <v>5553422</v>
      </c>
      <c r="Y932" s="11">
        <v>41928</v>
      </c>
      <c r="Z932" s="11">
        <v>41929</v>
      </c>
      <c r="AA932" s="9">
        <f t="shared" si="92"/>
        <v>48401.46</v>
      </c>
      <c r="AB932" s="12">
        <v>61.3</v>
      </c>
      <c r="AC932" s="9">
        <f t="shared" si="93"/>
        <v>3016481.05</v>
      </c>
      <c r="AD932" s="9">
        <f t="shared" si="94"/>
        <v>2967009.4979999997</v>
      </c>
      <c r="AE932" s="1" t="s">
        <v>48</v>
      </c>
      <c r="AF932" s="1" t="s">
        <v>53</v>
      </c>
      <c r="AG932" s="4">
        <f t="shared" si="89"/>
        <v>49208.5</v>
      </c>
      <c r="AH932" s="10">
        <v>49047.5</v>
      </c>
      <c r="AI932" s="10">
        <v>700</v>
      </c>
      <c r="AJ932" s="10">
        <v>7.03</v>
      </c>
      <c r="AK932" s="10">
        <v>0</v>
      </c>
      <c r="AL932" s="9">
        <f t="shared" si="90"/>
        <v>48340.47</v>
      </c>
      <c r="AM932" s="1"/>
      <c r="AN932" s="1"/>
      <c r="AO932" s="12" t="e">
        <f>AB932/#REF!</f>
        <v>#REF!</v>
      </c>
      <c r="AP932" s="1" t="s">
        <v>2573</v>
      </c>
      <c r="AQ932" s="11">
        <v>41953</v>
      </c>
      <c r="AR932" s="1" t="s">
        <v>2574</v>
      </c>
      <c r="AS932" s="11">
        <v>41954</v>
      </c>
      <c r="AT932" s="1" t="s">
        <v>49</v>
      </c>
      <c r="AU932" s="1" t="s">
        <v>4171</v>
      </c>
    </row>
    <row r="933" spans="1:47" ht="15" customHeight="1" x14ac:dyDescent="0.25">
      <c r="A933" s="1">
        <v>928</v>
      </c>
      <c r="B933" s="1" t="s">
        <v>1258</v>
      </c>
      <c r="C933" s="1" t="s">
        <v>38</v>
      </c>
      <c r="D933" s="1">
        <v>9103550741</v>
      </c>
      <c r="E933" s="5">
        <v>41933</v>
      </c>
      <c r="F933" s="1" t="s">
        <v>820</v>
      </c>
      <c r="G933" s="1" t="s">
        <v>40</v>
      </c>
      <c r="H933" s="1" t="s">
        <v>41</v>
      </c>
      <c r="I933" s="1" t="s">
        <v>2809</v>
      </c>
      <c r="J933" s="1" t="s">
        <v>200</v>
      </c>
      <c r="K933" s="1">
        <v>38231900</v>
      </c>
      <c r="L933" s="6">
        <v>19.61</v>
      </c>
      <c r="M933" s="1" t="s">
        <v>70</v>
      </c>
      <c r="N933" s="7" t="s">
        <v>44</v>
      </c>
      <c r="O933" s="1" t="s">
        <v>53</v>
      </c>
      <c r="P933" s="8">
        <v>1650</v>
      </c>
      <c r="Q933" s="17">
        <f t="shared" si="91"/>
        <v>32356.5</v>
      </c>
      <c r="R933" s="9">
        <v>900</v>
      </c>
      <c r="S933" s="9">
        <v>4.63</v>
      </c>
      <c r="T933" s="9">
        <v>323.57</v>
      </c>
      <c r="U933" s="10">
        <v>0</v>
      </c>
      <c r="V933" s="1" t="s">
        <v>46</v>
      </c>
      <c r="W933" s="1" t="s">
        <v>59</v>
      </c>
      <c r="X933" s="1">
        <v>5562715</v>
      </c>
      <c r="Y933" s="11">
        <v>41928</v>
      </c>
      <c r="Z933" s="11">
        <v>41930</v>
      </c>
      <c r="AA933" s="9">
        <f t="shared" si="92"/>
        <v>31451.87</v>
      </c>
      <c r="AB933" s="12">
        <v>61.3</v>
      </c>
      <c r="AC933" s="9">
        <f t="shared" si="93"/>
        <v>1983453.45</v>
      </c>
      <c r="AD933" s="9">
        <f t="shared" si="94"/>
        <v>1927999.6309999998</v>
      </c>
      <c r="AE933" s="1" t="s">
        <v>51</v>
      </c>
      <c r="AF933" s="1" t="s">
        <v>53</v>
      </c>
      <c r="AG933" s="4">
        <f t="shared" si="89"/>
        <v>32356.5</v>
      </c>
      <c r="AH933" s="10">
        <v>32356</v>
      </c>
      <c r="AI933" s="10">
        <v>850</v>
      </c>
      <c r="AJ933" s="10">
        <v>4.63</v>
      </c>
      <c r="AK933" s="10">
        <v>323.57</v>
      </c>
      <c r="AL933" s="9">
        <f t="shared" si="90"/>
        <v>31177.8</v>
      </c>
      <c r="AM933" s="1"/>
      <c r="AN933" s="1"/>
      <c r="AO933" s="12" t="e">
        <f>AB933/#REF!</f>
        <v>#REF!</v>
      </c>
      <c r="AP933" s="1" t="s">
        <v>2575</v>
      </c>
      <c r="AQ933" s="11">
        <v>41964</v>
      </c>
      <c r="AR933" s="1" t="s">
        <v>2576</v>
      </c>
      <c r="AS933" s="11">
        <v>42059</v>
      </c>
      <c r="AT933" s="1" t="s">
        <v>49</v>
      </c>
      <c r="AU933" s="1" t="s">
        <v>4171</v>
      </c>
    </row>
    <row r="934" spans="1:47" ht="15" customHeight="1" x14ac:dyDescent="0.25">
      <c r="A934" s="1">
        <v>929</v>
      </c>
      <c r="B934" s="1" t="s">
        <v>1258</v>
      </c>
      <c r="C934" s="1" t="s">
        <v>38</v>
      </c>
      <c r="D934" s="1">
        <v>9103550741</v>
      </c>
      <c r="E934" s="5">
        <v>41933</v>
      </c>
      <c r="F934" s="1" t="s">
        <v>2577</v>
      </c>
      <c r="G934" s="1" t="s">
        <v>40</v>
      </c>
      <c r="H934" s="1" t="s">
        <v>41</v>
      </c>
      <c r="I934" s="1" t="s">
        <v>2809</v>
      </c>
      <c r="J934" s="1" t="s">
        <v>200</v>
      </c>
      <c r="K934" s="1">
        <v>38231900</v>
      </c>
      <c r="L934" s="6">
        <v>19.7</v>
      </c>
      <c r="M934" s="1" t="s">
        <v>70</v>
      </c>
      <c r="N934" s="7" t="s">
        <v>44</v>
      </c>
      <c r="O934" s="1" t="s">
        <v>53</v>
      </c>
      <c r="P934" s="8">
        <v>1650</v>
      </c>
      <c r="Q934" s="17">
        <f t="shared" si="91"/>
        <v>32505</v>
      </c>
      <c r="R934" s="9">
        <v>900</v>
      </c>
      <c r="S934" s="9">
        <v>4.6500000000000004</v>
      </c>
      <c r="T934" s="9">
        <v>325.05</v>
      </c>
      <c r="U934" s="10">
        <v>0</v>
      </c>
      <c r="V934" s="1" t="s">
        <v>46</v>
      </c>
      <c r="W934" s="1" t="s">
        <v>59</v>
      </c>
      <c r="X934" s="1">
        <v>5562717</v>
      </c>
      <c r="Y934" s="11">
        <v>41928</v>
      </c>
      <c r="Z934" s="11">
        <v>41930</v>
      </c>
      <c r="AA934" s="9">
        <f t="shared" si="92"/>
        <v>31600.35</v>
      </c>
      <c r="AB934" s="12">
        <v>61.3</v>
      </c>
      <c r="AC934" s="9">
        <f t="shared" si="93"/>
        <v>1992556.5</v>
      </c>
      <c r="AD934" s="9">
        <f t="shared" si="94"/>
        <v>1937101.4549999998</v>
      </c>
      <c r="AE934" s="1"/>
      <c r="AF934" s="1" t="s">
        <v>53</v>
      </c>
      <c r="AG934" s="4">
        <f t="shared" si="89"/>
        <v>32505</v>
      </c>
      <c r="AH934" s="10">
        <v>32505</v>
      </c>
      <c r="AI934" s="10">
        <v>850</v>
      </c>
      <c r="AJ934" s="10">
        <v>4.6500000000000004</v>
      </c>
      <c r="AK934" s="10">
        <v>325.05</v>
      </c>
      <c r="AL934" s="9">
        <f t="shared" si="90"/>
        <v>31325.3</v>
      </c>
      <c r="AM934" s="1"/>
      <c r="AN934" s="1"/>
      <c r="AO934" s="12" t="e">
        <f>AB934/#REF!</f>
        <v>#REF!</v>
      </c>
      <c r="AP934" s="1" t="s">
        <v>2575</v>
      </c>
      <c r="AQ934" s="11">
        <v>41964</v>
      </c>
      <c r="AR934" s="1" t="s">
        <v>4187</v>
      </c>
      <c r="AS934" s="11">
        <v>42059</v>
      </c>
      <c r="AT934" s="1" t="s">
        <v>49</v>
      </c>
      <c r="AU934" s="1" t="s">
        <v>4188</v>
      </c>
    </row>
    <row r="935" spans="1:47" ht="15" customHeight="1" x14ac:dyDescent="0.25">
      <c r="A935" s="1">
        <v>930</v>
      </c>
      <c r="B935" s="1" t="s">
        <v>1258</v>
      </c>
      <c r="C935" s="1" t="s">
        <v>38</v>
      </c>
      <c r="D935" s="1">
        <v>9103550742</v>
      </c>
      <c r="E935" s="5">
        <v>41934</v>
      </c>
      <c r="F935" s="1" t="s">
        <v>828</v>
      </c>
      <c r="G935" s="1" t="s">
        <v>40</v>
      </c>
      <c r="H935" s="1" t="s">
        <v>41</v>
      </c>
      <c r="I935" s="1" t="s">
        <v>2809</v>
      </c>
      <c r="J935" s="1" t="s">
        <v>50</v>
      </c>
      <c r="K935" s="1">
        <v>38237090</v>
      </c>
      <c r="L935" s="6">
        <v>10</v>
      </c>
      <c r="M935" s="1" t="s">
        <v>70</v>
      </c>
      <c r="N935" s="7" t="s">
        <v>52</v>
      </c>
      <c r="O935" s="1" t="s">
        <v>53</v>
      </c>
      <c r="P935" s="8">
        <v>1675</v>
      </c>
      <c r="Q935" s="17">
        <f t="shared" si="91"/>
        <v>16750</v>
      </c>
      <c r="R935" s="9">
        <v>1100</v>
      </c>
      <c r="S935" s="9">
        <v>0</v>
      </c>
      <c r="T935" s="9">
        <v>0</v>
      </c>
      <c r="U935" s="10">
        <v>0</v>
      </c>
      <c r="V935" s="1" t="s">
        <v>46</v>
      </c>
      <c r="W935" s="1" t="s">
        <v>62</v>
      </c>
      <c r="X935" s="1">
        <v>5573133</v>
      </c>
      <c r="Y935" s="11">
        <v>41929</v>
      </c>
      <c r="Z935" s="11">
        <v>41930</v>
      </c>
      <c r="AA935" s="9">
        <f t="shared" si="92"/>
        <v>15650</v>
      </c>
      <c r="AB935" s="12">
        <v>61.05</v>
      </c>
      <c r="AC935" s="9">
        <f t="shared" si="93"/>
        <v>1022587.5</v>
      </c>
      <c r="AD935" s="9">
        <f t="shared" si="94"/>
        <v>955432.5</v>
      </c>
      <c r="AE935" s="1" t="s">
        <v>284</v>
      </c>
      <c r="AF935" s="1" t="s">
        <v>53</v>
      </c>
      <c r="AG935" s="4">
        <f t="shared" si="89"/>
        <v>16750</v>
      </c>
      <c r="AH935" s="10">
        <v>16750</v>
      </c>
      <c r="AI935" s="10">
        <v>1056</v>
      </c>
      <c r="AJ935" s="10">
        <v>0</v>
      </c>
      <c r="AK935" s="10">
        <v>0</v>
      </c>
      <c r="AL935" s="9">
        <f t="shared" si="90"/>
        <v>15694</v>
      </c>
      <c r="AM935" s="1"/>
      <c r="AN935" s="1"/>
      <c r="AO935" s="12" t="e">
        <f>AB935/#REF!</f>
        <v>#REF!</v>
      </c>
      <c r="AP935" s="1" t="s">
        <v>2578</v>
      </c>
      <c r="AQ935" s="11">
        <v>42027</v>
      </c>
      <c r="AR935" s="1" t="s">
        <v>2579</v>
      </c>
      <c r="AS935" s="11">
        <v>42027</v>
      </c>
      <c r="AT935" s="1" t="s">
        <v>49</v>
      </c>
      <c r="AU935" s="1" t="s">
        <v>4171</v>
      </c>
    </row>
    <row r="936" spans="1:47" ht="15" customHeight="1" x14ac:dyDescent="0.25">
      <c r="A936" s="1">
        <v>931</v>
      </c>
      <c r="B936" s="1" t="s">
        <v>1258</v>
      </c>
      <c r="C936" s="1" t="s">
        <v>38</v>
      </c>
      <c r="D936" s="1">
        <v>9103550743</v>
      </c>
      <c r="E936" s="5">
        <v>41934</v>
      </c>
      <c r="F936" s="1" t="s">
        <v>826</v>
      </c>
      <c r="G936" s="1" t="s">
        <v>40</v>
      </c>
      <c r="H936" s="1" t="s">
        <v>41</v>
      </c>
      <c r="I936" s="1" t="s">
        <v>2809</v>
      </c>
      <c r="J936" s="1" t="s">
        <v>2481</v>
      </c>
      <c r="K936" s="1">
        <v>38237090</v>
      </c>
      <c r="L936" s="6">
        <v>19.21</v>
      </c>
      <c r="M936" s="1" t="s">
        <v>70</v>
      </c>
      <c r="N936" s="7" t="s">
        <v>44</v>
      </c>
      <c r="O936" s="1" t="s">
        <v>53</v>
      </c>
      <c r="P936" s="8">
        <v>1265</v>
      </c>
      <c r="Q936" s="17">
        <f t="shared" si="91"/>
        <v>24300.65</v>
      </c>
      <c r="R936" s="9">
        <v>400</v>
      </c>
      <c r="S936" s="9">
        <v>3.47</v>
      </c>
      <c r="T936" s="9">
        <v>0</v>
      </c>
      <c r="U936" s="10">
        <v>0</v>
      </c>
      <c r="V936" s="1" t="s">
        <v>46</v>
      </c>
      <c r="W936" s="1" t="s">
        <v>64</v>
      </c>
      <c r="X936" s="1">
        <v>5573149</v>
      </c>
      <c r="Y936" s="11">
        <v>41929</v>
      </c>
      <c r="Z936" s="11">
        <v>41930</v>
      </c>
      <c r="AA936" s="9">
        <f t="shared" si="92"/>
        <v>23897.18</v>
      </c>
      <c r="AB936" s="12">
        <v>61.05</v>
      </c>
      <c r="AC936" s="9">
        <f t="shared" si="93"/>
        <v>1483554.6825000001</v>
      </c>
      <c r="AD936" s="9">
        <f t="shared" si="94"/>
        <v>1458922.8389999999</v>
      </c>
      <c r="AE936" s="1" t="s">
        <v>48</v>
      </c>
      <c r="AF936" s="1" t="s">
        <v>53</v>
      </c>
      <c r="AG936" s="4">
        <f t="shared" si="89"/>
        <v>24300.65</v>
      </c>
      <c r="AH936" s="10">
        <v>24139.65</v>
      </c>
      <c r="AI936" s="10">
        <v>350</v>
      </c>
      <c r="AJ936" s="10">
        <v>3.47</v>
      </c>
      <c r="AK936" s="10">
        <v>0</v>
      </c>
      <c r="AL936" s="9">
        <f t="shared" si="90"/>
        <v>23786.18</v>
      </c>
      <c r="AM936" s="1"/>
      <c r="AN936" s="1"/>
      <c r="AO936" s="12" t="e">
        <f>AB936/#REF!</f>
        <v>#REF!</v>
      </c>
      <c r="AP936" s="1" t="s">
        <v>2580</v>
      </c>
      <c r="AQ936" s="11">
        <v>41953</v>
      </c>
      <c r="AR936" s="1" t="s">
        <v>2581</v>
      </c>
      <c r="AS936" s="11">
        <v>41954</v>
      </c>
      <c r="AT936" s="1" t="s">
        <v>49</v>
      </c>
      <c r="AU936" s="1" t="s">
        <v>4171</v>
      </c>
    </row>
    <row r="937" spans="1:47" ht="15" customHeight="1" x14ac:dyDescent="0.25">
      <c r="A937" s="1">
        <v>932</v>
      </c>
      <c r="B937" s="1" t="s">
        <v>1258</v>
      </c>
      <c r="C937" s="1" t="s">
        <v>38</v>
      </c>
      <c r="D937" s="1">
        <v>9103550744</v>
      </c>
      <c r="E937" s="5">
        <v>41932</v>
      </c>
      <c r="F937" s="1" t="s">
        <v>821</v>
      </c>
      <c r="G937" s="1" t="s">
        <v>40</v>
      </c>
      <c r="H937" s="1" t="s">
        <v>41</v>
      </c>
      <c r="I937" s="1" t="s">
        <v>2809</v>
      </c>
      <c r="J937" s="1" t="s">
        <v>2215</v>
      </c>
      <c r="K937" s="1">
        <v>29161990</v>
      </c>
      <c r="L937" s="6">
        <v>19.52</v>
      </c>
      <c r="M937" s="1" t="s">
        <v>70</v>
      </c>
      <c r="N937" s="7" t="s">
        <v>44</v>
      </c>
      <c r="O937" s="1" t="s">
        <v>53</v>
      </c>
      <c r="P937" s="8">
        <v>2470</v>
      </c>
      <c r="Q937" s="17">
        <f t="shared" si="91"/>
        <v>48214.400000000001</v>
      </c>
      <c r="R937" s="9">
        <v>550</v>
      </c>
      <c r="S937" s="9">
        <v>6.89</v>
      </c>
      <c r="T937" s="9">
        <v>0</v>
      </c>
      <c r="U937" s="10">
        <v>0</v>
      </c>
      <c r="V937" s="1" t="s">
        <v>46</v>
      </c>
      <c r="W937" s="1" t="s">
        <v>127</v>
      </c>
      <c r="X937" s="1">
        <v>5582320</v>
      </c>
      <c r="Y937" s="11">
        <v>41929</v>
      </c>
      <c r="Z937" s="11">
        <v>41930</v>
      </c>
      <c r="AA937" s="9">
        <f t="shared" si="92"/>
        <v>47657.51</v>
      </c>
      <c r="AB937" s="12">
        <v>61.05</v>
      </c>
      <c r="AC937" s="9">
        <f t="shared" si="93"/>
        <v>2943489.12</v>
      </c>
      <c r="AD937" s="9">
        <f t="shared" si="94"/>
        <v>2909490.9855</v>
      </c>
      <c r="AE937" s="1" t="s">
        <v>48</v>
      </c>
      <c r="AF937" s="1" t="s">
        <v>53</v>
      </c>
      <c r="AG937" s="4">
        <f t="shared" si="89"/>
        <v>48214.400000000001</v>
      </c>
      <c r="AH937" s="10">
        <v>48149.4</v>
      </c>
      <c r="AI937" s="10">
        <v>550</v>
      </c>
      <c r="AJ937" s="10">
        <v>6.89</v>
      </c>
      <c r="AK937" s="10">
        <v>0</v>
      </c>
      <c r="AL937" s="9">
        <f t="shared" si="90"/>
        <v>47592.51</v>
      </c>
      <c r="AM937" s="1"/>
      <c r="AN937" s="1"/>
      <c r="AO937" s="12" t="e">
        <f>AB937/#REF!</f>
        <v>#REF!</v>
      </c>
      <c r="AP937" s="1" t="s">
        <v>2582</v>
      </c>
      <c r="AQ937" s="11">
        <v>42012</v>
      </c>
      <c r="AR937" s="1" t="s">
        <v>2583</v>
      </c>
      <c r="AS937" s="11">
        <v>42014</v>
      </c>
      <c r="AT937" s="1" t="s">
        <v>49</v>
      </c>
      <c r="AU937" s="1" t="s">
        <v>4171</v>
      </c>
    </row>
    <row r="938" spans="1:47" ht="15" customHeight="1" x14ac:dyDescent="0.25">
      <c r="A938" s="1">
        <v>933</v>
      </c>
      <c r="B938" s="1" t="s">
        <v>1258</v>
      </c>
      <c r="C938" s="1" t="s">
        <v>38</v>
      </c>
      <c r="D938" s="1">
        <v>9103550745</v>
      </c>
      <c r="E938" s="5">
        <v>41934</v>
      </c>
      <c r="F938" s="1" t="s">
        <v>827</v>
      </c>
      <c r="G938" s="1" t="s">
        <v>40</v>
      </c>
      <c r="H938" s="1" t="s">
        <v>41</v>
      </c>
      <c r="I938" s="1" t="s">
        <v>2809</v>
      </c>
      <c r="J938" s="1" t="s">
        <v>63</v>
      </c>
      <c r="K938" s="1">
        <v>29054500</v>
      </c>
      <c r="L938" s="6">
        <v>20</v>
      </c>
      <c r="M938" s="1" t="s">
        <v>70</v>
      </c>
      <c r="N938" s="7" t="s">
        <v>52</v>
      </c>
      <c r="O938" s="1" t="s">
        <v>53</v>
      </c>
      <c r="P938" s="8">
        <v>1025</v>
      </c>
      <c r="Q938" s="17">
        <f t="shared" si="91"/>
        <v>20500</v>
      </c>
      <c r="R938" s="9">
        <v>100</v>
      </c>
      <c r="S938" s="9">
        <v>0</v>
      </c>
      <c r="T938" s="9">
        <v>0</v>
      </c>
      <c r="U938" s="10">
        <v>0</v>
      </c>
      <c r="V938" s="1" t="s">
        <v>46</v>
      </c>
      <c r="W938" s="1" t="s">
        <v>75</v>
      </c>
      <c r="X938" s="1">
        <v>5583192</v>
      </c>
      <c r="Y938" s="11">
        <v>41929</v>
      </c>
      <c r="Z938" s="11">
        <v>41930</v>
      </c>
      <c r="AA938" s="9">
        <f t="shared" si="92"/>
        <v>20400</v>
      </c>
      <c r="AB938" s="12">
        <v>61.05</v>
      </c>
      <c r="AC938" s="9">
        <f t="shared" si="93"/>
        <v>1251525</v>
      </c>
      <c r="AD938" s="9">
        <f t="shared" si="94"/>
        <v>1245420</v>
      </c>
      <c r="AE938" s="1" t="s">
        <v>284</v>
      </c>
      <c r="AF938" s="1" t="s">
        <v>53</v>
      </c>
      <c r="AG938" s="4">
        <f t="shared" si="89"/>
        <v>20500</v>
      </c>
      <c r="AH938" s="10">
        <v>20480</v>
      </c>
      <c r="AI938" s="10">
        <v>125</v>
      </c>
      <c r="AJ938" s="10">
        <v>0</v>
      </c>
      <c r="AK938" s="10">
        <v>0</v>
      </c>
      <c r="AL938" s="9">
        <f t="shared" si="90"/>
        <v>20355</v>
      </c>
      <c r="AM938" s="1"/>
      <c r="AN938" s="1"/>
      <c r="AO938" s="12" t="e">
        <f>AB938/#REF!</f>
        <v>#REF!</v>
      </c>
      <c r="AP938" s="1" t="s">
        <v>2584</v>
      </c>
      <c r="AQ938" s="11">
        <v>41961</v>
      </c>
      <c r="AR938" s="1" t="s">
        <v>2585</v>
      </c>
      <c r="AS938" s="11">
        <v>41961</v>
      </c>
      <c r="AT938" s="1" t="s">
        <v>49</v>
      </c>
      <c r="AU938" s="1" t="s">
        <v>4171</v>
      </c>
    </row>
    <row r="939" spans="1:47" ht="15" customHeight="1" x14ac:dyDescent="0.25">
      <c r="A939" s="1">
        <v>934</v>
      </c>
      <c r="B939" s="1" t="s">
        <v>1258</v>
      </c>
      <c r="C939" s="1" t="s">
        <v>38</v>
      </c>
      <c r="D939" s="1">
        <v>9103550746</v>
      </c>
      <c r="E939" s="5">
        <v>41932</v>
      </c>
      <c r="F939" s="1" t="s">
        <v>833</v>
      </c>
      <c r="G939" s="1" t="s">
        <v>40</v>
      </c>
      <c r="H939" s="1" t="s">
        <v>41</v>
      </c>
      <c r="I939" s="1" t="s">
        <v>2809</v>
      </c>
      <c r="J939" s="1" t="s">
        <v>187</v>
      </c>
      <c r="K939" s="1">
        <v>38237090</v>
      </c>
      <c r="L939" s="6">
        <v>18.46</v>
      </c>
      <c r="M939" s="1" t="s">
        <v>70</v>
      </c>
      <c r="N939" s="7" t="s">
        <v>44</v>
      </c>
      <c r="O939" s="1" t="s">
        <v>53</v>
      </c>
      <c r="P939" s="8">
        <v>1633</v>
      </c>
      <c r="Q939" s="17">
        <f t="shared" si="91"/>
        <v>30145.18</v>
      </c>
      <c r="R939" s="9">
        <v>4300</v>
      </c>
      <c r="S939" s="9">
        <v>4.3099999999999996</v>
      </c>
      <c r="T939" s="9">
        <v>0</v>
      </c>
      <c r="U939" s="10">
        <v>0</v>
      </c>
      <c r="V939" s="1" t="s">
        <v>46</v>
      </c>
      <c r="W939" s="1" t="s">
        <v>56</v>
      </c>
      <c r="X939" s="1">
        <v>5584959</v>
      </c>
      <c r="Y939" s="11">
        <v>41929</v>
      </c>
      <c r="Z939" s="11">
        <v>41930</v>
      </c>
      <c r="AA939" s="9">
        <f t="shared" si="92"/>
        <v>25840.87</v>
      </c>
      <c r="AB939" s="12">
        <v>61.05</v>
      </c>
      <c r="AC939" s="9">
        <f t="shared" si="93"/>
        <v>1840363.2389999998</v>
      </c>
      <c r="AD939" s="9">
        <f t="shared" si="94"/>
        <v>1577585.1135</v>
      </c>
      <c r="AE939" s="1" t="s">
        <v>48</v>
      </c>
      <c r="AF939" s="1" t="s">
        <v>53</v>
      </c>
      <c r="AG939" s="4">
        <f t="shared" si="89"/>
        <v>30145.18</v>
      </c>
      <c r="AH939" s="10">
        <v>30145.18</v>
      </c>
      <c r="AI939" s="10">
        <v>3815</v>
      </c>
      <c r="AJ939" s="10">
        <v>4.3099999999999996</v>
      </c>
      <c r="AK939" s="10">
        <v>0</v>
      </c>
      <c r="AL939" s="9">
        <f t="shared" si="90"/>
        <v>26325.87</v>
      </c>
      <c r="AM939" s="1"/>
      <c r="AN939" s="1"/>
      <c r="AO939" s="12" t="e">
        <f>AB939/#REF!</f>
        <v>#REF!</v>
      </c>
      <c r="AP939" s="1" t="s">
        <v>2586</v>
      </c>
      <c r="AQ939" s="11">
        <v>41964</v>
      </c>
      <c r="AR939" s="1" t="s">
        <v>2587</v>
      </c>
      <c r="AS939" s="11">
        <v>41967</v>
      </c>
      <c r="AT939" s="1" t="s">
        <v>49</v>
      </c>
      <c r="AU939" s="1" t="s">
        <v>4171</v>
      </c>
    </row>
    <row r="940" spans="1:47" ht="15" customHeight="1" x14ac:dyDescent="0.25">
      <c r="A940" s="1">
        <v>935</v>
      </c>
      <c r="B940" s="1" t="s">
        <v>1258</v>
      </c>
      <c r="C940" s="1" t="s">
        <v>38</v>
      </c>
      <c r="D940" s="1">
        <v>9103550747</v>
      </c>
      <c r="E940" s="5">
        <v>41936</v>
      </c>
      <c r="F940" s="1" t="s">
        <v>832</v>
      </c>
      <c r="G940" s="1" t="s">
        <v>40</v>
      </c>
      <c r="H940" s="1" t="s">
        <v>41</v>
      </c>
      <c r="I940" s="1" t="s">
        <v>2809</v>
      </c>
      <c r="J940" s="1" t="s">
        <v>187</v>
      </c>
      <c r="K940" s="1">
        <v>38237090</v>
      </c>
      <c r="L940" s="6">
        <v>18.14</v>
      </c>
      <c r="M940" s="1" t="s">
        <v>70</v>
      </c>
      <c r="N940" s="7" t="s">
        <v>44</v>
      </c>
      <c r="O940" s="1" t="s">
        <v>53</v>
      </c>
      <c r="P940" s="8">
        <v>4294</v>
      </c>
      <c r="Q940" s="17">
        <f t="shared" si="91"/>
        <v>77893.16</v>
      </c>
      <c r="R940" s="9">
        <v>3410</v>
      </c>
      <c r="S940" s="9">
        <v>11.14</v>
      </c>
      <c r="T940" s="9">
        <v>0</v>
      </c>
      <c r="U940" s="10">
        <v>0</v>
      </c>
      <c r="V940" s="1" t="s">
        <v>46</v>
      </c>
      <c r="W940" s="1" t="s">
        <v>56</v>
      </c>
      <c r="X940" s="1">
        <v>5599496</v>
      </c>
      <c r="Y940" s="11">
        <v>41930</v>
      </c>
      <c r="Z940" s="11">
        <v>41932</v>
      </c>
      <c r="AA940" s="9">
        <f t="shared" si="92"/>
        <v>74472.02</v>
      </c>
      <c r="AB940" s="12">
        <v>61.05</v>
      </c>
      <c r="AC940" s="9">
        <f t="shared" si="93"/>
        <v>4755377.4179999996</v>
      </c>
      <c r="AD940" s="9">
        <f t="shared" si="94"/>
        <v>4546516.8210000005</v>
      </c>
      <c r="AE940" s="1" t="s">
        <v>48</v>
      </c>
      <c r="AF940" s="1" t="s">
        <v>53</v>
      </c>
      <c r="AG940" s="4">
        <f t="shared" ref="AG940:AG1003" si="95">Q940</f>
        <v>77893.16</v>
      </c>
      <c r="AH940" s="10">
        <v>77893.16</v>
      </c>
      <c r="AI940" s="10">
        <v>3403</v>
      </c>
      <c r="AJ940" s="10">
        <v>11.14</v>
      </c>
      <c r="AK940" s="10">
        <v>0</v>
      </c>
      <c r="AL940" s="9">
        <f t="shared" ref="AL940:AL1003" si="96">AH940-(AI940+AJ940+AK940)</f>
        <v>74479.02</v>
      </c>
      <c r="AM940" s="1"/>
      <c r="AN940" s="1"/>
      <c r="AO940" s="12" t="e">
        <f>AB940/#REF!</f>
        <v>#REF!</v>
      </c>
      <c r="AP940" s="1" t="s">
        <v>2588</v>
      </c>
      <c r="AQ940" s="11">
        <v>41964</v>
      </c>
      <c r="AR940" s="1" t="s">
        <v>2589</v>
      </c>
      <c r="AS940" s="11">
        <v>41967</v>
      </c>
      <c r="AT940" s="1" t="s">
        <v>49</v>
      </c>
      <c r="AU940" s="1" t="s">
        <v>4171</v>
      </c>
    </row>
    <row r="941" spans="1:47" ht="15" customHeight="1" x14ac:dyDescent="0.25">
      <c r="A941" s="1">
        <v>936</v>
      </c>
      <c r="B941" s="1" t="s">
        <v>1258</v>
      </c>
      <c r="C941" s="1" t="s">
        <v>38</v>
      </c>
      <c r="D941" s="1">
        <v>9103550748</v>
      </c>
      <c r="E941" s="5">
        <v>41936</v>
      </c>
      <c r="F941" s="1" t="s">
        <v>831</v>
      </c>
      <c r="G941" s="1" t="s">
        <v>40</v>
      </c>
      <c r="H941" s="1" t="s">
        <v>41</v>
      </c>
      <c r="I941" s="1" t="s">
        <v>2809</v>
      </c>
      <c r="J941" s="1" t="s">
        <v>187</v>
      </c>
      <c r="K941" s="1">
        <v>38237090</v>
      </c>
      <c r="L941" s="6">
        <v>18.14</v>
      </c>
      <c r="M941" s="1" t="s">
        <v>70</v>
      </c>
      <c r="N941" s="7" t="s">
        <v>44</v>
      </c>
      <c r="O941" s="1" t="s">
        <v>53</v>
      </c>
      <c r="P941" s="8">
        <v>4283</v>
      </c>
      <c r="Q941" s="17">
        <f t="shared" si="91"/>
        <v>77693.62</v>
      </c>
      <c r="R941" s="9">
        <v>3310</v>
      </c>
      <c r="S941" s="9">
        <v>11.11</v>
      </c>
      <c r="T941" s="9">
        <v>0</v>
      </c>
      <c r="U941" s="10">
        <v>0</v>
      </c>
      <c r="V941" s="1" t="s">
        <v>46</v>
      </c>
      <c r="W941" s="1" t="s">
        <v>56</v>
      </c>
      <c r="X941" s="1">
        <v>5599497</v>
      </c>
      <c r="Y941" s="11">
        <v>41930</v>
      </c>
      <c r="Z941" s="11">
        <v>41932</v>
      </c>
      <c r="AA941" s="9">
        <f t="shared" si="92"/>
        <v>74372.509999999995</v>
      </c>
      <c r="AB941" s="12">
        <v>61.05</v>
      </c>
      <c r="AC941" s="9">
        <f t="shared" si="93"/>
        <v>4743195.5009999992</v>
      </c>
      <c r="AD941" s="9">
        <f t="shared" si="94"/>
        <v>4540441.7354999995</v>
      </c>
      <c r="AE941" s="1" t="s">
        <v>48</v>
      </c>
      <c r="AF941" s="1" t="s">
        <v>53</v>
      </c>
      <c r="AG941" s="4">
        <f t="shared" si="95"/>
        <v>77693.62</v>
      </c>
      <c r="AH941" s="10">
        <v>77693.62</v>
      </c>
      <c r="AI941" s="10">
        <v>3274</v>
      </c>
      <c r="AJ941" s="10">
        <v>11.11</v>
      </c>
      <c r="AK941" s="10">
        <v>0</v>
      </c>
      <c r="AL941" s="9">
        <f t="shared" si="96"/>
        <v>74408.509999999995</v>
      </c>
      <c r="AM941" s="1"/>
      <c r="AN941" s="1"/>
      <c r="AO941" s="12" t="e">
        <f>AB941/#REF!</f>
        <v>#REF!</v>
      </c>
      <c r="AP941" s="1" t="s">
        <v>2590</v>
      </c>
      <c r="AQ941" s="11">
        <v>41964</v>
      </c>
      <c r="AR941" s="1" t="s">
        <v>2591</v>
      </c>
      <c r="AS941" s="11">
        <v>41967</v>
      </c>
      <c r="AT941" s="1" t="s">
        <v>49</v>
      </c>
      <c r="AU941" s="1" t="s">
        <v>4171</v>
      </c>
    </row>
    <row r="942" spans="1:47" ht="15" customHeight="1" x14ac:dyDescent="0.25">
      <c r="A942" s="1">
        <v>937</v>
      </c>
      <c r="B942" s="1" t="s">
        <v>1258</v>
      </c>
      <c r="C942" s="1" t="s">
        <v>38</v>
      </c>
      <c r="D942" s="1">
        <v>9103550749</v>
      </c>
      <c r="E942" s="5">
        <v>41935</v>
      </c>
      <c r="F942" s="1" t="s">
        <v>836</v>
      </c>
      <c r="G942" s="1" t="s">
        <v>40</v>
      </c>
      <c r="H942" s="1" t="s">
        <v>41</v>
      </c>
      <c r="I942" s="1" t="s">
        <v>2809</v>
      </c>
      <c r="J942" s="1" t="s">
        <v>386</v>
      </c>
      <c r="K942" s="1">
        <v>38237090</v>
      </c>
      <c r="L942" s="6">
        <v>185.86</v>
      </c>
      <c r="M942" s="1" t="s">
        <v>70</v>
      </c>
      <c r="N942" s="7" t="s">
        <v>52</v>
      </c>
      <c r="O942" s="1" t="s">
        <v>53</v>
      </c>
      <c r="P942" s="8">
        <v>1275</v>
      </c>
      <c r="Q942" s="17">
        <f t="shared" si="91"/>
        <v>236971.50000000003</v>
      </c>
      <c r="R942" s="9">
        <v>8500</v>
      </c>
      <c r="S942" s="9">
        <v>0</v>
      </c>
      <c r="T942" s="9">
        <v>0</v>
      </c>
      <c r="U942" s="10">
        <v>0</v>
      </c>
      <c r="V942" s="1" t="s">
        <v>46</v>
      </c>
      <c r="W942" s="1" t="s">
        <v>241</v>
      </c>
      <c r="X942" s="1">
        <v>5604030</v>
      </c>
      <c r="Y942" s="11">
        <v>41930</v>
      </c>
      <c r="Z942" s="11">
        <v>41932</v>
      </c>
      <c r="AA942" s="9">
        <f t="shared" si="92"/>
        <v>228471.50000000003</v>
      </c>
      <c r="AB942" s="12">
        <v>61.05</v>
      </c>
      <c r="AC942" s="9">
        <f t="shared" si="93"/>
        <v>14467110.075000001</v>
      </c>
      <c r="AD942" s="9">
        <f t="shared" si="94"/>
        <v>13948185.075000001</v>
      </c>
      <c r="AE942" s="1" t="s">
        <v>51</v>
      </c>
      <c r="AF942" s="1" t="s">
        <v>53</v>
      </c>
      <c r="AG942" s="4">
        <f t="shared" si="95"/>
        <v>236971.50000000003</v>
      </c>
      <c r="AH942" s="10">
        <v>236971</v>
      </c>
      <c r="AI942" s="10">
        <v>7500</v>
      </c>
      <c r="AJ942" s="10">
        <v>0</v>
      </c>
      <c r="AK942" s="10">
        <v>0</v>
      </c>
      <c r="AL942" s="9">
        <f t="shared" si="96"/>
        <v>229471</v>
      </c>
      <c r="AM942" s="1"/>
      <c r="AN942" s="1"/>
      <c r="AO942" s="12" t="e">
        <f>AB942/#REF!</f>
        <v>#REF!</v>
      </c>
      <c r="AP942" s="1" t="s">
        <v>2592</v>
      </c>
      <c r="AQ942" s="11">
        <v>42027</v>
      </c>
      <c r="AR942" s="1" t="s">
        <v>2593</v>
      </c>
      <c r="AS942" s="11">
        <v>42059</v>
      </c>
      <c r="AT942" s="1" t="s">
        <v>49</v>
      </c>
      <c r="AU942" s="1" t="s">
        <v>4171</v>
      </c>
    </row>
    <row r="943" spans="1:47" ht="15" customHeight="1" x14ac:dyDescent="0.25">
      <c r="A943" s="1">
        <v>938</v>
      </c>
      <c r="B943" s="1" t="s">
        <v>1258</v>
      </c>
      <c r="C943" s="1" t="s">
        <v>38</v>
      </c>
      <c r="D943" s="1">
        <v>9103550750</v>
      </c>
      <c r="E943" s="5">
        <v>41934</v>
      </c>
      <c r="F943" s="1" t="s">
        <v>2960</v>
      </c>
      <c r="G943" s="1" t="s">
        <v>40</v>
      </c>
      <c r="H943" s="1" t="s">
        <v>41</v>
      </c>
      <c r="I943" s="1" t="s">
        <v>2809</v>
      </c>
      <c r="J943" s="1" t="s">
        <v>1115</v>
      </c>
      <c r="K943" s="1">
        <v>38237090</v>
      </c>
      <c r="L943" s="6">
        <v>15</v>
      </c>
      <c r="M943" s="1" t="s">
        <v>70</v>
      </c>
      <c r="N943" s="7" t="s">
        <v>44</v>
      </c>
      <c r="O943" s="1" t="s">
        <v>53</v>
      </c>
      <c r="P943" s="8">
        <v>1535</v>
      </c>
      <c r="Q943" s="17">
        <f t="shared" si="91"/>
        <v>23025</v>
      </c>
      <c r="R943" s="9">
        <v>960</v>
      </c>
      <c r="S943" s="9">
        <v>3.29</v>
      </c>
      <c r="T943" s="9">
        <v>0</v>
      </c>
      <c r="U943" s="10">
        <v>0</v>
      </c>
      <c r="V943" s="1" t="s">
        <v>46</v>
      </c>
      <c r="W943" s="1" t="s">
        <v>790</v>
      </c>
      <c r="X943" s="1">
        <v>5604028</v>
      </c>
      <c r="Y943" s="11">
        <v>41930</v>
      </c>
      <c r="Z943" s="11">
        <v>41932</v>
      </c>
      <c r="AA943" s="9">
        <f t="shared" si="92"/>
        <v>22061.71</v>
      </c>
      <c r="AB943" s="12">
        <v>61.05</v>
      </c>
      <c r="AC943" s="9">
        <f t="shared" si="93"/>
        <v>1405676.25</v>
      </c>
      <c r="AD943" s="9">
        <f t="shared" si="94"/>
        <v>1346867.3954999999</v>
      </c>
      <c r="AE943" s="1" t="s">
        <v>48</v>
      </c>
      <c r="AF943" s="1" t="s">
        <v>53</v>
      </c>
      <c r="AG943" s="4">
        <f t="shared" si="95"/>
        <v>23025</v>
      </c>
      <c r="AH943" s="10">
        <v>22950</v>
      </c>
      <c r="AI943" s="10">
        <v>960</v>
      </c>
      <c r="AJ943" s="10">
        <v>3.29</v>
      </c>
      <c r="AK943" s="10">
        <v>0</v>
      </c>
      <c r="AL943" s="9">
        <f t="shared" si="96"/>
        <v>21986.71</v>
      </c>
      <c r="AM943" s="1"/>
      <c r="AN943" s="1"/>
      <c r="AO943" s="12" t="e">
        <f>AB943/#REF!</f>
        <v>#REF!</v>
      </c>
      <c r="AP943" s="1"/>
      <c r="AQ943" s="11">
        <v>41999</v>
      </c>
      <c r="AR943" s="1" t="s">
        <v>3371</v>
      </c>
      <c r="AS943" s="11">
        <v>42000</v>
      </c>
      <c r="AT943" s="1" t="s">
        <v>49</v>
      </c>
      <c r="AU943" s="1" t="s">
        <v>4171</v>
      </c>
    </row>
    <row r="944" spans="1:47" ht="15" customHeight="1" x14ac:dyDescent="0.25">
      <c r="A944" s="1">
        <v>939</v>
      </c>
      <c r="B944" s="1" t="s">
        <v>1258</v>
      </c>
      <c r="C944" s="1" t="s">
        <v>38</v>
      </c>
      <c r="D944" s="1">
        <v>9103550751</v>
      </c>
      <c r="E944" s="5">
        <v>41936</v>
      </c>
      <c r="F944" s="1" t="s">
        <v>2961</v>
      </c>
      <c r="G944" s="1" t="s">
        <v>40</v>
      </c>
      <c r="H944" s="1" t="s">
        <v>41</v>
      </c>
      <c r="I944" s="1" t="s">
        <v>2809</v>
      </c>
      <c r="J944" s="1" t="s">
        <v>2962</v>
      </c>
      <c r="K944" s="1">
        <v>38237090</v>
      </c>
      <c r="L944" s="6">
        <v>15</v>
      </c>
      <c r="M944" s="1" t="s">
        <v>70</v>
      </c>
      <c r="N944" s="7" t="s">
        <v>52</v>
      </c>
      <c r="O944" s="1" t="s">
        <v>53</v>
      </c>
      <c r="P944" s="8">
        <v>1675</v>
      </c>
      <c r="Q944" s="17">
        <f t="shared" si="91"/>
        <v>25125</v>
      </c>
      <c r="R944" s="9">
        <v>1650</v>
      </c>
      <c r="S944" s="9">
        <v>0</v>
      </c>
      <c r="T944" s="9">
        <v>0</v>
      </c>
      <c r="U944" s="10">
        <v>0</v>
      </c>
      <c r="V944" s="1" t="s">
        <v>46</v>
      </c>
      <c r="W944" s="1" t="s">
        <v>2963</v>
      </c>
      <c r="X944" s="1">
        <v>5604269</v>
      </c>
      <c r="Y944" s="11">
        <v>41930</v>
      </c>
      <c r="Z944" s="11">
        <v>41932</v>
      </c>
      <c r="AA944" s="9">
        <f t="shared" si="92"/>
        <v>23475</v>
      </c>
      <c r="AB944" s="12">
        <v>61.05</v>
      </c>
      <c r="AC944" s="9">
        <f t="shared" si="93"/>
        <v>1533881.25</v>
      </c>
      <c r="AD944" s="9">
        <f t="shared" si="94"/>
        <v>1433148.75</v>
      </c>
      <c r="AE944" s="1" t="s">
        <v>48</v>
      </c>
      <c r="AF944" s="1" t="s">
        <v>53</v>
      </c>
      <c r="AG944" s="4">
        <f t="shared" si="95"/>
        <v>25125</v>
      </c>
      <c r="AH944" s="10">
        <v>24233.279999999999</v>
      </c>
      <c r="AI944" s="10">
        <v>1608</v>
      </c>
      <c r="AJ944" s="10">
        <v>0</v>
      </c>
      <c r="AK944" s="10">
        <v>0</v>
      </c>
      <c r="AL944" s="9">
        <f t="shared" si="96"/>
        <v>22625.279999999999</v>
      </c>
      <c r="AM944" s="1"/>
      <c r="AN944" s="1"/>
      <c r="AO944" s="12" t="e">
        <f>AB944/#REF!</f>
        <v>#REF!</v>
      </c>
      <c r="AP944" s="1"/>
      <c r="AQ944" s="11">
        <v>41996</v>
      </c>
      <c r="AR944" s="1" t="s">
        <v>3372</v>
      </c>
      <c r="AS944" s="11">
        <v>41997</v>
      </c>
      <c r="AT944" s="1" t="s">
        <v>49</v>
      </c>
      <c r="AU944" s="1" t="s">
        <v>4171</v>
      </c>
    </row>
    <row r="945" spans="1:47" ht="15" customHeight="1" x14ac:dyDescent="0.25">
      <c r="A945" s="1">
        <v>941</v>
      </c>
      <c r="B945" s="1" t="s">
        <v>1258</v>
      </c>
      <c r="C945" s="1" t="s">
        <v>38</v>
      </c>
      <c r="D945" s="1">
        <v>9103550752</v>
      </c>
      <c r="E945" s="5">
        <v>41936</v>
      </c>
      <c r="F945" s="1" t="s">
        <v>844</v>
      </c>
      <c r="G945" s="1" t="s">
        <v>40</v>
      </c>
      <c r="H945" s="1" t="s">
        <v>41</v>
      </c>
      <c r="I945" s="1" t="s">
        <v>2809</v>
      </c>
      <c r="J945" s="1" t="s">
        <v>187</v>
      </c>
      <c r="K945" s="1">
        <v>29051700</v>
      </c>
      <c r="L945" s="6">
        <v>18.14</v>
      </c>
      <c r="M945" s="1" t="s">
        <v>70</v>
      </c>
      <c r="N945" s="7" t="s">
        <v>44</v>
      </c>
      <c r="O945" s="1" t="s">
        <v>53</v>
      </c>
      <c r="P945" s="8">
        <v>1815</v>
      </c>
      <c r="Q945" s="17">
        <f t="shared" si="91"/>
        <v>32924.1</v>
      </c>
      <c r="R945" s="9">
        <v>2580</v>
      </c>
      <c r="S945" s="9">
        <v>4.71</v>
      </c>
      <c r="T945" s="9">
        <v>0</v>
      </c>
      <c r="U945" s="10">
        <v>0</v>
      </c>
      <c r="V945" s="1" t="s">
        <v>46</v>
      </c>
      <c r="W945" s="1" t="s">
        <v>56</v>
      </c>
      <c r="X945" s="1">
        <v>5605188</v>
      </c>
      <c r="Y945" s="11">
        <v>41930</v>
      </c>
      <c r="Z945" s="11">
        <v>41932</v>
      </c>
      <c r="AA945" s="9">
        <f t="shared" si="92"/>
        <v>30339.39</v>
      </c>
      <c r="AB945" s="12">
        <v>61.05</v>
      </c>
      <c r="AC945" s="9">
        <f t="shared" si="93"/>
        <v>2010016.3049999997</v>
      </c>
      <c r="AD945" s="9">
        <f t="shared" si="94"/>
        <v>1852219.7594999999</v>
      </c>
      <c r="AE945" s="1" t="s">
        <v>48</v>
      </c>
      <c r="AF945" s="1" t="s">
        <v>53</v>
      </c>
      <c r="AG945" s="4">
        <f t="shared" si="95"/>
        <v>32924.1</v>
      </c>
      <c r="AH945" s="10">
        <v>32924.1</v>
      </c>
      <c r="AI945" s="10">
        <v>2505</v>
      </c>
      <c r="AJ945" s="10">
        <v>4.71</v>
      </c>
      <c r="AK945" s="10">
        <v>0</v>
      </c>
      <c r="AL945" s="9">
        <f t="shared" si="96"/>
        <v>30414.39</v>
      </c>
      <c r="AM945" s="1"/>
      <c r="AN945" s="1"/>
      <c r="AO945" s="12" t="e">
        <f>AB945/#REF!</f>
        <v>#REF!</v>
      </c>
      <c r="AP945" s="1" t="s">
        <v>2594</v>
      </c>
      <c r="AQ945" s="11">
        <v>41964</v>
      </c>
      <c r="AR945" s="1" t="s">
        <v>2595</v>
      </c>
      <c r="AS945" s="11">
        <v>41967</v>
      </c>
      <c r="AT945" s="1" t="s">
        <v>49</v>
      </c>
      <c r="AU945" s="1" t="s">
        <v>4171</v>
      </c>
    </row>
    <row r="946" spans="1:47" ht="15" customHeight="1" x14ac:dyDescent="0.25">
      <c r="A946" s="1">
        <v>942</v>
      </c>
      <c r="B946" s="1" t="s">
        <v>1258</v>
      </c>
      <c r="C946" s="1" t="s">
        <v>38</v>
      </c>
      <c r="D946" s="1" t="s">
        <v>2596</v>
      </c>
      <c r="E946" s="5">
        <v>41934</v>
      </c>
      <c r="F946" s="1" t="s">
        <v>823</v>
      </c>
      <c r="G946" s="1" t="s">
        <v>40</v>
      </c>
      <c r="H946" s="1" t="s">
        <v>41</v>
      </c>
      <c r="I946" s="1" t="s">
        <v>2809</v>
      </c>
      <c r="J946" s="1" t="s">
        <v>386</v>
      </c>
      <c r="K946" s="1">
        <v>38237090</v>
      </c>
      <c r="L946" s="6">
        <v>151.96</v>
      </c>
      <c r="M946" s="1" t="s">
        <v>70</v>
      </c>
      <c r="N946" s="7" t="s">
        <v>52</v>
      </c>
      <c r="O946" s="1" t="s">
        <v>53</v>
      </c>
      <c r="P946" s="8">
        <v>1275</v>
      </c>
      <c r="Q946" s="17">
        <f t="shared" si="91"/>
        <v>193749</v>
      </c>
      <c r="R946" s="9">
        <v>6800</v>
      </c>
      <c r="S946" s="9">
        <v>0</v>
      </c>
      <c r="T946" s="9">
        <v>0</v>
      </c>
      <c r="U946" s="10">
        <v>0</v>
      </c>
      <c r="V946" s="1" t="s">
        <v>46</v>
      </c>
      <c r="W946" s="1" t="s">
        <v>241</v>
      </c>
      <c r="X946" s="1">
        <v>5581242</v>
      </c>
      <c r="Y946" s="11">
        <v>41929</v>
      </c>
      <c r="Z946" s="11">
        <v>41930</v>
      </c>
      <c r="AA946" s="9">
        <f t="shared" si="92"/>
        <v>186949</v>
      </c>
      <c r="AB946" s="12">
        <v>61.05</v>
      </c>
      <c r="AC946" s="9">
        <f t="shared" si="93"/>
        <v>11828376.449999999</v>
      </c>
      <c r="AD946" s="9">
        <f t="shared" si="94"/>
        <v>11413236.449999999</v>
      </c>
      <c r="AE946" s="1" t="s">
        <v>51</v>
      </c>
      <c r="AF946" s="1" t="s">
        <v>53</v>
      </c>
      <c r="AG946" s="4">
        <f t="shared" si="95"/>
        <v>193749</v>
      </c>
      <c r="AH946" s="10">
        <v>193749</v>
      </c>
      <c r="AI946" s="10">
        <v>6800</v>
      </c>
      <c r="AJ946" s="10">
        <v>0</v>
      </c>
      <c r="AK946" s="10">
        <v>0</v>
      </c>
      <c r="AL946" s="9">
        <f t="shared" si="96"/>
        <v>186949</v>
      </c>
      <c r="AM946" s="1"/>
      <c r="AN946" s="1"/>
      <c r="AO946" s="12" t="e">
        <f>AB946/#REF!</f>
        <v>#REF!</v>
      </c>
      <c r="AP946" s="1" t="s">
        <v>2597</v>
      </c>
      <c r="AQ946" s="11">
        <v>42048</v>
      </c>
      <c r="AR946" s="1" t="s">
        <v>2598</v>
      </c>
      <c r="AS946" s="11">
        <v>42048</v>
      </c>
      <c r="AT946" s="1" t="s">
        <v>49</v>
      </c>
      <c r="AU946" s="1" t="s">
        <v>4171</v>
      </c>
    </row>
    <row r="947" spans="1:47" ht="15" customHeight="1" x14ac:dyDescent="0.25">
      <c r="A947" s="1">
        <v>943</v>
      </c>
      <c r="B947" s="1" t="s">
        <v>1258</v>
      </c>
      <c r="C947" s="1" t="s">
        <v>38</v>
      </c>
      <c r="D947" s="1" t="s">
        <v>2596</v>
      </c>
      <c r="E947" s="5">
        <v>41934</v>
      </c>
      <c r="F947" s="1" t="s">
        <v>934</v>
      </c>
      <c r="G947" s="1" t="s">
        <v>40</v>
      </c>
      <c r="H947" s="1" t="s">
        <v>41</v>
      </c>
      <c r="I947" s="1" t="s">
        <v>2809</v>
      </c>
      <c r="J947" s="1" t="s">
        <v>386</v>
      </c>
      <c r="K947" s="1">
        <v>38237090</v>
      </c>
      <c r="L947" s="6">
        <v>39.020000000000003</v>
      </c>
      <c r="M947" s="1" t="s">
        <v>70</v>
      </c>
      <c r="N947" s="7" t="s">
        <v>52</v>
      </c>
      <c r="O947" s="1" t="s">
        <v>53</v>
      </c>
      <c r="P947" s="8">
        <v>1275</v>
      </c>
      <c r="Q947" s="17">
        <f t="shared" si="91"/>
        <v>49750.500000000007</v>
      </c>
      <c r="R947" s="9">
        <v>1700</v>
      </c>
      <c r="S947" s="9">
        <v>0</v>
      </c>
      <c r="T947" s="9">
        <v>0</v>
      </c>
      <c r="U947" s="10">
        <v>0</v>
      </c>
      <c r="V947" s="1" t="s">
        <v>46</v>
      </c>
      <c r="W947" s="1" t="s">
        <v>241</v>
      </c>
      <c r="X947" s="1">
        <v>5605735</v>
      </c>
      <c r="Y947" s="11">
        <v>41930</v>
      </c>
      <c r="Z947" s="11">
        <v>41932</v>
      </c>
      <c r="AA947" s="9">
        <f t="shared" si="92"/>
        <v>48050.500000000007</v>
      </c>
      <c r="AB947" s="12">
        <v>61.05</v>
      </c>
      <c r="AC947" s="9">
        <f t="shared" si="93"/>
        <v>3037268.0250000004</v>
      </c>
      <c r="AD947" s="9">
        <f t="shared" si="94"/>
        <v>2933483.0250000004</v>
      </c>
      <c r="AE947" s="1" t="s">
        <v>51</v>
      </c>
      <c r="AF947" s="1" t="s">
        <v>53</v>
      </c>
      <c r="AG947" s="4">
        <f t="shared" si="95"/>
        <v>49750.500000000007</v>
      </c>
      <c r="AH947" s="10">
        <v>49728</v>
      </c>
      <c r="AI947" s="10">
        <v>1700</v>
      </c>
      <c r="AJ947" s="10">
        <v>0</v>
      </c>
      <c r="AK947" s="10">
        <v>0</v>
      </c>
      <c r="AL947" s="9">
        <f t="shared" si="96"/>
        <v>48028</v>
      </c>
      <c r="AM947" s="1"/>
      <c r="AN947" s="1"/>
      <c r="AO947" s="12" t="e">
        <f>AB947/#REF!</f>
        <v>#REF!</v>
      </c>
      <c r="AP947" s="1" t="s">
        <v>2597</v>
      </c>
      <c r="AQ947" s="11">
        <v>42048</v>
      </c>
      <c r="AR947" s="1" t="s">
        <v>2599</v>
      </c>
      <c r="AS947" s="11">
        <v>42048</v>
      </c>
      <c r="AT947" s="1" t="s">
        <v>49</v>
      </c>
      <c r="AU947" s="1" t="s">
        <v>4171</v>
      </c>
    </row>
    <row r="948" spans="1:47" ht="15" customHeight="1" x14ac:dyDescent="0.25">
      <c r="A948" s="1">
        <v>944</v>
      </c>
      <c r="B948" s="1" t="s">
        <v>1258</v>
      </c>
      <c r="C948" s="1" t="s">
        <v>38</v>
      </c>
      <c r="D948" s="1" t="s">
        <v>2964</v>
      </c>
      <c r="E948" s="5">
        <v>41935</v>
      </c>
      <c r="F948" s="1" t="s">
        <v>2965</v>
      </c>
      <c r="G948" s="1" t="s">
        <v>40</v>
      </c>
      <c r="H948" s="1" t="s">
        <v>41</v>
      </c>
      <c r="I948" s="1" t="s">
        <v>2809</v>
      </c>
      <c r="J948" s="1" t="s">
        <v>169</v>
      </c>
      <c r="K948" s="1">
        <v>38231200</v>
      </c>
      <c r="L948" s="6">
        <v>78.92</v>
      </c>
      <c r="M948" s="1" t="s">
        <v>70</v>
      </c>
      <c r="N948" s="7" t="s">
        <v>67</v>
      </c>
      <c r="O948" s="1" t="s">
        <v>53</v>
      </c>
      <c r="P948" s="8">
        <v>1025</v>
      </c>
      <c r="Q948" s="17">
        <f t="shared" si="91"/>
        <v>80893</v>
      </c>
      <c r="R948" s="9">
        <v>0</v>
      </c>
      <c r="S948" s="9">
        <v>0</v>
      </c>
      <c r="T948" s="9">
        <v>0</v>
      </c>
      <c r="U948" s="10">
        <v>0</v>
      </c>
      <c r="V948" s="1" t="s">
        <v>46</v>
      </c>
      <c r="W948" s="1" t="s">
        <v>1323</v>
      </c>
      <c r="X948" s="1">
        <v>5605985</v>
      </c>
      <c r="Y948" s="11">
        <v>41930</v>
      </c>
      <c r="Z948" s="11">
        <v>41932</v>
      </c>
      <c r="AA948" s="9">
        <f t="shared" si="92"/>
        <v>80893</v>
      </c>
      <c r="AB948" s="12">
        <v>61.05</v>
      </c>
      <c r="AC948" s="9">
        <f t="shared" si="93"/>
        <v>4938517.6499999994</v>
      </c>
      <c r="AD948" s="9">
        <f t="shared" si="94"/>
        <v>4938517.6499999994</v>
      </c>
      <c r="AE948" s="1" t="s">
        <v>48</v>
      </c>
      <c r="AF948" s="1" t="s">
        <v>53</v>
      </c>
      <c r="AG948" s="4">
        <f t="shared" si="95"/>
        <v>80893</v>
      </c>
      <c r="AH948" s="10">
        <v>80893</v>
      </c>
      <c r="AI948" s="10">
        <v>0</v>
      </c>
      <c r="AJ948" s="10">
        <v>0</v>
      </c>
      <c r="AK948" s="10">
        <v>0</v>
      </c>
      <c r="AL948" s="9">
        <f t="shared" si="96"/>
        <v>80893</v>
      </c>
      <c r="AM948" s="1"/>
      <c r="AN948" s="1"/>
      <c r="AO948" s="12" t="e">
        <f>AB948/#REF!</f>
        <v>#REF!</v>
      </c>
      <c r="AP948" s="1"/>
      <c r="AQ948" s="11">
        <v>42087</v>
      </c>
      <c r="AR948" s="1" t="s">
        <v>3373</v>
      </c>
      <c r="AS948" s="11">
        <v>42088</v>
      </c>
      <c r="AT948" s="1" t="s">
        <v>49</v>
      </c>
      <c r="AU948" s="1" t="s">
        <v>4171</v>
      </c>
    </row>
    <row r="949" spans="1:47" ht="15" customHeight="1" x14ac:dyDescent="0.25">
      <c r="A949" s="1">
        <v>945</v>
      </c>
      <c r="B949" s="1" t="s">
        <v>1258</v>
      </c>
      <c r="C949" s="1" t="s">
        <v>38</v>
      </c>
      <c r="D949" s="1" t="s">
        <v>2964</v>
      </c>
      <c r="E949" s="5">
        <v>41935</v>
      </c>
      <c r="F949" s="1" t="s">
        <v>2966</v>
      </c>
      <c r="G949" s="1" t="s">
        <v>40</v>
      </c>
      <c r="H949" s="1" t="s">
        <v>41</v>
      </c>
      <c r="I949" s="1" t="s">
        <v>2809</v>
      </c>
      <c r="J949" s="1" t="s">
        <v>169</v>
      </c>
      <c r="K949" s="1">
        <v>38231200</v>
      </c>
      <c r="L949" s="6">
        <v>19.55</v>
      </c>
      <c r="M949" s="1" t="s">
        <v>70</v>
      </c>
      <c r="N949" s="7" t="s">
        <v>67</v>
      </c>
      <c r="O949" s="1" t="s">
        <v>53</v>
      </c>
      <c r="P949" s="8">
        <v>1025</v>
      </c>
      <c r="Q949" s="17">
        <f t="shared" si="91"/>
        <v>20038.75</v>
      </c>
      <c r="R949" s="9">
        <v>0</v>
      </c>
      <c r="S949" s="9">
        <v>0</v>
      </c>
      <c r="T949" s="9">
        <v>0</v>
      </c>
      <c r="U949" s="10">
        <v>0</v>
      </c>
      <c r="V949" s="1" t="s">
        <v>46</v>
      </c>
      <c r="W949" s="1" t="s">
        <v>1323</v>
      </c>
      <c r="X949" s="1">
        <v>5617823</v>
      </c>
      <c r="Y949" s="11">
        <v>41932</v>
      </c>
      <c r="Z949" s="11">
        <v>41933</v>
      </c>
      <c r="AA949" s="9">
        <f t="shared" si="92"/>
        <v>20038.75</v>
      </c>
      <c r="AB949" s="12">
        <v>61.05</v>
      </c>
      <c r="AC949" s="9">
        <f t="shared" si="93"/>
        <v>1223365.6875</v>
      </c>
      <c r="AD949" s="9">
        <f t="shared" si="94"/>
        <v>1223365.6875</v>
      </c>
      <c r="AE949" s="1" t="s">
        <v>48</v>
      </c>
      <c r="AF949" s="1" t="s">
        <v>53</v>
      </c>
      <c r="AG949" s="4">
        <f t="shared" si="95"/>
        <v>20038.75</v>
      </c>
      <c r="AH949" s="10">
        <v>20038.75</v>
      </c>
      <c r="AI949" s="10">
        <v>0</v>
      </c>
      <c r="AJ949" s="10">
        <v>0</v>
      </c>
      <c r="AK949" s="10">
        <v>0</v>
      </c>
      <c r="AL949" s="9">
        <f t="shared" si="96"/>
        <v>20038.75</v>
      </c>
      <c r="AM949" s="1"/>
      <c r="AN949" s="1"/>
      <c r="AO949" s="12" t="e">
        <f>AB949/#REF!</f>
        <v>#REF!</v>
      </c>
      <c r="AP949" s="1"/>
      <c r="AQ949" s="11">
        <v>42087</v>
      </c>
      <c r="AR949" s="1" t="s">
        <v>3374</v>
      </c>
      <c r="AS949" s="11">
        <v>42088</v>
      </c>
      <c r="AT949" s="1" t="s">
        <v>49</v>
      </c>
      <c r="AU949" s="1" t="s">
        <v>4171</v>
      </c>
    </row>
    <row r="950" spans="1:47" s="23" customFormat="1" ht="15" customHeight="1" x14ac:dyDescent="0.25">
      <c r="A950" s="3">
        <v>946</v>
      </c>
      <c r="B950" s="86" t="s">
        <v>1258</v>
      </c>
      <c r="C950" s="3" t="s">
        <v>38</v>
      </c>
      <c r="D950" s="3">
        <v>9103550757</v>
      </c>
      <c r="E950" s="19">
        <v>41938</v>
      </c>
      <c r="F950" s="86" t="s">
        <v>2967</v>
      </c>
      <c r="G950" s="86" t="s">
        <v>40</v>
      </c>
      <c r="H950" s="86" t="s">
        <v>41</v>
      </c>
      <c r="I950" s="86" t="s">
        <v>2809</v>
      </c>
      <c r="J950" s="86" t="s">
        <v>835</v>
      </c>
      <c r="K950" s="86">
        <v>29051700</v>
      </c>
      <c r="L950" s="87">
        <v>4.2</v>
      </c>
      <c r="M950" s="86" t="s">
        <v>70</v>
      </c>
      <c r="N950" s="88" t="s">
        <v>44</v>
      </c>
      <c r="O950" s="3" t="s">
        <v>53</v>
      </c>
      <c r="P950" s="50">
        <v>1950</v>
      </c>
      <c r="Q950" s="17">
        <f t="shared" si="91"/>
        <v>8190</v>
      </c>
      <c r="R950" s="25">
        <v>290.85000000000002</v>
      </c>
      <c r="S950" s="25">
        <v>1.17</v>
      </c>
      <c r="T950" s="25">
        <v>0</v>
      </c>
      <c r="U950" s="71">
        <v>0</v>
      </c>
      <c r="V950" s="86" t="s">
        <v>46</v>
      </c>
      <c r="W950" s="3" t="s">
        <v>146</v>
      </c>
      <c r="X950" s="3">
        <v>5628643</v>
      </c>
      <c r="Y950" s="21">
        <v>41932</v>
      </c>
      <c r="Z950" s="89">
        <v>41933</v>
      </c>
      <c r="AA950" s="25">
        <f t="shared" si="92"/>
        <v>7897.98</v>
      </c>
      <c r="AB950" s="90">
        <v>61.05</v>
      </c>
      <c r="AC950" s="25">
        <f t="shared" si="93"/>
        <v>499999.5</v>
      </c>
      <c r="AD950" s="25">
        <f t="shared" si="94"/>
        <v>482171.67899999995</v>
      </c>
      <c r="AE950" s="3"/>
      <c r="AF950" s="3" t="s">
        <v>53</v>
      </c>
      <c r="AG950" s="4">
        <f t="shared" si="95"/>
        <v>8190</v>
      </c>
      <c r="AH950" s="4">
        <v>8185.25</v>
      </c>
      <c r="AI950" s="71">
        <v>303</v>
      </c>
      <c r="AJ950" s="25">
        <v>1.17</v>
      </c>
      <c r="AK950" s="71">
        <v>0</v>
      </c>
      <c r="AL950" s="25">
        <f t="shared" si="96"/>
        <v>7881.08</v>
      </c>
      <c r="AM950" s="86"/>
      <c r="AN950" s="86"/>
      <c r="AO950" s="90" t="e">
        <f>AB950/#REF!</f>
        <v>#REF!</v>
      </c>
      <c r="AP950" s="3" t="s">
        <v>4237</v>
      </c>
      <c r="AQ950" s="21">
        <v>42177</v>
      </c>
      <c r="AR950" s="3" t="s">
        <v>4238</v>
      </c>
      <c r="AS950" s="21">
        <v>42178</v>
      </c>
      <c r="AT950" s="1" t="s">
        <v>49</v>
      </c>
      <c r="AU950" s="3" t="s">
        <v>4171</v>
      </c>
    </row>
    <row r="951" spans="1:47" s="23" customFormat="1" ht="15" customHeight="1" x14ac:dyDescent="0.2">
      <c r="A951" s="3">
        <v>947</v>
      </c>
      <c r="B951" s="86" t="s">
        <v>1258</v>
      </c>
      <c r="C951" s="3" t="s">
        <v>38</v>
      </c>
      <c r="D951" s="3">
        <v>9103550757</v>
      </c>
      <c r="E951" s="19">
        <v>41938</v>
      </c>
      <c r="F951" s="86" t="s">
        <v>2967</v>
      </c>
      <c r="G951" s="86" t="s">
        <v>40</v>
      </c>
      <c r="H951" s="86" t="s">
        <v>41</v>
      </c>
      <c r="I951" s="86" t="s">
        <v>2809</v>
      </c>
      <c r="J951" s="86" t="s">
        <v>835</v>
      </c>
      <c r="K951" s="86">
        <v>38237090</v>
      </c>
      <c r="L951" s="87">
        <v>7.8</v>
      </c>
      <c r="M951" s="86" t="s">
        <v>70</v>
      </c>
      <c r="N951" s="88" t="s">
        <v>44</v>
      </c>
      <c r="O951" s="3" t="s">
        <v>53</v>
      </c>
      <c r="P951" s="50">
        <v>1780</v>
      </c>
      <c r="Q951" s="17">
        <f t="shared" si="91"/>
        <v>13884</v>
      </c>
      <c r="R951" s="25">
        <v>540.15</v>
      </c>
      <c r="S951" s="25">
        <v>1.99</v>
      </c>
      <c r="T951" s="25">
        <v>0</v>
      </c>
      <c r="U951" s="71">
        <v>0</v>
      </c>
      <c r="V951" s="86" t="s">
        <v>46</v>
      </c>
      <c r="W951" s="3" t="s">
        <v>146</v>
      </c>
      <c r="X951" s="3">
        <v>5628643</v>
      </c>
      <c r="Y951" s="21">
        <v>41932</v>
      </c>
      <c r="Z951" s="89">
        <v>41933</v>
      </c>
      <c r="AA951" s="25">
        <f t="shared" si="92"/>
        <v>13341.86</v>
      </c>
      <c r="AB951" s="90">
        <v>61.05</v>
      </c>
      <c r="AC951" s="25">
        <f t="shared" si="93"/>
        <v>847618.2</v>
      </c>
      <c r="AD951" s="25">
        <f t="shared" si="94"/>
        <v>814520.55299999996</v>
      </c>
      <c r="AE951" s="3"/>
      <c r="AF951" s="3" t="s">
        <v>53</v>
      </c>
      <c r="AG951" s="4">
        <f t="shared" si="95"/>
        <v>13884</v>
      </c>
      <c r="AH951" s="4">
        <v>13884</v>
      </c>
      <c r="AI951" s="71">
        <v>564</v>
      </c>
      <c r="AJ951" s="25">
        <v>1.99</v>
      </c>
      <c r="AK951" s="71">
        <v>0</v>
      </c>
      <c r="AL951" s="25">
        <f t="shared" si="96"/>
        <v>13318.01</v>
      </c>
      <c r="AM951" s="86"/>
      <c r="AN951" s="86"/>
      <c r="AO951" s="90" t="e">
        <f>AB951/#REF!</f>
        <v>#REF!</v>
      </c>
      <c r="AP951" s="3" t="s">
        <v>4237</v>
      </c>
      <c r="AQ951" s="21">
        <v>42177</v>
      </c>
      <c r="AR951" s="91" t="s">
        <v>4238</v>
      </c>
      <c r="AS951" s="21">
        <v>42178</v>
      </c>
      <c r="AT951" s="1" t="s">
        <v>49</v>
      </c>
      <c r="AU951" s="3" t="s">
        <v>4171</v>
      </c>
    </row>
    <row r="952" spans="1:47" ht="15" customHeight="1" x14ac:dyDescent="0.25">
      <c r="A952" s="1">
        <v>948</v>
      </c>
      <c r="B952" s="1" t="s">
        <v>1258</v>
      </c>
      <c r="C952" s="1" t="s">
        <v>38</v>
      </c>
      <c r="D952" s="1">
        <v>9103550758</v>
      </c>
      <c r="E952" s="5">
        <v>41938</v>
      </c>
      <c r="F952" s="1" t="s">
        <v>839</v>
      </c>
      <c r="G952" s="1" t="s">
        <v>40</v>
      </c>
      <c r="H952" s="1" t="s">
        <v>41</v>
      </c>
      <c r="I952" s="1" t="s">
        <v>2809</v>
      </c>
      <c r="J952" s="1" t="s">
        <v>2468</v>
      </c>
      <c r="K952" s="1">
        <v>38237090</v>
      </c>
      <c r="L952" s="6">
        <v>24</v>
      </c>
      <c r="M952" s="1" t="s">
        <v>70</v>
      </c>
      <c r="N952" s="7" t="s">
        <v>52</v>
      </c>
      <c r="O952" s="1" t="s">
        <v>45</v>
      </c>
      <c r="P952" s="8">
        <v>1351</v>
      </c>
      <c r="Q952" s="17">
        <f t="shared" si="91"/>
        <v>32424</v>
      </c>
      <c r="R952" s="9">
        <v>1213.17</v>
      </c>
      <c r="S952" s="9">
        <v>0</v>
      </c>
      <c r="T952" s="9">
        <v>0</v>
      </c>
      <c r="U952" s="10">
        <v>0</v>
      </c>
      <c r="V952" s="1" t="s">
        <v>46</v>
      </c>
      <c r="W952" s="1" t="s">
        <v>123</v>
      </c>
      <c r="X952" s="1">
        <v>5635136</v>
      </c>
      <c r="Y952" s="11">
        <v>41932</v>
      </c>
      <c r="Z952" s="11">
        <v>41934</v>
      </c>
      <c r="AA952" s="9">
        <f t="shared" si="92"/>
        <v>31210.83</v>
      </c>
      <c r="AB952" s="12">
        <v>78</v>
      </c>
      <c r="AC952" s="9">
        <f t="shared" si="93"/>
        <v>2529072</v>
      </c>
      <c r="AD952" s="9">
        <f t="shared" si="94"/>
        <v>2434444.7400000002</v>
      </c>
      <c r="AE952" s="1" t="s">
        <v>48</v>
      </c>
      <c r="AF952" s="1" t="s">
        <v>45</v>
      </c>
      <c r="AG952" s="4">
        <f t="shared" si="95"/>
        <v>32424</v>
      </c>
      <c r="AH952" s="10">
        <v>32424</v>
      </c>
      <c r="AI952" s="10">
        <v>990.36</v>
      </c>
      <c r="AJ952" s="10">
        <v>0</v>
      </c>
      <c r="AK952" s="10">
        <v>0</v>
      </c>
      <c r="AL952" s="9">
        <f t="shared" si="96"/>
        <v>31433.64</v>
      </c>
      <c r="AM952" s="1"/>
      <c r="AN952" s="1"/>
      <c r="AO952" s="12" t="e">
        <f>AB952/#REF!</f>
        <v>#REF!</v>
      </c>
      <c r="AP952" s="1" t="s">
        <v>2600</v>
      </c>
      <c r="AQ952" s="11">
        <v>42010</v>
      </c>
      <c r="AR952" s="1" t="s">
        <v>2601</v>
      </c>
      <c r="AS952" s="11">
        <v>42011</v>
      </c>
      <c r="AT952" s="1" t="s">
        <v>49</v>
      </c>
      <c r="AU952" s="1" t="s">
        <v>4171</v>
      </c>
    </row>
    <row r="953" spans="1:47" ht="15" customHeight="1" x14ac:dyDescent="0.25">
      <c r="A953" s="1">
        <v>949</v>
      </c>
      <c r="B953" s="1" t="s">
        <v>1258</v>
      </c>
      <c r="C953" s="1" t="s">
        <v>38</v>
      </c>
      <c r="D953" s="1">
        <v>9103550759</v>
      </c>
      <c r="E953" s="5">
        <v>41936</v>
      </c>
      <c r="F953" s="1" t="s">
        <v>845</v>
      </c>
      <c r="G953" s="1" t="s">
        <v>40</v>
      </c>
      <c r="H953" s="1" t="s">
        <v>41</v>
      </c>
      <c r="I953" s="1" t="s">
        <v>2809</v>
      </c>
      <c r="J953" s="1" t="s">
        <v>187</v>
      </c>
      <c r="K953" s="1">
        <v>29051700</v>
      </c>
      <c r="L953" s="6">
        <v>18.14</v>
      </c>
      <c r="M953" s="1" t="s">
        <v>70</v>
      </c>
      <c r="N953" s="7" t="s">
        <v>44</v>
      </c>
      <c r="O953" s="1" t="s">
        <v>53</v>
      </c>
      <c r="P953" s="8">
        <v>1838</v>
      </c>
      <c r="Q953" s="17">
        <f t="shared" si="91"/>
        <v>33341.32</v>
      </c>
      <c r="R953" s="9">
        <v>3310</v>
      </c>
      <c r="S953" s="9">
        <v>4.7699999999999996</v>
      </c>
      <c r="T953" s="9">
        <v>0</v>
      </c>
      <c r="U953" s="10">
        <v>0</v>
      </c>
      <c r="V953" s="1" t="s">
        <v>46</v>
      </c>
      <c r="W953" s="1" t="s">
        <v>56</v>
      </c>
      <c r="X953" s="1">
        <v>5632716</v>
      </c>
      <c r="Y953" s="11">
        <v>41932</v>
      </c>
      <c r="Z953" s="11">
        <v>41933</v>
      </c>
      <c r="AA953" s="9">
        <f t="shared" si="92"/>
        <v>30026.55</v>
      </c>
      <c r="AB953" s="12">
        <v>61.05</v>
      </c>
      <c r="AC953" s="9">
        <f t="shared" si="93"/>
        <v>2035487.5859999999</v>
      </c>
      <c r="AD953" s="9">
        <f t="shared" si="94"/>
        <v>1833120.8774999999</v>
      </c>
      <c r="AE953" s="1" t="s">
        <v>48</v>
      </c>
      <c r="AF953" s="1" t="s">
        <v>53</v>
      </c>
      <c r="AG953" s="4">
        <f t="shared" si="95"/>
        <v>33341.32</v>
      </c>
      <c r="AH953" s="10">
        <v>33341.32</v>
      </c>
      <c r="AI953" s="10">
        <v>3304</v>
      </c>
      <c r="AJ953" s="10">
        <v>4.7699999999999996</v>
      </c>
      <c r="AK953" s="10">
        <v>0</v>
      </c>
      <c r="AL953" s="9">
        <f t="shared" si="96"/>
        <v>30032.55</v>
      </c>
      <c r="AM953" s="1"/>
      <c r="AN953" s="1"/>
      <c r="AO953" s="12" t="e">
        <f>AB953/#REF!</f>
        <v>#REF!</v>
      </c>
      <c r="AP953" s="1" t="s">
        <v>2602</v>
      </c>
      <c r="AQ953" s="11">
        <v>41964</v>
      </c>
      <c r="AR953" s="1" t="s">
        <v>2603</v>
      </c>
      <c r="AS953" s="11">
        <v>41967</v>
      </c>
      <c r="AT953" s="1" t="s">
        <v>49</v>
      </c>
      <c r="AU953" s="1" t="s">
        <v>4171</v>
      </c>
    </row>
    <row r="954" spans="1:47" ht="15" customHeight="1" x14ac:dyDescent="0.25">
      <c r="A954" s="1">
        <v>950</v>
      </c>
      <c r="B954" s="1" t="s">
        <v>1258</v>
      </c>
      <c r="C954" s="1" t="s">
        <v>38</v>
      </c>
      <c r="D954" s="1">
        <v>9103550760</v>
      </c>
      <c r="E954" s="5">
        <v>41936</v>
      </c>
      <c r="F954" s="1" t="s">
        <v>842</v>
      </c>
      <c r="G954" s="1" t="s">
        <v>40</v>
      </c>
      <c r="H954" s="1" t="s">
        <v>41</v>
      </c>
      <c r="I954" s="1" t="s">
        <v>2809</v>
      </c>
      <c r="J954" s="1" t="s">
        <v>187</v>
      </c>
      <c r="K954" s="1">
        <v>29051700</v>
      </c>
      <c r="L954" s="6">
        <v>36.28</v>
      </c>
      <c r="M954" s="1" t="s">
        <v>70</v>
      </c>
      <c r="N954" s="7" t="s">
        <v>44</v>
      </c>
      <c r="O954" s="1" t="s">
        <v>53</v>
      </c>
      <c r="P954" s="8">
        <v>1802</v>
      </c>
      <c r="Q954" s="17">
        <f t="shared" si="91"/>
        <v>65376.560000000005</v>
      </c>
      <c r="R954" s="9">
        <v>5160</v>
      </c>
      <c r="S954" s="9">
        <v>9.35</v>
      </c>
      <c r="T954" s="9">
        <v>0</v>
      </c>
      <c r="U954" s="10">
        <v>0</v>
      </c>
      <c r="V954" s="1" t="s">
        <v>46</v>
      </c>
      <c r="W954" s="1" t="s">
        <v>56</v>
      </c>
      <c r="X954" s="1">
        <v>5632715</v>
      </c>
      <c r="Y954" s="11">
        <v>41932</v>
      </c>
      <c r="Z954" s="11">
        <v>41933</v>
      </c>
      <c r="AA954" s="9">
        <f t="shared" si="92"/>
        <v>60207.210000000006</v>
      </c>
      <c r="AB954" s="12">
        <v>61.05</v>
      </c>
      <c r="AC954" s="9">
        <f t="shared" si="93"/>
        <v>3991238.9879999999</v>
      </c>
      <c r="AD954" s="9">
        <f t="shared" si="94"/>
        <v>3675650.1705</v>
      </c>
      <c r="AE954" s="1" t="s">
        <v>48</v>
      </c>
      <c r="AF954" s="1" t="s">
        <v>53</v>
      </c>
      <c r="AG954" s="4">
        <f t="shared" si="95"/>
        <v>65376.560000000005</v>
      </c>
      <c r="AH954" s="10">
        <v>65376.56</v>
      </c>
      <c r="AI954" s="10">
        <v>4980</v>
      </c>
      <c r="AJ954" s="10">
        <v>9.35</v>
      </c>
      <c r="AK954" s="10">
        <v>0</v>
      </c>
      <c r="AL954" s="9">
        <f t="shared" si="96"/>
        <v>60387.21</v>
      </c>
      <c r="AM954" s="1"/>
      <c r="AN954" s="1"/>
      <c r="AO954" s="12" t="e">
        <f>AB954/#REF!</f>
        <v>#REF!</v>
      </c>
      <c r="AP954" s="1" t="s">
        <v>2604</v>
      </c>
      <c r="AQ954" s="11">
        <v>41964</v>
      </c>
      <c r="AR954" s="1" t="s">
        <v>2605</v>
      </c>
      <c r="AS954" s="11">
        <v>41967</v>
      </c>
      <c r="AT954" s="1" t="s">
        <v>49</v>
      </c>
      <c r="AU954" s="1" t="s">
        <v>4171</v>
      </c>
    </row>
    <row r="955" spans="1:47" ht="15" customHeight="1" x14ac:dyDescent="0.25">
      <c r="A955" s="1">
        <v>951</v>
      </c>
      <c r="B955" s="1" t="s">
        <v>1258</v>
      </c>
      <c r="C955" s="1" t="s">
        <v>38</v>
      </c>
      <c r="D955" s="1">
        <v>9103550761</v>
      </c>
      <c r="E955" s="5">
        <v>41940</v>
      </c>
      <c r="F955" s="1" t="s">
        <v>838</v>
      </c>
      <c r="G955" s="1" t="s">
        <v>40</v>
      </c>
      <c r="H955" s="1" t="s">
        <v>41</v>
      </c>
      <c r="I955" s="1" t="s">
        <v>2810</v>
      </c>
      <c r="J955" s="1" t="s">
        <v>1116</v>
      </c>
      <c r="K955" s="1">
        <v>38237090</v>
      </c>
      <c r="L955" s="6">
        <v>131.33000000000001</v>
      </c>
      <c r="M955" s="1" t="s">
        <v>70</v>
      </c>
      <c r="N955" s="7" t="s">
        <v>67</v>
      </c>
      <c r="O955" s="1" t="s">
        <v>1117</v>
      </c>
      <c r="P955" s="8">
        <v>103825</v>
      </c>
      <c r="Q955" s="17">
        <f t="shared" si="91"/>
        <v>13635337.250000002</v>
      </c>
      <c r="R955" s="9">
        <v>0</v>
      </c>
      <c r="S955" s="9">
        <v>0</v>
      </c>
      <c r="T955" s="9">
        <v>0</v>
      </c>
      <c r="U955" s="10">
        <v>0</v>
      </c>
      <c r="V955" s="1" t="s">
        <v>46</v>
      </c>
      <c r="W955" s="1" t="s">
        <v>361</v>
      </c>
      <c r="X955" s="1">
        <v>5627343</v>
      </c>
      <c r="Y955" s="11">
        <v>41932</v>
      </c>
      <c r="Z955" s="11">
        <v>41933</v>
      </c>
      <c r="AA955" s="9">
        <f t="shared" si="92"/>
        <v>13635337.250000002</v>
      </c>
      <c r="AB955" s="12">
        <v>1</v>
      </c>
      <c r="AC955" s="9">
        <f t="shared" si="93"/>
        <v>13635337.250000002</v>
      </c>
      <c r="AD955" s="9">
        <f t="shared" si="94"/>
        <v>13635337.250000002</v>
      </c>
      <c r="AE955" s="1" t="s">
        <v>4162</v>
      </c>
      <c r="AF955" s="1" t="s">
        <v>1117</v>
      </c>
      <c r="AG955" s="4">
        <f t="shared" si="95"/>
        <v>13635337.250000002</v>
      </c>
      <c r="AH955" s="10">
        <v>13635337.25</v>
      </c>
      <c r="AI955" s="10"/>
      <c r="AJ955" s="10"/>
      <c r="AK955" s="10"/>
      <c r="AL955" s="9">
        <f t="shared" si="96"/>
        <v>13635337.25</v>
      </c>
      <c r="AM955" s="1"/>
      <c r="AN955" s="1"/>
      <c r="AO955" s="12"/>
      <c r="AP955" s="1" t="s">
        <v>4062</v>
      </c>
      <c r="AQ955" s="11" t="s">
        <v>4059</v>
      </c>
      <c r="AR955" s="1" t="s">
        <v>4063</v>
      </c>
      <c r="AS955" s="1" t="s">
        <v>4058</v>
      </c>
      <c r="AT955" s="1" t="s">
        <v>49</v>
      </c>
      <c r="AU955" s="1" t="s">
        <v>4171</v>
      </c>
    </row>
    <row r="956" spans="1:47" ht="15" customHeight="1" x14ac:dyDescent="0.25">
      <c r="A956" s="1">
        <v>952</v>
      </c>
      <c r="B956" s="1" t="s">
        <v>1258</v>
      </c>
      <c r="C956" s="1" t="s">
        <v>38</v>
      </c>
      <c r="D956" s="1">
        <v>9103550761</v>
      </c>
      <c r="E956" s="5">
        <v>41940</v>
      </c>
      <c r="F956" s="1" t="s">
        <v>846</v>
      </c>
      <c r="G956" s="1" t="s">
        <v>40</v>
      </c>
      <c r="H956" s="1" t="s">
        <v>41</v>
      </c>
      <c r="I956" s="1" t="s">
        <v>2810</v>
      </c>
      <c r="J956" s="1" t="s">
        <v>1116</v>
      </c>
      <c r="K956" s="1">
        <v>38237090</v>
      </c>
      <c r="L956" s="6">
        <v>75.19</v>
      </c>
      <c r="M956" s="1" t="s">
        <v>70</v>
      </c>
      <c r="N956" s="7" t="s">
        <v>67</v>
      </c>
      <c r="O956" s="1" t="s">
        <v>1117</v>
      </c>
      <c r="P956" s="8">
        <v>103825</v>
      </c>
      <c r="Q956" s="17">
        <f t="shared" si="91"/>
        <v>7806601.75</v>
      </c>
      <c r="R956" s="9">
        <v>0</v>
      </c>
      <c r="S956" s="9">
        <v>0</v>
      </c>
      <c r="T956" s="9">
        <v>0</v>
      </c>
      <c r="U956" s="10">
        <v>0</v>
      </c>
      <c r="V956" s="1" t="s">
        <v>46</v>
      </c>
      <c r="W956" s="1" t="s">
        <v>361</v>
      </c>
      <c r="X956" s="1">
        <v>5636429</v>
      </c>
      <c r="Y956" s="11">
        <v>41932</v>
      </c>
      <c r="Z956" s="11">
        <v>41933</v>
      </c>
      <c r="AA956" s="9">
        <f t="shared" si="92"/>
        <v>7806601.75</v>
      </c>
      <c r="AB956" s="12">
        <v>1</v>
      </c>
      <c r="AC956" s="9">
        <f t="shared" si="93"/>
        <v>7806601.75</v>
      </c>
      <c r="AD956" s="9">
        <f t="shared" si="94"/>
        <v>7806601.75</v>
      </c>
      <c r="AE956" s="1" t="s">
        <v>4162</v>
      </c>
      <c r="AF956" s="1" t="s">
        <v>1117</v>
      </c>
      <c r="AG956" s="4">
        <f t="shared" si="95"/>
        <v>7806601.75</v>
      </c>
      <c r="AH956" s="10">
        <v>7806601.75</v>
      </c>
      <c r="AI956" s="10"/>
      <c r="AJ956" s="10"/>
      <c r="AK956" s="10"/>
      <c r="AL956" s="9">
        <f t="shared" si="96"/>
        <v>7806601.75</v>
      </c>
      <c r="AM956" s="1"/>
      <c r="AN956" s="1"/>
      <c r="AO956" s="12"/>
      <c r="AP956" s="1" t="s">
        <v>4062</v>
      </c>
      <c r="AQ956" s="11" t="s">
        <v>4059</v>
      </c>
      <c r="AR956" s="1" t="s">
        <v>4061</v>
      </c>
      <c r="AS956" s="1" t="s">
        <v>4058</v>
      </c>
      <c r="AT956" s="1" t="s">
        <v>49</v>
      </c>
      <c r="AU956" s="1" t="s">
        <v>4171</v>
      </c>
    </row>
    <row r="957" spans="1:47" ht="15" customHeight="1" x14ac:dyDescent="0.25">
      <c r="A957" s="1">
        <v>953</v>
      </c>
      <c r="B957" s="1" t="s">
        <v>1258</v>
      </c>
      <c r="C957" s="1" t="s">
        <v>38</v>
      </c>
      <c r="D957" s="1">
        <v>9103550762</v>
      </c>
      <c r="E957" s="5">
        <v>41938</v>
      </c>
      <c r="F957" s="1" t="s">
        <v>856</v>
      </c>
      <c r="G957" s="1" t="s">
        <v>40</v>
      </c>
      <c r="H957" s="1" t="s">
        <v>41</v>
      </c>
      <c r="I957" s="1" t="s">
        <v>2809</v>
      </c>
      <c r="J957" s="1" t="s">
        <v>50</v>
      </c>
      <c r="K957" s="1">
        <v>38237090</v>
      </c>
      <c r="L957" s="6">
        <v>24</v>
      </c>
      <c r="M957" s="1" t="s">
        <v>70</v>
      </c>
      <c r="N957" s="7" t="s">
        <v>52</v>
      </c>
      <c r="O957" s="1" t="s">
        <v>53</v>
      </c>
      <c r="P957" s="8">
        <v>1585</v>
      </c>
      <c r="Q957" s="17">
        <f t="shared" si="91"/>
        <v>38040</v>
      </c>
      <c r="R957" s="9">
        <v>1367</v>
      </c>
      <c r="S957" s="9">
        <v>0</v>
      </c>
      <c r="T957" s="9">
        <v>0</v>
      </c>
      <c r="U957" s="10">
        <v>0</v>
      </c>
      <c r="V957" s="1" t="s">
        <v>46</v>
      </c>
      <c r="W957" s="1" t="s">
        <v>223</v>
      </c>
      <c r="X957" s="1">
        <v>5657621</v>
      </c>
      <c r="Y957" s="11">
        <v>41933</v>
      </c>
      <c r="Z957" s="11">
        <v>41934</v>
      </c>
      <c r="AA957" s="9">
        <f t="shared" si="92"/>
        <v>36673</v>
      </c>
      <c r="AB957" s="12">
        <v>61.05</v>
      </c>
      <c r="AC957" s="9">
        <f t="shared" si="93"/>
        <v>2322342</v>
      </c>
      <c r="AD957" s="9">
        <f t="shared" si="94"/>
        <v>2238886.65</v>
      </c>
      <c r="AE957" s="1" t="s">
        <v>51</v>
      </c>
      <c r="AF957" s="1" t="s">
        <v>53</v>
      </c>
      <c r="AG957" s="4">
        <f t="shared" si="95"/>
        <v>38040</v>
      </c>
      <c r="AH957" s="10">
        <v>38040</v>
      </c>
      <c r="AI957" s="10">
        <v>1367</v>
      </c>
      <c r="AJ957" s="10">
        <v>0</v>
      </c>
      <c r="AK957" s="10">
        <v>0</v>
      </c>
      <c r="AL957" s="9">
        <f t="shared" si="96"/>
        <v>36673</v>
      </c>
      <c r="AM957" s="1"/>
      <c r="AN957" s="1"/>
      <c r="AO957" s="12" t="e">
        <f>AB957/#REF!</f>
        <v>#REF!</v>
      </c>
      <c r="AP957" s="1" t="s">
        <v>2606</v>
      </c>
      <c r="AQ957" s="11">
        <v>42039</v>
      </c>
      <c r="AR957" s="1" t="s">
        <v>2607</v>
      </c>
      <c r="AS957" s="11">
        <v>42042</v>
      </c>
      <c r="AT957" s="1" t="s">
        <v>49</v>
      </c>
      <c r="AU957" s="1" t="s">
        <v>4171</v>
      </c>
    </row>
    <row r="958" spans="1:47" ht="15" customHeight="1" x14ac:dyDescent="0.25">
      <c r="A958" s="1">
        <v>954</v>
      </c>
      <c r="B958" s="1" t="s">
        <v>1258</v>
      </c>
      <c r="C958" s="1" t="s">
        <v>38</v>
      </c>
      <c r="D958" s="1">
        <v>9103550763</v>
      </c>
      <c r="E958" s="5">
        <v>41939</v>
      </c>
      <c r="F958" s="1" t="s">
        <v>848</v>
      </c>
      <c r="G958" s="1" t="s">
        <v>40</v>
      </c>
      <c r="H958" s="1" t="s">
        <v>41</v>
      </c>
      <c r="I958" s="1" t="s">
        <v>2809</v>
      </c>
      <c r="J958" s="1" t="s">
        <v>50</v>
      </c>
      <c r="K958" s="1">
        <v>38237090</v>
      </c>
      <c r="L958" s="6">
        <v>15</v>
      </c>
      <c r="M958" s="1" t="s">
        <v>70</v>
      </c>
      <c r="N958" s="7" t="s">
        <v>52</v>
      </c>
      <c r="O958" s="1" t="s">
        <v>53</v>
      </c>
      <c r="P958" s="8">
        <v>1510</v>
      </c>
      <c r="Q958" s="17">
        <f t="shared" si="91"/>
        <v>22650</v>
      </c>
      <c r="R958" s="9">
        <v>850</v>
      </c>
      <c r="S958" s="9">
        <v>0</v>
      </c>
      <c r="T958" s="9">
        <v>0</v>
      </c>
      <c r="U958" s="10">
        <v>0</v>
      </c>
      <c r="V958" s="1" t="s">
        <v>46</v>
      </c>
      <c r="W958" s="1" t="s">
        <v>2657</v>
      </c>
      <c r="X958" s="1">
        <v>5658015</v>
      </c>
      <c r="Y958" s="11">
        <v>41933</v>
      </c>
      <c r="Z958" s="11">
        <v>41934</v>
      </c>
      <c r="AA958" s="9">
        <f t="shared" si="92"/>
        <v>21800</v>
      </c>
      <c r="AB958" s="12">
        <v>61.05</v>
      </c>
      <c r="AC958" s="9">
        <f t="shared" si="93"/>
        <v>1382782.5</v>
      </c>
      <c r="AD958" s="9">
        <f t="shared" si="94"/>
        <v>1330890</v>
      </c>
      <c r="AE958" s="1" t="s">
        <v>284</v>
      </c>
      <c r="AF958" s="1" t="s">
        <v>53</v>
      </c>
      <c r="AG958" s="4">
        <f t="shared" si="95"/>
        <v>22650</v>
      </c>
      <c r="AH958" s="10">
        <v>22640</v>
      </c>
      <c r="AI958" s="10">
        <v>820</v>
      </c>
      <c r="AJ958" s="10">
        <v>0</v>
      </c>
      <c r="AK958" s="10">
        <v>0</v>
      </c>
      <c r="AL958" s="9">
        <f t="shared" si="96"/>
        <v>21820</v>
      </c>
      <c r="AM958" s="1"/>
      <c r="AN958" s="1"/>
      <c r="AO958" s="12" t="e">
        <f>AB958/#REF!</f>
        <v>#REF!</v>
      </c>
      <c r="AP958" s="1" t="s">
        <v>2608</v>
      </c>
      <c r="AQ958" s="11">
        <v>42027</v>
      </c>
      <c r="AR958" s="1" t="s">
        <v>2609</v>
      </c>
      <c r="AS958" s="11">
        <v>42027</v>
      </c>
      <c r="AT958" s="1" t="s">
        <v>49</v>
      </c>
      <c r="AU958" s="1" t="s">
        <v>4171</v>
      </c>
    </row>
    <row r="959" spans="1:47" ht="15" customHeight="1" x14ac:dyDescent="0.25">
      <c r="A959" s="1">
        <v>955</v>
      </c>
      <c r="B959" s="1" t="s">
        <v>1258</v>
      </c>
      <c r="C959" s="1" t="s">
        <v>38</v>
      </c>
      <c r="D959" s="1">
        <v>9103550764</v>
      </c>
      <c r="E959" s="5">
        <v>41939</v>
      </c>
      <c r="F959" s="1" t="s">
        <v>849</v>
      </c>
      <c r="G959" s="1" t="s">
        <v>40</v>
      </c>
      <c r="H959" s="1" t="s">
        <v>41</v>
      </c>
      <c r="I959" s="1" t="s">
        <v>2809</v>
      </c>
      <c r="J959" s="1" t="s">
        <v>50</v>
      </c>
      <c r="K959" s="1">
        <v>29051700</v>
      </c>
      <c r="L959" s="6">
        <v>15</v>
      </c>
      <c r="M959" s="1" t="s">
        <v>70</v>
      </c>
      <c r="N959" s="7" t="s">
        <v>52</v>
      </c>
      <c r="O959" s="1" t="s">
        <v>53</v>
      </c>
      <c r="P959" s="8">
        <v>1600</v>
      </c>
      <c r="Q959" s="17">
        <f t="shared" si="91"/>
        <v>24000</v>
      </c>
      <c r="R959" s="9">
        <v>850</v>
      </c>
      <c r="S959" s="9">
        <v>0</v>
      </c>
      <c r="T959" s="9">
        <v>0</v>
      </c>
      <c r="U959" s="10">
        <v>0</v>
      </c>
      <c r="V959" s="1" t="s">
        <v>46</v>
      </c>
      <c r="W959" s="1" t="s">
        <v>2657</v>
      </c>
      <c r="X959" s="1">
        <v>5659142</v>
      </c>
      <c r="Y959" s="11">
        <v>41933</v>
      </c>
      <c r="Z959" s="11">
        <v>41934</v>
      </c>
      <c r="AA959" s="9">
        <f t="shared" si="92"/>
        <v>23150</v>
      </c>
      <c r="AB959" s="12">
        <v>61.05</v>
      </c>
      <c r="AC959" s="9">
        <f t="shared" si="93"/>
        <v>1465200</v>
      </c>
      <c r="AD959" s="9">
        <f t="shared" si="94"/>
        <v>1413307.5</v>
      </c>
      <c r="AE959" s="1" t="s">
        <v>284</v>
      </c>
      <c r="AF959" s="1" t="s">
        <v>53</v>
      </c>
      <c r="AG959" s="4">
        <f t="shared" si="95"/>
        <v>24000</v>
      </c>
      <c r="AH959" s="10">
        <v>24000</v>
      </c>
      <c r="AI959" s="10">
        <v>820</v>
      </c>
      <c r="AJ959" s="10">
        <v>0</v>
      </c>
      <c r="AK959" s="10">
        <v>0</v>
      </c>
      <c r="AL959" s="9">
        <f t="shared" si="96"/>
        <v>23180</v>
      </c>
      <c r="AM959" s="1"/>
      <c r="AN959" s="1"/>
      <c r="AO959" s="12" t="e">
        <f>AB959/#REF!</f>
        <v>#REF!</v>
      </c>
      <c r="AP959" s="1" t="s">
        <v>2610</v>
      </c>
      <c r="AQ959" s="11">
        <v>42031</v>
      </c>
      <c r="AR959" s="1" t="s">
        <v>2611</v>
      </c>
      <c r="AS959" s="11">
        <v>42031</v>
      </c>
      <c r="AT959" s="1" t="s">
        <v>49</v>
      </c>
      <c r="AU959" s="1" t="s">
        <v>4171</v>
      </c>
    </row>
    <row r="960" spans="1:47" ht="15" customHeight="1" x14ac:dyDescent="0.25">
      <c r="A960" s="1">
        <v>956</v>
      </c>
      <c r="B960" s="1" t="s">
        <v>1258</v>
      </c>
      <c r="C960" s="1" t="s">
        <v>38</v>
      </c>
      <c r="D960" s="1">
        <v>9103550765</v>
      </c>
      <c r="E960" s="5">
        <v>41938</v>
      </c>
      <c r="F960" s="1" t="s">
        <v>851</v>
      </c>
      <c r="G960" s="1" t="s">
        <v>40</v>
      </c>
      <c r="H960" s="1" t="s">
        <v>41</v>
      </c>
      <c r="I960" s="1" t="s">
        <v>2809</v>
      </c>
      <c r="J960" s="1" t="s">
        <v>2641</v>
      </c>
      <c r="K960" s="1">
        <v>38237090</v>
      </c>
      <c r="L960" s="6">
        <v>108</v>
      </c>
      <c r="M960" s="1" t="s">
        <v>70</v>
      </c>
      <c r="N960" s="7" t="s">
        <v>44</v>
      </c>
      <c r="O960" s="1" t="s">
        <v>53</v>
      </c>
      <c r="P960" s="8">
        <v>3915</v>
      </c>
      <c r="Q960" s="17">
        <f t="shared" si="91"/>
        <v>422820</v>
      </c>
      <c r="R960" s="9">
        <v>1350</v>
      </c>
      <c r="S960" s="9">
        <v>60.46</v>
      </c>
      <c r="T960" s="9">
        <v>0</v>
      </c>
      <c r="U960" s="10">
        <v>0</v>
      </c>
      <c r="V960" s="1" t="s">
        <v>46</v>
      </c>
      <c r="W960" s="1" t="s">
        <v>54</v>
      </c>
      <c r="X960" s="1">
        <v>5676715</v>
      </c>
      <c r="Y960" s="11">
        <v>41934</v>
      </c>
      <c r="Z960" s="11">
        <v>41934</v>
      </c>
      <c r="AA960" s="9">
        <f t="shared" si="92"/>
        <v>421409.54</v>
      </c>
      <c r="AB960" s="12">
        <v>61.05</v>
      </c>
      <c r="AC960" s="9">
        <f t="shared" si="93"/>
        <v>25813161</v>
      </c>
      <c r="AD960" s="9">
        <f t="shared" si="94"/>
        <v>25727052.416999996</v>
      </c>
      <c r="AE960" s="1" t="s">
        <v>48</v>
      </c>
      <c r="AF960" s="1" t="s">
        <v>53</v>
      </c>
      <c r="AG960" s="4">
        <f t="shared" si="95"/>
        <v>422820</v>
      </c>
      <c r="AH960" s="10">
        <v>422664</v>
      </c>
      <c r="AI960" s="10">
        <v>675</v>
      </c>
      <c r="AJ960" s="10">
        <v>60.46</v>
      </c>
      <c r="AK960" s="10">
        <v>0</v>
      </c>
      <c r="AL960" s="9">
        <f t="shared" si="96"/>
        <v>421928.54</v>
      </c>
      <c r="AM960" s="1"/>
      <c r="AN960" s="1"/>
      <c r="AO960" s="12" t="e">
        <f>AB960/#REF!</f>
        <v>#REF!</v>
      </c>
      <c r="AP960" s="1" t="s">
        <v>2612</v>
      </c>
      <c r="AQ960" s="11">
        <v>42031</v>
      </c>
      <c r="AR960" s="1" t="s">
        <v>2613</v>
      </c>
      <c r="AS960" s="11">
        <v>42038</v>
      </c>
      <c r="AT960" s="1" t="s">
        <v>49</v>
      </c>
      <c r="AU960" s="1" t="s">
        <v>4171</v>
      </c>
    </row>
    <row r="961" spans="1:47" ht="15" customHeight="1" x14ac:dyDescent="0.25">
      <c r="A961" s="1">
        <v>957</v>
      </c>
      <c r="B961" s="1" t="s">
        <v>1258</v>
      </c>
      <c r="C961" s="1" t="s">
        <v>38</v>
      </c>
      <c r="D961" s="1">
        <v>9103550766</v>
      </c>
      <c r="E961" s="5">
        <v>41934</v>
      </c>
      <c r="F961" s="1" t="s">
        <v>841</v>
      </c>
      <c r="G961" s="1" t="s">
        <v>40</v>
      </c>
      <c r="H961" s="1" t="s">
        <v>41</v>
      </c>
      <c r="I961" s="1" t="s">
        <v>2809</v>
      </c>
      <c r="J961" s="1" t="s">
        <v>386</v>
      </c>
      <c r="K961" s="1">
        <v>38237090</v>
      </c>
      <c r="L961" s="6">
        <v>153.74</v>
      </c>
      <c r="M961" s="1" t="s">
        <v>70</v>
      </c>
      <c r="N961" s="7" t="s">
        <v>52</v>
      </c>
      <c r="O961" s="1" t="s">
        <v>53</v>
      </c>
      <c r="P961" s="8">
        <v>1275</v>
      </c>
      <c r="Q961" s="17">
        <f t="shared" si="91"/>
        <v>196018.5</v>
      </c>
      <c r="R961" s="9">
        <v>6800</v>
      </c>
      <c r="S961" s="9">
        <v>0</v>
      </c>
      <c r="T961" s="9">
        <v>0</v>
      </c>
      <c r="U961" s="10">
        <v>0</v>
      </c>
      <c r="V961" s="1" t="s">
        <v>46</v>
      </c>
      <c r="W961" s="1" t="s">
        <v>241</v>
      </c>
      <c r="X961" s="1">
        <v>5635148</v>
      </c>
      <c r="Y961" s="11">
        <v>41932</v>
      </c>
      <c r="Z961" s="11">
        <v>41933</v>
      </c>
      <c r="AA961" s="9">
        <f t="shared" si="92"/>
        <v>189218.5</v>
      </c>
      <c r="AB961" s="12">
        <v>61.05</v>
      </c>
      <c r="AC961" s="9">
        <f t="shared" si="93"/>
        <v>11966929.424999999</v>
      </c>
      <c r="AD961" s="9">
        <f t="shared" si="94"/>
        <v>11551789.424999999</v>
      </c>
      <c r="AE961" s="1" t="s">
        <v>51</v>
      </c>
      <c r="AF961" s="1" t="s">
        <v>53</v>
      </c>
      <c r="AG961" s="4">
        <f t="shared" si="95"/>
        <v>196018.5</v>
      </c>
      <c r="AH961" s="10">
        <v>196018</v>
      </c>
      <c r="AI961" s="10">
        <v>6800</v>
      </c>
      <c r="AJ961" s="10">
        <v>0</v>
      </c>
      <c r="AK961" s="10">
        <v>0</v>
      </c>
      <c r="AL961" s="9">
        <f t="shared" si="96"/>
        <v>189218</v>
      </c>
      <c r="AM961" s="1"/>
      <c r="AN961" s="1"/>
      <c r="AO961" s="12" t="e">
        <f>AB961/#REF!</f>
        <v>#REF!</v>
      </c>
      <c r="AP961" s="1" t="s">
        <v>2614</v>
      </c>
      <c r="AQ961" s="11">
        <v>42027</v>
      </c>
      <c r="AR961" s="1" t="s">
        <v>2615</v>
      </c>
      <c r="AS961" s="11">
        <v>42059</v>
      </c>
      <c r="AT961" s="1" t="s">
        <v>49</v>
      </c>
      <c r="AU961" s="1" t="s">
        <v>4171</v>
      </c>
    </row>
    <row r="962" spans="1:47" ht="15" customHeight="1" x14ac:dyDescent="0.25">
      <c r="A962" s="1">
        <v>958</v>
      </c>
      <c r="B962" s="1" t="s">
        <v>1258</v>
      </c>
      <c r="C962" s="1" t="s">
        <v>38</v>
      </c>
      <c r="D962" s="1">
        <v>9103550767</v>
      </c>
      <c r="E962" s="5">
        <v>41948</v>
      </c>
      <c r="F962" s="1" t="s">
        <v>843</v>
      </c>
      <c r="G962" s="1" t="s">
        <v>40</v>
      </c>
      <c r="H962" s="1" t="s">
        <v>41</v>
      </c>
      <c r="I962" s="1" t="s">
        <v>2809</v>
      </c>
      <c r="J962" s="1" t="s">
        <v>386</v>
      </c>
      <c r="K962" s="1">
        <v>38237090</v>
      </c>
      <c r="L962" s="6">
        <v>36.92</v>
      </c>
      <c r="M962" s="1" t="s">
        <v>70</v>
      </c>
      <c r="N962" s="7" t="s">
        <v>52</v>
      </c>
      <c r="O962" s="1" t="s">
        <v>53</v>
      </c>
      <c r="P962" s="8">
        <v>1275</v>
      </c>
      <c r="Q962" s="17">
        <f t="shared" si="91"/>
        <v>47073</v>
      </c>
      <c r="R962" s="9">
        <v>1700</v>
      </c>
      <c r="S962" s="9">
        <v>0</v>
      </c>
      <c r="T962" s="9">
        <v>0</v>
      </c>
      <c r="U962" s="10">
        <v>0</v>
      </c>
      <c r="V962" s="1" t="s">
        <v>46</v>
      </c>
      <c r="W962" s="1" t="s">
        <v>241</v>
      </c>
      <c r="X962" s="1">
        <v>5650542</v>
      </c>
      <c r="Y962" s="11">
        <v>41933</v>
      </c>
      <c r="Z962" s="11">
        <v>41934</v>
      </c>
      <c r="AA962" s="9">
        <f t="shared" si="92"/>
        <v>45373</v>
      </c>
      <c r="AB962" s="12">
        <v>61.05</v>
      </c>
      <c r="AC962" s="9">
        <f t="shared" si="93"/>
        <v>2873806.65</v>
      </c>
      <c r="AD962" s="9">
        <f t="shared" si="94"/>
        <v>2770021.65</v>
      </c>
      <c r="AE962" s="1" t="s">
        <v>51</v>
      </c>
      <c r="AF962" s="1" t="s">
        <v>53</v>
      </c>
      <c r="AG962" s="4">
        <f t="shared" si="95"/>
        <v>47073</v>
      </c>
      <c r="AH962" s="10">
        <v>47073</v>
      </c>
      <c r="AI962" s="10">
        <v>1700</v>
      </c>
      <c r="AJ962" s="10">
        <v>0</v>
      </c>
      <c r="AK962" s="10">
        <v>0</v>
      </c>
      <c r="AL962" s="9">
        <f t="shared" si="96"/>
        <v>45373</v>
      </c>
      <c r="AM962" s="1"/>
      <c r="AN962" s="1"/>
      <c r="AO962" s="12" t="e">
        <f>AB962/#REF!</f>
        <v>#REF!</v>
      </c>
      <c r="AP962" s="1" t="s">
        <v>2616</v>
      </c>
      <c r="AQ962" s="11">
        <v>42027</v>
      </c>
      <c r="AR962" s="1" t="s">
        <v>2617</v>
      </c>
      <c r="AS962" s="11">
        <v>42059</v>
      </c>
      <c r="AT962" s="1" t="s">
        <v>49</v>
      </c>
      <c r="AU962" s="1" t="s">
        <v>4171</v>
      </c>
    </row>
    <row r="963" spans="1:47" ht="15" customHeight="1" x14ac:dyDescent="0.25">
      <c r="A963" s="1">
        <v>959</v>
      </c>
      <c r="B963" s="1" t="s">
        <v>1258</v>
      </c>
      <c r="C963" s="1" t="s">
        <v>38</v>
      </c>
      <c r="D963" s="1">
        <v>9103550768</v>
      </c>
      <c r="E963" s="5">
        <v>41939</v>
      </c>
      <c r="F963" s="1" t="s">
        <v>850</v>
      </c>
      <c r="G963" s="1" t="s">
        <v>40</v>
      </c>
      <c r="H963" s="1" t="s">
        <v>41</v>
      </c>
      <c r="I963" s="1" t="s">
        <v>2809</v>
      </c>
      <c r="J963" s="1" t="s">
        <v>50</v>
      </c>
      <c r="K963" s="1">
        <v>29051700</v>
      </c>
      <c r="L963" s="6">
        <v>15</v>
      </c>
      <c r="M963" s="1" t="s">
        <v>70</v>
      </c>
      <c r="N963" s="7" t="s">
        <v>52</v>
      </c>
      <c r="O963" s="1" t="s">
        <v>53</v>
      </c>
      <c r="P963" s="8">
        <v>1615</v>
      </c>
      <c r="Q963" s="17">
        <f t="shared" si="91"/>
        <v>24225</v>
      </c>
      <c r="R963" s="9">
        <v>850</v>
      </c>
      <c r="S963" s="9">
        <v>0</v>
      </c>
      <c r="T963" s="9">
        <v>0</v>
      </c>
      <c r="U963" s="10">
        <v>0</v>
      </c>
      <c r="V963" s="1" t="s">
        <v>46</v>
      </c>
      <c r="W963" s="1" t="s">
        <v>2657</v>
      </c>
      <c r="X963" s="1">
        <v>5675145</v>
      </c>
      <c r="Y963" s="11">
        <v>41934</v>
      </c>
      <c r="Z963" s="11">
        <v>41936</v>
      </c>
      <c r="AA963" s="9">
        <f t="shared" si="92"/>
        <v>23375</v>
      </c>
      <c r="AB963" s="12">
        <v>61.05</v>
      </c>
      <c r="AC963" s="9">
        <f t="shared" si="93"/>
        <v>1478936.25</v>
      </c>
      <c r="AD963" s="9">
        <f t="shared" si="94"/>
        <v>1427043.75</v>
      </c>
      <c r="AE963" s="1" t="s">
        <v>284</v>
      </c>
      <c r="AF963" s="1" t="s">
        <v>53</v>
      </c>
      <c r="AG963" s="4">
        <f t="shared" si="95"/>
        <v>24225</v>
      </c>
      <c r="AH963" s="10">
        <v>24225</v>
      </c>
      <c r="AI963" s="10">
        <v>820</v>
      </c>
      <c r="AJ963" s="10">
        <v>0</v>
      </c>
      <c r="AK963" s="10">
        <v>0</v>
      </c>
      <c r="AL963" s="9">
        <f t="shared" si="96"/>
        <v>23405</v>
      </c>
      <c r="AM963" s="1"/>
      <c r="AN963" s="1"/>
      <c r="AO963" s="12" t="e">
        <f>AB963/#REF!</f>
        <v>#REF!</v>
      </c>
      <c r="AP963" s="1" t="s">
        <v>2618</v>
      </c>
      <c r="AQ963" s="11">
        <v>42031</v>
      </c>
      <c r="AR963" s="1" t="s">
        <v>2619</v>
      </c>
      <c r="AS963" s="11">
        <v>42031</v>
      </c>
      <c r="AT963" s="1" t="s">
        <v>49</v>
      </c>
      <c r="AU963" s="1" t="s">
        <v>4171</v>
      </c>
    </row>
    <row r="964" spans="1:47" ht="15" customHeight="1" x14ac:dyDescent="0.25">
      <c r="A964" s="1">
        <v>960</v>
      </c>
      <c r="B964" s="1" t="s">
        <v>1258</v>
      </c>
      <c r="C964" s="1" t="s">
        <v>38</v>
      </c>
      <c r="D964" s="1">
        <v>9103550769</v>
      </c>
      <c r="E964" s="5">
        <v>41941</v>
      </c>
      <c r="F964" s="1" t="s">
        <v>2968</v>
      </c>
      <c r="G964" s="1" t="s">
        <v>40</v>
      </c>
      <c r="H964" s="1" t="s">
        <v>41</v>
      </c>
      <c r="I964" s="1" t="s">
        <v>2809</v>
      </c>
      <c r="J964" s="1" t="s">
        <v>924</v>
      </c>
      <c r="K964" s="1">
        <v>38237090</v>
      </c>
      <c r="L964" s="6">
        <v>24</v>
      </c>
      <c r="M964" s="1" t="s">
        <v>70</v>
      </c>
      <c r="N964" s="7" t="s">
        <v>67</v>
      </c>
      <c r="O964" s="1" t="s">
        <v>53</v>
      </c>
      <c r="P964" s="8">
        <v>1500</v>
      </c>
      <c r="Q964" s="17">
        <f t="shared" si="91"/>
        <v>36000</v>
      </c>
      <c r="R964" s="9">
        <v>0</v>
      </c>
      <c r="S964" s="9">
        <v>0</v>
      </c>
      <c r="T964" s="9">
        <v>720</v>
      </c>
      <c r="U964" s="10">
        <v>0</v>
      </c>
      <c r="V964" s="1" t="s">
        <v>46</v>
      </c>
      <c r="W964" s="1" t="s">
        <v>123</v>
      </c>
      <c r="X964" s="1">
        <v>5682523</v>
      </c>
      <c r="Y964" s="11">
        <v>41934</v>
      </c>
      <c r="Z964" s="11">
        <v>41936</v>
      </c>
      <c r="AA964" s="9">
        <f t="shared" si="92"/>
        <v>36000</v>
      </c>
      <c r="AB964" s="12">
        <v>61.05</v>
      </c>
      <c r="AC964" s="9">
        <f t="shared" si="93"/>
        <v>2197800</v>
      </c>
      <c r="AD964" s="9">
        <f t="shared" si="94"/>
        <v>2197800</v>
      </c>
      <c r="AE964" s="1" t="s">
        <v>48</v>
      </c>
      <c r="AF964" s="1" t="s">
        <v>53</v>
      </c>
      <c r="AG964" s="4">
        <f t="shared" si="95"/>
        <v>36000</v>
      </c>
      <c r="AH964" s="10">
        <v>36000</v>
      </c>
      <c r="AI964" s="10">
        <v>0</v>
      </c>
      <c r="AJ964" s="10">
        <v>0</v>
      </c>
      <c r="AK964" s="10">
        <v>720</v>
      </c>
      <c r="AL964" s="9">
        <f t="shared" si="96"/>
        <v>35280</v>
      </c>
      <c r="AM964" s="1"/>
      <c r="AN964" s="1"/>
      <c r="AO964" s="12" t="e">
        <f>AB964/#REF!</f>
        <v>#REF!</v>
      </c>
      <c r="AP964" s="1"/>
      <c r="AQ964" s="11">
        <v>42049</v>
      </c>
      <c r="AR964" s="1" t="s">
        <v>3375</v>
      </c>
      <c r="AS964" s="11">
        <v>42051</v>
      </c>
      <c r="AT964" s="1" t="s">
        <v>49</v>
      </c>
      <c r="AU964" s="1" t="s">
        <v>4171</v>
      </c>
    </row>
    <row r="965" spans="1:47" ht="15" customHeight="1" x14ac:dyDescent="0.25">
      <c r="A965" s="1">
        <v>961</v>
      </c>
      <c r="B965" s="1" t="s">
        <v>1258</v>
      </c>
      <c r="C965" s="1" t="s">
        <v>38</v>
      </c>
      <c r="D965" s="1">
        <v>9103550770</v>
      </c>
      <c r="E965" s="5">
        <v>41948</v>
      </c>
      <c r="F965" s="1" t="s">
        <v>2969</v>
      </c>
      <c r="G965" s="1" t="s">
        <v>40</v>
      </c>
      <c r="H965" s="1" t="s">
        <v>41</v>
      </c>
      <c r="I965" s="1" t="s">
        <v>2809</v>
      </c>
      <c r="J965" s="1" t="s">
        <v>924</v>
      </c>
      <c r="K965" s="1">
        <v>38237090</v>
      </c>
      <c r="L965" s="6">
        <v>24</v>
      </c>
      <c r="M965" s="1" t="s">
        <v>70</v>
      </c>
      <c r="N965" s="7" t="s">
        <v>44</v>
      </c>
      <c r="O965" s="1" t="s">
        <v>53</v>
      </c>
      <c r="P965" s="8">
        <v>1625</v>
      </c>
      <c r="Q965" s="17">
        <f t="shared" si="91"/>
        <v>39000</v>
      </c>
      <c r="R965" s="9">
        <v>1850</v>
      </c>
      <c r="S965" s="9">
        <v>5.58</v>
      </c>
      <c r="T965" s="9">
        <v>720</v>
      </c>
      <c r="U965" s="10">
        <v>0</v>
      </c>
      <c r="V965" s="1" t="s">
        <v>46</v>
      </c>
      <c r="W965" s="1" t="s">
        <v>123</v>
      </c>
      <c r="X965" s="1">
        <v>5675130</v>
      </c>
      <c r="Y965" s="11">
        <v>41934</v>
      </c>
      <c r="Z965" s="11">
        <v>41939</v>
      </c>
      <c r="AA965" s="9">
        <f t="shared" si="92"/>
        <v>37144.42</v>
      </c>
      <c r="AB965" s="12">
        <v>61.05</v>
      </c>
      <c r="AC965" s="9">
        <f t="shared" si="93"/>
        <v>2380950</v>
      </c>
      <c r="AD965" s="9">
        <f t="shared" si="94"/>
        <v>2267666.841</v>
      </c>
      <c r="AE965" s="1"/>
      <c r="AF965" s="1" t="s">
        <v>53</v>
      </c>
      <c r="AG965" s="4">
        <f t="shared" si="95"/>
        <v>39000</v>
      </c>
      <c r="AH965" s="92">
        <v>38910</v>
      </c>
      <c r="AI965" s="9">
        <v>1850</v>
      </c>
      <c r="AJ965" s="9">
        <v>5.58</v>
      </c>
      <c r="AK965" s="9">
        <v>780</v>
      </c>
      <c r="AL965" s="9">
        <f t="shared" si="96"/>
        <v>36274.42</v>
      </c>
      <c r="AM965" s="1"/>
      <c r="AN965" s="1"/>
      <c r="AO965" s="12" t="e">
        <f>AB965/#REF!</f>
        <v>#REF!</v>
      </c>
      <c r="AP965" s="1" t="s">
        <v>4239</v>
      </c>
      <c r="AQ965" s="11">
        <v>42198</v>
      </c>
      <c r="AR965" s="1" t="s">
        <v>4240</v>
      </c>
      <c r="AS965" s="11">
        <v>42200</v>
      </c>
      <c r="AT965" s="1" t="s">
        <v>49</v>
      </c>
      <c r="AU965" s="3" t="s">
        <v>4171</v>
      </c>
    </row>
    <row r="966" spans="1:47" ht="15" customHeight="1" x14ac:dyDescent="0.25">
      <c r="A966" s="1">
        <v>962</v>
      </c>
      <c r="B966" s="1" t="s">
        <v>1258</v>
      </c>
      <c r="C966" s="1" t="s">
        <v>38</v>
      </c>
      <c r="D966" s="1">
        <v>9103550771</v>
      </c>
      <c r="E966" s="5">
        <v>41941</v>
      </c>
      <c r="F966" s="1" t="s">
        <v>852</v>
      </c>
      <c r="G966" s="1" t="s">
        <v>40</v>
      </c>
      <c r="H966" s="1" t="s">
        <v>41</v>
      </c>
      <c r="I966" s="1" t="s">
        <v>2809</v>
      </c>
      <c r="J966" s="1" t="s">
        <v>50</v>
      </c>
      <c r="K966" s="1">
        <v>38237090</v>
      </c>
      <c r="L966" s="6">
        <v>7</v>
      </c>
      <c r="M966" s="1" t="s">
        <v>70</v>
      </c>
      <c r="N966" s="7" t="s">
        <v>52</v>
      </c>
      <c r="O966" s="1" t="s">
        <v>53</v>
      </c>
      <c r="P966" s="8">
        <v>1633</v>
      </c>
      <c r="Q966" s="17">
        <f t="shared" si="91"/>
        <v>11431</v>
      </c>
      <c r="R966" s="9">
        <v>612.5</v>
      </c>
      <c r="S966" s="9">
        <v>0</v>
      </c>
      <c r="T966" s="9">
        <v>0</v>
      </c>
      <c r="U966" s="10">
        <v>0</v>
      </c>
      <c r="V966" s="1" t="s">
        <v>46</v>
      </c>
      <c r="W966" s="1" t="s">
        <v>62</v>
      </c>
      <c r="X966" s="1">
        <v>5679760</v>
      </c>
      <c r="Y966" s="11">
        <v>41934</v>
      </c>
      <c r="Z966" s="11">
        <v>41936</v>
      </c>
      <c r="AA966" s="9">
        <f t="shared" si="92"/>
        <v>10818.5</v>
      </c>
      <c r="AB966" s="12">
        <v>61.05</v>
      </c>
      <c r="AC966" s="9">
        <f t="shared" si="93"/>
        <v>697862.54999999993</v>
      </c>
      <c r="AD966" s="9">
        <f t="shared" si="94"/>
        <v>660469.42499999993</v>
      </c>
      <c r="AE966" s="1" t="s">
        <v>284</v>
      </c>
      <c r="AF966" s="1" t="s">
        <v>53</v>
      </c>
      <c r="AG966" s="4">
        <f t="shared" si="95"/>
        <v>11431</v>
      </c>
      <c r="AH966" s="92">
        <v>11425</v>
      </c>
      <c r="AI966" s="92">
        <v>603.41999999999996</v>
      </c>
      <c r="AJ966" s="92">
        <v>0</v>
      </c>
      <c r="AK966" s="92">
        <v>0</v>
      </c>
      <c r="AL966" s="9">
        <f t="shared" si="96"/>
        <v>10821.58</v>
      </c>
      <c r="AM966" s="1"/>
      <c r="AN966" s="1"/>
      <c r="AO966" s="12" t="e">
        <f>AB966/#REF!</f>
        <v>#REF!</v>
      </c>
      <c r="AP966" s="1" t="s">
        <v>2620</v>
      </c>
      <c r="AQ966" s="11">
        <v>42031</v>
      </c>
      <c r="AR966" s="1" t="s">
        <v>2621</v>
      </c>
      <c r="AS966" s="11">
        <v>42031</v>
      </c>
      <c r="AT966" s="1" t="s">
        <v>49</v>
      </c>
      <c r="AU966" s="1" t="s">
        <v>4171</v>
      </c>
    </row>
    <row r="967" spans="1:47" ht="15" customHeight="1" x14ac:dyDescent="0.25">
      <c r="A967" s="1">
        <v>963</v>
      </c>
      <c r="B967" s="1" t="s">
        <v>1258</v>
      </c>
      <c r="C967" s="1" t="s">
        <v>38</v>
      </c>
      <c r="D967" s="1">
        <v>9103550771</v>
      </c>
      <c r="E967" s="5">
        <v>41941</v>
      </c>
      <c r="F967" s="1" t="s">
        <v>852</v>
      </c>
      <c r="G967" s="1" t="s">
        <v>40</v>
      </c>
      <c r="H967" s="1" t="s">
        <v>41</v>
      </c>
      <c r="I967" s="1" t="s">
        <v>2809</v>
      </c>
      <c r="J967" s="1" t="s">
        <v>50</v>
      </c>
      <c r="K967" s="1">
        <v>29051700</v>
      </c>
      <c r="L967" s="6">
        <v>5</v>
      </c>
      <c r="M967" s="1" t="s">
        <v>70</v>
      </c>
      <c r="N967" s="7" t="s">
        <v>52</v>
      </c>
      <c r="O967" s="1" t="s">
        <v>53</v>
      </c>
      <c r="P967" s="8">
        <v>1715</v>
      </c>
      <c r="Q967" s="17">
        <f t="shared" si="91"/>
        <v>8575</v>
      </c>
      <c r="R967" s="9">
        <v>437.5</v>
      </c>
      <c r="S967" s="9">
        <v>0</v>
      </c>
      <c r="T967" s="9">
        <v>0</v>
      </c>
      <c r="U967" s="10">
        <v>0</v>
      </c>
      <c r="V967" s="1" t="s">
        <v>46</v>
      </c>
      <c r="W967" s="1" t="s">
        <v>62</v>
      </c>
      <c r="X967" s="1">
        <v>5679760</v>
      </c>
      <c r="Y967" s="11">
        <v>41934</v>
      </c>
      <c r="Z967" s="11">
        <v>41936</v>
      </c>
      <c r="AA967" s="9">
        <f t="shared" si="92"/>
        <v>8137.5</v>
      </c>
      <c r="AB967" s="12">
        <v>61.05</v>
      </c>
      <c r="AC967" s="9">
        <f t="shared" si="93"/>
        <v>523503.75</v>
      </c>
      <c r="AD967" s="9">
        <f t="shared" si="94"/>
        <v>496794.375</v>
      </c>
      <c r="AE967" s="1" t="s">
        <v>284</v>
      </c>
      <c r="AF967" s="1" t="s">
        <v>53</v>
      </c>
      <c r="AG967" s="4">
        <f t="shared" si="95"/>
        <v>8575</v>
      </c>
      <c r="AH967" s="92">
        <v>8569</v>
      </c>
      <c r="AI967" s="92">
        <v>452.58</v>
      </c>
      <c r="AJ967" s="92">
        <v>0</v>
      </c>
      <c r="AK967" s="92">
        <v>0</v>
      </c>
      <c r="AL967" s="9">
        <f t="shared" si="96"/>
        <v>8116.42</v>
      </c>
      <c r="AM967" s="1"/>
      <c r="AN967" s="1"/>
      <c r="AO967" s="12" t="e">
        <f>AB967/#REF!</f>
        <v>#REF!</v>
      </c>
      <c r="AP967" s="1" t="s">
        <v>2620</v>
      </c>
      <c r="AQ967" s="11">
        <v>42031</v>
      </c>
      <c r="AR967" s="1" t="s">
        <v>2621</v>
      </c>
      <c r="AS967" s="11">
        <v>42031</v>
      </c>
      <c r="AT967" s="1" t="s">
        <v>49</v>
      </c>
      <c r="AU967" s="1" t="s">
        <v>4171</v>
      </c>
    </row>
    <row r="968" spans="1:47" ht="15" customHeight="1" x14ac:dyDescent="0.25">
      <c r="A968" s="1">
        <v>964</v>
      </c>
      <c r="B968" s="1" t="s">
        <v>1258</v>
      </c>
      <c r="C968" s="1" t="s">
        <v>38</v>
      </c>
      <c r="D968" s="1">
        <v>9103550772</v>
      </c>
      <c r="E968" s="5">
        <v>41934</v>
      </c>
      <c r="F968" s="1" t="s">
        <v>2970</v>
      </c>
      <c r="G968" s="1" t="s">
        <v>40</v>
      </c>
      <c r="H968" s="1" t="s">
        <v>41</v>
      </c>
      <c r="I968" s="1" t="s">
        <v>2809</v>
      </c>
      <c r="J968" s="1" t="s">
        <v>2759</v>
      </c>
      <c r="K968" s="1">
        <v>38237090</v>
      </c>
      <c r="L968" s="6">
        <v>14</v>
      </c>
      <c r="M968" s="1" t="s">
        <v>70</v>
      </c>
      <c r="N968" s="7" t="s">
        <v>44</v>
      </c>
      <c r="O968" s="1" t="s">
        <v>53</v>
      </c>
      <c r="P968" s="8">
        <v>1490</v>
      </c>
      <c r="Q968" s="17">
        <f t="shared" si="91"/>
        <v>20860</v>
      </c>
      <c r="R968" s="9">
        <v>51.33</v>
      </c>
      <c r="S968" s="9">
        <v>2.98</v>
      </c>
      <c r="T968" s="9">
        <v>0</v>
      </c>
      <c r="U968" s="10">
        <v>0</v>
      </c>
      <c r="V968" s="1" t="s">
        <v>46</v>
      </c>
      <c r="W968" s="1" t="s">
        <v>72</v>
      </c>
      <c r="X968" s="1">
        <v>5680146</v>
      </c>
      <c r="Y968" s="11">
        <v>41934</v>
      </c>
      <c r="Z968" s="11">
        <v>41936</v>
      </c>
      <c r="AA968" s="9">
        <f t="shared" si="92"/>
        <v>20805.689999999999</v>
      </c>
      <c r="AB968" s="12">
        <v>61.05</v>
      </c>
      <c r="AC968" s="9">
        <f t="shared" si="93"/>
        <v>1273503</v>
      </c>
      <c r="AD968" s="9">
        <f t="shared" si="94"/>
        <v>1270187.3744999999</v>
      </c>
      <c r="AE968" s="1" t="s">
        <v>48</v>
      </c>
      <c r="AF968" s="1" t="s">
        <v>53</v>
      </c>
      <c r="AG968" s="4">
        <f t="shared" si="95"/>
        <v>20860</v>
      </c>
      <c r="AH968" s="92">
        <v>20812</v>
      </c>
      <c r="AI968" s="92">
        <v>53.878</v>
      </c>
      <c r="AJ968" s="92">
        <v>2.98</v>
      </c>
      <c r="AK968" s="92">
        <v>0</v>
      </c>
      <c r="AL968" s="9">
        <f t="shared" si="96"/>
        <v>20755.142</v>
      </c>
      <c r="AM968" s="1"/>
      <c r="AN968" s="1"/>
      <c r="AO968" s="12" t="e">
        <f>AB968/#REF!</f>
        <v>#REF!</v>
      </c>
      <c r="AP968" s="1"/>
      <c r="AQ968" s="11">
        <v>41999</v>
      </c>
      <c r="AR968" s="1" t="s">
        <v>3376</v>
      </c>
      <c r="AS968" s="11">
        <v>42000</v>
      </c>
      <c r="AT968" s="1" t="s">
        <v>49</v>
      </c>
      <c r="AU968" s="1" t="s">
        <v>4171</v>
      </c>
    </row>
    <row r="969" spans="1:47" ht="15" customHeight="1" x14ac:dyDescent="0.25">
      <c r="A969" s="1">
        <v>965</v>
      </c>
      <c r="B969" s="1" t="s">
        <v>1258</v>
      </c>
      <c r="C969" s="1" t="s">
        <v>38</v>
      </c>
      <c r="D969" s="1">
        <v>9103550772</v>
      </c>
      <c r="E969" s="5">
        <v>41934</v>
      </c>
      <c r="F969" s="1" t="s">
        <v>2970</v>
      </c>
      <c r="G969" s="1" t="s">
        <v>40</v>
      </c>
      <c r="H969" s="1" t="s">
        <v>41</v>
      </c>
      <c r="I969" s="1" t="s">
        <v>2809</v>
      </c>
      <c r="J969" s="1" t="s">
        <v>2759</v>
      </c>
      <c r="K969" s="1">
        <v>29051700</v>
      </c>
      <c r="L969" s="6">
        <v>1</v>
      </c>
      <c r="M969" s="1" t="s">
        <v>70</v>
      </c>
      <c r="N969" s="7" t="s">
        <v>44</v>
      </c>
      <c r="O969" s="1" t="s">
        <v>53</v>
      </c>
      <c r="P969" s="8">
        <v>1590</v>
      </c>
      <c r="Q969" s="17">
        <f t="shared" si="91"/>
        <v>1590</v>
      </c>
      <c r="R969" s="9">
        <v>3.67</v>
      </c>
      <c r="S969" s="9">
        <v>0.23</v>
      </c>
      <c r="T969" s="9">
        <v>0</v>
      </c>
      <c r="U969" s="10">
        <v>0</v>
      </c>
      <c r="V969" s="1" t="s">
        <v>46</v>
      </c>
      <c r="W969" s="1" t="s">
        <v>72</v>
      </c>
      <c r="X969" s="1">
        <v>5680146</v>
      </c>
      <c r="Y969" s="11">
        <v>41934</v>
      </c>
      <c r="Z969" s="11">
        <v>41936</v>
      </c>
      <c r="AA969" s="9">
        <f t="shared" si="92"/>
        <v>1586.1</v>
      </c>
      <c r="AB969" s="12">
        <v>61.05</v>
      </c>
      <c r="AC969" s="9">
        <f t="shared" si="93"/>
        <v>97069.5</v>
      </c>
      <c r="AD969" s="9">
        <f t="shared" si="94"/>
        <v>96831.404999999984</v>
      </c>
      <c r="AE969" s="1" t="s">
        <v>48</v>
      </c>
      <c r="AF969" s="1" t="s">
        <v>53</v>
      </c>
      <c r="AG969" s="4">
        <f t="shared" si="95"/>
        <v>1590</v>
      </c>
      <c r="AH969" s="10">
        <v>1591</v>
      </c>
      <c r="AI969" s="10">
        <v>4.12</v>
      </c>
      <c r="AJ969" s="10">
        <v>0.23</v>
      </c>
      <c r="AK969" s="10">
        <v>0</v>
      </c>
      <c r="AL969" s="9">
        <f t="shared" si="96"/>
        <v>1586.65</v>
      </c>
      <c r="AM969" s="1"/>
      <c r="AN969" s="1"/>
      <c r="AO969" s="12" t="e">
        <f>AB969/#REF!</f>
        <v>#REF!</v>
      </c>
      <c r="AP969" s="1"/>
      <c r="AQ969" s="11">
        <v>41999</v>
      </c>
      <c r="AR969" s="1" t="s">
        <v>3376</v>
      </c>
      <c r="AS969" s="11">
        <v>42000</v>
      </c>
      <c r="AT969" s="1" t="s">
        <v>49</v>
      </c>
      <c r="AU969" s="1" t="s">
        <v>4171</v>
      </c>
    </row>
    <row r="970" spans="1:47" ht="15" customHeight="1" x14ac:dyDescent="0.25">
      <c r="A970" s="1">
        <v>966</v>
      </c>
      <c r="B970" s="1" t="s">
        <v>1258</v>
      </c>
      <c r="C970" s="1" t="s">
        <v>38</v>
      </c>
      <c r="D970" s="1">
        <v>9103550773</v>
      </c>
      <c r="E970" s="5">
        <v>41947</v>
      </c>
      <c r="F970" s="1" t="s">
        <v>847</v>
      </c>
      <c r="G970" s="1" t="s">
        <v>40</v>
      </c>
      <c r="H970" s="1" t="s">
        <v>41</v>
      </c>
      <c r="I970" s="1" t="s">
        <v>2809</v>
      </c>
      <c r="J970" s="1" t="s">
        <v>76</v>
      </c>
      <c r="K970" s="1">
        <v>29157010</v>
      </c>
      <c r="L970" s="6">
        <v>19.62</v>
      </c>
      <c r="M970" s="1" t="s">
        <v>70</v>
      </c>
      <c r="N970" s="7" t="s">
        <v>44</v>
      </c>
      <c r="O970" s="1" t="s">
        <v>53</v>
      </c>
      <c r="P970" s="8">
        <v>1090</v>
      </c>
      <c r="Q970" s="17">
        <f t="shared" si="91"/>
        <v>21385.8</v>
      </c>
      <c r="R970" s="9">
        <v>356</v>
      </c>
      <c r="S970" s="9">
        <v>3.06</v>
      </c>
      <c r="T970" s="9">
        <v>0</v>
      </c>
      <c r="U970" s="10">
        <v>0</v>
      </c>
      <c r="V970" s="1" t="s">
        <v>46</v>
      </c>
      <c r="W970" s="1" t="s">
        <v>492</v>
      </c>
      <c r="X970" s="1">
        <v>5681843</v>
      </c>
      <c r="Y970" s="11">
        <v>41934</v>
      </c>
      <c r="Z970" s="11">
        <v>41936</v>
      </c>
      <c r="AA970" s="9">
        <f t="shared" si="92"/>
        <v>21026.739999999998</v>
      </c>
      <c r="AB970" s="12">
        <v>61.05</v>
      </c>
      <c r="AC970" s="9">
        <f t="shared" si="93"/>
        <v>1305603.0899999999</v>
      </c>
      <c r="AD970" s="9">
        <f t="shared" si="94"/>
        <v>1283682.4769999997</v>
      </c>
      <c r="AE970" s="1" t="s">
        <v>48</v>
      </c>
      <c r="AF970" s="1" t="s">
        <v>53</v>
      </c>
      <c r="AG970" s="4">
        <f t="shared" si="95"/>
        <v>21385.8</v>
      </c>
      <c r="AH970" s="10">
        <v>21385.8</v>
      </c>
      <c r="AI970" s="9">
        <v>350</v>
      </c>
      <c r="AJ970" s="9">
        <v>3.06</v>
      </c>
      <c r="AK970" s="9">
        <v>0</v>
      </c>
      <c r="AL970" s="9">
        <f t="shared" si="96"/>
        <v>21032.739999999998</v>
      </c>
      <c r="AM970" s="1"/>
      <c r="AN970" s="1"/>
      <c r="AO970" s="12" t="e">
        <f>AB970/#REF!</f>
        <v>#REF!</v>
      </c>
      <c r="AP970" s="1"/>
      <c r="AQ970" s="11">
        <v>42090</v>
      </c>
      <c r="AR970" s="1" t="s">
        <v>3377</v>
      </c>
      <c r="AS970" s="11">
        <v>42093</v>
      </c>
      <c r="AT970" s="1" t="s">
        <v>49</v>
      </c>
      <c r="AU970" s="1" t="s">
        <v>4171</v>
      </c>
    </row>
    <row r="971" spans="1:47" ht="15" customHeight="1" x14ac:dyDescent="0.25">
      <c r="A971" s="1">
        <v>967</v>
      </c>
      <c r="B971" s="1" t="s">
        <v>1258</v>
      </c>
      <c r="C971" s="1" t="s">
        <v>38</v>
      </c>
      <c r="D971" s="1">
        <v>9103550774</v>
      </c>
      <c r="E971" s="5">
        <v>41940</v>
      </c>
      <c r="F971" s="1" t="s">
        <v>824</v>
      </c>
      <c r="G971" s="1" t="s">
        <v>40</v>
      </c>
      <c r="H971" s="1" t="s">
        <v>41</v>
      </c>
      <c r="I971" s="1" t="s">
        <v>2809</v>
      </c>
      <c r="J971" s="1" t="s">
        <v>2671</v>
      </c>
      <c r="K971" s="1">
        <v>38237090</v>
      </c>
      <c r="L971" s="6">
        <v>2</v>
      </c>
      <c r="M971" s="1" t="s">
        <v>70</v>
      </c>
      <c r="N971" s="7" t="s">
        <v>44</v>
      </c>
      <c r="O971" s="1" t="s">
        <v>53</v>
      </c>
      <c r="P971" s="8">
        <v>4470</v>
      </c>
      <c r="Q971" s="17">
        <f t="shared" si="91"/>
        <v>8940</v>
      </c>
      <c r="R971" s="9">
        <v>125</v>
      </c>
      <c r="S971" s="9">
        <v>1.28</v>
      </c>
      <c r="T971" s="9">
        <v>0</v>
      </c>
      <c r="U971" s="10">
        <v>0</v>
      </c>
      <c r="V971" s="1" t="s">
        <v>46</v>
      </c>
      <c r="W971" s="1" t="s">
        <v>236</v>
      </c>
      <c r="X971" s="1">
        <v>5617822</v>
      </c>
      <c r="Y971" s="11">
        <v>41932</v>
      </c>
      <c r="Z971" s="11">
        <v>41934</v>
      </c>
      <c r="AA971" s="9">
        <f t="shared" si="92"/>
        <v>8813.7199999999993</v>
      </c>
      <c r="AB971" s="12">
        <v>61.05</v>
      </c>
      <c r="AC971" s="9">
        <f t="shared" si="93"/>
        <v>545787</v>
      </c>
      <c r="AD971" s="9">
        <f t="shared" si="94"/>
        <v>538077.60599999991</v>
      </c>
      <c r="AE971" s="1" t="s">
        <v>48</v>
      </c>
      <c r="AF971" s="1" t="s">
        <v>53</v>
      </c>
      <c r="AG971" s="4">
        <f t="shared" si="95"/>
        <v>8940</v>
      </c>
      <c r="AH971" s="10">
        <v>8905</v>
      </c>
      <c r="AI971" s="10">
        <v>24.49</v>
      </c>
      <c r="AJ971" s="10">
        <v>1.28</v>
      </c>
      <c r="AK971" s="10">
        <v>0</v>
      </c>
      <c r="AL971" s="9">
        <f t="shared" si="96"/>
        <v>8879.23</v>
      </c>
      <c r="AM971" s="1"/>
      <c r="AN971" s="1"/>
      <c r="AO971" s="12" t="e">
        <f>AB971/#REF!</f>
        <v>#REF!</v>
      </c>
      <c r="AP971" s="1" t="s">
        <v>2622</v>
      </c>
      <c r="AQ971" s="11">
        <v>42009</v>
      </c>
      <c r="AR971" s="1" t="s">
        <v>2623</v>
      </c>
      <c r="AS971" s="11">
        <v>42010</v>
      </c>
      <c r="AT971" s="1" t="s">
        <v>49</v>
      </c>
      <c r="AU971" s="1" t="s">
        <v>4171</v>
      </c>
    </row>
    <row r="972" spans="1:47" ht="15" customHeight="1" x14ac:dyDescent="0.25">
      <c r="A972" s="1">
        <v>968</v>
      </c>
      <c r="B972" s="1" t="s">
        <v>1258</v>
      </c>
      <c r="C972" s="1" t="s">
        <v>38</v>
      </c>
      <c r="D972" s="1">
        <v>9103550775</v>
      </c>
      <c r="E972" s="5">
        <v>41943</v>
      </c>
      <c r="F972" s="1" t="s">
        <v>853</v>
      </c>
      <c r="G972" s="1" t="s">
        <v>40</v>
      </c>
      <c r="H972" s="1" t="s">
        <v>41</v>
      </c>
      <c r="I972" s="1" t="s">
        <v>2809</v>
      </c>
      <c r="J972" s="1" t="s">
        <v>187</v>
      </c>
      <c r="K972" s="1">
        <v>29051700</v>
      </c>
      <c r="L972" s="6">
        <v>18.14</v>
      </c>
      <c r="M972" s="1" t="s">
        <v>70</v>
      </c>
      <c r="N972" s="7" t="s">
        <v>44</v>
      </c>
      <c r="O972" s="1" t="s">
        <v>53</v>
      </c>
      <c r="P972" s="8">
        <v>1708</v>
      </c>
      <c r="Q972" s="17">
        <f t="shared" si="91"/>
        <v>30983.120000000003</v>
      </c>
      <c r="R972" s="9">
        <v>3310</v>
      </c>
      <c r="S972" s="9">
        <v>4.43</v>
      </c>
      <c r="T972" s="9">
        <v>0</v>
      </c>
      <c r="U972" s="10">
        <v>0</v>
      </c>
      <c r="V972" s="1" t="s">
        <v>46</v>
      </c>
      <c r="W972" s="1" t="s">
        <v>56</v>
      </c>
      <c r="X972" s="1">
        <v>5721257</v>
      </c>
      <c r="Y972" s="11">
        <v>41939</v>
      </c>
      <c r="Z972" s="11">
        <v>41940</v>
      </c>
      <c r="AA972" s="9">
        <f t="shared" si="92"/>
        <v>27668.690000000002</v>
      </c>
      <c r="AB972" s="12">
        <v>61.05</v>
      </c>
      <c r="AC972" s="9">
        <f t="shared" si="93"/>
        <v>1891519.476</v>
      </c>
      <c r="AD972" s="9">
        <f t="shared" si="94"/>
        <v>1689173.5245000001</v>
      </c>
      <c r="AE972" s="1" t="s">
        <v>48</v>
      </c>
      <c r="AF972" s="1" t="s">
        <v>53</v>
      </c>
      <c r="AG972" s="4">
        <f t="shared" si="95"/>
        <v>30983.120000000003</v>
      </c>
      <c r="AH972" s="10">
        <v>30913.119999999999</v>
      </c>
      <c r="AI972" s="10">
        <v>3244</v>
      </c>
      <c r="AJ972" s="10">
        <v>4.43</v>
      </c>
      <c r="AK972" s="10">
        <v>0</v>
      </c>
      <c r="AL972" s="9">
        <f t="shared" si="96"/>
        <v>27664.69</v>
      </c>
      <c r="AM972" s="1"/>
      <c r="AN972" s="1"/>
      <c r="AO972" s="12" t="e">
        <f>AB972/#REF!</f>
        <v>#REF!</v>
      </c>
      <c r="AP972" s="1" t="s">
        <v>2624</v>
      </c>
      <c r="AQ972" s="11">
        <v>41964</v>
      </c>
      <c r="AR972" s="1" t="s">
        <v>2625</v>
      </c>
      <c r="AS972" s="11">
        <v>41967</v>
      </c>
      <c r="AT972" s="1" t="s">
        <v>49</v>
      </c>
      <c r="AU972" s="1" t="s">
        <v>4171</v>
      </c>
    </row>
    <row r="973" spans="1:47" ht="15" customHeight="1" x14ac:dyDescent="0.25">
      <c r="A973" s="1">
        <v>969</v>
      </c>
      <c r="B973" s="1" t="s">
        <v>1258</v>
      </c>
      <c r="C973" s="1" t="s">
        <v>38</v>
      </c>
      <c r="D973" s="1">
        <v>9103550776</v>
      </c>
      <c r="E973" s="5">
        <v>41942</v>
      </c>
      <c r="F973" s="1" t="s">
        <v>855</v>
      </c>
      <c r="G973" s="1" t="s">
        <v>40</v>
      </c>
      <c r="H973" s="1" t="s">
        <v>41</v>
      </c>
      <c r="I973" s="1" t="s">
        <v>2810</v>
      </c>
      <c r="J973" s="1" t="s">
        <v>1116</v>
      </c>
      <c r="K973" s="1">
        <v>38237090</v>
      </c>
      <c r="L973" s="6">
        <v>207</v>
      </c>
      <c r="M973" s="1" t="s">
        <v>70</v>
      </c>
      <c r="N973" s="7" t="s">
        <v>67</v>
      </c>
      <c r="O973" s="1" t="s">
        <v>1117</v>
      </c>
      <c r="P973" s="8">
        <v>101255</v>
      </c>
      <c r="Q973" s="17">
        <f t="shared" si="91"/>
        <v>20959785</v>
      </c>
      <c r="R973" s="9">
        <v>0</v>
      </c>
      <c r="S973" s="9">
        <v>0</v>
      </c>
      <c r="T973" s="9">
        <v>0</v>
      </c>
      <c r="U973" s="10">
        <v>0</v>
      </c>
      <c r="V973" s="1" t="s">
        <v>46</v>
      </c>
      <c r="W973" s="1" t="s">
        <v>361</v>
      </c>
      <c r="X973" s="1">
        <v>5721341</v>
      </c>
      <c r="Y973" s="11">
        <v>41939</v>
      </c>
      <c r="Z973" s="11">
        <v>41940</v>
      </c>
      <c r="AA973" s="9">
        <f t="shared" si="92"/>
        <v>20959785</v>
      </c>
      <c r="AB973" s="12">
        <v>1</v>
      </c>
      <c r="AC973" s="9">
        <f t="shared" si="93"/>
        <v>20959785</v>
      </c>
      <c r="AD973" s="9">
        <f t="shared" si="94"/>
        <v>20959785</v>
      </c>
      <c r="AE973" s="1" t="s">
        <v>4162</v>
      </c>
      <c r="AF973" s="1" t="s">
        <v>1117</v>
      </c>
      <c r="AG973" s="4">
        <f t="shared" si="95"/>
        <v>20959785</v>
      </c>
      <c r="AH973" s="10">
        <v>20959785</v>
      </c>
      <c r="AI973" s="10"/>
      <c r="AJ973" s="10"/>
      <c r="AK973" s="10"/>
      <c r="AL973" s="9">
        <f t="shared" si="96"/>
        <v>20959785</v>
      </c>
      <c r="AM973" s="1"/>
      <c r="AN973" s="1"/>
      <c r="AO973" s="12"/>
      <c r="AP973" s="1" t="s">
        <v>4077</v>
      </c>
      <c r="AQ973" s="11" t="s">
        <v>4065</v>
      </c>
      <c r="AR973" s="1" t="s">
        <v>4078</v>
      </c>
      <c r="AS973" s="1" t="s">
        <v>4059</v>
      </c>
      <c r="AT973" s="1" t="s">
        <v>49</v>
      </c>
      <c r="AU973" s="1" t="s">
        <v>4171</v>
      </c>
    </row>
    <row r="974" spans="1:47" ht="15" customHeight="1" x14ac:dyDescent="0.25">
      <c r="A974" s="1">
        <v>970</v>
      </c>
      <c r="B974" s="1" t="s">
        <v>1258</v>
      </c>
      <c r="C974" s="1" t="s">
        <v>38</v>
      </c>
      <c r="D974" s="1">
        <v>9103550777</v>
      </c>
      <c r="E974" s="5">
        <v>41943</v>
      </c>
      <c r="F974" s="1" t="s">
        <v>870</v>
      </c>
      <c r="G974" s="1" t="s">
        <v>40</v>
      </c>
      <c r="H974" s="1" t="s">
        <v>41</v>
      </c>
      <c r="I974" s="1" t="s">
        <v>2809</v>
      </c>
      <c r="J974" s="1" t="s">
        <v>187</v>
      </c>
      <c r="K974" s="1">
        <v>29051700</v>
      </c>
      <c r="L974" s="6">
        <v>72.56</v>
      </c>
      <c r="M974" s="1" t="s">
        <v>70</v>
      </c>
      <c r="N974" s="7" t="s">
        <v>44</v>
      </c>
      <c r="O974" s="1" t="s">
        <v>53</v>
      </c>
      <c r="P974" s="8">
        <v>1700</v>
      </c>
      <c r="Q974" s="17">
        <f t="shared" si="91"/>
        <v>123352</v>
      </c>
      <c r="R974" s="9">
        <v>10320</v>
      </c>
      <c r="S974" s="9">
        <v>17.64</v>
      </c>
      <c r="T974" s="9">
        <v>0</v>
      </c>
      <c r="U974" s="10">
        <v>0</v>
      </c>
      <c r="V974" s="1" t="s">
        <v>46</v>
      </c>
      <c r="W974" s="1" t="s">
        <v>56</v>
      </c>
      <c r="X974" s="1">
        <v>5727467</v>
      </c>
      <c r="Y974" s="11">
        <v>41939</v>
      </c>
      <c r="Z974" s="11">
        <v>41940</v>
      </c>
      <c r="AA974" s="9">
        <f t="shared" si="92"/>
        <v>113014.36</v>
      </c>
      <c r="AB974" s="12">
        <v>61.05</v>
      </c>
      <c r="AC974" s="9">
        <f t="shared" si="93"/>
        <v>7530639.5999999996</v>
      </c>
      <c r="AD974" s="9">
        <f t="shared" si="94"/>
        <v>6899526.6779999994</v>
      </c>
      <c r="AE974" s="1" t="s">
        <v>48</v>
      </c>
      <c r="AF974" s="1" t="s">
        <v>53</v>
      </c>
      <c r="AG974" s="4">
        <f t="shared" si="95"/>
        <v>123352</v>
      </c>
      <c r="AH974" s="10">
        <v>123352</v>
      </c>
      <c r="AI974" s="10">
        <v>9776</v>
      </c>
      <c r="AJ974" s="10">
        <v>17.64</v>
      </c>
      <c r="AK974" s="10">
        <v>0</v>
      </c>
      <c r="AL974" s="9">
        <f t="shared" si="96"/>
        <v>113558.36</v>
      </c>
      <c r="AM974" s="1"/>
      <c r="AN974" s="1"/>
      <c r="AO974" s="12" t="e">
        <f>AB974/#REF!</f>
        <v>#REF!</v>
      </c>
      <c r="AP974" s="1" t="s">
        <v>2626</v>
      </c>
      <c r="AQ974" s="11">
        <v>41964</v>
      </c>
      <c r="AR974" s="1" t="s">
        <v>2627</v>
      </c>
      <c r="AS974" s="11">
        <v>41967</v>
      </c>
      <c r="AT974" s="1" t="s">
        <v>49</v>
      </c>
      <c r="AU974" s="1" t="s">
        <v>4171</v>
      </c>
    </row>
    <row r="975" spans="1:47" ht="15" customHeight="1" x14ac:dyDescent="0.25">
      <c r="A975" s="1">
        <v>971</v>
      </c>
      <c r="B975" s="1" t="s">
        <v>1258</v>
      </c>
      <c r="C975" s="1" t="s">
        <v>38</v>
      </c>
      <c r="D975" s="1">
        <v>9103550778</v>
      </c>
      <c r="E975" s="5">
        <v>41949</v>
      </c>
      <c r="F975" s="1" t="s">
        <v>869</v>
      </c>
      <c r="G975" s="1" t="s">
        <v>40</v>
      </c>
      <c r="H975" s="1" t="s">
        <v>41</v>
      </c>
      <c r="I975" s="1" t="s">
        <v>2809</v>
      </c>
      <c r="J975" s="1" t="s">
        <v>2628</v>
      </c>
      <c r="K975" s="1">
        <v>38237090</v>
      </c>
      <c r="L975" s="6">
        <v>4</v>
      </c>
      <c r="M975" s="1" t="s">
        <v>70</v>
      </c>
      <c r="N975" s="7" t="s">
        <v>44</v>
      </c>
      <c r="O975" s="1" t="s">
        <v>53</v>
      </c>
      <c r="P975" s="8">
        <v>4855</v>
      </c>
      <c r="Q975" s="17">
        <f>+L975*P975</f>
        <v>19420</v>
      </c>
      <c r="R975" s="9">
        <v>100</v>
      </c>
      <c r="S975" s="9">
        <v>2.78</v>
      </c>
      <c r="T975" s="9">
        <v>0</v>
      </c>
      <c r="U975" s="10">
        <v>0</v>
      </c>
      <c r="V975" s="1" t="s">
        <v>46</v>
      </c>
      <c r="W975" s="1" t="s">
        <v>64</v>
      </c>
      <c r="X975" s="1">
        <v>5735912</v>
      </c>
      <c r="Y975" s="11">
        <v>41940</v>
      </c>
      <c r="Z975" s="11">
        <v>41941</v>
      </c>
      <c r="AA975" s="9">
        <f t="shared" si="92"/>
        <v>19317.22</v>
      </c>
      <c r="AB975" s="12">
        <v>61.05</v>
      </c>
      <c r="AC975" s="9">
        <f t="shared" si="93"/>
        <v>1185591</v>
      </c>
      <c r="AD975" s="9">
        <f t="shared" si="94"/>
        <v>1179316.281</v>
      </c>
      <c r="AE975" s="1" t="s">
        <v>48</v>
      </c>
      <c r="AF975" s="1" t="s">
        <v>53</v>
      </c>
      <c r="AG975" s="4">
        <f t="shared" si="95"/>
        <v>19420</v>
      </c>
      <c r="AH975" s="10">
        <v>19189</v>
      </c>
      <c r="AI975" s="10">
        <v>348.53</v>
      </c>
      <c r="AJ975" s="10">
        <v>2.75</v>
      </c>
      <c r="AK975" s="10">
        <v>0</v>
      </c>
      <c r="AL975" s="9">
        <f t="shared" si="96"/>
        <v>18837.72</v>
      </c>
      <c r="AM975" s="1"/>
      <c r="AN975" s="1"/>
      <c r="AO975" s="12" t="e">
        <f>AB975/#REF!</f>
        <v>#REF!</v>
      </c>
      <c r="AP975" s="1" t="s">
        <v>2629</v>
      </c>
      <c r="AQ975" s="11">
        <v>41969</v>
      </c>
      <c r="AR975" s="1" t="s">
        <v>2630</v>
      </c>
      <c r="AS975" s="11">
        <v>41970</v>
      </c>
      <c r="AT975" s="1" t="s">
        <v>49</v>
      </c>
      <c r="AU975" s="1" t="s">
        <v>4171</v>
      </c>
    </row>
    <row r="976" spans="1:47" ht="15" customHeight="1" x14ac:dyDescent="0.25">
      <c r="A976" s="1">
        <v>972</v>
      </c>
      <c r="B976" s="1" t="s">
        <v>1258</v>
      </c>
      <c r="C976" s="1" t="s">
        <v>38</v>
      </c>
      <c r="D976" s="1">
        <v>9103550779</v>
      </c>
      <c r="E976" s="5">
        <v>41949</v>
      </c>
      <c r="F976" s="1" t="s">
        <v>860</v>
      </c>
      <c r="G976" s="1" t="s">
        <v>40</v>
      </c>
      <c r="H976" s="1" t="s">
        <v>41</v>
      </c>
      <c r="I976" s="1" t="s">
        <v>2809</v>
      </c>
      <c r="J976" s="45" t="s">
        <v>2631</v>
      </c>
      <c r="K976" s="1">
        <v>38237090</v>
      </c>
      <c r="L976" s="6">
        <v>23.4</v>
      </c>
      <c r="M976" s="1" t="s">
        <v>70</v>
      </c>
      <c r="N976" s="7" t="s">
        <v>44</v>
      </c>
      <c r="O976" s="1" t="s">
        <v>53</v>
      </c>
      <c r="P976" s="8">
        <v>3530</v>
      </c>
      <c r="Q976" s="17">
        <f>+L976*P976</f>
        <v>82602</v>
      </c>
      <c r="R976" s="9">
        <v>100</v>
      </c>
      <c r="S976" s="9">
        <v>11.81</v>
      </c>
      <c r="T976" s="9">
        <v>702</v>
      </c>
      <c r="U976" s="10">
        <v>0</v>
      </c>
      <c r="V976" s="1" t="s">
        <v>46</v>
      </c>
      <c r="W976" s="1" t="s">
        <v>2632</v>
      </c>
      <c r="X976" s="1">
        <v>5744746</v>
      </c>
      <c r="Y976" s="11">
        <v>41940</v>
      </c>
      <c r="Z976" s="11"/>
      <c r="AA976" s="9">
        <f t="shared" si="92"/>
        <v>82490.19</v>
      </c>
      <c r="AB976" s="12">
        <v>61.05</v>
      </c>
      <c r="AC976" s="9">
        <f t="shared" si="93"/>
        <v>5042852.0999999996</v>
      </c>
      <c r="AD976" s="9">
        <f t="shared" si="94"/>
        <v>5036026.0994999995</v>
      </c>
      <c r="AE976" s="1" t="s">
        <v>48</v>
      </c>
      <c r="AF976" s="1" t="s">
        <v>53</v>
      </c>
      <c r="AG976" s="4">
        <f t="shared" si="95"/>
        <v>82602</v>
      </c>
      <c r="AH976" s="10">
        <v>82567.5</v>
      </c>
      <c r="AI976" s="10">
        <v>41</v>
      </c>
      <c r="AJ976" s="10">
        <v>11.81</v>
      </c>
      <c r="AK976" s="10">
        <v>702</v>
      </c>
      <c r="AL976" s="9">
        <f t="shared" si="96"/>
        <v>81812.69</v>
      </c>
      <c r="AM976" s="1"/>
      <c r="AN976" s="1"/>
      <c r="AO976" s="12" t="e">
        <f>AB976/#REF!</f>
        <v>#REF!</v>
      </c>
      <c r="AP976" s="1" t="s">
        <v>2633</v>
      </c>
      <c r="AQ976" s="11">
        <v>42012</v>
      </c>
      <c r="AR976" s="1" t="s">
        <v>2634</v>
      </c>
      <c r="AS976" s="11">
        <v>42014</v>
      </c>
      <c r="AT976" s="1" t="s">
        <v>49</v>
      </c>
      <c r="AU976" s="1" t="s">
        <v>4171</v>
      </c>
    </row>
    <row r="977" spans="1:47" ht="15" customHeight="1" x14ac:dyDescent="0.25">
      <c r="A977" s="1">
        <v>973</v>
      </c>
      <c r="B977" s="1" t="s">
        <v>1258</v>
      </c>
      <c r="C977" s="1" t="s">
        <v>38</v>
      </c>
      <c r="D977" s="1" t="s">
        <v>2635</v>
      </c>
      <c r="E977" s="5">
        <v>41942</v>
      </c>
      <c r="F977" s="1" t="s">
        <v>858</v>
      </c>
      <c r="G977" s="1" t="s">
        <v>40</v>
      </c>
      <c r="H977" s="1" t="s">
        <v>41</v>
      </c>
      <c r="I977" s="1" t="s">
        <v>2810</v>
      </c>
      <c r="J977" s="1" t="s">
        <v>1116</v>
      </c>
      <c r="K977" s="1">
        <v>38237090</v>
      </c>
      <c r="L977" s="6">
        <v>150.01</v>
      </c>
      <c r="M977" s="1" t="s">
        <v>70</v>
      </c>
      <c r="N977" s="7" t="s">
        <v>67</v>
      </c>
      <c r="O977" s="1" t="s">
        <v>1117</v>
      </c>
      <c r="P977" s="8">
        <v>101255</v>
      </c>
      <c r="Q977" s="17">
        <f t="shared" ref="Q977:Q1242" si="97">+L977*P977</f>
        <v>15189262.549999999</v>
      </c>
      <c r="R977" s="9">
        <v>0</v>
      </c>
      <c r="S977" s="9">
        <v>0</v>
      </c>
      <c r="T977" s="9">
        <v>0</v>
      </c>
      <c r="U977" s="10">
        <v>0</v>
      </c>
      <c r="V977" s="1" t="s">
        <v>46</v>
      </c>
      <c r="W977" s="1" t="s">
        <v>361</v>
      </c>
      <c r="X977" s="1">
        <v>5729560</v>
      </c>
      <c r="Y977" s="11">
        <v>41939</v>
      </c>
      <c r="Z977" s="11"/>
      <c r="AA977" s="9">
        <f t="shared" si="92"/>
        <v>15189262.549999999</v>
      </c>
      <c r="AB977" s="12">
        <v>1</v>
      </c>
      <c r="AC977" s="9">
        <f t="shared" si="93"/>
        <v>15189262.549999999</v>
      </c>
      <c r="AD977" s="9">
        <f t="shared" si="94"/>
        <v>15189262.549999999</v>
      </c>
      <c r="AE977" s="1" t="s">
        <v>4162</v>
      </c>
      <c r="AF977" s="1" t="s">
        <v>1117</v>
      </c>
      <c r="AG977" s="4">
        <f t="shared" si="95"/>
        <v>15189262.549999999</v>
      </c>
      <c r="AH977" s="10"/>
      <c r="AI977" s="10"/>
      <c r="AJ977" s="10"/>
      <c r="AK977" s="10"/>
      <c r="AL977" s="9">
        <f t="shared" si="96"/>
        <v>0</v>
      </c>
      <c r="AM977" s="1"/>
      <c r="AN977" s="1"/>
      <c r="AO977" s="12"/>
      <c r="AP977" s="1"/>
      <c r="AQ977" s="11" t="s">
        <v>4324</v>
      </c>
      <c r="AR977" s="1"/>
      <c r="AS977" s="1"/>
      <c r="AT977" s="1" t="s">
        <v>49</v>
      </c>
      <c r="AU977" s="1" t="s">
        <v>4321</v>
      </c>
    </row>
    <row r="978" spans="1:47" ht="15" customHeight="1" x14ac:dyDescent="0.25">
      <c r="A978" s="1">
        <v>974</v>
      </c>
      <c r="B978" s="1" t="s">
        <v>1258</v>
      </c>
      <c r="C978" s="1" t="s">
        <v>38</v>
      </c>
      <c r="D978" s="1" t="s">
        <v>2635</v>
      </c>
      <c r="E978" s="5">
        <v>41942</v>
      </c>
      <c r="F978" s="1" t="s">
        <v>857</v>
      </c>
      <c r="G978" s="1" t="s">
        <v>40</v>
      </c>
      <c r="H978" s="1" t="s">
        <v>41</v>
      </c>
      <c r="I978" s="1" t="s">
        <v>2810</v>
      </c>
      <c r="J978" s="1" t="s">
        <v>1116</v>
      </c>
      <c r="K978" s="1">
        <v>38237090</v>
      </c>
      <c r="L978" s="6">
        <v>18.87</v>
      </c>
      <c r="M978" s="1" t="s">
        <v>70</v>
      </c>
      <c r="N978" s="7" t="s">
        <v>67</v>
      </c>
      <c r="O978" s="1" t="s">
        <v>1117</v>
      </c>
      <c r="P978" s="8">
        <v>101255</v>
      </c>
      <c r="Q978" s="17">
        <f t="shared" si="97"/>
        <v>1910681.85</v>
      </c>
      <c r="R978" s="9">
        <v>0</v>
      </c>
      <c r="S978" s="9">
        <v>0</v>
      </c>
      <c r="T978" s="9">
        <v>0</v>
      </c>
      <c r="U978" s="10">
        <v>0</v>
      </c>
      <c r="V978" s="1" t="s">
        <v>46</v>
      </c>
      <c r="W978" s="1" t="s">
        <v>361</v>
      </c>
      <c r="X978" s="1">
        <v>5736951</v>
      </c>
      <c r="Y978" s="11">
        <v>41940</v>
      </c>
      <c r="Z978" s="11"/>
      <c r="AA978" s="9">
        <f t="shared" si="92"/>
        <v>1910681.85</v>
      </c>
      <c r="AB978" s="12">
        <v>1</v>
      </c>
      <c r="AC978" s="9">
        <f t="shared" si="93"/>
        <v>1910681.85</v>
      </c>
      <c r="AD978" s="9">
        <f t="shared" si="94"/>
        <v>1910681.85</v>
      </c>
      <c r="AE978" s="1" t="s">
        <v>4162</v>
      </c>
      <c r="AF978" s="1" t="s">
        <v>1117</v>
      </c>
      <c r="AG978" s="4">
        <f t="shared" si="95"/>
        <v>1910681.85</v>
      </c>
      <c r="AH978" s="10">
        <v>1910681.85</v>
      </c>
      <c r="AI978" s="10"/>
      <c r="AJ978" s="10"/>
      <c r="AK978" s="10"/>
      <c r="AL978" s="9">
        <f t="shared" si="96"/>
        <v>1910681.85</v>
      </c>
      <c r="AM978" s="1"/>
      <c r="AN978" s="1"/>
      <c r="AO978" s="12"/>
      <c r="AP978" s="1" t="s">
        <v>4080</v>
      </c>
      <c r="AQ978" s="11" t="s">
        <v>4065</v>
      </c>
      <c r="AR978" s="1" t="s">
        <v>4081</v>
      </c>
      <c r="AS978" s="1" t="s">
        <v>4059</v>
      </c>
      <c r="AT978" s="1" t="s">
        <v>49</v>
      </c>
      <c r="AU978" s="1" t="s">
        <v>4171</v>
      </c>
    </row>
    <row r="979" spans="1:47" ht="15" customHeight="1" x14ac:dyDescent="0.25">
      <c r="A979" s="1">
        <v>975</v>
      </c>
      <c r="B979" s="1" t="s">
        <v>1258</v>
      </c>
      <c r="C979" s="1" t="s">
        <v>38</v>
      </c>
      <c r="D979" s="1" t="s">
        <v>2635</v>
      </c>
      <c r="E979" s="5">
        <v>41942</v>
      </c>
      <c r="F979" s="1" t="s">
        <v>865</v>
      </c>
      <c r="G979" s="1" t="s">
        <v>40</v>
      </c>
      <c r="H979" s="1" t="s">
        <v>41</v>
      </c>
      <c r="I979" s="1" t="s">
        <v>2810</v>
      </c>
      <c r="J979" s="1" t="s">
        <v>1116</v>
      </c>
      <c r="K979" s="1">
        <v>38237090</v>
      </c>
      <c r="L979" s="6">
        <v>37.380000000000003</v>
      </c>
      <c r="M979" s="1" t="s">
        <v>70</v>
      </c>
      <c r="N979" s="7" t="s">
        <v>67</v>
      </c>
      <c r="O979" s="1" t="s">
        <v>1117</v>
      </c>
      <c r="P979" s="8">
        <v>101255</v>
      </c>
      <c r="Q979" s="17">
        <f t="shared" si="97"/>
        <v>3784911.9000000004</v>
      </c>
      <c r="R979" s="9">
        <v>0</v>
      </c>
      <c r="S979" s="9">
        <v>0</v>
      </c>
      <c r="T979" s="9">
        <v>0</v>
      </c>
      <c r="U979" s="10">
        <v>0</v>
      </c>
      <c r="V979" s="1" t="s">
        <v>46</v>
      </c>
      <c r="W979" s="1" t="s">
        <v>361</v>
      </c>
      <c r="X979" s="1">
        <v>5750072</v>
      </c>
      <c r="Y979" s="11">
        <v>41940</v>
      </c>
      <c r="Z979" s="11"/>
      <c r="AA979" s="9">
        <f t="shared" si="92"/>
        <v>3784911.9000000004</v>
      </c>
      <c r="AB979" s="12">
        <v>1</v>
      </c>
      <c r="AC979" s="9">
        <f t="shared" si="93"/>
        <v>3784911.9000000004</v>
      </c>
      <c r="AD979" s="9">
        <f t="shared" si="94"/>
        <v>3784911.9000000004</v>
      </c>
      <c r="AE979" s="1" t="s">
        <v>4162</v>
      </c>
      <c r="AF979" s="1" t="s">
        <v>1117</v>
      </c>
      <c r="AG979" s="4">
        <f t="shared" si="95"/>
        <v>3784911.9000000004</v>
      </c>
      <c r="AH979" s="10">
        <v>3784911</v>
      </c>
      <c r="AI979" s="10"/>
      <c r="AJ979" s="10"/>
      <c r="AK979" s="10"/>
      <c r="AL979" s="9">
        <f t="shared" si="96"/>
        <v>3784911</v>
      </c>
      <c r="AM979" s="1"/>
      <c r="AN979" s="1"/>
      <c r="AO979" s="12"/>
      <c r="AP979" s="1" t="s">
        <v>3930</v>
      </c>
      <c r="AQ979" s="11" t="s">
        <v>3928</v>
      </c>
      <c r="AR979" s="1" t="s">
        <v>3929</v>
      </c>
      <c r="AS979" s="1" t="s">
        <v>3923</v>
      </c>
      <c r="AT979" s="1" t="s">
        <v>49</v>
      </c>
      <c r="AU979" s="1" t="s">
        <v>4171</v>
      </c>
    </row>
    <row r="980" spans="1:47" ht="15" customHeight="1" x14ac:dyDescent="0.25">
      <c r="A980" s="1">
        <v>976</v>
      </c>
      <c r="B980" s="1" t="s">
        <v>1258</v>
      </c>
      <c r="C980" s="1" t="s">
        <v>38</v>
      </c>
      <c r="D980" s="1">
        <v>9103550782</v>
      </c>
      <c r="E980" s="5">
        <v>41942</v>
      </c>
      <c r="F980" s="1" t="s">
        <v>862</v>
      </c>
      <c r="G980" s="1" t="s">
        <v>40</v>
      </c>
      <c r="H980" s="1" t="s">
        <v>41</v>
      </c>
      <c r="I980" s="1" t="s">
        <v>2809</v>
      </c>
      <c r="J980" s="1" t="s">
        <v>76</v>
      </c>
      <c r="K980" s="1">
        <v>29157010</v>
      </c>
      <c r="L980" s="6">
        <v>58.83</v>
      </c>
      <c r="M980" s="1" t="s">
        <v>70</v>
      </c>
      <c r="N980" s="7" t="s">
        <v>44</v>
      </c>
      <c r="O980" s="1" t="s">
        <v>53</v>
      </c>
      <c r="P980" s="8">
        <v>1090</v>
      </c>
      <c r="Q980" s="17">
        <f t="shared" si="97"/>
        <v>64124.7</v>
      </c>
      <c r="R980" s="9">
        <v>1200</v>
      </c>
      <c r="S980" s="9">
        <v>9.17</v>
      </c>
      <c r="T980" s="9">
        <v>0</v>
      </c>
      <c r="U980" s="10">
        <v>0</v>
      </c>
      <c r="V980" s="1" t="s">
        <v>46</v>
      </c>
      <c r="W980" s="1" t="s">
        <v>492</v>
      </c>
      <c r="X980" s="1">
        <v>5747792</v>
      </c>
      <c r="Y980" s="11">
        <v>41940</v>
      </c>
      <c r="Z980" s="11"/>
      <c r="AA980" s="9">
        <f t="shared" si="92"/>
        <v>62915.53</v>
      </c>
      <c r="AB980" s="12">
        <v>61.05</v>
      </c>
      <c r="AC980" s="9">
        <f t="shared" si="93"/>
        <v>3914812.9349999996</v>
      </c>
      <c r="AD980" s="9">
        <f t="shared" si="94"/>
        <v>3840993.1064999998</v>
      </c>
      <c r="AE980" s="1" t="s">
        <v>48</v>
      </c>
      <c r="AF980" s="1" t="s">
        <v>53</v>
      </c>
      <c r="AG980" s="4">
        <f t="shared" si="95"/>
        <v>64124.7</v>
      </c>
      <c r="AH980" s="10">
        <v>64079.7</v>
      </c>
      <c r="AI980" s="9">
        <v>1200</v>
      </c>
      <c r="AJ980" s="9">
        <v>9.17</v>
      </c>
      <c r="AK980" s="10">
        <v>0</v>
      </c>
      <c r="AL980" s="9">
        <f t="shared" si="96"/>
        <v>62870.53</v>
      </c>
      <c r="AM980" s="1"/>
      <c r="AN980" s="1"/>
      <c r="AO980" s="12" t="e">
        <f>AB980/#REF!</f>
        <v>#REF!</v>
      </c>
      <c r="AP980" s="1" t="s">
        <v>2636</v>
      </c>
      <c r="AQ980" s="11">
        <v>42065</v>
      </c>
      <c r="AR980" s="1" t="s">
        <v>2637</v>
      </c>
      <c r="AS980" s="11">
        <v>42066</v>
      </c>
      <c r="AT980" s="1" t="s">
        <v>49</v>
      </c>
      <c r="AU980" s="1" t="s">
        <v>4171</v>
      </c>
    </row>
    <row r="981" spans="1:47" ht="15" customHeight="1" x14ac:dyDescent="0.25">
      <c r="A981" s="1">
        <v>977</v>
      </c>
      <c r="B981" s="1" t="s">
        <v>1258</v>
      </c>
      <c r="C981" s="1" t="s">
        <v>38</v>
      </c>
      <c r="D981" s="1" t="s">
        <v>2638</v>
      </c>
      <c r="E981" s="5">
        <v>41947</v>
      </c>
      <c r="F981" s="1" t="s">
        <v>859</v>
      </c>
      <c r="G981" s="1" t="s">
        <v>40</v>
      </c>
      <c r="H981" s="1" t="s">
        <v>41</v>
      </c>
      <c r="I981" s="1" t="s">
        <v>2809</v>
      </c>
      <c r="J981" s="1" t="s">
        <v>76</v>
      </c>
      <c r="K981" s="1">
        <v>29157010</v>
      </c>
      <c r="L981" s="6">
        <v>58.98</v>
      </c>
      <c r="M981" s="1" t="s">
        <v>70</v>
      </c>
      <c r="N981" s="7" t="s">
        <v>44</v>
      </c>
      <c r="O981" s="1" t="s">
        <v>53</v>
      </c>
      <c r="P981" s="8">
        <v>1090</v>
      </c>
      <c r="Q981" s="17">
        <f t="shared" si="97"/>
        <v>64288.2</v>
      </c>
      <c r="R981" s="9">
        <v>1200</v>
      </c>
      <c r="S981" s="9">
        <v>9.19</v>
      </c>
      <c r="T981" s="9">
        <v>0</v>
      </c>
      <c r="U981" s="10">
        <v>0</v>
      </c>
      <c r="V981" s="1" t="s">
        <v>46</v>
      </c>
      <c r="W981" s="1" t="s">
        <v>492</v>
      </c>
      <c r="X981" s="1">
        <v>5748889</v>
      </c>
      <c r="Y981" s="11">
        <v>41940</v>
      </c>
      <c r="Z981" s="11"/>
      <c r="AA981" s="9">
        <f t="shared" ref="AA981:AA1279" si="98">Q981-R981-S981</f>
        <v>63079.009999999995</v>
      </c>
      <c r="AB981" s="12">
        <v>61.05</v>
      </c>
      <c r="AC981" s="9">
        <f t="shared" ref="AC981:AC1234" si="99">+Q981*AB981</f>
        <v>3924794.61</v>
      </c>
      <c r="AD981" s="9">
        <f t="shared" ref="AD981:AD1234" si="100">+AA981*AB981</f>
        <v>3850973.5604999997</v>
      </c>
      <c r="AE981" s="1" t="s">
        <v>48</v>
      </c>
      <c r="AF981" s="1" t="s">
        <v>53</v>
      </c>
      <c r="AG981" s="4">
        <f t="shared" si="95"/>
        <v>64288.2</v>
      </c>
      <c r="AH981" s="10">
        <v>64288.2</v>
      </c>
      <c r="AI981" s="10"/>
      <c r="AJ981" s="10"/>
      <c r="AK981" s="10"/>
      <c r="AL981" s="9">
        <f t="shared" si="96"/>
        <v>64288.2</v>
      </c>
      <c r="AM981" s="1"/>
      <c r="AN981" s="1"/>
      <c r="AO981" s="12" t="e">
        <f>AB981/#REF!</f>
        <v>#REF!</v>
      </c>
      <c r="AP981" s="1" t="s">
        <v>4221</v>
      </c>
      <c r="AQ981" s="11">
        <v>42172</v>
      </c>
      <c r="AR981" s="1" t="s">
        <v>4222</v>
      </c>
      <c r="AS981" s="11">
        <v>42173</v>
      </c>
      <c r="AT981" s="1" t="s">
        <v>49</v>
      </c>
      <c r="AU981" s="1" t="s">
        <v>4171</v>
      </c>
    </row>
    <row r="982" spans="1:47" ht="15" customHeight="1" x14ac:dyDescent="0.25">
      <c r="A982" s="1">
        <v>978</v>
      </c>
      <c r="B982" s="1" t="s">
        <v>1258</v>
      </c>
      <c r="C982" s="1" t="s">
        <v>38</v>
      </c>
      <c r="D982" s="1" t="s">
        <v>2638</v>
      </c>
      <c r="E982" s="5">
        <v>41947</v>
      </c>
      <c r="F982" s="1" t="s">
        <v>866</v>
      </c>
      <c r="G982" s="1" t="s">
        <v>40</v>
      </c>
      <c r="H982" s="1" t="s">
        <v>41</v>
      </c>
      <c r="I982" s="1" t="s">
        <v>2809</v>
      </c>
      <c r="J982" s="1" t="s">
        <v>76</v>
      </c>
      <c r="K982" s="1">
        <v>29157010</v>
      </c>
      <c r="L982" s="6">
        <v>39.14</v>
      </c>
      <c r="M982" s="1" t="s">
        <v>70</v>
      </c>
      <c r="N982" s="7" t="s">
        <v>44</v>
      </c>
      <c r="O982" s="1" t="s">
        <v>53</v>
      </c>
      <c r="P982" s="8">
        <v>1090</v>
      </c>
      <c r="Q982" s="17">
        <f t="shared" si="97"/>
        <v>42662.6</v>
      </c>
      <c r="R982" s="9">
        <v>800</v>
      </c>
      <c r="S982" s="9">
        <v>6.1</v>
      </c>
      <c r="T982" s="9">
        <v>0</v>
      </c>
      <c r="U982" s="10">
        <v>0</v>
      </c>
      <c r="V982" s="1" t="s">
        <v>46</v>
      </c>
      <c r="W982" s="1" t="s">
        <v>492</v>
      </c>
      <c r="X982" s="1">
        <v>5762017</v>
      </c>
      <c r="Y982" s="11">
        <v>41941</v>
      </c>
      <c r="Z982" s="11"/>
      <c r="AA982" s="9">
        <f t="shared" si="98"/>
        <v>41856.5</v>
      </c>
      <c r="AB982" s="12">
        <v>61.05</v>
      </c>
      <c r="AC982" s="9">
        <f t="shared" si="99"/>
        <v>2604551.73</v>
      </c>
      <c r="AD982" s="9">
        <f t="shared" si="100"/>
        <v>2555339.3249999997</v>
      </c>
      <c r="AE982" s="1" t="s">
        <v>48</v>
      </c>
      <c r="AF982" s="1" t="s">
        <v>53</v>
      </c>
      <c r="AG982" s="4">
        <f t="shared" si="95"/>
        <v>42662.6</v>
      </c>
      <c r="AH982" s="10">
        <v>42662.6</v>
      </c>
      <c r="AI982" s="10"/>
      <c r="AJ982" s="10"/>
      <c r="AK982" s="10"/>
      <c r="AL982" s="9">
        <f t="shared" si="96"/>
        <v>42662.6</v>
      </c>
      <c r="AM982" s="1"/>
      <c r="AN982" s="1"/>
      <c r="AO982" s="12" t="e">
        <f>AB982/#REF!</f>
        <v>#REF!</v>
      </c>
      <c r="AP982" s="1" t="s">
        <v>4221</v>
      </c>
      <c r="AQ982" s="11">
        <v>42172</v>
      </c>
      <c r="AR982" s="1" t="s">
        <v>4223</v>
      </c>
      <c r="AS982" s="11">
        <v>42173</v>
      </c>
      <c r="AT982" s="1" t="s">
        <v>49</v>
      </c>
      <c r="AU982" s="1" t="s">
        <v>4171</v>
      </c>
    </row>
    <row r="983" spans="1:47" ht="15" customHeight="1" x14ac:dyDescent="0.25">
      <c r="A983" s="1">
        <v>979</v>
      </c>
      <c r="B983" s="1" t="s">
        <v>1258</v>
      </c>
      <c r="C983" s="1" t="s">
        <v>38</v>
      </c>
      <c r="D983" s="1">
        <v>9103550785</v>
      </c>
      <c r="E983" s="5">
        <v>41942</v>
      </c>
      <c r="F983" s="1" t="s">
        <v>854</v>
      </c>
      <c r="G983" s="1" t="s">
        <v>40</v>
      </c>
      <c r="H983" s="1" t="s">
        <v>41</v>
      </c>
      <c r="I983" s="1" t="s">
        <v>2810</v>
      </c>
      <c r="J983" s="1" t="s">
        <v>1116</v>
      </c>
      <c r="K983" s="1">
        <v>38237090</v>
      </c>
      <c r="L983" s="6">
        <v>149.99</v>
      </c>
      <c r="M983" s="1" t="s">
        <v>70</v>
      </c>
      <c r="N983" s="7" t="s">
        <v>67</v>
      </c>
      <c r="O983" s="1" t="s">
        <v>1117</v>
      </c>
      <c r="P983" s="8">
        <v>103825</v>
      </c>
      <c r="Q983" s="17">
        <f t="shared" si="97"/>
        <v>15572711.750000002</v>
      </c>
      <c r="R983" s="9">
        <v>0</v>
      </c>
      <c r="S983" s="9">
        <v>0</v>
      </c>
      <c r="T983" s="9">
        <v>0</v>
      </c>
      <c r="U983" s="10">
        <v>0</v>
      </c>
      <c r="V983" s="1" t="s">
        <v>46</v>
      </c>
      <c r="W983" s="1" t="s">
        <v>361</v>
      </c>
      <c r="X983" s="1">
        <v>5725921</v>
      </c>
      <c r="Y983" s="11">
        <v>41939</v>
      </c>
      <c r="Z983" s="11"/>
      <c r="AA983" s="9">
        <f t="shared" si="98"/>
        <v>15572711.750000002</v>
      </c>
      <c r="AB983" s="12">
        <v>1</v>
      </c>
      <c r="AC983" s="9">
        <f t="shared" si="99"/>
        <v>15572711.750000002</v>
      </c>
      <c r="AD983" s="9">
        <f t="shared" si="100"/>
        <v>15572711.750000002</v>
      </c>
      <c r="AE983" s="1" t="s">
        <v>4162</v>
      </c>
      <c r="AF983" s="1" t="s">
        <v>1117</v>
      </c>
      <c r="AG983" s="4">
        <f t="shared" si="95"/>
        <v>15572711.750000002</v>
      </c>
      <c r="AH983" s="10">
        <v>15572711.75</v>
      </c>
      <c r="AI983" s="10"/>
      <c r="AJ983" s="10"/>
      <c r="AK983" s="10"/>
      <c r="AL983" s="9">
        <f t="shared" si="96"/>
        <v>15572711.75</v>
      </c>
      <c r="AM983" s="1"/>
      <c r="AN983" s="1"/>
      <c r="AO983" s="12"/>
      <c r="AP983" s="1" t="s">
        <v>4083</v>
      </c>
      <c r="AQ983" s="11" t="s">
        <v>4065</v>
      </c>
      <c r="AR983" s="1" t="s">
        <v>4084</v>
      </c>
      <c r="AS983" s="1" t="s">
        <v>4059</v>
      </c>
      <c r="AT983" s="1" t="s">
        <v>49</v>
      </c>
      <c r="AU983" s="1" t="s">
        <v>4171</v>
      </c>
    </row>
    <row r="984" spans="1:47" ht="15" customHeight="1" x14ac:dyDescent="0.25">
      <c r="A984" s="1">
        <v>980</v>
      </c>
      <c r="B984" s="1" t="s">
        <v>1258</v>
      </c>
      <c r="C984" s="1" t="s">
        <v>38</v>
      </c>
      <c r="D984" s="1">
        <v>9103550786</v>
      </c>
      <c r="E984" s="5">
        <v>41944</v>
      </c>
      <c r="F984" s="1" t="s">
        <v>861</v>
      </c>
      <c r="G984" s="1" t="s">
        <v>40</v>
      </c>
      <c r="H984" s="1" t="s">
        <v>41</v>
      </c>
      <c r="I984" s="1" t="s">
        <v>2810</v>
      </c>
      <c r="J984" s="1" t="s">
        <v>1116</v>
      </c>
      <c r="K984" s="1">
        <v>38237090</v>
      </c>
      <c r="L984" s="6">
        <v>56.12</v>
      </c>
      <c r="M984" s="1" t="s">
        <v>70</v>
      </c>
      <c r="N984" s="7" t="s">
        <v>67</v>
      </c>
      <c r="O984" s="1" t="s">
        <v>1117</v>
      </c>
      <c r="P984" s="8">
        <v>103825</v>
      </c>
      <c r="Q984" s="17">
        <f t="shared" si="97"/>
        <v>5826659</v>
      </c>
      <c r="R984" s="9">
        <v>0</v>
      </c>
      <c r="S984" s="9">
        <v>0</v>
      </c>
      <c r="T984" s="9">
        <v>0</v>
      </c>
      <c r="U984" s="10">
        <v>0</v>
      </c>
      <c r="V984" s="1" t="s">
        <v>46</v>
      </c>
      <c r="W984" s="1" t="s">
        <v>361</v>
      </c>
      <c r="X984" s="1">
        <v>5769252</v>
      </c>
      <c r="Y984" s="11">
        <v>41941</v>
      </c>
      <c r="Z984" s="11"/>
      <c r="AA984" s="9">
        <f t="shared" si="98"/>
        <v>5826659</v>
      </c>
      <c r="AB984" s="12">
        <v>1</v>
      </c>
      <c r="AC984" s="9">
        <f t="shared" si="99"/>
        <v>5826659</v>
      </c>
      <c r="AD984" s="9">
        <f t="shared" si="100"/>
        <v>5826659</v>
      </c>
      <c r="AE984" s="1" t="s">
        <v>4162</v>
      </c>
      <c r="AF984" s="1" t="s">
        <v>1117</v>
      </c>
      <c r="AG984" s="4">
        <f t="shared" si="95"/>
        <v>5826659</v>
      </c>
      <c r="AH984" s="10">
        <v>5826659</v>
      </c>
      <c r="AI984" s="10"/>
      <c r="AJ984" s="10"/>
      <c r="AK984" s="10"/>
      <c r="AL984" s="9">
        <f t="shared" si="96"/>
        <v>5826659</v>
      </c>
      <c r="AM984" s="1"/>
      <c r="AN984" s="1"/>
      <c r="AO984" s="12"/>
      <c r="AP984" s="1" t="s">
        <v>4083</v>
      </c>
      <c r="AQ984" s="11" t="s">
        <v>4065</v>
      </c>
      <c r="AR984" s="1" t="s">
        <v>4082</v>
      </c>
      <c r="AS984" s="1" t="s">
        <v>4059</v>
      </c>
      <c r="AT984" s="1" t="s">
        <v>49</v>
      </c>
      <c r="AU984" s="1" t="s">
        <v>4171</v>
      </c>
    </row>
    <row r="985" spans="1:47" ht="15" customHeight="1" x14ac:dyDescent="0.25">
      <c r="A985" s="1">
        <v>981</v>
      </c>
      <c r="B985" s="1" t="s">
        <v>1258</v>
      </c>
      <c r="C985" s="1" t="s">
        <v>38</v>
      </c>
      <c r="D985" s="1">
        <v>9103550787</v>
      </c>
      <c r="E985" s="5">
        <v>41944</v>
      </c>
      <c r="F985" s="1" t="s">
        <v>863</v>
      </c>
      <c r="G985" s="1" t="s">
        <v>40</v>
      </c>
      <c r="H985" s="1" t="s">
        <v>41</v>
      </c>
      <c r="I985" s="1" t="s">
        <v>2809</v>
      </c>
      <c r="J985" s="1" t="s">
        <v>76</v>
      </c>
      <c r="K985" s="1">
        <v>29157010</v>
      </c>
      <c r="L985" s="6">
        <v>19.399999999999999</v>
      </c>
      <c r="M985" s="1" t="s">
        <v>70</v>
      </c>
      <c r="N985" s="7" t="s">
        <v>44</v>
      </c>
      <c r="O985" s="1" t="s">
        <v>53</v>
      </c>
      <c r="P985" s="8">
        <v>1090</v>
      </c>
      <c r="Q985" s="17">
        <f t="shared" si="97"/>
        <v>21146</v>
      </c>
      <c r="R985" s="9">
        <v>400</v>
      </c>
      <c r="S985" s="9">
        <v>3.02</v>
      </c>
      <c r="T985" s="9">
        <v>0</v>
      </c>
      <c r="U985" s="10">
        <v>0</v>
      </c>
      <c r="V985" s="1" t="s">
        <v>46</v>
      </c>
      <c r="W985" s="1" t="s">
        <v>492</v>
      </c>
      <c r="X985" s="1">
        <v>5756672</v>
      </c>
      <c r="Y985" s="11">
        <v>41941</v>
      </c>
      <c r="Z985" s="11"/>
      <c r="AA985" s="9">
        <f t="shared" si="98"/>
        <v>20742.98</v>
      </c>
      <c r="AB985" s="12">
        <v>61.05</v>
      </c>
      <c r="AC985" s="9">
        <f t="shared" si="99"/>
        <v>1290963.3</v>
      </c>
      <c r="AD985" s="9">
        <f t="shared" si="100"/>
        <v>1266358.929</v>
      </c>
      <c r="AE985" s="1" t="s">
        <v>48</v>
      </c>
      <c r="AF985" s="1" t="s">
        <v>53</v>
      </c>
      <c r="AG985" s="4">
        <f t="shared" si="95"/>
        <v>21146</v>
      </c>
      <c r="AH985" s="10">
        <v>21146</v>
      </c>
      <c r="AI985" s="10">
        <v>350</v>
      </c>
      <c r="AJ985" s="10">
        <v>3.02</v>
      </c>
      <c r="AK985" s="10">
        <v>0</v>
      </c>
      <c r="AL985" s="9">
        <f t="shared" si="96"/>
        <v>20792.98</v>
      </c>
      <c r="AM985" s="1"/>
      <c r="AN985" s="1"/>
      <c r="AO985" s="12" t="e">
        <f>AB985/#REF!</f>
        <v>#REF!</v>
      </c>
      <c r="AP985" s="1"/>
      <c r="AQ985" s="11">
        <v>42090</v>
      </c>
      <c r="AR985" s="1" t="s">
        <v>3378</v>
      </c>
      <c r="AS985" s="11">
        <v>42093</v>
      </c>
      <c r="AT985" s="1" t="s">
        <v>49</v>
      </c>
      <c r="AU985" s="1" t="s">
        <v>4171</v>
      </c>
    </row>
    <row r="986" spans="1:47" ht="15" customHeight="1" x14ac:dyDescent="0.25">
      <c r="A986" s="1">
        <v>982</v>
      </c>
      <c r="B986" s="1" t="s">
        <v>1258</v>
      </c>
      <c r="C986" s="1" t="s">
        <v>38</v>
      </c>
      <c r="D986" s="1">
        <v>9103550788</v>
      </c>
      <c r="E986" s="5">
        <v>41951</v>
      </c>
      <c r="F986" s="1" t="s">
        <v>867</v>
      </c>
      <c r="G986" s="1" t="s">
        <v>40</v>
      </c>
      <c r="H986" s="1" t="s">
        <v>41</v>
      </c>
      <c r="I986" s="1" t="s">
        <v>2809</v>
      </c>
      <c r="J986" s="1" t="s">
        <v>187</v>
      </c>
      <c r="K986" s="1">
        <v>38237090</v>
      </c>
      <c r="L986" s="6">
        <v>18.37</v>
      </c>
      <c r="M986" s="1" t="s">
        <v>70</v>
      </c>
      <c r="N986" s="7" t="s">
        <v>44</v>
      </c>
      <c r="O986" s="1" t="s">
        <v>53</v>
      </c>
      <c r="P986" s="8">
        <v>1633</v>
      </c>
      <c r="Q986" s="17">
        <f t="shared" si="97"/>
        <v>29998.210000000003</v>
      </c>
      <c r="R986" s="9">
        <v>4200</v>
      </c>
      <c r="S986" s="9">
        <v>4.29</v>
      </c>
      <c r="T986" s="9">
        <v>0</v>
      </c>
      <c r="U986" s="10">
        <v>0</v>
      </c>
      <c r="V986" s="1" t="s">
        <v>46</v>
      </c>
      <c r="W986" s="1" t="s">
        <v>56</v>
      </c>
      <c r="X986" s="1">
        <v>5768086</v>
      </c>
      <c r="Y986" s="11">
        <v>41941</v>
      </c>
      <c r="Z986" s="11"/>
      <c r="AA986" s="9">
        <f t="shared" si="98"/>
        <v>25793.920000000002</v>
      </c>
      <c r="AB986" s="12">
        <v>61.05</v>
      </c>
      <c r="AC986" s="9">
        <f t="shared" si="99"/>
        <v>1831390.7205000001</v>
      </c>
      <c r="AD986" s="9">
        <f t="shared" si="100"/>
        <v>1574718.8160000001</v>
      </c>
      <c r="AE986" s="1" t="s">
        <v>48</v>
      </c>
      <c r="AF986" s="1" t="s">
        <v>53</v>
      </c>
      <c r="AG986" s="4">
        <f t="shared" si="95"/>
        <v>29998.210000000003</v>
      </c>
      <c r="AH986" s="10">
        <v>29998.21</v>
      </c>
      <c r="AI986" s="10">
        <v>4185</v>
      </c>
      <c r="AJ986" s="10">
        <v>4.29</v>
      </c>
      <c r="AK986" s="10">
        <v>0</v>
      </c>
      <c r="AL986" s="9">
        <f t="shared" si="96"/>
        <v>25808.92</v>
      </c>
      <c r="AM986" s="1"/>
      <c r="AN986" s="1"/>
      <c r="AO986" s="12" t="e">
        <f>AB986/#REF!</f>
        <v>#REF!</v>
      </c>
      <c r="AP986" s="1" t="s">
        <v>2639</v>
      </c>
      <c r="AQ986" s="11">
        <v>41991</v>
      </c>
      <c r="AR986" s="1" t="s">
        <v>2640</v>
      </c>
      <c r="AS986" s="11">
        <v>41992</v>
      </c>
      <c r="AT986" s="1" t="s">
        <v>49</v>
      </c>
      <c r="AU986" s="1" t="s">
        <v>4171</v>
      </c>
    </row>
    <row r="987" spans="1:47" ht="15" customHeight="1" x14ac:dyDescent="0.25">
      <c r="A987" s="1">
        <v>983</v>
      </c>
      <c r="B987" s="1" t="s">
        <v>1258</v>
      </c>
      <c r="C987" s="1" t="s">
        <v>38</v>
      </c>
      <c r="D987" s="1">
        <v>9103550790</v>
      </c>
      <c r="E987" s="5">
        <v>41949</v>
      </c>
      <c r="F987" s="1" t="s">
        <v>868</v>
      </c>
      <c r="G987" s="1" t="s">
        <v>40</v>
      </c>
      <c r="H987" s="1" t="s">
        <v>41</v>
      </c>
      <c r="I987" s="1" t="s">
        <v>2809</v>
      </c>
      <c r="J987" s="1" t="s">
        <v>2641</v>
      </c>
      <c r="K987" s="1">
        <v>29051700</v>
      </c>
      <c r="L987" s="6">
        <v>38.51</v>
      </c>
      <c r="M987" s="1" t="s">
        <v>70</v>
      </c>
      <c r="N987" s="7" t="s">
        <v>44</v>
      </c>
      <c r="O987" s="1" t="s">
        <v>53</v>
      </c>
      <c r="P987" s="8">
        <v>1450</v>
      </c>
      <c r="Q987" s="17">
        <f t="shared" si="97"/>
        <v>55839.5</v>
      </c>
      <c r="R987" s="9">
        <v>1600</v>
      </c>
      <c r="S987" s="9">
        <v>7.99</v>
      </c>
      <c r="T987" s="9">
        <v>0</v>
      </c>
      <c r="U987" s="10">
        <v>0</v>
      </c>
      <c r="V987" s="1" t="s">
        <v>46</v>
      </c>
      <c r="W987" s="1" t="s">
        <v>54</v>
      </c>
      <c r="X987" s="1">
        <v>5783077</v>
      </c>
      <c r="Y987" s="11">
        <v>41942</v>
      </c>
      <c r="Z987" s="11"/>
      <c r="AA987" s="9">
        <f t="shared" si="98"/>
        <v>54231.51</v>
      </c>
      <c r="AB987" s="12">
        <v>61.05</v>
      </c>
      <c r="AC987" s="9">
        <f t="shared" si="99"/>
        <v>3409001.4749999996</v>
      </c>
      <c r="AD987" s="9">
        <f t="shared" si="100"/>
        <v>3310833.6855000001</v>
      </c>
      <c r="AE987" s="1" t="s">
        <v>48</v>
      </c>
      <c r="AF987" s="1" t="s">
        <v>53</v>
      </c>
      <c r="AG987" s="4">
        <f t="shared" si="95"/>
        <v>55839.5</v>
      </c>
      <c r="AH987" s="10">
        <v>55683.5</v>
      </c>
      <c r="AI987" s="10">
        <v>1520</v>
      </c>
      <c r="AJ987" s="10">
        <v>7.99</v>
      </c>
      <c r="AK987" s="10">
        <v>0</v>
      </c>
      <c r="AL987" s="9">
        <f t="shared" si="96"/>
        <v>54155.51</v>
      </c>
      <c r="AM987" s="1"/>
      <c r="AN987" s="1"/>
      <c r="AO987" s="12" t="e">
        <f>AB987/#REF!</f>
        <v>#REF!</v>
      </c>
      <c r="AP987" s="1" t="s">
        <v>2642</v>
      </c>
      <c r="AQ987" s="11">
        <v>42040</v>
      </c>
      <c r="AR987" s="1" t="s">
        <v>2643</v>
      </c>
      <c r="AS987" s="11">
        <v>42041</v>
      </c>
      <c r="AT987" s="1" t="s">
        <v>49</v>
      </c>
      <c r="AU987" s="1" t="s">
        <v>4171</v>
      </c>
    </row>
    <row r="988" spans="1:47" ht="15" customHeight="1" x14ac:dyDescent="0.25">
      <c r="A988" s="1">
        <v>984</v>
      </c>
      <c r="B988" s="1" t="s">
        <v>1258</v>
      </c>
      <c r="C988" s="1" t="s">
        <v>38</v>
      </c>
      <c r="D988" s="1">
        <v>9103550791</v>
      </c>
      <c r="E988" s="5">
        <v>41951</v>
      </c>
      <c r="F988" s="1" t="s">
        <v>875</v>
      </c>
      <c r="G988" s="1" t="s">
        <v>40</v>
      </c>
      <c r="H988" s="1" t="s">
        <v>41</v>
      </c>
      <c r="I988" s="1" t="s">
        <v>2809</v>
      </c>
      <c r="J988" s="1" t="s">
        <v>2644</v>
      </c>
      <c r="K988" s="1">
        <v>38237090</v>
      </c>
      <c r="L988" s="6">
        <v>15</v>
      </c>
      <c r="M988" s="1" t="s">
        <v>70</v>
      </c>
      <c r="N988" s="7" t="s">
        <v>44</v>
      </c>
      <c r="O988" s="1" t="s">
        <v>53</v>
      </c>
      <c r="P988" s="8">
        <v>1570</v>
      </c>
      <c r="Q988" s="17">
        <f t="shared" si="97"/>
        <v>23550</v>
      </c>
      <c r="R988" s="9">
        <v>688</v>
      </c>
      <c r="S988" s="9">
        <v>3.37</v>
      </c>
      <c r="T988" s="9">
        <v>0</v>
      </c>
      <c r="U988" s="10">
        <v>0</v>
      </c>
      <c r="V988" s="1" t="s">
        <v>46</v>
      </c>
      <c r="W988" s="1" t="s">
        <v>143</v>
      </c>
      <c r="X988" s="1">
        <v>5785859</v>
      </c>
      <c r="Y988" s="11">
        <v>41942</v>
      </c>
      <c r="Z988" s="11"/>
      <c r="AA988" s="9">
        <f t="shared" si="98"/>
        <v>22858.63</v>
      </c>
      <c r="AB988" s="12">
        <v>61.05</v>
      </c>
      <c r="AC988" s="9">
        <f t="shared" si="99"/>
        <v>1437727.5</v>
      </c>
      <c r="AD988" s="9">
        <f t="shared" si="100"/>
        <v>1395519.3614999999</v>
      </c>
      <c r="AE988" s="1" t="s">
        <v>48</v>
      </c>
      <c r="AF988" s="1" t="s">
        <v>53</v>
      </c>
      <c r="AG988" s="4">
        <f t="shared" si="95"/>
        <v>23550</v>
      </c>
      <c r="AH988" s="10">
        <v>23550</v>
      </c>
      <c r="AI988" s="10">
        <v>688</v>
      </c>
      <c r="AJ988" s="10">
        <v>3.37</v>
      </c>
      <c r="AK988" s="10">
        <v>0</v>
      </c>
      <c r="AL988" s="9">
        <f t="shared" si="96"/>
        <v>22858.63</v>
      </c>
      <c r="AM988" s="1"/>
      <c r="AN988" s="1"/>
      <c r="AO988" s="12" t="e">
        <f>AB988/#REF!</f>
        <v>#REF!</v>
      </c>
      <c r="AP988" s="1" t="s">
        <v>2645</v>
      </c>
      <c r="AQ988" s="11">
        <v>42012</v>
      </c>
      <c r="AR988" s="1" t="s">
        <v>2646</v>
      </c>
      <c r="AS988" s="11">
        <v>42014</v>
      </c>
      <c r="AT988" s="1" t="s">
        <v>49</v>
      </c>
      <c r="AU988" s="1" t="s">
        <v>4171</v>
      </c>
    </row>
    <row r="989" spans="1:47" ht="15" customHeight="1" x14ac:dyDescent="0.25">
      <c r="A989" s="1">
        <v>985</v>
      </c>
      <c r="B989" s="1" t="s">
        <v>1258</v>
      </c>
      <c r="C989" s="1" t="s">
        <v>38</v>
      </c>
      <c r="D989" s="1">
        <v>9103550792</v>
      </c>
      <c r="E989" s="5">
        <v>41951</v>
      </c>
      <c r="F989" s="1" t="s">
        <v>872</v>
      </c>
      <c r="G989" s="1" t="s">
        <v>40</v>
      </c>
      <c r="H989" s="1" t="s">
        <v>41</v>
      </c>
      <c r="I989" s="1" t="s">
        <v>2809</v>
      </c>
      <c r="J989" s="1" t="s">
        <v>76</v>
      </c>
      <c r="K989" s="1">
        <v>38237090</v>
      </c>
      <c r="L989" s="6">
        <v>30</v>
      </c>
      <c r="M989" s="1" t="s">
        <v>70</v>
      </c>
      <c r="N989" s="7" t="s">
        <v>52</v>
      </c>
      <c r="O989" s="1" t="s">
        <v>53</v>
      </c>
      <c r="P989" s="8">
        <v>1490</v>
      </c>
      <c r="Q989" s="17">
        <f t="shared" si="97"/>
        <v>44700</v>
      </c>
      <c r="R989" s="9">
        <v>1700</v>
      </c>
      <c r="S989" s="9">
        <v>0</v>
      </c>
      <c r="T989" s="9">
        <v>0</v>
      </c>
      <c r="U989" s="10">
        <v>0</v>
      </c>
      <c r="V989" s="1" t="s">
        <v>46</v>
      </c>
      <c r="W989" s="1" t="s">
        <v>77</v>
      </c>
      <c r="X989" s="1">
        <v>5788083</v>
      </c>
      <c r="Y989" s="11">
        <v>41942</v>
      </c>
      <c r="Z989" s="11"/>
      <c r="AA989" s="9">
        <f t="shared" si="98"/>
        <v>43000</v>
      </c>
      <c r="AB989" s="12">
        <v>61.05</v>
      </c>
      <c r="AC989" s="9">
        <f t="shared" si="99"/>
        <v>2728935</v>
      </c>
      <c r="AD989" s="9">
        <f t="shared" si="100"/>
        <v>2625150</v>
      </c>
      <c r="AE989" s="1" t="s">
        <v>48</v>
      </c>
      <c r="AF989" s="1" t="s">
        <v>53</v>
      </c>
      <c r="AG989" s="4">
        <f t="shared" si="95"/>
        <v>44700</v>
      </c>
      <c r="AH989" s="10">
        <v>44700</v>
      </c>
      <c r="AI989" s="10">
        <v>1776</v>
      </c>
      <c r="AJ989" s="10">
        <v>0</v>
      </c>
      <c r="AK989" s="10">
        <v>0</v>
      </c>
      <c r="AL989" s="9">
        <f t="shared" si="96"/>
        <v>42924</v>
      </c>
      <c r="AM989" s="1"/>
      <c r="AN989" s="1"/>
      <c r="AO989" s="12" t="e">
        <f>AB989/#REF!</f>
        <v>#REF!</v>
      </c>
      <c r="AP989" s="1"/>
      <c r="AQ989" s="11">
        <v>42090</v>
      </c>
      <c r="AR989" s="1" t="s">
        <v>3379</v>
      </c>
      <c r="AS989" s="11">
        <v>42093</v>
      </c>
      <c r="AT989" s="1" t="s">
        <v>49</v>
      </c>
      <c r="AU989" s="1" t="s">
        <v>4171</v>
      </c>
    </row>
    <row r="990" spans="1:47" ht="15" customHeight="1" x14ac:dyDescent="0.25">
      <c r="A990" s="1">
        <v>986</v>
      </c>
      <c r="B990" s="1" t="s">
        <v>1258</v>
      </c>
      <c r="C990" s="1" t="s">
        <v>38</v>
      </c>
      <c r="D990" s="1">
        <v>9103550793</v>
      </c>
      <c r="E990" s="5">
        <v>41951</v>
      </c>
      <c r="F990" s="1" t="s">
        <v>873</v>
      </c>
      <c r="G990" s="1" t="s">
        <v>40</v>
      </c>
      <c r="H990" s="1" t="s">
        <v>41</v>
      </c>
      <c r="I990" s="1" t="s">
        <v>2809</v>
      </c>
      <c r="J990" s="1" t="s">
        <v>187</v>
      </c>
      <c r="K990" s="1">
        <v>38237090</v>
      </c>
      <c r="L990" s="6">
        <v>18.41</v>
      </c>
      <c r="M990" s="1" t="s">
        <v>70</v>
      </c>
      <c r="N990" s="7" t="s">
        <v>44</v>
      </c>
      <c r="O990" s="1" t="s">
        <v>53</v>
      </c>
      <c r="P990" s="8">
        <v>1495</v>
      </c>
      <c r="Q990" s="17">
        <f t="shared" si="97"/>
        <v>27522.95</v>
      </c>
      <c r="R990" s="9">
        <v>3000</v>
      </c>
      <c r="S990" s="9">
        <v>3.94</v>
      </c>
      <c r="T990" s="9">
        <v>0</v>
      </c>
      <c r="U990" s="10">
        <v>0</v>
      </c>
      <c r="V990" s="1" t="s">
        <v>46</v>
      </c>
      <c r="W990" s="1" t="s">
        <v>56</v>
      </c>
      <c r="X990" s="1">
        <v>5788047</v>
      </c>
      <c r="Y990" s="11">
        <v>41942</v>
      </c>
      <c r="Z990" s="11"/>
      <c r="AA990" s="9">
        <f t="shared" si="98"/>
        <v>24519.010000000002</v>
      </c>
      <c r="AB990" s="12">
        <v>61.05</v>
      </c>
      <c r="AC990" s="9">
        <f t="shared" si="99"/>
        <v>1680276.0974999999</v>
      </c>
      <c r="AD990" s="9">
        <f t="shared" si="100"/>
        <v>1496885.5605000001</v>
      </c>
      <c r="AE990" s="1" t="s">
        <v>48</v>
      </c>
      <c r="AF990" s="1" t="s">
        <v>53</v>
      </c>
      <c r="AG990" s="4">
        <f t="shared" si="95"/>
        <v>27522.95</v>
      </c>
      <c r="AH990" s="10">
        <v>27522.95</v>
      </c>
      <c r="AI990" s="10">
        <v>3050</v>
      </c>
      <c r="AJ990" s="10">
        <v>3.94</v>
      </c>
      <c r="AK990" s="10">
        <v>0</v>
      </c>
      <c r="AL990" s="9">
        <f t="shared" si="96"/>
        <v>24469.010000000002</v>
      </c>
      <c r="AM990" s="1"/>
      <c r="AN990" s="1"/>
      <c r="AO990" s="12" t="e">
        <f>AB990/#REF!</f>
        <v>#REF!</v>
      </c>
      <c r="AP990" s="1" t="s">
        <v>2647</v>
      </c>
      <c r="AQ990" s="11">
        <v>41991</v>
      </c>
      <c r="AR990" s="1" t="s">
        <v>2648</v>
      </c>
      <c r="AS990" s="11">
        <v>41992</v>
      </c>
      <c r="AT990" s="1" t="s">
        <v>49</v>
      </c>
      <c r="AU990" s="1" t="s">
        <v>4171</v>
      </c>
    </row>
    <row r="991" spans="1:47" ht="15" customHeight="1" x14ac:dyDescent="0.25">
      <c r="A991" s="1">
        <v>987</v>
      </c>
      <c r="B991" s="1" t="s">
        <v>1258</v>
      </c>
      <c r="C991" s="1" t="s">
        <v>38</v>
      </c>
      <c r="D991" s="1">
        <v>9103550795</v>
      </c>
      <c r="E991" s="5">
        <v>41948</v>
      </c>
      <c r="F991" s="1" t="s">
        <v>874</v>
      </c>
      <c r="G991" s="1" t="s">
        <v>40</v>
      </c>
      <c r="H991" s="1" t="s">
        <v>41</v>
      </c>
      <c r="I991" s="1" t="s">
        <v>2809</v>
      </c>
      <c r="J991" s="1" t="s">
        <v>221</v>
      </c>
      <c r="K991" s="1">
        <v>38237090</v>
      </c>
      <c r="L991" s="6">
        <v>5</v>
      </c>
      <c r="M991" s="1" t="s">
        <v>70</v>
      </c>
      <c r="N991" s="7" t="s">
        <v>44</v>
      </c>
      <c r="O991" s="1" t="s">
        <v>53</v>
      </c>
      <c r="P991" s="8">
        <v>1900</v>
      </c>
      <c r="Q991" s="17">
        <f t="shared" si="97"/>
        <v>9500</v>
      </c>
      <c r="R991" s="9">
        <v>200</v>
      </c>
      <c r="S991" s="9">
        <v>1.36</v>
      </c>
      <c r="T991" s="9">
        <v>0</v>
      </c>
      <c r="U991" s="10">
        <v>0</v>
      </c>
      <c r="V991" s="1" t="s">
        <v>46</v>
      </c>
      <c r="W991" s="1" t="s">
        <v>205</v>
      </c>
      <c r="X991" s="1">
        <v>5777540</v>
      </c>
      <c r="Y991" s="11">
        <v>41942</v>
      </c>
      <c r="Z991" s="11"/>
      <c r="AA991" s="9">
        <f t="shared" si="98"/>
        <v>9298.64</v>
      </c>
      <c r="AB991" s="12">
        <v>61.05</v>
      </c>
      <c r="AC991" s="9">
        <f t="shared" si="99"/>
        <v>579975</v>
      </c>
      <c r="AD991" s="9">
        <f t="shared" si="100"/>
        <v>567681.97199999995</v>
      </c>
      <c r="AE991" s="1" t="s">
        <v>48</v>
      </c>
      <c r="AF991" s="1" t="s">
        <v>53</v>
      </c>
      <c r="AG991" s="4">
        <f t="shared" si="95"/>
        <v>9500</v>
      </c>
      <c r="AH991" s="10">
        <v>9485</v>
      </c>
      <c r="AI991" s="10">
        <v>200.36</v>
      </c>
      <c r="AJ991" s="10">
        <v>1.36</v>
      </c>
      <c r="AK991" s="10">
        <v>0</v>
      </c>
      <c r="AL991" s="9">
        <f t="shared" si="96"/>
        <v>9283.2800000000007</v>
      </c>
      <c r="AM991" s="1"/>
      <c r="AN991" s="1"/>
      <c r="AO991" s="12" t="e">
        <f>AB991/#REF!</f>
        <v>#REF!</v>
      </c>
      <c r="AP991" s="1" t="s">
        <v>2650</v>
      </c>
      <c r="AQ991" s="11">
        <v>41981</v>
      </c>
      <c r="AR991" s="1" t="s">
        <v>2651</v>
      </c>
      <c r="AS991" s="11">
        <v>41982</v>
      </c>
      <c r="AT991" s="1" t="s">
        <v>49</v>
      </c>
      <c r="AU991" s="1" t="s">
        <v>4171</v>
      </c>
    </row>
    <row r="992" spans="1:47" ht="15" customHeight="1" x14ac:dyDescent="0.25">
      <c r="A992" s="1">
        <v>988</v>
      </c>
      <c r="B992" s="1" t="s">
        <v>1258</v>
      </c>
      <c r="C992" s="1" t="s">
        <v>38</v>
      </c>
      <c r="D992" s="1">
        <v>9103550796</v>
      </c>
      <c r="E992" s="5">
        <v>41946</v>
      </c>
      <c r="F992" s="1" t="s">
        <v>871</v>
      </c>
      <c r="G992" s="1" t="s">
        <v>40</v>
      </c>
      <c r="H992" s="1" t="s">
        <v>41</v>
      </c>
      <c r="I992" s="1" t="s">
        <v>2809</v>
      </c>
      <c r="J992" s="1" t="s">
        <v>349</v>
      </c>
      <c r="K992" s="1">
        <v>29051700</v>
      </c>
      <c r="L992" s="6">
        <v>10.8</v>
      </c>
      <c r="M992" s="1" t="s">
        <v>70</v>
      </c>
      <c r="N992" s="7" t="s">
        <v>44</v>
      </c>
      <c r="O992" s="1" t="s">
        <v>53</v>
      </c>
      <c r="P992" s="8">
        <v>1975</v>
      </c>
      <c r="Q992" s="17">
        <f>+L992*P992</f>
        <v>21330</v>
      </c>
      <c r="R992" s="9">
        <f>1167/12*10.8</f>
        <v>1050.3000000000002</v>
      </c>
      <c r="S992" s="9">
        <v>3.05</v>
      </c>
      <c r="T992" s="9">
        <v>0</v>
      </c>
      <c r="U992" s="10">
        <v>0</v>
      </c>
      <c r="V992" s="1" t="s">
        <v>46</v>
      </c>
      <c r="W992" s="1" t="s">
        <v>294</v>
      </c>
      <c r="X992" s="1">
        <v>5803577</v>
      </c>
      <c r="Y992" s="11">
        <v>41943</v>
      </c>
      <c r="Z992" s="11"/>
      <c r="AA992" s="9">
        <f t="shared" si="98"/>
        <v>20276.650000000001</v>
      </c>
      <c r="AB992" s="12">
        <v>61.05</v>
      </c>
      <c r="AC992" s="9">
        <f t="shared" si="99"/>
        <v>1302196.5</v>
      </c>
      <c r="AD992" s="9">
        <f t="shared" si="100"/>
        <v>1237889.4824999999</v>
      </c>
      <c r="AE992" s="1" t="s">
        <v>48</v>
      </c>
      <c r="AF992" s="1" t="s">
        <v>53</v>
      </c>
      <c r="AG992" s="4">
        <f t="shared" si="95"/>
        <v>21330</v>
      </c>
      <c r="AH992" s="10">
        <v>21330</v>
      </c>
      <c r="AI992" s="10">
        <v>1052.03</v>
      </c>
      <c r="AJ992" s="10">
        <v>3.06</v>
      </c>
      <c r="AK992" s="10">
        <v>0</v>
      </c>
      <c r="AL992" s="9">
        <f t="shared" si="96"/>
        <v>20274.91</v>
      </c>
      <c r="AM992" s="1"/>
      <c r="AN992" s="1"/>
      <c r="AO992" s="12" t="e">
        <f>AB992/#REF!</f>
        <v>#REF!</v>
      </c>
      <c r="AP992" s="1" t="s">
        <v>2652</v>
      </c>
      <c r="AQ992" s="11">
        <v>42025</v>
      </c>
      <c r="AR992" s="1" t="s">
        <v>2653</v>
      </c>
      <c r="AS992" s="11">
        <v>42026</v>
      </c>
      <c r="AT992" s="1" t="s">
        <v>49</v>
      </c>
      <c r="AU992" s="1" t="s">
        <v>4171</v>
      </c>
    </row>
    <row r="993" spans="1:47" ht="15" customHeight="1" x14ac:dyDescent="0.25">
      <c r="A993" s="1">
        <v>989</v>
      </c>
      <c r="B993" s="1" t="s">
        <v>1258</v>
      </c>
      <c r="C993" s="1" t="s">
        <v>38</v>
      </c>
      <c r="D993" s="1">
        <v>9103550796</v>
      </c>
      <c r="E993" s="5">
        <v>41946</v>
      </c>
      <c r="F993" s="1" t="s">
        <v>871</v>
      </c>
      <c r="G993" s="1" t="s">
        <v>40</v>
      </c>
      <c r="H993" s="1" t="s">
        <v>41</v>
      </c>
      <c r="I993" s="1" t="s">
        <v>2809</v>
      </c>
      <c r="J993" s="1" t="s">
        <v>349</v>
      </c>
      <c r="K993" s="1">
        <v>29051700</v>
      </c>
      <c r="L993" s="6">
        <v>1.2</v>
      </c>
      <c r="M993" s="1" t="s">
        <v>70</v>
      </c>
      <c r="N993" s="7" t="s">
        <v>44</v>
      </c>
      <c r="O993" s="1" t="s">
        <v>53</v>
      </c>
      <c r="P993" s="8">
        <v>1960</v>
      </c>
      <c r="Q993" s="17">
        <f t="shared" si="97"/>
        <v>2352</v>
      </c>
      <c r="R993" s="9">
        <f>1167/12*1.2</f>
        <v>116.69999999999999</v>
      </c>
      <c r="S993" s="9">
        <f>3.39-3.05</f>
        <v>0.3400000000000003</v>
      </c>
      <c r="T993" s="9">
        <v>0</v>
      </c>
      <c r="U993" s="10">
        <v>0</v>
      </c>
      <c r="V993" s="1" t="s">
        <v>46</v>
      </c>
      <c r="W993" s="1" t="s">
        <v>294</v>
      </c>
      <c r="X993" s="1">
        <v>5803577</v>
      </c>
      <c r="Y993" s="11">
        <v>41943</v>
      </c>
      <c r="Z993" s="11"/>
      <c r="AA993" s="9">
        <f t="shared" si="98"/>
        <v>2234.96</v>
      </c>
      <c r="AB993" s="12">
        <v>61.05</v>
      </c>
      <c r="AC993" s="9">
        <f t="shared" si="99"/>
        <v>143589.6</v>
      </c>
      <c r="AD993" s="9">
        <f t="shared" si="100"/>
        <v>136444.30799999999</v>
      </c>
      <c r="AE993" s="1" t="s">
        <v>48</v>
      </c>
      <c r="AF993" s="1" t="s">
        <v>53</v>
      </c>
      <c r="AG993" s="4">
        <f t="shared" si="95"/>
        <v>2352</v>
      </c>
      <c r="AH993" s="10">
        <v>2331</v>
      </c>
      <c r="AI993" s="10">
        <v>114.97</v>
      </c>
      <c r="AJ993" s="10">
        <v>0.33300000000000002</v>
      </c>
      <c r="AK993" s="10">
        <v>0</v>
      </c>
      <c r="AL993" s="9">
        <f t="shared" si="96"/>
        <v>2215.6970000000001</v>
      </c>
      <c r="AM993" s="1"/>
      <c r="AN993" s="1"/>
      <c r="AO993" s="12" t="e">
        <f>AB993/#REF!</f>
        <v>#REF!</v>
      </c>
      <c r="AP993" s="1" t="s">
        <v>2652</v>
      </c>
      <c r="AQ993" s="11">
        <v>42025</v>
      </c>
      <c r="AR993" s="1" t="s">
        <v>2653</v>
      </c>
      <c r="AS993" s="11">
        <v>42026</v>
      </c>
      <c r="AT993" s="1" t="s">
        <v>49</v>
      </c>
      <c r="AU993" s="1" t="s">
        <v>4171</v>
      </c>
    </row>
    <row r="994" spans="1:47" ht="15" customHeight="1" x14ac:dyDescent="0.25">
      <c r="A994" s="1">
        <v>990</v>
      </c>
      <c r="B994" s="1" t="s">
        <v>1258</v>
      </c>
      <c r="C994" s="1" t="s">
        <v>38</v>
      </c>
      <c r="D994" s="1">
        <v>9103550797</v>
      </c>
      <c r="E994" s="5">
        <v>41949</v>
      </c>
      <c r="F994" s="1" t="s">
        <v>876</v>
      </c>
      <c r="G994" s="1" t="s">
        <v>40</v>
      </c>
      <c r="H994" s="1" t="s">
        <v>41</v>
      </c>
      <c r="I994" s="1" t="s">
        <v>2809</v>
      </c>
      <c r="J994" s="1" t="s">
        <v>2654</v>
      </c>
      <c r="K994" s="1">
        <v>38237090</v>
      </c>
      <c r="L994" s="6">
        <v>19.46</v>
      </c>
      <c r="M994" s="1" t="s">
        <v>70</v>
      </c>
      <c r="N994" s="7" t="s">
        <v>44</v>
      </c>
      <c r="O994" s="1" t="s">
        <v>53</v>
      </c>
      <c r="P994" s="8">
        <v>1265</v>
      </c>
      <c r="Q994" s="17">
        <f t="shared" si="97"/>
        <v>24616.9</v>
      </c>
      <c r="R994" s="9">
        <v>400</v>
      </c>
      <c r="S994" s="9">
        <v>3.52</v>
      </c>
      <c r="T994" s="9">
        <v>0</v>
      </c>
      <c r="U994" s="10">
        <v>0</v>
      </c>
      <c r="V994" s="1" t="s">
        <v>46</v>
      </c>
      <c r="W994" s="1" t="s">
        <v>64</v>
      </c>
      <c r="X994" s="1">
        <v>5810268</v>
      </c>
      <c r="Y994" s="11">
        <v>41943</v>
      </c>
      <c r="Z994" s="11"/>
      <c r="AA994" s="9">
        <f t="shared" si="98"/>
        <v>24213.38</v>
      </c>
      <c r="AB994" s="12">
        <v>61.05</v>
      </c>
      <c r="AC994" s="9">
        <f t="shared" si="99"/>
        <v>1502861.7450000001</v>
      </c>
      <c r="AD994" s="9">
        <f t="shared" si="100"/>
        <v>1478226.8489999999</v>
      </c>
      <c r="AE994" s="1" t="s">
        <v>48</v>
      </c>
      <c r="AF994" s="1" t="s">
        <v>53</v>
      </c>
      <c r="AG994" s="4">
        <f t="shared" si="95"/>
        <v>24616.9</v>
      </c>
      <c r="AH994" s="10">
        <v>24455.9</v>
      </c>
      <c r="AI994" s="10">
        <v>360</v>
      </c>
      <c r="AJ994" s="10">
        <v>3.51</v>
      </c>
      <c r="AK994" s="10">
        <v>0</v>
      </c>
      <c r="AL994" s="9">
        <f t="shared" si="96"/>
        <v>24092.390000000003</v>
      </c>
      <c r="AM994" s="1"/>
      <c r="AN994" s="1"/>
      <c r="AO994" s="12" t="e">
        <f>AB994/#REF!</f>
        <v>#REF!</v>
      </c>
      <c r="AP994" s="1" t="s">
        <v>2655</v>
      </c>
      <c r="AQ994" s="11">
        <v>41962</v>
      </c>
      <c r="AR994" s="1" t="s">
        <v>2656</v>
      </c>
      <c r="AS994" s="11">
        <v>41963</v>
      </c>
      <c r="AT994" s="1" t="s">
        <v>49</v>
      </c>
      <c r="AU994" s="1" t="s">
        <v>4171</v>
      </c>
    </row>
    <row r="995" spans="1:47" ht="15" customHeight="1" x14ac:dyDescent="0.25">
      <c r="A995" s="1">
        <v>991</v>
      </c>
      <c r="B995" s="1" t="s">
        <v>1258</v>
      </c>
      <c r="C995" s="1" t="s">
        <v>38</v>
      </c>
      <c r="D995" s="1">
        <v>9103550798</v>
      </c>
      <c r="E995" s="5">
        <v>41948</v>
      </c>
      <c r="F995" s="1" t="s">
        <v>877</v>
      </c>
      <c r="G995" s="1" t="s">
        <v>40</v>
      </c>
      <c r="H995" s="1" t="s">
        <v>41</v>
      </c>
      <c r="I995" s="1" t="s">
        <v>2809</v>
      </c>
      <c r="J995" s="1" t="s">
        <v>50</v>
      </c>
      <c r="K995" s="1">
        <v>38237090</v>
      </c>
      <c r="L995" s="6">
        <v>11</v>
      </c>
      <c r="M995" s="1" t="s">
        <v>70</v>
      </c>
      <c r="N995" s="7" t="s">
        <v>52</v>
      </c>
      <c r="O995" s="1" t="s">
        <v>45</v>
      </c>
      <c r="P995" s="8">
        <v>2609</v>
      </c>
      <c r="Q995" s="17">
        <f t="shared" si="97"/>
        <v>28699</v>
      </c>
      <c r="R995" s="9">
        <v>650.41999999999996</v>
      </c>
      <c r="S995" s="9">
        <v>0</v>
      </c>
      <c r="T995" s="9">
        <v>0</v>
      </c>
      <c r="U995" s="10">
        <v>0</v>
      </c>
      <c r="V995" s="1" t="s">
        <v>46</v>
      </c>
      <c r="W995" s="1" t="s">
        <v>2657</v>
      </c>
      <c r="X995" s="1">
        <v>5812003</v>
      </c>
      <c r="Y995" s="11">
        <v>41943</v>
      </c>
      <c r="Z995" s="11"/>
      <c r="AA995" s="9">
        <f t="shared" si="98"/>
        <v>28048.58</v>
      </c>
      <c r="AB995" s="12">
        <v>78</v>
      </c>
      <c r="AC995" s="9">
        <f t="shared" si="99"/>
        <v>2238522</v>
      </c>
      <c r="AD995" s="9">
        <f t="shared" si="100"/>
        <v>2187789.2400000002</v>
      </c>
      <c r="AE995" s="1" t="s">
        <v>284</v>
      </c>
      <c r="AF995" s="1" t="s">
        <v>45</v>
      </c>
      <c r="AG995" s="4">
        <f t="shared" si="95"/>
        <v>28699</v>
      </c>
      <c r="AH995" s="10">
        <v>28699</v>
      </c>
      <c r="AI995" s="10">
        <v>645.1</v>
      </c>
      <c r="AJ995" s="10">
        <v>0</v>
      </c>
      <c r="AK995" s="10">
        <v>0</v>
      </c>
      <c r="AL995" s="9">
        <f t="shared" si="96"/>
        <v>28053.9</v>
      </c>
      <c r="AM995" s="1"/>
      <c r="AN995" s="1"/>
      <c r="AO995" s="12" t="e">
        <f>AB995/#REF!</f>
        <v>#REF!</v>
      </c>
      <c r="AP995" s="1" t="s">
        <v>2658</v>
      </c>
      <c r="AQ995" s="11">
        <v>42013</v>
      </c>
      <c r="AR995" s="1" t="s">
        <v>2659</v>
      </c>
      <c r="AS995" s="11">
        <v>42013</v>
      </c>
      <c r="AT995" s="1" t="s">
        <v>49</v>
      </c>
      <c r="AU995" s="1" t="s">
        <v>4171</v>
      </c>
    </row>
    <row r="996" spans="1:47" ht="15" customHeight="1" x14ac:dyDescent="0.25">
      <c r="A996" s="1">
        <v>992</v>
      </c>
      <c r="B996" s="1" t="s">
        <v>1258</v>
      </c>
      <c r="C996" s="1" t="s">
        <v>38</v>
      </c>
      <c r="D996" s="1">
        <v>9103550799</v>
      </c>
      <c r="E996" s="5">
        <v>41943</v>
      </c>
      <c r="F996" s="1" t="s">
        <v>886</v>
      </c>
      <c r="G996" s="1" t="s">
        <v>40</v>
      </c>
      <c r="H996" s="1" t="s">
        <v>41</v>
      </c>
      <c r="I996" s="1" t="s">
        <v>2809</v>
      </c>
      <c r="J996" s="1" t="s">
        <v>2660</v>
      </c>
      <c r="K996" s="1">
        <v>38237090</v>
      </c>
      <c r="L996" s="6">
        <v>96.65</v>
      </c>
      <c r="M996" s="1" t="s">
        <v>70</v>
      </c>
      <c r="N996" s="7" t="s">
        <v>52</v>
      </c>
      <c r="O996" s="1" t="s">
        <v>53</v>
      </c>
      <c r="P996" s="8">
        <v>1255</v>
      </c>
      <c r="Q996" s="17">
        <f t="shared" si="97"/>
        <v>121295.75</v>
      </c>
      <c r="R996" s="9">
        <v>2000</v>
      </c>
      <c r="S996" s="9">
        <v>0</v>
      </c>
      <c r="T996" s="9">
        <v>0</v>
      </c>
      <c r="U996" s="10">
        <v>0</v>
      </c>
      <c r="V996" s="1" t="s">
        <v>46</v>
      </c>
      <c r="W996" s="1" t="s">
        <v>2632</v>
      </c>
      <c r="X996" s="1">
        <v>5815216</v>
      </c>
      <c r="Y996" s="11">
        <v>41943</v>
      </c>
      <c r="Z996" s="11"/>
      <c r="AA996" s="9">
        <f t="shared" si="98"/>
        <v>119295.75</v>
      </c>
      <c r="AB996" s="12">
        <v>61.05</v>
      </c>
      <c r="AC996" s="9">
        <f t="shared" si="99"/>
        <v>7405105.5374999996</v>
      </c>
      <c r="AD996" s="9">
        <f t="shared" si="100"/>
        <v>7283005.5374999996</v>
      </c>
      <c r="AE996" s="1" t="s">
        <v>48</v>
      </c>
      <c r="AF996" s="1" t="s">
        <v>53</v>
      </c>
      <c r="AG996" s="4">
        <f t="shared" si="95"/>
        <v>121295.75</v>
      </c>
      <c r="AH996" s="10">
        <v>121295.75</v>
      </c>
      <c r="AI996" s="10">
        <v>1800</v>
      </c>
      <c r="AJ996" s="10">
        <v>0</v>
      </c>
      <c r="AK996" s="10">
        <v>0</v>
      </c>
      <c r="AL996" s="9">
        <f t="shared" si="96"/>
        <v>119495.75</v>
      </c>
      <c r="AM996" s="1"/>
      <c r="AN996" s="1"/>
      <c r="AO996" s="12" t="e">
        <f>AB996/#REF!</f>
        <v>#REF!</v>
      </c>
      <c r="AP996" s="1" t="s">
        <v>2661</v>
      </c>
      <c r="AQ996" s="11">
        <v>41982</v>
      </c>
      <c r="AR996" s="1" t="s">
        <v>2662</v>
      </c>
      <c r="AS996" s="11">
        <v>41985</v>
      </c>
      <c r="AT996" s="1" t="s">
        <v>49</v>
      </c>
      <c r="AU996" s="1" t="s">
        <v>4171</v>
      </c>
    </row>
    <row r="997" spans="1:47" ht="15" customHeight="1" x14ac:dyDescent="0.25">
      <c r="A997" s="1">
        <v>993</v>
      </c>
      <c r="B997" s="1" t="s">
        <v>1258</v>
      </c>
      <c r="C997" s="1" t="s">
        <v>38</v>
      </c>
      <c r="D997" s="1">
        <v>9103550800</v>
      </c>
      <c r="E997" s="5">
        <v>41948</v>
      </c>
      <c r="F997" s="1" t="s">
        <v>878</v>
      </c>
      <c r="G997" s="1" t="s">
        <v>40</v>
      </c>
      <c r="H997" s="1" t="s">
        <v>41</v>
      </c>
      <c r="I997" s="1" t="s">
        <v>2809</v>
      </c>
      <c r="J997" s="1" t="s">
        <v>50</v>
      </c>
      <c r="K997" s="1">
        <v>38237090</v>
      </c>
      <c r="L997" s="6">
        <v>15</v>
      </c>
      <c r="M997" s="1" t="s">
        <v>70</v>
      </c>
      <c r="N997" s="7" t="s">
        <v>52</v>
      </c>
      <c r="O997" s="1" t="s">
        <v>53</v>
      </c>
      <c r="P997" s="8">
        <v>3660</v>
      </c>
      <c r="Q997" s="17">
        <f t="shared" si="97"/>
        <v>54900</v>
      </c>
      <c r="R997" s="9">
        <v>831</v>
      </c>
      <c r="S997" s="9">
        <v>0</v>
      </c>
      <c r="T997" s="9">
        <v>0</v>
      </c>
      <c r="U997" s="10">
        <v>0</v>
      </c>
      <c r="V997" s="1" t="s">
        <v>46</v>
      </c>
      <c r="W997" s="1" t="s">
        <v>2657</v>
      </c>
      <c r="X997" s="1">
        <v>5830092</v>
      </c>
      <c r="Y997" s="24">
        <v>41944</v>
      </c>
      <c r="Z997" s="11"/>
      <c r="AA997" s="9">
        <f t="shared" si="98"/>
        <v>54069</v>
      </c>
      <c r="AB997" s="12">
        <v>61.05</v>
      </c>
      <c r="AC997" s="9">
        <f t="shared" si="99"/>
        <v>3351645</v>
      </c>
      <c r="AD997" s="9">
        <f t="shared" si="100"/>
        <v>3300912.4499999997</v>
      </c>
      <c r="AE997" s="1" t="s">
        <v>284</v>
      </c>
      <c r="AF997" s="1" t="s">
        <v>53</v>
      </c>
      <c r="AG997" s="4">
        <f t="shared" si="95"/>
        <v>54900</v>
      </c>
      <c r="AH997" s="10">
        <v>54900</v>
      </c>
      <c r="AI997" s="10">
        <v>815</v>
      </c>
      <c r="AJ997" s="10">
        <v>0</v>
      </c>
      <c r="AK997" s="10">
        <v>0</v>
      </c>
      <c r="AL997" s="9">
        <f t="shared" si="96"/>
        <v>54085</v>
      </c>
      <c r="AM997" s="1"/>
      <c r="AN997" s="1"/>
      <c r="AO997" s="12" t="e">
        <f>AB997/#REF!</f>
        <v>#REF!</v>
      </c>
      <c r="AP997" s="1" t="s">
        <v>2663</v>
      </c>
      <c r="AQ997" s="11">
        <v>42026</v>
      </c>
      <c r="AR997" s="1" t="s">
        <v>2664</v>
      </c>
      <c r="AS997" s="11">
        <v>42026</v>
      </c>
      <c r="AT997" s="1" t="s">
        <v>49</v>
      </c>
      <c r="AU997" s="1" t="s">
        <v>4171</v>
      </c>
    </row>
    <row r="998" spans="1:47" ht="15" customHeight="1" x14ac:dyDescent="0.25">
      <c r="A998" s="1">
        <v>994</v>
      </c>
      <c r="B998" s="1" t="s">
        <v>1258</v>
      </c>
      <c r="C998" s="1" t="s">
        <v>38</v>
      </c>
      <c r="D998" s="1">
        <v>9103550801</v>
      </c>
      <c r="E998" s="5">
        <v>41950</v>
      </c>
      <c r="F998" s="1" t="s">
        <v>887</v>
      </c>
      <c r="G998" s="1" t="s">
        <v>40</v>
      </c>
      <c r="H998" s="1" t="s">
        <v>41</v>
      </c>
      <c r="I998" s="1" t="s">
        <v>2809</v>
      </c>
      <c r="J998" s="1" t="s">
        <v>187</v>
      </c>
      <c r="K998" s="1">
        <v>29051700</v>
      </c>
      <c r="L998" s="6">
        <v>18.14</v>
      </c>
      <c r="M998" s="1" t="s">
        <v>70</v>
      </c>
      <c r="N998" s="7" t="s">
        <v>44</v>
      </c>
      <c r="O998" s="1" t="s">
        <v>53</v>
      </c>
      <c r="P998" s="8">
        <v>1872</v>
      </c>
      <c r="Q998" s="17">
        <f t="shared" si="97"/>
        <v>33958.080000000002</v>
      </c>
      <c r="R998" s="9">
        <v>2580</v>
      </c>
      <c r="S998" s="9">
        <v>4.8600000000000003</v>
      </c>
      <c r="T998" s="9">
        <v>0</v>
      </c>
      <c r="U998" s="10">
        <v>0</v>
      </c>
      <c r="V998" s="1" t="s">
        <v>46</v>
      </c>
      <c r="W998" s="1" t="s">
        <v>56</v>
      </c>
      <c r="X998" s="1">
        <v>5835575</v>
      </c>
      <c r="Y998" s="24">
        <v>41944</v>
      </c>
      <c r="Z998" s="11"/>
      <c r="AA998" s="9">
        <f t="shared" si="98"/>
        <v>31373.22</v>
      </c>
      <c r="AB998" s="12">
        <v>61.05</v>
      </c>
      <c r="AC998" s="9">
        <f t="shared" si="99"/>
        <v>2073140.784</v>
      </c>
      <c r="AD998" s="9">
        <f t="shared" si="100"/>
        <v>1915335.081</v>
      </c>
      <c r="AE998" s="1" t="s">
        <v>48</v>
      </c>
      <c r="AF998" s="1" t="s">
        <v>53</v>
      </c>
      <c r="AG998" s="4">
        <f t="shared" si="95"/>
        <v>33958.080000000002</v>
      </c>
      <c r="AH998" s="10">
        <v>33958.080000000002</v>
      </c>
      <c r="AI998" s="10">
        <v>2444</v>
      </c>
      <c r="AJ998" s="10">
        <v>4.8600000000000003</v>
      </c>
      <c r="AK998" s="10">
        <v>0</v>
      </c>
      <c r="AL998" s="9">
        <f t="shared" si="96"/>
        <v>31509.22</v>
      </c>
      <c r="AM998" s="1"/>
      <c r="AN998" s="1"/>
      <c r="AO998" s="12" t="e">
        <f>AB998/#REF!</f>
        <v>#REF!</v>
      </c>
      <c r="AP998" s="1" t="s">
        <v>2665</v>
      </c>
      <c r="AQ998" s="11">
        <v>41991</v>
      </c>
      <c r="AR998" s="1" t="s">
        <v>2666</v>
      </c>
      <c r="AS998" s="11">
        <v>41992</v>
      </c>
      <c r="AT998" s="1" t="s">
        <v>49</v>
      </c>
      <c r="AU998" s="1" t="s">
        <v>4171</v>
      </c>
    </row>
    <row r="999" spans="1:47" ht="15" customHeight="1" x14ac:dyDescent="0.25">
      <c r="A999" s="1">
        <v>995</v>
      </c>
      <c r="B999" s="1" t="s">
        <v>1258</v>
      </c>
      <c r="C999" s="1" t="s">
        <v>38</v>
      </c>
      <c r="D999" s="1">
        <v>9103550802</v>
      </c>
      <c r="E999" s="5">
        <v>41949</v>
      </c>
      <c r="F999" s="1" t="s">
        <v>880</v>
      </c>
      <c r="G999" s="1" t="s">
        <v>40</v>
      </c>
      <c r="H999" s="1" t="s">
        <v>41</v>
      </c>
      <c r="I999" s="1" t="s">
        <v>2809</v>
      </c>
      <c r="J999" s="1" t="s">
        <v>2641</v>
      </c>
      <c r="K999" s="1">
        <v>38237090</v>
      </c>
      <c r="L999" s="6">
        <v>187.94</v>
      </c>
      <c r="M999" s="1" t="s">
        <v>70</v>
      </c>
      <c r="N999" s="7" t="s">
        <v>44</v>
      </c>
      <c r="O999" s="1" t="s">
        <v>53</v>
      </c>
      <c r="P999" s="8">
        <v>1195</v>
      </c>
      <c r="Q999" s="17">
        <f t="shared" si="97"/>
        <v>224588.3</v>
      </c>
      <c r="R999" s="9">
        <v>5000</v>
      </c>
      <c r="S999" s="9">
        <v>32.119999999999997</v>
      </c>
      <c r="T999" s="9">
        <v>0</v>
      </c>
      <c r="U999" s="10">
        <v>0</v>
      </c>
      <c r="V999" s="1" t="s">
        <v>46</v>
      </c>
      <c r="W999" s="1" t="s">
        <v>54</v>
      </c>
      <c r="X999" s="1">
        <v>5838221</v>
      </c>
      <c r="Y999" s="24">
        <v>41944</v>
      </c>
      <c r="Z999" s="11"/>
      <c r="AA999" s="9">
        <f t="shared" si="98"/>
        <v>219556.18</v>
      </c>
      <c r="AB999" s="12">
        <v>61.05</v>
      </c>
      <c r="AC999" s="9">
        <f t="shared" si="99"/>
        <v>13711115.714999998</v>
      </c>
      <c r="AD999" s="9">
        <f t="shared" si="100"/>
        <v>13403904.788999999</v>
      </c>
      <c r="AE999" s="1" t="s">
        <v>48</v>
      </c>
      <c r="AF999" s="1" t="s">
        <v>53</v>
      </c>
      <c r="AG999" s="4">
        <f t="shared" si="95"/>
        <v>224588.3</v>
      </c>
      <c r="AH999" s="10">
        <v>224432.3</v>
      </c>
      <c r="AI999" s="10">
        <v>4330</v>
      </c>
      <c r="AJ999" s="10">
        <v>32.119999999999997</v>
      </c>
      <c r="AK999" s="10">
        <v>0</v>
      </c>
      <c r="AL999" s="9">
        <f t="shared" si="96"/>
        <v>220070.18</v>
      </c>
      <c r="AM999" s="1"/>
      <c r="AN999" s="1"/>
      <c r="AO999" s="12" t="e">
        <f>AB999/#REF!</f>
        <v>#REF!</v>
      </c>
      <c r="AP999" s="1" t="s">
        <v>2667</v>
      </c>
      <c r="AQ999" s="11">
        <v>42040</v>
      </c>
      <c r="AR999" s="1" t="s">
        <v>2668</v>
      </c>
      <c r="AS999" s="11">
        <v>42041</v>
      </c>
      <c r="AT999" s="1" t="s">
        <v>49</v>
      </c>
      <c r="AU999" s="1" t="s">
        <v>4171</v>
      </c>
    </row>
    <row r="1000" spans="1:47" ht="15" customHeight="1" x14ac:dyDescent="0.25">
      <c r="A1000" s="1">
        <v>996</v>
      </c>
      <c r="B1000" s="1" t="s">
        <v>1258</v>
      </c>
      <c r="C1000" s="1" t="s">
        <v>38</v>
      </c>
      <c r="D1000" s="1">
        <v>9103550803</v>
      </c>
      <c r="E1000" s="5">
        <v>41951</v>
      </c>
      <c r="F1000" s="1" t="s">
        <v>879</v>
      </c>
      <c r="G1000" s="1" t="s">
        <v>40</v>
      </c>
      <c r="H1000" s="1" t="s">
        <v>41</v>
      </c>
      <c r="I1000" s="1" t="s">
        <v>2809</v>
      </c>
      <c r="J1000" s="1" t="s">
        <v>2641</v>
      </c>
      <c r="K1000" s="1">
        <v>38237090</v>
      </c>
      <c r="L1000" s="6">
        <v>57.63</v>
      </c>
      <c r="M1000" s="1" t="s">
        <v>70</v>
      </c>
      <c r="N1000" s="7" t="s">
        <v>44</v>
      </c>
      <c r="O1000" s="1" t="s">
        <v>53</v>
      </c>
      <c r="P1000" s="8">
        <v>1235</v>
      </c>
      <c r="Q1000" s="17">
        <f t="shared" si="97"/>
        <v>71173.05</v>
      </c>
      <c r="R1000" s="9">
        <v>2280</v>
      </c>
      <c r="S1000" s="9">
        <v>10.18</v>
      </c>
      <c r="T1000" s="9">
        <v>0</v>
      </c>
      <c r="U1000" s="10">
        <v>0</v>
      </c>
      <c r="V1000" s="1" t="s">
        <v>46</v>
      </c>
      <c r="W1000" s="1" t="s">
        <v>54</v>
      </c>
      <c r="X1000" s="1">
        <v>5845807</v>
      </c>
      <c r="Y1000" s="24">
        <v>41946</v>
      </c>
      <c r="Z1000" s="11"/>
      <c r="AA1000" s="9">
        <f t="shared" si="98"/>
        <v>68882.87000000001</v>
      </c>
      <c r="AB1000" s="12">
        <v>61.05</v>
      </c>
      <c r="AC1000" s="9">
        <f t="shared" si="99"/>
        <v>4345114.7024999997</v>
      </c>
      <c r="AD1000" s="9">
        <f t="shared" si="100"/>
        <v>4205299.2135000005</v>
      </c>
      <c r="AE1000" s="1" t="s">
        <v>48</v>
      </c>
      <c r="AF1000" s="1" t="s">
        <v>53</v>
      </c>
      <c r="AG1000" s="4">
        <f t="shared" si="95"/>
        <v>71173.05</v>
      </c>
      <c r="AH1000" s="10">
        <v>71017.05</v>
      </c>
      <c r="AI1000" s="10">
        <v>2280</v>
      </c>
      <c r="AJ1000" s="10">
        <v>10.18</v>
      </c>
      <c r="AK1000" s="10">
        <v>0</v>
      </c>
      <c r="AL1000" s="9">
        <f t="shared" si="96"/>
        <v>68726.87000000001</v>
      </c>
      <c r="AM1000" s="1"/>
      <c r="AN1000" s="1"/>
      <c r="AO1000" s="12" t="e">
        <f>AB1000/#REF!</f>
        <v>#REF!</v>
      </c>
      <c r="AP1000" s="1" t="s">
        <v>2669</v>
      </c>
      <c r="AQ1000" s="11">
        <v>42044</v>
      </c>
      <c r="AR1000" s="1" t="s">
        <v>2670</v>
      </c>
      <c r="AS1000" s="11">
        <v>42046</v>
      </c>
      <c r="AT1000" s="1" t="s">
        <v>49</v>
      </c>
      <c r="AU1000" s="1" t="s">
        <v>4171</v>
      </c>
    </row>
    <row r="1001" spans="1:47" ht="15" customHeight="1" x14ac:dyDescent="0.25">
      <c r="A1001" s="1">
        <v>997</v>
      </c>
      <c r="B1001" s="1" t="s">
        <v>1258</v>
      </c>
      <c r="C1001" s="1" t="s">
        <v>38</v>
      </c>
      <c r="D1001" s="1">
        <v>9103550804</v>
      </c>
      <c r="E1001" s="5">
        <v>41956</v>
      </c>
      <c r="F1001" s="1" t="s">
        <v>864</v>
      </c>
      <c r="G1001" s="1" t="s">
        <v>40</v>
      </c>
      <c r="H1001" s="1" t="s">
        <v>41</v>
      </c>
      <c r="I1001" s="1" t="s">
        <v>2809</v>
      </c>
      <c r="J1001" s="1" t="s">
        <v>2671</v>
      </c>
      <c r="K1001" s="1">
        <v>38237090</v>
      </c>
      <c r="L1001" s="6">
        <v>2</v>
      </c>
      <c r="M1001" s="1" t="s">
        <v>70</v>
      </c>
      <c r="N1001" s="7" t="s">
        <v>52</v>
      </c>
      <c r="O1001" s="1" t="s">
        <v>53</v>
      </c>
      <c r="P1001" s="8">
        <v>4470</v>
      </c>
      <c r="Q1001" s="17">
        <f t="shared" si="97"/>
        <v>8940</v>
      </c>
      <c r="R1001" s="9">
        <v>125</v>
      </c>
      <c r="S1001" s="9">
        <v>0</v>
      </c>
      <c r="T1001" s="9">
        <v>0</v>
      </c>
      <c r="U1001" s="10">
        <v>0</v>
      </c>
      <c r="V1001" s="1" t="s">
        <v>46</v>
      </c>
      <c r="W1001" s="1" t="s">
        <v>236</v>
      </c>
      <c r="X1001" s="1">
        <v>5735913</v>
      </c>
      <c r="Y1001" s="11">
        <v>41940</v>
      </c>
      <c r="Z1001" s="11"/>
      <c r="AA1001" s="9">
        <f t="shared" si="98"/>
        <v>8815</v>
      </c>
      <c r="AB1001" s="12">
        <v>61.05</v>
      </c>
      <c r="AC1001" s="9">
        <f t="shared" si="99"/>
        <v>545787</v>
      </c>
      <c r="AD1001" s="9">
        <f t="shared" si="100"/>
        <v>538155.75</v>
      </c>
      <c r="AE1001" s="1" t="s">
        <v>48</v>
      </c>
      <c r="AF1001" s="1" t="s">
        <v>53</v>
      </c>
      <c r="AG1001" s="4">
        <f t="shared" si="95"/>
        <v>8940</v>
      </c>
      <c r="AH1001" s="10">
        <v>8905</v>
      </c>
      <c r="AI1001" s="10">
        <v>24.3</v>
      </c>
      <c r="AJ1001" s="10">
        <v>0</v>
      </c>
      <c r="AK1001" s="10">
        <v>0</v>
      </c>
      <c r="AL1001" s="9">
        <f t="shared" si="96"/>
        <v>8880.7000000000007</v>
      </c>
      <c r="AM1001" s="1"/>
      <c r="AN1001" s="1"/>
      <c r="AO1001" s="12" t="e">
        <f>AB1001/#REF!</f>
        <v>#REF!</v>
      </c>
      <c r="AP1001" s="1" t="s">
        <v>2672</v>
      </c>
      <c r="AQ1001" s="11">
        <v>42025</v>
      </c>
      <c r="AR1001" s="1" t="s">
        <v>2673</v>
      </c>
      <c r="AS1001" s="11">
        <v>42026</v>
      </c>
      <c r="AT1001" s="1" t="s">
        <v>49</v>
      </c>
      <c r="AU1001" s="1" t="s">
        <v>4171</v>
      </c>
    </row>
    <row r="1002" spans="1:47" ht="15" customHeight="1" x14ac:dyDescent="0.25">
      <c r="A1002" s="1">
        <v>998</v>
      </c>
      <c r="B1002" s="1" t="s">
        <v>1258</v>
      </c>
      <c r="C1002" s="1" t="s">
        <v>38</v>
      </c>
      <c r="D1002" s="1">
        <v>9103550805</v>
      </c>
      <c r="E1002" s="5">
        <v>41951</v>
      </c>
      <c r="F1002" s="1" t="s">
        <v>881</v>
      </c>
      <c r="G1002" s="1" t="s">
        <v>40</v>
      </c>
      <c r="H1002" s="1" t="s">
        <v>41</v>
      </c>
      <c r="I1002" s="1" t="s">
        <v>2809</v>
      </c>
      <c r="J1002" s="1" t="s">
        <v>2641</v>
      </c>
      <c r="K1002" s="1">
        <v>38237090</v>
      </c>
      <c r="L1002" s="6">
        <v>188.9</v>
      </c>
      <c r="M1002" s="1" t="s">
        <v>70</v>
      </c>
      <c r="N1002" s="7" t="s">
        <v>44</v>
      </c>
      <c r="O1002" s="1" t="s">
        <v>53</v>
      </c>
      <c r="P1002" s="8">
        <v>1195</v>
      </c>
      <c r="Q1002" s="17">
        <f t="shared" si="97"/>
        <v>225735.5</v>
      </c>
      <c r="R1002" s="9">
        <v>7600</v>
      </c>
      <c r="S1002" s="9">
        <v>32.28</v>
      </c>
      <c r="T1002" s="9">
        <v>0</v>
      </c>
      <c r="U1002" s="10">
        <v>0</v>
      </c>
      <c r="V1002" s="1" t="s">
        <v>46</v>
      </c>
      <c r="W1002" s="1" t="s">
        <v>54</v>
      </c>
      <c r="X1002" s="1">
        <v>5853059</v>
      </c>
      <c r="Y1002" s="24">
        <v>41946</v>
      </c>
      <c r="Z1002" s="11"/>
      <c r="AA1002" s="9">
        <f t="shared" si="98"/>
        <v>218103.22</v>
      </c>
      <c r="AB1002" s="12">
        <v>61.05</v>
      </c>
      <c r="AC1002" s="9">
        <f t="shared" si="99"/>
        <v>13781152.274999999</v>
      </c>
      <c r="AD1002" s="9">
        <f t="shared" si="100"/>
        <v>13315201.581</v>
      </c>
      <c r="AE1002" s="1" t="s">
        <v>48</v>
      </c>
      <c r="AF1002" s="1" t="s">
        <v>53</v>
      </c>
      <c r="AG1002" s="4">
        <f t="shared" si="95"/>
        <v>225735.5</v>
      </c>
      <c r="AH1002" s="10">
        <v>225579.5</v>
      </c>
      <c r="AI1002" s="10">
        <v>7600</v>
      </c>
      <c r="AJ1002" s="10">
        <v>32.28</v>
      </c>
      <c r="AK1002" s="10">
        <v>0</v>
      </c>
      <c r="AL1002" s="9">
        <f t="shared" si="96"/>
        <v>217947.22</v>
      </c>
      <c r="AM1002" s="1"/>
      <c r="AN1002" s="1"/>
      <c r="AO1002" s="12" t="e">
        <f>AB1002/#REF!</f>
        <v>#REF!</v>
      </c>
      <c r="AP1002" s="1" t="s">
        <v>2674</v>
      </c>
      <c r="AQ1002" s="11">
        <v>42044</v>
      </c>
      <c r="AR1002" s="1" t="s">
        <v>2675</v>
      </c>
      <c r="AS1002" s="11">
        <v>42046</v>
      </c>
      <c r="AT1002" s="1" t="s">
        <v>49</v>
      </c>
      <c r="AU1002" s="1" t="s">
        <v>4171</v>
      </c>
    </row>
    <row r="1003" spans="1:47" ht="15" customHeight="1" x14ac:dyDescent="0.25">
      <c r="A1003" s="1">
        <v>999</v>
      </c>
      <c r="B1003" s="1" t="s">
        <v>1258</v>
      </c>
      <c r="C1003" s="1" t="s">
        <v>38</v>
      </c>
      <c r="D1003" s="1">
        <v>9103550806</v>
      </c>
      <c r="E1003" s="5">
        <v>41954</v>
      </c>
      <c r="F1003" s="1" t="s">
        <v>882</v>
      </c>
      <c r="G1003" s="1" t="s">
        <v>40</v>
      </c>
      <c r="H1003" s="1" t="s">
        <v>41</v>
      </c>
      <c r="I1003" s="1" t="s">
        <v>2810</v>
      </c>
      <c r="J1003" s="1" t="s">
        <v>1116</v>
      </c>
      <c r="K1003" s="1">
        <v>38237090</v>
      </c>
      <c r="L1003" s="6">
        <v>18.850000000000001</v>
      </c>
      <c r="M1003" s="1" t="s">
        <v>70</v>
      </c>
      <c r="N1003" s="7" t="s">
        <v>67</v>
      </c>
      <c r="O1003" s="1" t="s">
        <v>1117</v>
      </c>
      <c r="P1003" s="8">
        <v>78350</v>
      </c>
      <c r="Q1003" s="17">
        <f t="shared" si="97"/>
        <v>1476897.5</v>
      </c>
      <c r="R1003" s="9">
        <v>0</v>
      </c>
      <c r="S1003" s="9">
        <v>0</v>
      </c>
      <c r="T1003" s="9">
        <v>0</v>
      </c>
      <c r="U1003" s="10">
        <v>0</v>
      </c>
      <c r="V1003" s="1" t="s">
        <v>46</v>
      </c>
      <c r="W1003" s="1" t="s">
        <v>2676</v>
      </c>
      <c r="X1003" s="1">
        <v>5854429</v>
      </c>
      <c r="Y1003" s="24">
        <v>41946</v>
      </c>
      <c r="Z1003" s="11"/>
      <c r="AA1003" s="9">
        <f t="shared" si="98"/>
        <v>1476897.5</v>
      </c>
      <c r="AB1003" s="12">
        <v>1</v>
      </c>
      <c r="AC1003" s="9">
        <f t="shared" si="99"/>
        <v>1476897.5</v>
      </c>
      <c r="AD1003" s="9">
        <f t="shared" si="100"/>
        <v>1476897.5</v>
      </c>
      <c r="AE1003" s="1" t="s">
        <v>4162</v>
      </c>
      <c r="AF1003" s="1" t="s">
        <v>1117</v>
      </c>
      <c r="AG1003" s="4">
        <f t="shared" si="95"/>
        <v>1476897.5</v>
      </c>
      <c r="AH1003" s="10">
        <v>1476897.5</v>
      </c>
      <c r="AI1003" s="10"/>
      <c r="AJ1003" s="10"/>
      <c r="AK1003" s="10"/>
      <c r="AL1003" s="9">
        <f t="shared" si="96"/>
        <v>1476897.5</v>
      </c>
      <c r="AM1003" s="1"/>
      <c r="AN1003" s="1"/>
      <c r="AO1003" s="12"/>
      <c r="AP1003" s="1" t="s">
        <v>4080</v>
      </c>
      <c r="AQ1003" s="11" t="s">
        <v>4065</v>
      </c>
      <c r="AR1003" s="1" t="s">
        <v>4079</v>
      </c>
      <c r="AS1003" s="1" t="s">
        <v>4059</v>
      </c>
      <c r="AT1003" s="1" t="s">
        <v>49</v>
      </c>
      <c r="AU1003" s="1" t="s">
        <v>4171</v>
      </c>
    </row>
    <row r="1004" spans="1:47" ht="15" customHeight="1" x14ac:dyDescent="0.25">
      <c r="A1004" s="1">
        <v>1000</v>
      </c>
      <c r="B1004" s="1" t="s">
        <v>1258</v>
      </c>
      <c r="C1004" s="1" t="s">
        <v>38</v>
      </c>
      <c r="D1004" s="1">
        <v>9103550807</v>
      </c>
      <c r="E1004" s="5">
        <v>41954</v>
      </c>
      <c r="F1004" s="1" t="s">
        <v>883</v>
      </c>
      <c r="G1004" s="1" t="s">
        <v>40</v>
      </c>
      <c r="H1004" s="1" t="s">
        <v>41</v>
      </c>
      <c r="I1004" s="1" t="s">
        <v>2810</v>
      </c>
      <c r="J1004" s="1" t="s">
        <v>1116</v>
      </c>
      <c r="K1004" s="1">
        <v>38237090</v>
      </c>
      <c r="L1004" s="6">
        <v>18.98</v>
      </c>
      <c r="M1004" s="1" t="s">
        <v>70</v>
      </c>
      <c r="N1004" s="7" t="s">
        <v>67</v>
      </c>
      <c r="O1004" s="1" t="s">
        <v>1117</v>
      </c>
      <c r="P1004" s="8">
        <v>78350</v>
      </c>
      <c r="Q1004" s="17">
        <f t="shared" si="97"/>
        <v>1487083</v>
      </c>
      <c r="R1004" s="9">
        <v>0</v>
      </c>
      <c r="S1004" s="9">
        <v>0</v>
      </c>
      <c r="T1004" s="9">
        <v>0</v>
      </c>
      <c r="U1004" s="10">
        <v>0</v>
      </c>
      <c r="V1004" s="1" t="s">
        <v>46</v>
      </c>
      <c r="W1004" s="1" t="s">
        <v>2676</v>
      </c>
      <c r="X1004" s="1">
        <v>5855268</v>
      </c>
      <c r="Y1004" s="24">
        <v>41946</v>
      </c>
      <c r="Z1004" s="11"/>
      <c r="AA1004" s="9">
        <f t="shared" si="98"/>
        <v>1487083</v>
      </c>
      <c r="AB1004" s="12">
        <v>1</v>
      </c>
      <c r="AC1004" s="9">
        <f t="shared" si="99"/>
        <v>1487083</v>
      </c>
      <c r="AD1004" s="9">
        <f t="shared" si="100"/>
        <v>1487083</v>
      </c>
      <c r="AE1004" s="1" t="s">
        <v>4162</v>
      </c>
      <c r="AF1004" s="1" t="s">
        <v>1117</v>
      </c>
      <c r="AG1004" s="4">
        <f t="shared" ref="AG1004:AG1067" si="101">Q1004</f>
        <v>1487083</v>
      </c>
      <c r="AH1004" s="10">
        <v>1487083</v>
      </c>
      <c r="AI1004" s="10"/>
      <c r="AJ1004" s="10"/>
      <c r="AK1004" s="10"/>
      <c r="AL1004" s="9">
        <f t="shared" ref="AL1004:AL1067" si="102">AH1004-(AI1004+AJ1004+AK1004)</f>
        <v>1487083</v>
      </c>
      <c r="AM1004" s="1"/>
      <c r="AN1004" s="1"/>
      <c r="AO1004" s="12"/>
      <c r="AP1004" s="1" t="s">
        <v>4077</v>
      </c>
      <c r="AQ1004" s="11" t="s">
        <v>4065</v>
      </c>
      <c r="AR1004" s="1" t="s">
        <v>4076</v>
      </c>
      <c r="AS1004" s="1" t="s">
        <v>4059</v>
      </c>
      <c r="AT1004" s="1" t="s">
        <v>49</v>
      </c>
      <c r="AU1004" s="1" t="s">
        <v>4171</v>
      </c>
    </row>
    <row r="1005" spans="1:47" s="23" customFormat="1" ht="15" customHeight="1" x14ac:dyDescent="0.25">
      <c r="A1005" s="3">
        <v>1001</v>
      </c>
      <c r="B1005" s="3" t="s">
        <v>1258</v>
      </c>
      <c r="C1005" s="3" t="s">
        <v>38</v>
      </c>
      <c r="D1005" s="3">
        <v>9103550810</v>
      </c>
      <c r="E1005" s="19">
        <v>41950</v>
      </c>
      <c r="F1005" s="3" t="s">
        <v>901</v>
      </c>
      <c r="G1005" s="3" t="s">
        <v>40</v>
      </c>
      <c r="H1005" s="3" t="s">
        <v>41</v>
      </c>
      <c r="I1005" s="3" t="s">
        <v>2809</v>
      </c>
      <c r="J1005" s="3" t="s">
        <v>2677</v>
      </c>
      <c r="K1005" s="3">
        <v>29051700</v>
      </c>
      <c r="L1005" s="48">
        <v>30</v>
      </c>
      <c r="M1005" s="3" t="s">
        <v>70</v>
      </c>
      <c r="N1005" s="49" t="s">
        <v>52</v>
      </c>
      <c r="O1005" s="3" t="s">
        <v>53</v>
      </c>
      <c r="P1005" s="50">
        <v>1630</v>
      </c>
      <c r="Q1005" s="17">
        <f t="shared" si="97"/>
        <v>48900</v>
      </c>
      <c r="R1005" s="20">
        <v>3300</v>
      </c>
      <c r="S1005" s="20">
        <v>0</v>
      </c>
      <c r="T1005" s="20">
        <v>0</v>
      </c>
      <c r="U1005" s="4">
        <v>0</v>
      </c>
      <c r="V1005" s="3" t="s">
        <v>46</v>
      </c>
      <c r="W1005" s="3" t="s">
        <v>178</v>
      </c>
      <c r="X1005" s="3">
        <v>5523117</v>
      </c>
      <c r="Y1005" s="93">
        <v>41926</v>
      </c>
      <c r="Z1005" s="21"/>
      <c r="AA1005" s="20">
        <f t="shared" si="98"/>
        <v>45600</v>
      </c>
      <c r="AB1005" s="22">
        <v>61.05</v>
      </c>
      <c r="AC1005" s="20">
        <f t="shared" si="99"/>
        <v>2985345</v>
      </c>
      <c r="AD1005" s="20">
        <f t="shared" si="100"/>
        <v>2783880</v>
      </c>
      <c r="AE1005" s="3" t="s">
        <v>48</v>
      </c>
      <c r="AF1005" s="3" t="s">
        <v>53</v>
      </c>
      <c r="AG1005" s="4">
        <f t="shared" si="101"/>
        <v>48900</v>
      </c>
      <c r="AH1005" s="4">
        <v>48900</v>
      </c>
      <c r="AI1005" s="4">
        <v>3298</v>
      </c>
      <c r="AJ1005" s="4">
        <v>0</v>
      </c>
      <c r="AK1005" s="4">
        <v>0</v>
      </c>
      <c r="AL1005" s="20">
        <f t="shared" si="102"/>
        <v>45602</v>
      </c>
      <c r="AM1005" s="3"/>
      <c r="AN1005" s="3"/>
      <c r="AO1005" s="22" t="e">
        <f>AB1005/#REF!</f>
        <v>#REF!</v>
      </c>
      <c r="AP1005" s="3"/>
      <c r="AQ1005" s="21">
        <v>41939</v>
      </c>
      <c r="AR1005" s="3" t="s">
        <v>4382</v>
      </c>
      <c r="AS1005" s="3"/>
      <c r="AT1005" s="3" t="s">
        <v>49</v>
      </c>
      <c r="AU1005" s="1" t="s">
        <v>4321</v>
      </c>
    </row>
    <row r="1006" spans="1:47" ht="15" customHeight="1" x14ac:dyDescent="0.25">
      <c r="A1006" s="1">
        <v>1002</v>
      </c>
      <c r="B1006" s="1" t="s">
        <v>1258</v>
      </c>
      <c r="C1006" s="1" t="s">
        <v>38</v>
      </c>
      <c r="D1006" s="1">
        <v>9103550811</v>
      </c>
      <c r="E1006" s="5">
        <v>41952</v>
      </c>
      <c r="F1006" s="1" t="s">
        <v>884</v>
      </c>
      <c r="G1006" s="1" t="s">
        <v>40</v>
      </c>
      <c r="H1006" s="1" t="s">
        <v>41</v>
      </c>
      <c r="I1006" s="1" t="s">
        <v>2809</v>
      </c>
      <c r="J1006" s="1" t="s">
        <v>2678</v>
      </c>
      <c r="K1006" s="1">
        <v>38231190</v>
      </c>
      <c r="L1006" s="6">
        <v>10</v>
      </c>
      <c r="M1006" s="1" t="s">
        <v>70</v>
      </c>
      <c r="N1006" s="7" t="s">
        <v>44</v>
      </c>
      <c r="O1006" s="1" t="s">
        <v>53</v>
      </c>
      <c r="P1006" s="8">
        <v>970</v>
      </c>
      <c r="Q1006" s="17">
        <f t="shared" si="97"/>
        <v>9700</v>
      </c>
      <c r="R1006" s="9">
        <v>250</v>
      </c>
      <c r="S1006" s="9">
        <v>1.39</v>
      </c>
      <c r="T1006" s="9">
        <v>0</v>
      </c>
      <c r="U1006" s="10">
        <v>0</v>
      </c>
      <c r="V1006" s="1" t="s">
        <v>46</v>
      </c>
      <c r="W1006" s="1" t="s">
        <v>2679</v>
      </c>
      <c r="X1006" s="1">
        <v>5886833</v>
      </c>
      <c r="Y1006" s="24">
        <v>41948</v>
      </c>
      <c r="Z1006" s="11"/>
      <c r="AA1006" s="9">
        <f t="shared" si="98"/>
        <v>9448.61</v>
      </c>
      <c r="AB1006" s="12">
        <v>61.05</v>
      </c>
      <c r="AC1006" s="9">
        <f t="shared" si="99"/>
        <v>592185</v>
      </c>
      <c r="AD1006" s="9">
        <f t="shared" si="100"/>
        <v>576837.64049999998</v>
      </c>
      <c r="AE1006" s="1" t="s">
        <v>48</v>
      </c>
      <c r="AF1006" s="1" t="s">
        <v>53</v>
      </c>
      <c r="AG1006" s="4">
        <f t="shared" si="101"/>
        <v>9700</v>
      </c>
      <c r="AH1006" s="10">
        <v>9680</v>
      </c>
      <c r="AI1006" s="10">
        <v>250</v>
      </c>
      <c r="AJ1006" s="10">
        <v>1.39</v>
      </c>
      <c r="AK1006" s="10">
        <v>0</v>
      </c>
      <c r="AL1006" s="9">
        <f t="shared" si="102"/>
        <v>9428.61</v>
      </c>
      <c r="AM1006" s="1"/>
      <c r="AN1006" s="1"/>
      <c r="AO1006" s="12" t="e">
        <f>AB1006/#REF!</f>
        <v>#REF!</v>
      </c>
      <c r="AP1006" s="1" t="s">
        <v>2680</v>
      </c>
      <c r="AQ1006" s="11">
        <v>41999</v>
      </c>
      <c r="AR1006" s="1" t="s">
        <v>2681</v>
      </c>
      <c r="AS1006" s="11">
        <v>42000</v>
      </c>
      <c r="AT1006" s="1" t="s">
        <v>49</v>
      </c>
      <c r="AU1006" s="1" t="s">
        <v>4171</v>
      </c>
    </row>
    <row r="1007" spans="1:47" ht="15" customHeight="1" x14ac:dyDescent="0.25">
      <c r="A1007" s="1">
        <v>1003</v>
      </c>
      <c r="B1007" s="1" t="s">
        <v>1258</v>
      </c>
      <c r="C1007" s="1" t="s">
        <v>38</v>
      </c>
      <c r="D1007" s="1">
        <v>9103550812</v>
      </c>
      <c r="E1007" s="5">
        <v>41952</v>
      </c>
      <c r="F1007" s="1" t="s">
        <v>885</v>
      </c>
      <c r="G1007" s="1" t="s">
        <v>40</v>
      </c>
      <c r="H1007" s="1" t="s">
        <v>41</v>
      </c>
      <c r="I1007" s="1" t="s">
        <v>2809</v>
      </c>
      <c r="J1007" s="1" t="s">
        <v>200</v>
      </c>
      <c r="K1007" s="1">
        <v>29157010</v>
      </c>
      <c r="L1007" s="6">
        <v>39.17</v>
      </c>
      <c r="M1007" s="1" t="s">
        <v>70</v>
      </c>
      <c r="N1007" s="7" t="s">
        <v>44</v>
      </c>
      <c r="O1007" s="1" t="s">
        <v>53</v>
      </c>
      <c r="P1007" s="8">
        <v>1050</v>
      </c>
      <c r="Q1007" s="17">
        <f t="shared" si="97"/>
        <v>41128.5</v>
      </c>
      <c r="R1007" s="9">
        <v>1800</v>
      </c>
      <c r="S1007" s="9">
        <v>5.88</v>
      </c>
      <c r="T1007" s="9">
        <v>744.23</v>
      </c>
      <c r="U1007" s="10">
        <v>0</v>
      </c>
      <c r="V1007" s="1" t="s">
        <v>46</v>
      </c>
      <c r="W1007" s="1" t="s">
        <v>59</v>
      </c>
      <c r="X1007" s="1">
        <v>5884066</v>
      </c>
      <c r="Y1007" s="24">
        <v>41948</v>
      </c>
      <c r="Z1007" s="11"/>
      <c r="AA1007" s="9">
        <f t="shared" si="98"/>
        <v>39322.620000000003</v>
      </c>
      <c r="AB1007" s="12">
        <v>61.05</v>
      </c>
      <c r="AC1007" s="9">
        <f t="shared" si="99"/>
        <v>2510894.9249999998</v>
      </c>
      <c r="AD1007" s="9">
        <f t="shared" si="100"/>
        <v>2400645.9509999999</v>
      </c>
      <c r="AE1007" s="1" t="s">
        <v>51</v>
      </c>
      <c r="AF1007" s="1" t="s">
        <v>53</v>
      </c>
      <c r="AG1007" s="4">
        <f t="shared" si="101"/>
        <v>41128.5</v>
      </c>
      <c r="AH1007" s="10">
        <v>41128</v>
      </c>
      <c r="AI1007" s="9">
        <v>1700</v>
      </c>
      <c r="AJ1007" s="9">
        <v>5.88</v>
      </c>
      <c r="AK1007" s="9">
        <v>744.23</v>
      </c>
      <c r="AL1007" s="9">
        <f t="shared" si="102"/>
        <v>38677.89</v>
      </c>
      <c r="AM1007" s="1"/>
      <c r="AN1007" s="1"/>
      <c r="AO1007" s="12" t="e">
        <f>AB1007/#REF!</f>
        <v>#REF!</v>
      </c>
      <c r="AP1007" s="1"/>
      <c r="AQ1007" s="11">
        <v>41981</v>
      </c>
      <c r="AR1007" s="1" t="s">
        <v>3629</v>
      </c>
      <c r="AS1007" s="11">
        <v>42017</v>
      </c>
      <c r="AT1007" s="1" t="s">
        <v>49</v>
      </c>
      <c r="AU1007" s="1" t="s">
        <v>4171</v>
      </c>
    </row>
    <row r="1008" spans="1:47" ht="15" customHeight="1" x14ac:dyDescent="0.25">
      <c r="A1008" s="1">
        <v>1004</v>
      </c>
      <c r="B1008" s="1" t="s">
        <v>1258</v>
      </c>
      <c r="C1008" s="1" t="s">
        <v>38</v>
      </c>
      <c r="D1008" s="1">
        <v>9103550812</v>
      </c>
      <c r="E1008" s="5">
        <v>41952</v>
      </c>
      <c r="F1008" s="1" t="s">
        <v>892</v>
      </c>
      <c r="G1008" s="1" t="s">
        <v>40</v>
      </c>
      <c r="H1008" s="1" t="s">
        <v>41</v>
      </c>
      <c r="I1008" s="1" t="s">
        <v>2809</v>
      </c>
      <c r="J1008" s="1" t="s">
        <v>200</v>
      </c>
      <c r="K1008" s="1">
        <v>29157010</v>
      </c>
      <c r="L1008" s="6">
        <v>39.11</v>
      </c>
      <c r="M1008" s="1" t="s">
        <v>70</v>
      </c>
      <c r="N1008" s="7" t="s">
        <v>44</v>
      </c>
      <c r="O1008" s="1" t="s">
        <v>53</v>
      </c>
      <c r="P1008" s="8">
        <v>1050</v>
      </c>
      <c r="Q1008" s="17">
        <f t="shared" si="97"/>
        <v>41065.5</v>
      </c>
      <c r="R1008" s="9">
        <v>1800</v>
      </c>
      <c r="S1008" s="9">
        <v>5.87</v>
      </c>
      <c r="T1008" s="9">
        <v>743.09</v>
      </c>
      <c r="U1008" s="10">
        <v>0</v>
      </c>
      <c r="V1008" s="1" t="s">
        <v>46</v>
      </c>
      <c r="W1008" s="1" t="s">
        <v>59</v>
      </c>
      <c r="X1008" s="1">
        <v>5893288</v>
      </c>
      <c r="Y1008" s="24">
        <v>41948</v>
      </c>
      <c r="Z1008" s="11"/>
      <c r="AA1008" s="9">
        <f t="shared" si="98"/>
        <v>39259.629999999997</v>
      </c>
      <c r="AB1008" s="12">
        <v>61.05</v>
      </c>
      <c r="AC1008" s="9">
        <f t="shared" si="99"/>
        <v>2507048.7749999999</v>
      </c>
      <c r="AD1008" s="9">
        <f t="shared" si="100"/>
        <v>2396800.4114999999</v>
      </c>
      <c r="AE1008" s="1" t="s">
        <v>51</v>
      </c>
      <c r="AF1008" s="1" t="s">
        <v>53</v>
      </c>
      <c r="AG1008" s="4">
        <f t="shared" si="101"/>
        <v>41065.5</v>
      </c>
      <c r="AH1008" s="10">
        <v>41065.5</v>
      </c>
      <c r="AI1008" s="9">
        <v>1600</v>
      </c>
      <c r="AJ1008" s="9">
        <v>5.87</v>
      </c>
      <c r="AK1008" s="9">
        <v>743.09</v>
      </c>
      <c r="AL1008" s="9">
        <f t="shared" si="102"/>
        <v>38716.54</v>
      </c>
      <c r="AM1008" s="1"/>
      <c r="AN1008" s="1"/>
      <c r="AO1008" s="12" t="e">
        <f>AB1008/#REF!</f>
        <v>#REF!</v>
      </c>
      <c r="AP1008" s="1"/>
      <c r="AQ1008" s="11">
        <v>41981</v>
      </c>
      <c r="AR1008" s="1"/>
      <c r="AS1008" s="1"/>
      <c r="AT1008" s="1" t="s">
        <v>49</v>
      </c>
      <c r="AU1008" s="1" t="s">
        <v>3314</v>
      </c>
    </row>
    <row r="1009" spans="1:47" ht="15" customHeight="1" x14ac:dyDescent="0.25">
      <c r="A1009" s="1">
        <v>1005</v>
      </c>
      <c r="B1009" s="1" t="s">
        <v>1258</v>
      </c>
      <c r="C1009" s="1" t="s">
        <v>38</v>
      </c>
      <c r="D1009" s="1">
        <v>9103550813</v>
      </c>
      <c r="E1009" s="5">
        <v>41952</v>
      </c>
      <c r="F1009" s="1" t="s">
        <v>888</v>
      </c>
      <c r="G1009" s="1" t="s">
        <v>40</v>
      </c>
      <c r="H1009" s="1" t="s">
        <v>41</v>
      </c>
      <c r="I1009" s="1" t="s">
        <v>2809</v>
      </c>
      <c r="J1009" s="1" t="s">
        <v>187</v>
      </c>
      <c r="K1009" s="1">
        <v>29051700</v>
      </c>
      <c r="L1009" s="6">
        <v>72.56</v>
      </c>
      <c r="M1009" s="1" t="s">
        <v>70</v>
      </c>
      <c r="N1009" s="7" t="s">
        <v>44</v>
      </c>
      <c r="O1009" s="1" t="s">
        <v>53</v>
      </c>
      <c r="P1009" s="8">
        <v>1818</v>
      </c>
      <c r="Q1009" s="17">
        <f t="shared" si="97"/>
        <v>131914.08000000002</v>
      </c>
      <c r="R1009" s="9">
        <v>12096</v>
      </c>
      <c r="S1009" s="9">
        <v>18.86</v>
      </c>
      <c r="T1009" s="9">
        <v>0</v>
      </c>
      <c r="U1009" s="10">
        <v>0</v>
      </c>
      <c r="V1009" s="1" t="s">
        <v>46</v>
      </c>
      <c r="W1009" s="1" t="s">
        <v>56</v>
      </c>
      <c r="X1009" s="1">
        <v>5893304</v>
      </c>
      <c r="Y1009" s="24">
        <v>41948</v>
      </c>
      <c r="Z1009" s="11"/>
      <c r="AA1009" s="9">
        <f t="shared" si="98"/>
        <v>119799.22000000002</v>
      </c>
      <c r="AB1009" s="12">
        <v>61.05</v>
      </c>
      <c r="AC1009" s="9">
        <f t="shared" si="99"/>
        <v>8053354.5840000007</v>
      </c>
      <c r="AD1009" s="9">
        <f t="shared" si="100"/>
        <v>7313742.381000001</v>
      </c>
      <c r="AE1009" s="1" t="s">
        <v>48</v>
      </c>
      <c r="AF1009" s="1" t="s">
        <v>53</v>
      </c>
      <c r="AG1009" s="4">
        <f t="shared" si="101"/>
        <v>131914.08000000002</v>
      </c>
      <c r="AH1009" s="10">
        <v>131914.07999999999</v>
      </c>
      <c r="AI1009" s="10">
        <v>11696</v>
      </c>
      <c r="AJ1009" s="10">
        <v>18.86</v>
      </c>
      <c r="AK1009" s="10">
        <v>0</v>
      </c>
      <c r="AL1009" s="9">
        <f t="shared" si="102"/>
        <v>120199.21999999999</v>
      </c>
      <c r="AM1009" s="1"/>
      <c r="AN1009" s="1"/>
      <c r="AO1009" s="12" t="e">
        <f>AB1009/#REF!</f>
        <v>#REF!</v>
      </c>
      <c r="AP1009" s="1" t="s">
        <v>3222</v>
      </c>
      <c r="AQ1009" s="11">
        <v>41991</v>
      </c>
      <c r="AR1009" s="1" t="s">
        <v>3223</v>
      </c>
      <c r="AS1009" s="11">
        <v>41992</v>
      </c>
      <c r="AT1009" s="1" t="s">
        <v>49</v>
      </c>
      <c r="AU1009" s="1" t="s">
        <v>4171</v>
      </c>
    </row>
    <row r="1010" spans="1:47" ht="15" customHeight="1" x14ac:dyDescent="0.25">
      <c r="A1010" s="1">
        <v>1006</v>
      </c>
      <c r="B1010" s="1" t="s">
        <v>1258</v>
      </c>
      <c r="C1010" s="1" t="s">
        <v>38</v>
      </c>
      <c r="D1010" s="1">
        <v>9103550814</v>
      </c>
      <c r="E1010" s="5">
        <v>41952</v>
      </c>
      <c r="F1010" s="1" t="s">
        <v>889</v>
      </c>
      <c r="G1010" s="1" t="s">
        <v>40</v>
      </c>
      <c r="H1010" s="1" t="s">
        <v>41</v>
      </c>
      <c r="I1010" s="1" t="s">
        <v>2809</v>
      </c>
      <c r="J1010" s="1" t="s">
        <v>2153</v>
      </c>
      <c r="K1010" s="1">
        <v>38231900</v>
      </c>
      <c r="L1010" s="6">
        <v>59.64</v>
      </c>
      <c r="M1010" s="1" t="s">
        <v>70</v>
      </c>
      <c r="N1010" s="7" t="s">
        <v>44</v>
      </c>
      <c r="O1010" s="1" t="s">
        <v>45</v>
      </c>
      <c r="P1010" s="8">
        <v>2940</v>
      </c>
      <c r="Q1010" s="17">
        <f t="shared" si="97"/>
        <v>175341.6</v>
      </c>
      <c r="R1010" s="9">
        <v>2582.88</v>
      </c>
      <c r="S1010" s="9">
        <v>25.07</v>
      </c>
      <c r="T1010" s="9">
        <v>0</v>
      </c>
      <c r="U1010" s="10">
        <v>0</v>
      </c>
      <c r="V1010" s="1" t="s">
        <v>46</v>
      </c>
      <c r="W1010" s="1" t="s">
        <v>47</v>
      </c>
      <c r="X1010" s="1">
        <v>5908147</v>
      </c>
      <c r="Y1010" s="24">
        <v>41949</v>
      </c>
      <c r="Z1010" s="11"/>
      <c r="AA1010" s="9">
        <f t="shared" si="98"/>
        <v>172733.65</v>
      </c>
      <c r="AB1010" s="12">
        <v>60.9</v>
      </c>
      <c r="AC1010" s="9">
        <f t="shared" si="99"/>
        <v>10678303.439999999</v>
      </c>
      <c r="AD1010" s="9">
        <f t="shared" si="100"/>
        <v>10519479.285</v>
      </c>
      <c r="AE1010" s="1" t="s">
        <v>48</v>
      </c>
      <c r="AF1010" s="1" t="s">
        <v>45</v>
      </c>
      <c r="AG1010" s="4">
        <f t="shared" si="101"/>
        <v>175341.6</v>
      </c>
      <c r="AH1010" s="10">
        <v>175341.6</v>
      </c>
      <c r="AI1010" s="10">
        <v>2846.98</v>
      </c>
      <c r="AJ1010" s="10">
        <v>25.07</v>
      </c>
      <c r="AK1010" s="10">
        <v>0</v>
      </c>
      <c r="AL1010" s="9">
        <f t="shared" si="102"/>
        <v>172469.55000000002</v>
      </c>
      <c r="AM1010" s="1"/>
      <c r="AN1010" s="1"/>
      <c r="AO1010" s="12" t="e">
        <f>AB1010/#REF!</f>
        <v>#REF!</v>
      </c>
      <c r="AP1010" s="1" t="s">
        <v>3224</v>
      </c>
      <c r="AQ1010" s="11">
        <v>41990</v>
      </c>
      <c r="AR1010" s="1" t="s">
        <v>3225</v>
      </c>
      <c r="AS1010" s="11">
        <v>41992</v>
      </c>
      <c r="AT1010" s="1" t="s">
        <v>49</v>
      </c>
      <c r="AU1010" s="1" t="s">
        <v>4171</v>
      </c>
    </row>
    <row r="1011" spans="1:47" ht="15" customHeight="1" x14ac:dyDescent="0.25">
      <c r="A1011" s="1">
        <v>1007</v>
      </c>
      <c r="B1011" s="1" t="s">
        <v>1258</v>
      </c>
      <c r="C1011" s="1" t="s">
        <v>38</v>
      </c>
      <c r="D1011" s="1">
        <v>9103550815</v>
      </c>
      <c r="E1011" s="5">
        <v>41955</v>
      </c>
      <c r="F1011" s="1" t="s">
        <v>895</v>
      </c>
      <c r="G1011" s="1" t="s">
        <v>40</v>
      </c>
      <c r="H1011" s="1" t="s">
        <v>41</v>
      </c>
      <c r="I1011" s="1" t="s">
        <v>2809</v>
      </c>
      <c r="J1011" s="1" t="s">
        <v>187</v>
      </c>
      <c r="K1011" s="1">
        <v>38237090</v>
      </c>
      <c r="L1011" s="6">
        <v>54</v>
      </c>
      <c r="M1011" s="1" t="s">
        <v>70</v>
      </c>
      <c r="N1011" s="7" t="s">
        <v>44</v>
      </c>
      <c r="O1011" s="1" t="s">
        <v>53</v>
      </c>
      <c r="P1011" s="8">
        <v>1704</v>
      </c>
      <c r="Q1011" s="17">
        <f t="shared" si="97"/>
        <v>92016</v>
      </c>
      <c r="R1011" s="9">
        <v>12900</v>
      </c>
      <c r="S1011" s="9">
        <v>13.16</v>
      </c>
      <c r="T1011" s="9">
        <v>0</v>
      </c>
      <c r="U1011" s="10">
        <v>0</v>
      </c>
      <c r="V1011" s="1" t="s">
        <v>46</v>
      </c>
      <c r="W1011" s="1" t="s">
        <v>56</v>
      </c>
      <c r="X1011" s="1">
        <v>5912504</v>
      </c>
      <c r="Y1011" s="24">
        <v>41949</v>
      </c>
      <c r="Z1011" s="11"/>
      <c r="AA1011" s="9">
        <f t="shared" si="98"/>
        <v>79102.84</v>
      </c>
      <c r="AB1011" s="12">
        <v>60.9</v>
      </c>
      <c r="AC1011" s="9">
        <f t="shared" si="99"/>
        <v>5603774.3999999994</v>
      </c>
      <c r="AD1011" s="9">
        <f t="shared" si="100"/>
        <v>4817362.9559999993</v>
      </c>
      <c r="AE1011" s="1" t="s">
        <v>48</v>
      </c>
      <c r="AF1011" s="1" t="s">
        <v>53</v>
      </c>
      <c r="AG1011" s="4">
        <f t="shared" si="101"/>
        <v>92016</v>
      </c>
      <c r="AH1011" s="10">
        <v>92016</v>
      </c>
      <c r="AI1011" s="10">
        <v>12309</v>
      </c>
      <c r="AJ1011" s="10">
        <v>13.16</v>
      </c>
      <c r="AK1011" s="10">
        <v>0</v>
      </c>
      <c r="AL1011" s="9">
        <f t="shared" si="102"/>
        <v>79693.84</v>
      </c>
      <c r="AM1011" s="1"/>
      <c r="AN1011" s="1"/>
      <c r="AO1011" s="12" t="e">
        <f>AB1011/#REF!</f>
        <v>#REF!</v>
      </c>
      <c r="AP1011" s="1" t="s">
        <v>3226</v>
      </c>
      <c r="AQ1011" s="11">
        <v>41991</v>
      </c>
      <c r="AR1011" s="1" t="s">
        <v>3227</v>
      </c>
      <c r="AS1011" s="11">
        <v>41992</v>
      </c>
      <c r="AT1011" s="1" t="s">
        <v>49</v>
      </c>
      <c r="AU1011" s="1" t="s">
        <v>4171</v>
      </c>
    </row>
    <row r="1012" spans="1:47" ht="15" customHeight="1" x14ac:dyDescent="0.25">
      <c r="A1012" s="1">
        <v>1008</v>
      </c>
      <c r="B1012" s="1" t="s">
        <v>1258</v>
      </c>
      <c r="C1012" s="1" t="s">
        <v>38</v>
      </c>
      <c r="D1012" s="1">
        <v>9103550816</v>
      </c>
      <c r="E1012" s="5">
        <v>41955</v>
      </c>
      <c r="F1012" s="1" t="s">
        <v>890</v>
      </c>
      <c r="G1012" s="1" t="s">
        <v>40</v>
      </c>
      <c r="H1012" s="1" t="s">
        <v>41</v>
      </c>
      <c r="I1012" s="1" t="s">
        <v>2809</v>
      </c>
      <c r="J1012" s="1" t="s">
        <v>76</v>
      </c>
      <c r="K1012" s="1">
        <v>38237090</v>
      </c>
      <c r="L1012" s="6">
        <v>15</v>
      </c>
      <c r="M1012" s="1" t="s">
        <v>70</v>
      </c>
      <c r="N1012" s="7" t="s">
        <v>44</v>
      </c>
      <c r="O1012" s="1" t="s">
        <v>53</v>
      </c>
      <c r="P1012" s="8">
        <v>1490</v>
      </c>
      <c r="Q1012" s="17">
        <f t="shared" si="97"/>
        <v>22350</v>
      </c>
      <c r="R1012" s="9">
        <v>875</v>
      </c>
      <c r="S1012" s="9">
        <v>3.2</v>
      </c>
      <c r="T1012" s="9">
        <v>0</v>
      </c>
      <c r="U1012" s="10">
        <v>0</v>
      </c>
      <c r="V1012" s="1" t="s">
        <v>46</v>
      </c>
      <c r="W1012" s="1" t="s">
        <v>77</v>
      </c>
      <c r="X1012" s="1">
        <v>5923290</v>
      </c>
      <c r="Y1012" s="24">
        <v>41950</v>
      </c>
      <c r="Z1012" s="11"/>
      <c r="AA1012" s="9">
        <f t="shared" si="98"/>
        <v>21471.8</v>
      </c>
      <c r="AB1012" s="12">
        <v>60.9</v>
      </c>
      <c r="AC1012" s="9">
        <f t="shared" si="99"/>
        <v>1361115</v>
      </c>
      <c r="AD1012" s="9">
        <f t="shared" si="100"/>
        <v>1307632.6199999999</v>
      </c>
      <c r="AE1012" s="1" t="s">
        <v>48</v>
      </c>
      <c r="AF1012" s="1" t="s">
        <v>53</v>
      </c>
      <c r="AG1012" s="4">
        <f t="shared" si="101"/>
        <v>22350</v>
      </c>
      <c r="AH1012" s="10">
        <v>22350</v>
      </c>
      <c r="AI1012" s="10"/>
      <c r="AJ1012" s="10"/>
      <c r="AK1012" s="10"/>
      <c r="AL1012" s="9">
        <f t="shared" si="102"/>
        <v>22350</v>
      </c>
      <c r="AM1012" s="1"/>
      <c r="AN1012" s="1"/>
      <c r="AO1012" s="12" t="e">
        <f>AB1012/#REF!</f>
        <v>#REF!</v>
      </c>
      <c r="AP1012" s="1" t="s">
        <v>4219</v>
      </c>
      <c r="AQ1012" s="11">
        <v>42131</v>
      </c>
      <c r="AR1012" s="1" t="s">
        <v>4220</v>
      </c>
      <c r="AS1012" s="11">
        <v>42132</v>
      </c>
      <c r="AT1012" s="1" t="s">
        <v>49</v>
      </c>
      <c r="AU1012" s="1" t="s">
        <v>4171</v>
      </c>
    </row>
    <row r="1013" spans="1:47" ht="15" customHeight="1" x14ac:dyDescent="0.25">
      <c r="A1013" s="1">
        <v>1009</v>
      </c>
      <c r="B1013" s="1" t="s">
        <v>1258</v>
      </c>
      <c r="C1013" s="1" t="s">
        <v>38</v>
      </c>
      <c r="D1013" s="1">
        <v>9103550817</v>
      </c>
      <c r="E1013" s="5">
        <v>41950</v>
      </c>
      <c r="F1013" s="1" t="s">
        <v>891</v>
      </c>
      <c r="G1013" s="1" t="s">
        <v>40</v>
      </c>
      <c r="H1013" s="1" t="s">
        <v>41</v>
      </c>
      <c r="I1013" s="1" t="s">
        <v>2809</v>
      </c>
      <c r="J1013" s="1" t="s">
        <v>2660</v>
      </c>
      <c r="K1013" s="1">
        <v>29051700</v>
      </c>
      <c r="L1013" s="6">
        <v>11</v>
      </c>
      <c r="M1013" s="1" t="s">
        <v>70</v>
      </c>
      <c r="N1013" s="7" t="s">
        <v>52</v>
      </c>
      <c r="O1013" s="1" t="s">
        <v>53</v>
      </c>
      <c r="P1013" s="8">
        <v>1745</v>
      </c>
      <c r="Q1013" s="17">
        <f t="shared" si="97"/>
        <v>19195</v>
      </c>
      <c r="R1013" s="9">
        <v>150</v>
      </c>
      <c r="S1013" s="9">
        <v>0</v>
      </c>
      <c r="T1013" s="9">
        <v>0</v>
      </c>
      <c r="U1013" s="10">
        <v>0</v>
      </c>
      <c r="V1013" s="1" t="s">
        <v>46</v>
      </c>
      <c r="W1013" s="1" t="s">
        <v>2682</v>
      </c>
      <c r="X1013" s="1">
        <v>5928815</v>
      </c>
      <c r="Y1013" s="24">
        <v>41950</v>
      </c>
      <c r="Z1013" s="11"/>
      <c r="AA1013" s="9">
        <f t="shared" si="98"/>
        <v>19045</v>
      </c>
      <c r="AB1013" s="12">
        <v>60.9</v>
      </c>
      <c r="AC1013" s="9">
        <f t="shared" si="99"/>
        <v>1168975.5</v>
      </c>
      <c r="AD1013" s="9">
        <f t="shared" si="100"/>
        <v>1159840.5</v>
      </c>
      <c r="AE1013" s="1" t="s">
        <v>48</v>
      </c>
      <c r="AF1013" s="1" t="s">
        <v>53</v>
      </c>
      <c r="AG1013" s="4">
        <f t="shared" si="101"/>
        <v>19195</v>
      </c>
      <c r="AH1013" s="10">
        <v>19195</v>
      </c>
      <c r="AI1013" s="10">
        <v>36.92</v>
      </c>
      <c r="AJ1013" s="10">
        <v>0</v>
      </c>
      <c r="AK1013" s="10">
        <v>0</v>
      </c>
      <c r="AL1013" s="9">
        <f t="shared" si="102"/>
        <v>19158.080000000002</v>
      </c>
      <c r="AM1013" s="1"/>
      <c r="AN1013" s="1"/>
      <c r="AO1013" s="12" t="e">
        <f>AB1013/#REF!</f>
        <v>#REF!</v>
      </c>
      <c r="AP1013" s="1" t="s">
        <v>3228</v>
      </c>
      <c r="AQ1013" s="11">
        <v>41984</v>
      </c>
      <c r="AR1013" s="1" t="s">
        <v>3229</v>
      </c>
      <c r="AS1013" s="11">
        <v>41985</v>
      </c>
      <c r="AT1013" s="1" t="s">
        <v>49</v>
      </c>
      <c r="AU1013" s="1" t="s">
        <v>4171</v>
      </c>
    </row>
    <row r="1014" spans="1:47" ht="15" customHeight="1" x14ac:dyDescent="0.25">
      <c r="A1014" s="1">
        <v>1010</v>
      </c>
      <c r="B1014" s="1" t="s">
        <v>1258</v>
      </c>
      <c r="C1014" s="1" t="s">
        <v>38</v>
      </c>
      <c r="D1014" s="1">
        <v>9103550817</v>
      </c>
      <c r="E1014" s="5">
        <v>41950</v>
      </c>
      <c r="F1014" s="1" t="s">
        <v>891</v>
      </c>
      <c r="G1014" s="1" t="s">
        <v>40</v>
      </c>
      <c r="H1014" s="1" t="s">
        <v>41</v>
      </c>
      <c r="I1014" s="1" t="s">
        <v>2809</v>
      </c>
      <c r="J1014" s="1" t="s">
        <v>2660</v>
      </c>
      <c r="K1014" s="1">
        <v>29051700</v>
      </c>
      <c r="L1014" s="6">
        <v>11</v>
      </c>
      <c r="M1014" s="1" t="s">
        <v>70</v>
      </c>
      <c r="N1014" s="7" t="s">
        <v>52</v>
      </c>
      <c r="O1014" s="1" t="s">
        <v>53</v>
      </c>
      <c r="P1014" s="8">
        <v>1650</v>
      </c>
      <c r="Q1014" s="17">
        <f t="shared" si="97"/>
        <v>18150</v>
      </c>
      <c r="R1014" s="9">
        <v>150</v>
      </c>
      <c r="S1014" s="9">
        <v>0</v>
      </c>
      <c r="T1014" s="9">
        <v>0</v>
      </c>
      <c r="U1014" s="10">
        <v>0</v>
      </c>
      <c r="V1014" s="1" t="s">
        <v>46</v>
      </c>
      <c r="W1014" s="1" t="s">
        <v>75</v>
      </c>
      <c r="X1014" s="1">
        <v>5928815</v>
      </c>
      <c r="Y1014" s="24">
        <v>41950</v>
      </c>
      <c r="Z1014" s="11"/>
      <c r="AA1014" s="9">
        <f t="shared" si="98"/>
        <v>18000</v>
      </c>
      <c r="AB1014" s="12">
        <v>60.9</v>
      </c>
      <c r="AC1014" s="9">
        <f t="shared" si="99"/>
        <v>1105335</v>
      </c>
      <c r="AD1014" s="9">
        <f t="shared" si="100"/>
        <v>1096200</v>
      </c>
      <c r="AE1014" s="1" t="s">
        <v>48</v>
      </c>
      <c r="AF1014" s="1" t="s">
        <v>53</v>
      </c>
      <c r="AG1014" s="4">
        <f t="shared" si="101"/>
        <v>18150</v>
      </c>
      <c r="AH1014" s="10">
        <v>18150</v>
      </c>
      <c r="AI1014" s="10">
        <v>34.92</v>
      </c>
      <c r="AJ1014" s="10">
        <v>0</v>
      </c>
      <c r="AK1014" s="10">
        <v>0</v>
      </c>
      <c r="AL1014" s="9">
        <f t="shared" si="102"/>
        <v>18115.080000000002</v>
      </c>
      <c r="AM1014" s="1"/>
      <c r="AN1014" s="1"/>
      <c r="AO1014" s="12" t="e">
        <f>AB1014/#REF!</f>
        <v>#REF!</v>
      </c>
      <c r="AP1014" s="1" t="s">
        <v>3228</v>
      </c>
      <c r="AQ1014" s="11">
        <v>41984</v>
      </c>
      <c r="AR1014" s="1" t="s">
        <v>3229</v>
      </c>
      <c r="AS1014" s="11">
        <v>41985</v>
      </c>
      <c r="AT1014" s="1" t="s">
        <v>49</v>
      </c>
      <c r="AU1014" s="1" t="s">
        <v>4171</v>
      </c>
    </row>
    <row r="1015" spans="1:47" ht="15" customHeight="1" x14ac:dyDescent="0.25">
      <c r="A1015" s="1">
        <v>1011</v>
      </c>
      <c r="B1015" s="1" t="s">
        <v>1258</v>
      </c>
      <c r="C1015" s="1" t="s">
        <v>38</v>
      </c>
      <c r="D1015" s="1">
        <v>9103550817</v>
      </c>
      <c r="E1015" s="5">
        <v>41950</v>
      </c>
      <c r="F1015" s="1" t="s">
        <v>891</v>
      </c>
      <c r="G1015" s="1" t="s">
        <v>40</v>
      </c>
      <c r="H1015" s="1" t="s">
        <v>41</v>
      </c>
      <c r="I1015" s="1" t="s">
        <v>2809</v>
      </c>
      <c r="J1015" s="1" t="s">
        <v>2660</v>
      </c>
      <c r="K1015" s="1">
        <v>38237090</v>
      </c>
      <c r="L1015" s="6">
        <v>11</v>
      </c>
      <c r="M1015" s="1" t="s">
        <v>70</v>
      </c>
      <c r="N1015" s="7" t="s">
        <v>52</v>
      </c>
      <c r="O1015" s="1" t="s">
        <v>53</v>
      </c>
      <c r="P1015" s="8">
        <v>3930</v>
      </c>
      <c r="Q1015" s="17">
        <f t="shared" si="97"/>
        <v>43230</v>
      </c>
      <c r="R1015" s="9">
        <v>150</v>
      </c>
      <c r="S1015" s="9">
        <v>0</v>
      </c>
      <c r="T1015" s="9">
        <v>0</v>
      </c>
      <c r="U1015" s="10">
        <v>0</v>
      </c>
      <c r="V1015" s="1" t="s">
        <v>46</v>
      </c>
      <c r="W1015" s="1" t="s">
        <v>75</v>
      </c>
      <c r="X1015" s="1">
        <v>5928815</v>
      </c>
      <c r="Y1015" s="24">
        <v>41950</v>
      </c>
      <c r="Z1015" s="11"/>
      <c r="AA1015" s="9">
        <f t="shared" si="98"/>
        <v>43080</v>
      </c>
      <c r="AB1015" s="12">
        <v>60.9</v>
      </c>
      <c r="AC1015" s="9">
        <f t="shared" si="99"/>
        <v>2632707</v>
      </c>
      <c r="AD1015" s="9">
        <f t="shared" si="100"/>
        <v>2623572</v>
      </c>
      <c r="AE1015" s="1" t="s">
        <v>48</v>
      </c>
      <c r="AF1015" s="1" t="s">
        <v>53</v>
      </c>
      <c r="AG1015" s="4">
        <f t="shared" si="101"/>
        <v>43230</v>
      </c>
      <c r="AH1015" s="10">
        <v>43230</v>
      </c>
      <c r="AI1015" s="10">
        <v>83.16</v>
      </c>
      <c r="AJ1015" s="10">
        <v>0</v>
      </c>
      <c r="AK1015" s="10">
        <v>0</v>
      </c>
      <c r="AL1015" s="9">
        <f t="shared" si="102"/>
        <v>43146.84</v>
      </c>
      <c r="AM1015" s="1"/>
      <c r="AN1015" s="1"/>
      <c r="AO1015" s="12" t="e">
        <f>AB1015/#REF!</f>
        <v>#REF!</v>
      </c>
      <c r="AP1015" s="1" t="s">
        <v>3228</v>
      </c>
      <c r="AQ1015" s="11">
        <v>41984</v>
      </c>
      <c r="AR1015" s="1" t="s">
        <v>3229</v>
      </c>
      <c r="AS1015" s="11">
        <v>41985</v>
      </c>
      <c r="AT1015" s="1" t="s">
        <v>49</v>
      </c>
      <c r="AU1015" s="1" t="s">
        <v>4171</v>
      </c>
    </row>
    <row r="1016" spans="1:47" ht="15" customHeight="1" x14ac:dyDescent="0.25">
      <c r="A1016" s="1">
        <v>1012</v>
      </c>
      <c r="B1016" s="1" t="s">
        <v>1258</v>
      </c>
      <c r="C1016" s="1" t="s">
        <v>38</v>
      </c>
      <c r="D1016" s="1">
        <v>9103550818</v>
      </c>
      <c r="E1016" s="5">
        <v>41956</v>
      </c>
      <c r="F1016" s="1" t="s">
        <v>897</v>
      </c>
      <c r="G1016" s="1" t="s">
        <v>40</v>
      </c>
      <c r="H1016" s="1" t="s">
        <v>41</v>
      </c>
      <c r="I1016" s="1" t="s">
        <v>2809</v>
      </c>
      <c r="J1016" s="1" t="s">
        <v>63</v>
      </c>
      <c r="K1016" s="1">
        <v>29159090</v>
      </c>
      <c r="L1016" s="6">
        <v>20</v>
      </c>
      <c r="M1016" s="1" t="s">
        <v>70</v>
      </c>
      <c r="N1016" s="7" t="s">
        <v>52</v>
      </c>
      <c r="O1016" s="1" t="s">
        <v>53</v>
      </c>
      <c r="P1016" s="8">
        <v>3600</v>
      </c>
      <c r="Q1016" s="17">
        <f t="shared" si="97"/>
        <v>72000</v>
      </c>
      <c r="R1016" s="9">
        <v>200</v>
      </c>
      <c r="S1016" s="9">
        <v>0</v>
      </c>
      <c r="T1016" s="9">
        <v>0</v>
      </c>
      <c r="U1016" s="10">
        <v>0</v>
      </c>
      <c r="V1016" s="1" t="s">
        <v>46</v>
      </c>
      <c r="W1016" s="1" t="s">
        <v>75</v>
      </c>
      <c r="X1016" s="1">
        <v>5928785</v>
      </c>
      <c r="Y1016" s="24">
        <v>41950</v>
      </c>
      <c r="Z1016" s="11"/>
      <c r="AA1016" s="9">
        <f t="shared" si="98"/>
        <v>71800</v>
      </c>
      <c r="AB1016" s="12">
        <v>60.9</v>
      </c>
      <c r="AC1016" s="9">
        <f t="shared" si="99"/>
        <v>4384800</v>
      </c>
      <c r="AD1016" s="9">
        <f t="shared" si="100"/>
        <v>4372620</v>
      </c>
      <c r="AE1016" s="1" t="s">
        <v>51</v>
      </c>
      <c r="AF1016" s="1" t="s">
        <v>53</v>
      </c>
      <c r="AG1016" s="4">
        <f t="shared" si="101"/>
        <v>72000</v>
      </c>
      <c r="AH1016" s="10">
        <v>71959</v>
      </c>
      <c r="AI1016" s="10">
        <v>230</v>
      </c>
      <c r="AJ1016" s="10">
        <v>0</v>
      </c>
      <c r="AK1016" s="10">
        <v>0</v>
      </c>
      <c r="AL1016" s="9">
        <f t="shared" si="102"/>
        <v>71729</v>
      </c>
      <c r="AM1016" s="1"/>
      <c r="AN1016" s="1"/>
      <c r="AO1016" s="12" t="e">
        <f>AB1016/#REF!</f>
        <v>#REF!</v>
      </c>
      <c r="AP1016" s="1"/>
      <c r="AQ1016" s="11">
        <v>41989</v>
      </c>
      <c r="AR1016" s="3" t="s">
        <v>4382</v>
      </c>
      <c r="AS1016" s="1"/>
      <c r="AT1016" s="1" t="s">
        <v>49</v>
      </c>
      <c r="AU1016" s="94" t="s">
        <v>4321</v>
      </c>
    </row>
    <row r="1017" spans="1:47" ht="15" customHeight="1" x14ac:dyDescent="0.25">
      <c r="A1017" s="1">
        <v>1013</v>
      </c>
      <c r="B1017" s="1" t="s">
        <v>1258</v>
      </c>
      <c r="C1017" s="1" t="s">
        <v>38</v>
      </c>
      <c r="D1017" s="1">
        <v>9103550819</v>
      </c>
      <c r="E1017" s="5">
        <v>41957</v>
      </c>
      <c r="F1017" s="1" t="s">
        <v>894</v>
      </c>
      <c r="G1017" s="1" t="s">
        <v>40</v>
      </c>
      <c r="H1017" s="1" t="s">
        <v>41</v>
      </c>
      <c r="I1017" s="1" t="s">
        <v>2809</v>
      </c>
      <c r="J1017" s="1" t="s">
        <v>924</v>
      </c>
      <c r="K1017" s="1">
        <v>38237090</v>
      </c>
      <c r="L1017" s="6">
        <v>24</v>
      </c>
      <c r="M1017" s="1" t="s">
        <v>70</v>
      </c>
      <c r="N1017" s="7" t="s">
        <v>67</v>
      </c>
      <c r="O1017" s="1" t="s">
        <v>53</v>
      </c>
      <c r="P1017" s="8">
        <v>1520</v>
      </c>
      <c r="Q1017" s="17">
        <f t="shared" si="97"/>
        <v>36480</v>
      </c>
      <c r="R1017" s="9">
        <v>0</v>
      </c>
      <c r="S1017" s="9">
        <v>0</v>
      </c>
      <c r="T1017" s="9">
        <v>0</v>
      </c>
      <c r="U1017" s="10">
        <v>0</v>
      </c>
      <c r="V1017" s="1" t="s">
        <v>46</v>
      </c>
      <c r="W1017" s="1" t="s">
        <v>123</v>
      </c>
      <c r="X1017" s="1">
        <v>5929945</v>
      </c>
      <c r="Y1017" s="24">
        <v>41950</v>
      </c>
      <c r="Z1017" s="11"/>
      <c r="AA1017" s="9">
        <f t="shared" si="98"/>
        <v>36480</v>
      </c>
      <c r="AB1017" s="12">
        <v>60.9</v>
      </c>
      <c r="AC1017" s="9">
        <f t="shared" si="99"/>
        <v>2221632</v>
      </c>
      <c r="AD1017" s="9">
        <f t="shared" si="100"/>
        <v>2221632</v>
      </c>
      <c r="AE1017" s="1" t="s">
        <v>48</v>
      </c>
      <c r="AF1017" s="1" t="s">
        <v>53</v>
      </c>
      <c r="AG1017" s="4">
        <f t="shared" si="101"/>
        <v>36480</v>
      </c>
      <c r="AH1017" s="10">
        <v>36480</v>
      </c>
      <c r="AI1017" s="10">
        <v>0</v>
      </c>
      <c r="AJ1017" s="10">
        <v>0</v>
      </c>
      <c r="AK1017" s="10">
        <v>0</v>
      </c>
      <c r="AL1017" s="9">
        <f t="shared" si="102"/>
        <v>36480</v>
      </c>
      <c r="AM1017" s="1"/>
      <c r="AN1017" s="1"/>
      <c r="AO1017" s="12" t="e">
        <f>AB1017/#REF!</f>
        <v>#REF!</v>
      </c>
      <c r="AP1017" s="1" t="s">
        <v>2683</v>
      </c>
      <c r="AQ1017" s="11">
        <v>42000</v>
      </c>
      <c r="AR1017" s="1" t="s">
        <v>2684</v>
      </c>
      <c r="AS1017" s="11">
        <v>42003</v>
      </c>
      <c r="AT1017" s="1" t="s">
        <v>49</v>
      </c>
      <c r="AU1017" s="1" t="s">
        <v>4171</v>
      </c>
    </row>
    <row r="1018" spans="1:47" ht="15" customHeight="1" x14ac:dyDescent="0.25">
      <c r="A1018" s="1">
        <v>1014</v>
      </c>
      <c r="B1018" s="1" t="s">
        <v>1258</v>
      </c>
      <c r="C1018" s="1" t="s">
        <v>38</v>
      </c>
      <c r="D1018" s="1">
        <v>9103550820</v>
      </c>
      <c r="E1018" s="5">
        <v>41956</v>
      </c>
      <c r="F1018" s="1" t="s">
        <v>893</v>
      </c>
      <c r="G1018" s="1" t="s">
        <v>40</v>
      </c>
      <c r="H1018" s="1" t="s">
        <v>41</v>
      </c>
      <c r="I1018" s="1" t="s">
        <v>2809</v>
      </c>
      <c r="J1018" s="1" t="s">
        <v>1115</v>
      </c>
      <c r="K1018" s="1">
        <v>38237090</v>
      </c>
      <c r="L1018" s="6">
        <v>15</v>
      </c>
      <c r="M1018" s="1" t="s">
        <v>70</v>
      </c>
      <c r="N1018" s="7" t="s">
        <v>67</v>
      </c>
      <c r="O1018" s="1" t="s">
        <v>53</v>
      </c>
      <c r="P1018" s="8">
        <v>1530</v>
      </c>
      <c r="Q1018" s="17">
        <f t="shared" si="97"/>
        <v>22950</v>
      </c>
      <c r="R1018" s="9">
        <v>0</v>
      </c>
      <c r="S1018" s="9">
        <v>0</v>
      </c>
      <c r="T1018" s="9">
        <v>0</v>
      </c>
      <c r="U1018" s="10">
        <v>0</v>
      </c>
      <c r="V1018" s="1" t="s">
        <v>46</v>
      </c>
      <c r="W1018" s="1" t="s">
        <v>59</v>
      </c>
      <c r="X1018" s="1">
        <v>5944231</v>
      </c>
      <c r="Y1018" s="24">
        <v>41951</v>
      </c>
      <c r="Z1018" s="11"/>
      <c r="AA1018" s="9">
        <f t="shared" si="98"/>
        <v>22950</v>
      </c>
      <c r="AB1018" s="12">
        <v>60.9</v>
      </c>
      <c r="AC1018" s="9">
        <f t="shared" si="99"/>
        <v>1397655</v>
      </c>
      <c r="AD1018" s="9">
        <f t="shared" si="100"/>
        <v>1397655</v>
      </c>
      <c r="AE1018" s="1" t="s">
        <v>48</v>
      </c>
      <c r="AF1018" s="1" t="s">
        <v>53</v>
      </c>
      <c r="AG1018" s="4">
        <f t="shared" si="101"/>
        <v>22950</v>
      </c>
      <c r="AH1018" s="10">
        <v>22950</v>
      </c>
      <c r="AI1018" s="10">
        <v>0</v>
      </c>
      <c r="AJ1018" s="10">
        <v>0</v>
      </c>
      <c r="AK1018" s="10">
        <v>0</v>
      </c>
      <c r="AL1018" s="9">
        <f t="shared" si="102"/>
        <v>22950</v>
      </c>
      <c r="AM1018" s="1"/>
      <c r="AN1018" s="1"/>
      <c r="AO1018" s="12" t="e">
        <f>AB1018/#REF!</f>
        <v>#REF!</v>
      </c>
      <c r="AP1018" s="1" t="s">
        <v>2685</v>
      </c>
      <c r="AQ1018" s="11" t="s">
        <v>2686</v>
      </c>
      <c r="AR1018" s="1" t="s">
        <v>2687</v>
      </c>
      <c r="AS1018" s="11" t="s">
        <v>2688</v>
      </c>
      <c r="AT1018" s="1" t="s">
        <v>49</v>
      </c>
      <c r="AU1018" s="1" t="s">
        <v>4171</v>
      </c>
    </row>
    <row r="1019" spans="1:47" ht="15" customHeight="1" x14ac:dyDescent="0.25">
      <c r="A1019" s="1">
        <v>1015</v>
      </c>
      <c r="B1019" s="1" t="s">
        <v>1258</v>
      </c>
      <c r="C1019" s="1" t="s">
        <v>38</v>
      </c>
      <c r="D1019" s="1">
        <v>9103550821</v>
      </c>
      <c r="E1019" s="5">
        <v>41958</v>
      </c>
      <c r="F1019" s="1" t="s">
        <v>896</v>
      </c>
      <c r="G1019" s="1" t="s">
        <v>40</v>
      </c>
      <c r="H1019" s="1" t="s">
        <v>41</v>
      </c>
      <c r="I1019" s="1" t="s">
        <v>2809</v>
      </c>
      <c r="J1019" s="1" t="s">
        <v>2689</v>
      </c>
      <c r="K1019" s="1">
        <v>38237090</v>
      </c>
      <c r="L1019" s="6">
        <v>30</v>
      </c>
      <c r="M1019" s="1" t="s">
        <v>70</v>
      </c>
      <c r="N1019" s="7" t="s">
        <v>52</v>
      </c>
      <c r="O1019" s="1" t="s">
        <v>53</v>
      </c>
      <c r="P1019" s="8">
        <v>1560</v>
      </c>
      <c r="Q1019" s="17">
        <f t="shared" si="97"/>
        <v>46800</v>
      </c>
      <c r="R1019" s="9">
        <v>3300</v>
      </c>
      <c r="S1019" s="9">
        <v>0</v>
      </c>
      <c r="T1019" s="9">
        <v>0</v>
      </c>
      <c r="U1019" s="10">
        <v>0</v>
      </c>
      <c r="V1019" s="1" t="s">
        <v>46</v>
      </c>
      <c r="W1019" s="1" t="s">
        <v>178</v>
      </c>
      <c r="X1019" s="1">
        <v>5945978</v>
      </c>
      <c r="Y1019" s="24">
        <v>41951</v>
      </c>
      <c r="Z1019" s="11"/>
      <c r="AA1019" s="9">
        <f t="shared" si="98"/>
        <v>43500</v>
      </c>
      <c r="AB1019" s="12">
        <v>60.9</v>
      </c>
      <c r="AC1019" s="9">
        <f t="shared" si="99"/>
        <v>2850120</v>
      </c>
      <c r="AD1019" s="9">
        <f t="shared" si="100"/>
        <v>2649150</v>
      </c>
      <c r="AE1019" s="1" t="s">
        <v>48</v>
      </c>
      <c r="AF1019" s="1" t="s">
        <v>53</v>
      </c>
      <c r="AG1019" s="4">
        <f t="shared" si="101"/>
        <v>46800</v>
      </c>
      <c r="AH1019" s="10">
        <v>46800</v>
      </c>
      <c r="AI1019" s="10"/>
      <c r="AJ1019" s="10"/>
      <c r="AK1019" s="10"/>
      <c r="AL1019" s="9">
        <f t="shared" si="102"/>
        <v>46800</v>
      </c>
      <c r="AM1019" s="1"/>
      <c r="AN1019" s="1"/>
      <c r="AO1019" s="12" t="e">
        <f>AB1019/#REF!</f>
        <v>#REF!</v>
      </c>
      <c r="AP1019" s="1" t="s">
        <v>4229</v>
      </c>
      <c r="AQ1019" s="11">
        <v>42401</v>
      </c>
      <c r="AR1019" s="1" t="s">
        <v>4228</v>
      </c>
      <c r="AS1019" s="11">
        <v>42402</v>
      </c>
      <c r="AT1019" s="1" t="s">
        <v>49</v>
      </c>
      <c r="AU1019" s="1" t="s">
        <v>4171</v>
      </c>
    </row>
    <row r="1020" spans="1:47" ht="15" customHeight="1" x14ac:dyDescent="0.25">
      <c r="A1020" s="1">
        <v>1016</v>
      </c>
      <c r="B1020" s="1" t="s">
        <v>1258</v>
      </c>
      <c r="C1020" s="1" t="s">
        <v>38</v>
      </c>
      <c r="D1020" s="1">
        <v>9103550822</v>
      </c>
      <c r="E1020" s="5">
        <v>41956</v>
      </c>
      <c r="F1020" s="1" t="s">
        <v>900</v>
      </c>
      <c r="G1020" s="1" t="s">
        <v>40</v>
      </c>
      <c r="H1020" s="1" t="s">
        <v>41</v>
      </c>
      <c r="I1020" s="1" t="s">
        <v>2809</v>
      </c>
      <c r="J1020" s="1" t="s">
        <v>2654</v>
      </c>
      <c r="K1020" s="1">
        <v>38237090</v>
      </c>
      <c r="L1020" s="6">
        <v>19.63</v>
      </c>
      <c r="M1020" s="1" t="s">
        <v>70</v>
      </c>
      <c r="N1020" s="7" t="s">
        <v>44</v>
      </c>
      <c r="O1020" s="1" t="s">
        <v>53</v>
      </c>
      <c r="P1020" s="8">
        <v>1265</v>
      </c>
      <c r="Q1020" s="17">
        <f t="shared" si="97"/>
        <v>24831.949999999997</v>
      </c>
      <c r="R1020" s="9">
        <v>400</v>
      </c>
      <c r="S1020" s="9">
        <v>3.55</v>
      </c>
      <c r="T1020" s="9">
        <v>0</v>
      </c>
      <c r="U1020" s="10">
        <v>0</v>
      </c>
      <c r="V1020" s="1" t="s">
        <v>46</v>
      </c>
      <c r="W1020" s="1" t="s">
        <v>2632</v>
      </c>
      <c r="X1020" s="1">
        <v>5946358</v>
      </c>
      <c r="Y1020" s="24">
        <v>41951</v>
      </c>
      <c r="Z1020" s="11"/>
      <c r="AA1020" s="9">
        <f t="shared" si="98"/>
        <v>24428.399999999998</v>
      </c>
      <c r="AB1020" s="12">
        <v>60.9</v>
      </c>
      <c r="AC1020" s="9">
        <f t="shared" si="99"/>
        <v>1512265.7549999999</v>
      </c>
      <c r="AD1020" s="9">
        <f t="shared" si="100"/>
        <v>1487689.5599999998</v>
      </c>
      <c r="AE1020" s="1" t="s">
        <v>48</v>
      </c>
      <c r="AF1020" s="1" t="s">
        <v>53</v>
      </c>
      <c r="AG1020" s="4">
        <f t="shared" si="101"/>
        <v>24831.949999999997</v>
      </c>
      <c r="AH1020" s="10">
        <v>24670.95</v>
      </c>
      <c r="AI1020" s="10">
        <v>360</v>
      </c>
      <c r="AJ1020" s="10">
        <v>3.55</v>
      </c>
      <c r="AK1020" s="10">
        <v>0</v>
      </c>
      <c r="AL1020" s="9">
        <f t="shared" si="102"/>
        <v>24307.4</v>
      </c>
      <c r="AM1020" s="1"/>
      <c r="AN1020" s="1"/>
      <c r="AO1020" s="12" t="e">
        <f>AB1020/#REF!</f>
        <v>#REF!</v>
      </c>
      <c r="AP1020" s="1" t="s">
        <v>3230</v>
      </c>
      <c r="AQ1020" s="11">
        <v>41969</v>
      </c>
      <c r="AR1020" s="1" t="s">
        <v>3231</v>
      </c>
      <c r="AS1020" s="11">
        <v>41970</v>
      </c>
      <c r="AT1020" s="1" t="s">
        <v>49</v>
      </c>
      <c r="AU1020" s="1" t="s">
        <v>4171</v>
      </c>
    </row>
    <row r="1021" spans="1:47" ht="15" customHeight="1" x14ac:dyDescent="0.25">
      <c r="A1021" s="1">
        <v>1017</v>
      </c>
      <c r="B1021" s="1" t="s">
        <v>1258</v>
      </c>
      <c r="C1021" s="1" t="s">
        <v>38</v>
      </c>
      <c r="D1021" s="1">
        <v>9103550823</v>
      </c>
      <c r="E1021" s="5">
        <v>41957</v>
      </c>
      <c r="F1021" s="1" t="s">
        <v>903</v>
      </c>
      <c r="G1021" s="1" t="s">
        <v>40</v>
      </c>
      <c r="H1021" s="1" t="s">
        <v>41</v>
      </c>
      <c r="I1021" s="1" t="s">
        <v>2809</v>
      </c>
      <c r="J1021" s="1" t="s">
        <v>187</v>
      </c>
      <c r="K1021" s="1">
        <v>29051700</v>
      </c>
      <c r="L1021" s="6">
        <v>54.42</v>
      </c>
      <c r="M1021" s="1" t="s">
        <v>70</v>
      </c>
      <c r="N1021" s="7" t="s">
        <v>44</v>
      </c>
      <c r="O1021" s="1" t="s">
        <v>53</v>
      </c>
      <c r="P1021" s="8">
        <v>1802</v>
      </c>
      <c r="Q1021" s="17">
        <f t="shared" si="97"/>
        <v>98064.84</v>
      </c>
      <c r="R1021" s="9">
        <v>9909</v>
      </c>
      <c r="S1021" s="9">
        <v>14.02</v>
      </c>
      <c r="T1021" s="9">
        <v>0</v>
      </c>
      <c r="U1021" s="10">
        <v>0</v>
      </c>
      <c r="V1021" s="1" t="s">
        <v>46</v>
      </c>
      <c r="W1021" s="1" t="s">
        <v>56</v>
      </c>
      <c r="X1021" s="1">
        <v>5949244</v>
      </c>
      <c r="Y1021" s="24">
        <v>41951</v>
      </c>
      <c r="Z1021" s="11"/>
      <c r="AA1021" s="9">
        <f t="shared" si="98"/>
        <v>88141.819999999992</v>
      </c>
      <c r="AB1021" s="12">
        <v>60.9</v>
      </c>
      <c r="AC1021" s="9">
        <f t="shared" si="99"/>
        <v>5972148.7560000001</v>
      </c>
      <c r="AD1021" s="9">
        <f t="shared" si="100"/>
        <v>5367836.8379999995</v>
      </c>
      <c r="AE1021" s="1" t="s">
        <v>48</v>
      </c>
      <c r="AF1021" s="1" t="s">
        <v>53</v>
      </c>
      <c r="AG1021" s="4">
        <f t="shared" si="101"/>
        <v>98064.84</v>
      </c>
      <c r="AH1021" s="10">
        <v>98064.84</v>
      </c>
      <c r="AI1021" s="10">
        <v>9912</v>
      </c>
      <c r="AJ1021" s="10">
        <v>14.02</v>
      </c>
      <c r="AK1021" s="10">
        <v>0</v>
      </c>
      <c r="AL1021" s="9">
        <f t="shared" si="102"/>
        <v>88138.819999999992</v>
      </c>
      <c r="AM1021" s="1"/>
      <c r="AN1021" s="1"/>
      <c r="AO1021" s="12" t="e">
        <f>AB1021/#REF!</f>
        <v>#REF!</v>
      </c>
      <c r="AP1021" s="1" t="s">
        <v>3232</v>
      </c>
      <c r="AQ1021" s="11">
        <v>41991</v>
      </c>
      <c r="AR1021" s="1" t="s">
        <v>3233</v>
      </c>
      <c r="AS1021" s="11">
        <v>41992</v>
      </c>
      <c r="AT1021" s="1" t="s">
        <v>49</v>
      </c>
      <c r="AU1021" s="1" t="s">
        <v>4171</v>
      </c>
    </row>
    <row r="1022" spans="1:47" ht="15" customHeight="1" x14ac:dyDescent="0.25">
      <c r="A1022" s="1">
        <v>1018</v>
      </c>
      <c r="B1022" s="1" t="s">
        <v>1258</v>
      </c>
      <c r="C1022" s="1" t="s">
        <v>38</v>
      </c>
      <c r="D1022" s="1">
        <v>9103550824</v>
      </c>
      <c r="E1022" s="5">
        <v>41955</v>
      </c>
      <c r="F1022" s="1" t="s">
        <v>899</v>
      </c>
      <c r="G1022" s="1" t="s">
        <v>40</v>
      </c>
      <c r="H1022" s="1" t="s">
        <v>41</v>
      </c>
      <c r="I1022" s="1" t="s">
        <v>2809</v>
      </c>
      <c r="J1022" s="1" t="s">
        <v>2690</v>
      </c>
      <c r="K1022" s="1">
        <v>38237090</v>
      </c>
      <c r="L1022" s="6">
        <v>17.600000000000001</v>
      </c>
      <c r="M1022" s="1" t="s">
        <v>70</v>
      </c>
      <c r="N1022" s="7" t="s">
        <v>44</v>
      </c>
      <c r="O1022" s="1" t="s">
        <v>53</v>
      </c>
      <c r="P1022" s="8">
        <v>1705</v>
      </c>
      <c r="Q1022" s="17">
        <f t="shared" si="97"/>
        <v>30008.000000000004</v>
      </c>
      <c r="R1022" s="9">
        <v>1250</v>
      </c>
      <c r="S1022" s="9">
        <v>4.29</v>
      </c>
      <c r="T1022" s="9">
        <v>0</v>
      </c>
      <c r="U1022" s="10">
        <v>0</v>
      </c>
      <c r="V1022" s="1" t="s">
        <v>46</v>
      </c>
      <c r="W1022" s="1" t="s">
        <v>205</v>
      </c>
      <c r="X1022" s="1">
        <v>5962056</v>
      </c>
      <c r="Y1022" s="24">
        <v>41953</v>
      </c>
      <c r="Z1022" s="11"/>
      <c r="AA1022" s="9">
        <f t="shared" si="98"/>
        <v>28753.710000000003</v>
      </c>
      <c r="AB1022" s="12">
        <v>60.9</v>
      </c>
      <c r="AC1022" s="9">
        <f t="shared" si="99"/>
        <v>1827487.2000000002</v>
      </c>
      <c r="AD1022" s="9">
        <f t="shared" si="100"/>
        <v>1751100.939</v>
      </c>
      <c r="AE1022" s="1" t="s">
        <v>48</v>
      </c>
      <c r="AF1022" s="1" t="s">
        <v>53</v>
      </c>
      <c r="AG1022" s="4">
        <f t="shared" si="101"/>
        <v>30008.000000000004</v>
      </c>
      <c r="AH1022" s="10">
        <v>29993</v>
      </c>
      <c r="AI1022" s="10">
        <v>1220</v>
      </c>
      <c r="AJ1022" s="10">
        <v>4.29</v>
      </c>
      <c r="AK1022" s="10">
        <v>0</v>
      </c>
      <c r="AL1022" s="9">
        <f t="shared" si="102"/>
        <v>28768.71</v>
      </c>
      <c r="AM1022" s="1"/>
      <c r="AN1022" s="1"/>
      <c r="AO1022" s="12" t="e">
        <f>AB1022/#REF!</f>
        <v>#REF!</v>
      </c>
      <c r="AP1022" s="1" t="s">
        <v>3234</v>
      </c>
      <c r="AQ1022" s="11">
        <v>41982</v>
      </c>
      <c r="AR1022" s="1" t="s">
        <v>3235</v>
      </c>
      <c r="AS1022" s="11">
        <v>41985</v>
      </c>
      <c r="AT1022" s="1" t="s">
        <v>49</v>
      </c>
      <c r="AU1022" s="1" t="s">
        <v>4171</v>
      </c>
    </row>
    <row r="1023" spans="1:47" ht="15" customHeight="1" x14ac:dyDescent="0.25">
      <c r="A1023" s="1">
        <v>1019</v>
      </c>
      <c r="B1023" s="1" t="s">
        <v>1258</v>
      </c>
      <c r="C1023" s="1" t="s">
        <v>38</v>
      </c>
      <c r="D1023" s="1">
        <v>9103550825</v>
      </c>
      <c r="E1023" s="5">
        <v>41956</v>
      </c>
      <c r="F1023" s="1" t="s">
        <v>898</v>
      </c>
      <c r="G1023" s="1" t="s">
        <v>40</v>
      </c>
      <c r="H1023" s="1" t="s">
        <v>41</v>
      </c>
      <c r="I1023" s="1" t="s">
        <v>2809</v>
      </c>
      <c r="J1023" s="1" t="s">
        <v>386</v>
      </c>
      <c r="K1023" s="1">
        <v>38237090</v>
      </c>
      <c r="L1023" s="6">
        <v>129.52000000000001</v>
      </c>
      <c r="M1023" s="1" t="s">
        <v>70</v>
      </c>
      <c r="N1023" s="7" t="s">
        <v>52</v>
      </c>
      <c r="O1023" s="1" t="s">
        <v>53</v>
      </c>
      <c r="P1023" s="8">
        <v>1275</v>
      </c>
      <c r="Q1023" s="17">
        <f t="shared" si="97"/>
        <v>165138</v>
      </c>
      <c r="R1023" s="9">
        <v>5250</v>
      </c>
      <c r="S1023" s="9">
        <v>0</v>
      </c>
      <c r="T1023" s="9">
        <v>0</v>
      </c>
      <c r="U1023" s="10">
        <v>0</v>
      </c>
      <c r="V1023" s="1" t="s">
        <v>46</v>
      </c>
      <c r="W1023" s="1" t="s">
        <v>241</v>
      </c>
      <c r="X1023" s="1">
        <v>5966456</v>
      </c>
      <c r="Y1023" s="24">
        <v>41953</v>
      </c>
      <c r="Z1023" s="11"/>
      <c r="AA1023" s="9">
        <f t="shared" si="98"/>
        <v>159888</v>
      </c>
      <c r="AB1023" s="12">
        <v>60.9</v>
      </c>
      <c r="AC1023" s="9">
        <f t="shared" si="99"/>
        <v>10056904.199999999</v>
      </c>
      <c r="AD1023" s="9">
        <f t="shared" si="100"/>
        <v>9737179.1999999993</v>
      </c>
      <c r="AE1023" s="1" t="s">
        <v>48</v>
      </c>
      <c r="AF1023" s="1" t="s">
        <v>53</v>
      </c>
      <c r="AG1023" s="4">
        <f t="shared" si="101"/>
        <v>165138</v>
      </c>
      <c r="AH1023" s="10">
        <v>165117</v>
      </c>
      <c r="AI1023" s="10">
        <v>5250</v>
      </c>
      <c r="AJ1023" s="10">
        <v>0</v>
      </c>
      <c r="AK1023" s="10">
        <v>0</v>
      </c>
      <c r="AL1023" s="9">
        <f t="shared" si="102"/>
        <v>159867</v>
      </c>
      <c r="AM1023" s="1"/>
      <c r="AN1023" s="1"/>
      <c r="AO1023" s="12" t="e">
        <f>AB1023/#REF!</f>
        <v>#REF!</v>
      </c>
      <c r="AP1023" s="1" t="s">
        <v>3236</v>
      </c>
      <c r="AQ1023" s="11">
        <v>42018</v>
      </c>
      <c r="AR1023" s="1" t="s">
        <v>3237</v>
      </c>
      <c r="AS1023" s="11">
        <v>42019</v>
      </c>
      <c r="AT1023" s="1" t="s">
        <v>49</v>
      </c>
      <c r="AU1023" s="1" t="s">
        <v>4171</v>
      </c>
    </row>
    <row r="1024" spans="1:47" ht="15" customHeight="1" x14ac:dyDescent="0.25">
      <c r="A1024" s="1">
        <v>1020</v>
      </c>
      <c r="B1024" s="1" t="s">
        <v>1258</v>
      </c>
      <c r="C1024" s="1" t="s">
        <v>38</v>
      </c>
      <c r="D1024" s="1">
        <v>9103550826</v>
      </c>
      <c r="E1024" s="5">
        <v>41970</v>
      </c>
      <c r="F1024" s="1" t="s">
        <v>902</v>
      </c>
      <c r="G1024" s="1" t="s">
        <v>40</v>
      </c>
      <c r="H1024" s="1" t="s">
        <v>41</v>
      </c>
      <c r="I1024" s="1" t="s">
        <v>2809</v>
      </c>
      <c r="J1024" s="1" t="s">
        <v>386</v>
      </c>
      <c r="K1024" s="1">
        <v>38237090</v>
      </c>
      <c r="L1024" s="6">
        <v>187.54</v>
      </c>
      <c r="M1024" s="1" t="s">
        <v>70</v>
      </c>
      <c r="N1024" s="7" t="s">
        <v>52</v>
      </c>
      <c r="O1024" s="1" t="s">
        <v>53</v>
      </c>
      <c r="P1024" s="8">
        <v>1275</v>
      </c>
      <c r="Q1024" s="17">
        <f t="shared" si="97"/>
        <v>239113.5</v>
      </c>
      <c r="R1024" s="9">
        <v>7500</v>
      </c>
      <c r="S1024" s="9">
        <v>0</v>
      </c>
      <c r="T1024" s="9">
        <v>0</v>
      </c>
      <c r="U1024" s="10">
        <v>0</v>
      </c>
      <c r="V1024" s="1" t="s">
        <v>46</v>
      </c>
      <c r="W1024" s="1" t="s">
        <v>241</v>
      </c>
      <c r="X1024" s="1">
        <v>5972164</v>
      </c>
      <c r="Y1024" s="24">
        <v>41953</v>
      </c>
      <c r="Z1024" s="11"/>
      <c r="AA1024" s="9">
        <f t="shared" si="98"/>
        <v>231613.5</v>
      </c>
      <c r="AB1024" s="12">
        <v>60.9</v>
      </c>
      <c r="AC1024" s="9">
        <f t="shared" si="99"/>
        <v>14562012.15</v>
      </c>
      <c r="AD1024" s="9">
        <f t="shared" si="100"/>
        <v>14105262.15</v>
      </c>
      <c r="AE1024" s="1" t="s">
        <v>48</v>
      </c>
      <c r="AF1024" s="1" t="s">
        <v>53</v>
      </c>
      <c r="AG1024" s="4">
        <f t="shared" si="101"/>
        <v>239113.5</v>
      </c>
      <c r="AH1024" s="10">
        <v>239113.5</v>
      </c>
      <c r="AI1024" s="10">
        <v>2000</v>
      </c>
      <c r="AJ1024" s="10">
        <v>0</v>
      </c>
      <c r="AK1024" s="10">
        <v>0</v>
      </c>
      <c r="AL1024" s="9">
        <f t="shared" si="102"/>
        <v>237113.5</v>
      </c>
      <c r="AM1024" s="1"/>
      <c r="AN1024" s="1"/>
      <c r="AO1024" s="12" t="e">
        <f>AB1024/#REF!</f>
        <v>#REF!</v>
      </c>
      <c r="AP1024" s="1" t="s">
        <v>2691</v>
      </c>
      <c r="AQ1024" s="11">
        <v>42046</v>
      </c>
      <c r="AR1024" s="1" t="s">
        <v>2692</v>
      </c>
      <c r="AS1024" s="11">
        <v>42047</v>
      </c>
      <c r="AT1024" s="1" t="s">
        <v>49</v>
      </c>
      <c r="AU1024" s="1" t="s">
        <v>4171</v>
      </c>
    </row>
    <row r="1025" spans="1:47" ht="15" customHeight="1" x14ac:dyDescent="0.25">
      <c r="A1025" s="1">
        <v>1021</v>
      </c>
      <c r="B1025" s="1" t="s">
        <v>1258</v>
      </c>
      <c r="C1025" s="1" t="s">
        <v>38</v>
      </c>
      <c r="D1025" s="1">
        <v>9103550827</v>
      </c>
      <c r="E1025" s="5">
        <v>41957</v>
      </c>
      <c r="F1025" s="1" t="s">
        <v>925</v>
      </c>
      <c r="G1025" s="1" t="s">
        <v>40</v>
      </c>
      <c r="H1025" s="1" t="s">
        <v>41</v>
      </c>
      <c r="I1025" s="1" t="s">
        <v>2809</v>
      </c>
      <c r="J1025" s="1" t="s">
        <v>2468</v>
      </c>
      <c r="K1025" s="1">
        <v>38237090</v>
      </c>
      <c r="L1025" s="6">
        <v>20.9</v>
      </c>
      <c r="M1025" s="1" t="s">
        <v>70</v>
      </c>
      <c r="N1025" s="7" t="s">
        <v>52</v>
      </c>
      <c r="O1025" s="1" t="s">
        <v>45</v>
      </c>
      <c r="P1025" s="8">
        <v>1351</v>
      </c>
      <c r="Q1025" s="17">
        <f t="shared" si="97"/>
        <v>28235.899999999998</v>
      </c>
      <c r="R1025" s="9">
        <f>1239.59/24*20.9</f>
        <v>1079.4762916666666</v>
      </c>
      <c r="S1025" s="9">
        <v>0</v>
      </c>
      <c r="T1025" s="9">
        <v>0</v>
      </c>
      <c r="U1025" s="10">
        <v>0</v>
      </c>
      <c r="V1025" s="1" t="s">
        <v>46</v>
      </c>
      <c r="W1025" s="1" t="s">
        <v>123</v>
      </c>
      <c r="X1025" s="1">
        <v>5975573</v>
      </c>
      <c r="Y1025" s="24">
        <v>41953</v>
      </c>
      <c r="Z1025" s="11"/>
      <c r="AA1025" s="9">
        <f t="shared" si="98"/>
        <v>27156.423708333332</v>
      </c>
      <c r="AB1025" s="12">
        <v>76.150000000000006</v>
      </c>
      <c r="AC1025" s="9">
        <f t="shared" si="99"/>
        <v>2150163.7850000001</v>
      </c>
      <c r="AD1025" s="9">
        <f t="shared" si="100"/>
        <v>2067961.6653895834</v>
      </c>
      <c r="AE1025" s="1" t="s">
        <v>48</v>
      </c>
      <c r="AF1025" s="1" t="s">
        <v>45</v>
      </c>
      <c r="AG1025" s="4">
        <f t="shared" si="101"/>
        <v>28235.899999999998</v>
      </c>
      <c r="AH1025" s="10">
        <v>28000</v>
      </c>
      <c r="AI1025" s="10">
        <v>901.26</v>
      </c>
      <c r="AJ1025" s="10">
        <v>0</v>
      </c>
      <c r="AK1025" s="10">
        <v>0</v>
      </c>
      <c r="AL1025" s="9">
        <f t="shared" si="102"/>
        <v>27098.74</v>
      </c>
      <c r="AM1025" s="1"/>
      <c r="AN1025" s="1"/>
      <c r="AO1025" s="12" t="e">
        <f>AB1025/#REF!</f>
        <v>#REF!</v>
      </c>
      <c r="AP1025" s="1" t="s">
        <v>2693</v>
      </c>
      <c r="AQ1025" s="11">
        <v>41984</v>
      </c>
      <c r="AR1025" s="1" t="s">
        <v>2694</v>
      </c>
      <c r="AS1025" s="11">
        <v>41985</v>
      </c>
      <c r="AT1025" s="1" t="s">
        <v>49</v>
      </c>
      <c r="AU1025" s="1" t="s">
        <v>4171</v>
      </c>
    </row>
    <row r="1026" spans="1:47" ht="15" customHeight="1" x14ac:dyDescent="0.25">
      <c r="A1026" s="1">
        <v>1022</v>
      </c>
      <c r="B1026" s="1" t="s">
        <v>1258</v>
      </c>
      <c r="C1026" s="1" t="s">
        <v>38</v>
      </c>
      <c r="D1026" s="1">
        <v>9103550827</v>
      </c>
      <c r="E1026" s="5">
        <v>41957</v>
      </c>
      <c r="F1026" s="1" t="s">
        <v>925</v>
      </c>
      <c r="G1026" s="1" t="s">
        <v>40</v>
      </c>
      <c r="H1026" s="1" t="s">
        <v>41</v>
      </c>
      <c r="I1026" s="1" t="s">
        <v>2809</v>
      </c>
      <c r="J1026" s="1" t="s">
        <v>2468</v>
      </c>
      <c r="K1026" s="1">
        <v>38237090</v>
      </c>
      <c r="L1026" s="6">
        <v>0.1</v>
      </c>
      <c r="M1026" s="1" t="s">
        <v>70</v>
      </c>
      <c r="N1026" s="7" t="s">
        <v>52</v>
      </c>
      <c r="O1026" s="1" t="s">
        <v>45</v>
      </c>
      <c r="P1026" s="8">
        <v>1351</v>
      </c>
      <c r="Q1026" s="17">
        <f t="shared" si="97"/>
        <v>135.1</v>
      </c>
      <c r="R1026" s="9">
        <f>1239.59/24*0.1</f>
        <v>5.1649583333333338</v>
      </c>
      <c r="S1026" s="9">
        <v>0</v>
      </c>
      <c r="T1026" s="9">
        <v>0</v>
      </c>
      <c r="U1026" s="10">
        <v>0</v>
      </c>
      <c r="V1026" s="1" t="s">
        <v>46</v>
      </c>
      <c r="W1026" s="1" t="s">
        <v>123</v>
      </c>
      <c r="X1026" s="1">
        <v>5975573</v>
      </c>
      <c r="Y1026" s="24">
        <v>41953</v>
      </c>
      <c r="Z1026" s="11"/>
      <c r="AA1026" s="9">
        <f t="shared" si="98"/>
        <v>129.93504166666665</v>
      </c>
      <c r="AB1026" s="12">
        <v>76.150000000000006</v>
      </c>
      <c r="AC1026" s="9">
        <f t="shared" si="99"/>
        <v>10287.865</v>
      </c>
      <c r="AD1026" s="9">
        <f t="shared" si="100"/>
        <v>9894.553422916666</v>
      </c>
      <c r="AE1026" s="1" t="s">
        <v>48</v>
      </c>
      <c r="AF1026" s="1" t="s">
        <v>45</v>
      </c>
      <c r="AG1026" s="4">
        <f t="shared" si="101"/>
        <v>135.1</v>
      </c>
      <c r="AH1026" s="10">
        <v>135</v>
      </c>
      <c r="AI1026" s="10">
        <v>4.3499999999999996</v>
      </c>
      <c r="AJ1026" s="10">
        <v>0</v>
      </c>
      <c r="AK1026" s="10">
        <v>0</v>
      </c>
      <c r="AL1026" s="9">
        <f t="shared" si="102"/>
        <v>130.65</v>
      </c>
      <c r="AM1026" s="1"/>
      <c r="AN1026" s="1"/>
      <c r="AO1026" s="12" t="e">
        <f>AB1026/#REF!</f>
        <v>#REF!</v>
      </c>
      <c r="AP1026" s="1" t="s">
        <v>2693</v>
      </c>
      <c r="AQ1026" s="11">
        <v>41984</v>
      </c>
      <c r="AR1026" s="1" t="s">
        <v>2694</v>
      </c>
      <c r="AS1026" s="11">
        <v>41985</v>
      </c>
      <c r="AT1026" s="1" t="s">
        <v>49</v>
      </c>
      <c r="AU1026" s="1" t="s">
        <v>4171</v>
      </c>
    </row>
    <row r="1027" spans="1:47" ht="15" customHeight="1" x14ac:dyDescent="0.25">
      <c r="A1027" s="1">
        <v>1023</v>
      </c>
      <c r="B1027" s="1" t="s">
        <v>1258</v>
      </c>
      <c r="C1027" s="1" t="s">
        <v>38</v>
      </c>
      <c r="D1027" s="1">
        <v>9103550827</v>
      </c>
      <c r="E1027" s="5">
        <v>41957</v>
      </c>
      <c r="F1027" s="1" t="s">
        <v>925</v>
      </c>
      <c r="G1027" s="1" t="s">
        <v>40</v>
      </c>
      <c r="H1027" s="1" t="s">
        <v>41</v>
      </c>
      <c r="I1027" s="1" t="s">
        <v>2809</v>
      </c>
      <c r="J1027" s="1" t="s">
        <v>2468</v>
      </c>
      <c r="K1027" s="1">
        <v>29051700</v>
      </c>
      <c r="L1027" s="6">
        <v>3</v>
      </c>
      <c r="M1027" s="1" t="s">
        <v>70</v>
      </c>
      <c r="N1027" s="7" t="s">
        <v>52</v>
      </c>
      <c r="O1027" s="1" t="s">
        <v>45</v>
      </c>
      <c r="P1027" s="8">
        <v>1462</v>
      </c>
      <c r="Q1027" s="17">
        <f t="shared" si="97"/>
        <v>4386</v>
      </c>
      <c r="R1027" s="9">
        <f>1239.59/24*3</f>
        <v>154.94874999999999</v>
      </c>
      <c r="S1027" s="9">
        <v>0</v>
      </c>
      <c r="T1027" s="9">
        <v>0</v>
      </c>
      <c r="U1027" s="10">
        <v>0</v>
      </c>
      <c r="V1027" s="1" t="s">
        <v>46</v>
      </c>
      <c r="W1027" s="1" t="s">
        <v>123</v>
      </c>
      <c r="X1027" s="1">
        <v>5975573</v>
      </c>
      <c r="Y1027" s="24">
        <v>41953</v>
      </c>
      <c r="Z1027" s="11"/>
      <c r="AA1027" s="9">
        <f t="shared" si="98"/>
        <v>4231.0512500000004</v>
      </c>
      <c r="AB1027" s="12">
        <v>76.150000000000006</v>
      </c>
      <c r="AC1027" s="9">
        <f t="shared" si="99"/>
        <v>333993.90000000002</v>
      </c>
      <c r="AD1027" s="9">
        <f t="shared" si="100"/>
        <v>322194.55268750008</v>
      </c>
      <c r="AE1027" s="1" t="s">
        <v>48</v>
      </c>
      <c r="AF1027" s="1" t="s">
        <v>45</v>
      </c>
      <c r="AG1027" s="4">
        <f t="shared" si="101"/>
        <v>4386</v>
      </c>
      <c r="AH1027" s="10">
        <v>4214.1499999999996</v>
      </c>
      <c r="AI1027" s="10">
        <v>135.63999999999999</v>
      </c>
      <c r="AJ1027" s="10">
        <v>0</v>
      </c>
      <c r="AK1027" s="10">
        <v>0</v>
      </c>
      <c r="AL1027" s="9">
        <f t="shared" si="102"/>
        <v>4078.5099999999998</v>
      </c>
      <c r="AM1027" s="1"/>
      <c r="AN1027" s="1"/>
      <c r="AO1027" s="12" t="e">
        <f>AB1027/#REF!</f>
        <v>#REF!</v>
      </c>
      <c r="AP1027" s="1" t="s">
        <v>2693</v>
      </c>
      <c r="AQ1027" s="11">
        <v>41984</v>
      </c>
      <c r="AR1027" s="1" t="s">
        <v>2694</v>
      </c>
      <c r="AS1027" s="11">
        <v>41985</v>
      </c>
      <c r="AT1027" s="1" t="s">
        <v>49</v>
      </c>
      <c r="AU1027" s="1" t="s">
        <v>4171</v>
      </c>
    </row>
    <row r="1028" spans="1:47" ht="15" customHeight="1" x14ac:dyDescent="0.25">
      <c r="A1028" s="1">
        <v>1024</v>
      </c>
      <c r="B1028" s="1" t="s">
        <v>1258</v>
      </c>
      <c r="C1028" s="1" t="s">
        <v>38</v>
      </c>
      <c r="D1028" s="1">
        <v>9103550828</v>
      </c>
      <c r="E1028" s="5">
        <v>41958</v>
      </c>
      <c r="F1028" s="1" t="s">
        <v>908</v>
      </c>
      <c r="G1028" s="1" t="s">
        <v>40</v>
      </c>
      <c r="H1028" s="1" t="s">
        <v>41</v>
      </c>
      <c r="I1028" s="1" t="s">
        <v>2809</v>
      </c>
      <c r="J1028" s="1" t="s">
        <v>307</v>
      </c>
      <c r="K1028" s="1">
        <v>38237090</v>
      </c>
      <c r="L1028" s="6">
        <v>12</v>
      </c>
      <c r="M1028" s="1" t="s">
        <v>70</v>
      </c>
      <c r="N1028" s="7" t="s">
        <v>52</v>
      </c>
      <c r="O1028" s="1" t="s">
        <v>53</v>
      </c>
      <c r="P1028" s="8">
        <v>4605</v>
      </c>
      <c r="Q1028" s="17">
        <f t="shared" si="97"/>
        <v>55260</v>
      </c>
      <c r="R1028" s="9">
        <v>1200</v>
      </c>
      <c r="S1028" s="9">
        <v>0</v>
      </c>
      <c r="T1028" s="9">
        <v>0</v>
      </c>
      <c r="U1028" s="10">
        <v>0</v>
      </c>
      <c r="V1028" s="1" t="s">
        <v>46</v>
      </c>
      <c r="W1028" s="1" t="s">
        <v>308</v>
      </c>
      <c r="X1028" s="1">
        <v>5999166</v>
      </c>
      <c r="Y1028" s="24">
        <v>41954</v>
      </c>
      <c r="Z1028" s="11"/>
      <c r="AA1028" s="9">
        <f t="shared" si="98"/>
        <v>54060</v>
      </c>
      <c r="AB1028" s="12">
        <v>60.9</v>
      </c>
      <c r="AC1028" s="9">
        <f t="shared" si="99"/>
        <v>3365334</v>
      </c>
      <c r="AD1028" s="9">
        <f t="shared" si="100"/>
        <v>3292254</v>
      </c>
      <c r="AE1028" s="1" t="s">
        <v>48</v>
      </c>
      <c r="AF1028" s="1" t="s">
        <v>53</v>
      </c>
      <c r="AG1028" s="4">
        <f t="shared" si="101"/>
        <v>55260</v>
      </c>
      <c r="AH1028" s="10">
        <v>55240</v>
      </c>
      <c r="AI1028" s="10">
        <v>1275</v>
      </c>
      <c r="AJ1028" s="10">
        <v>0</v>
      </c>
      <c r="AK1028" s="10">
        <v>0</v>
      </c>
      <c r="AL1028" s="9">
        <f t="shared" si="102"/>
        <v>53965</v>
      </c>
      <c r="AM1028" s="1"/>
      <c r="AN1028" s="1"/>
      <c r="AO1028" s="12" t="e">
        <f>AB1028/#REF!</f>
        <v>#REF!</v>
      </c>
      <c r="AP1028" s="1" t="s">
        <v>3238</v>
      </c>
      <c r="AQ1028" s="11">
        <v>42065</v>
      </c>
      <c r="AR1028" s="1" t="s">
        <v>3239</v>
      </c>
      <c r="AS1028" s="11">
        <v>42066</v>
      </c>
      <c r="AT1028" s="1" t="s">
        <v>49</v>
      </c>
      <c r="AU1028" s="1" t="s">
        <v>4171</v>
      </c>
    </row>
    <row r="1029" spans="1:47" ht="15" customHeight="1" x14ac:dyDescent="0.25">
      <c r="A1029" s="1">
        <v>1025</v>
      </c>
      <c r="B1029" s="1" t="s">
        <v>1258</v>
      </c>
      <c r="C1029" s="1" t="s">
        <v>38</v>
      </c>
      <c r="D1029" s="1">
        <v>9103550829</v>
      </c>
      <c r="E1029" s="5">
        <v>41959</v>
      </c>
      <c r="F1029" s="1" t="s">
        <v>909</v>
      </c>
      <c r="G1029" s="1" t="s">
        <v>40</v>
      </c>
      <c r="H1029" s="1" t="s">
        <v>41</v>
      </c>
      <c r="I1029" s="1" t="s">
        <v>2809</v>
      </c>
      <c r="J1029" s="1" t="s">
        <v>50</v>
      </c>
      <c r="K1029" s="1">
        <v>38237090</v>
      </c>
      <c r="L1029" s="6">
        <v>113.56</v>
      </c>
      <c r="M1029" s="1" t="s">
        <v>70</v>
      </c>
      <c r="N1029" s="7" t="s">
        <v>52</v>
      </c>
      <c r="O1029" s="1" t="s">
        <v>45</v>
      </c>
      <c r="P1029" s="8">
        <v>1000</v>
      </c>
      <c r="Q1029" s="17">
        <f t="shared" si="97"/>
        <v>113560</v>
      </c>
      <c r="R1029" s="9">
        <v>4078.66</v>
      </c>
      <c r="S1029" s="9">
        <v>0</v>
      </c>
      <c r="T1029" s="9">
        <v>0</v>
      </c>
      <c r="U1029" s="10">
        <v>0</v>
      </c>
      <c r="V1029" s="1" t="s">
        <v>46</v>
      </c>
      <c r="W1029" s="1" t="s">
        <v>2657</v>
      </c>
      <c r="X1029" s="1">
        <v>6009038</v>
      </c>
      <c r="Y1029" s="24">
        <v>41955</v>
      </c>
      <c r="Z1029" s="11"/>
      <c r="AA1029" s="9">
        <f t="shared" si="98"/>
        <v>109481.34</v>
      </c>
      <c r="AB1029" s="12">
        <v>76.150000000000006</v>
      </c>
      <c r="AC1029" s="9">
        <f t="shared" si="99"/>
        <v>8647594</v>
      </c>
      <c r="AD1029" s="9">
        <f t="shared" si="100"/>
        <v>8337004.0410000002</v>
      </c>
      <c r="AE1029" s="1" t="s">
        <v>284</v>
      </c>
      <c r="AF1029" s="1" t="s">
        <v>45</v>
      </c>
      <c r="AG1029" s="4">
        <f t="shared" si="101"/>
        <v>113560</v>
      </c>
      <c r="AH1029" s="10">
        <v>113560</v>
      </c>
      <c r="AI1029" s="10">
        <v>3649.37</v>
      </c>
      <c r="AJ1029" s="10">
        <v>0</v>
      </c>
      <c r="AK1029" s="10">
        <v>0</v>
      </c>
      <c r="AL1029" s="9">
        <f t="shared" si="102"/>
        <v>109910.63</v>
      </c>
      <c r="AM1029" s="1"/>
      <c r="AN1029" s="1"/>
      <c r="AO1029" s="12" t="e">
        <f>AB1029/#REF!</f>
        <v>#REF!</v>
      </c>
      <c r="AP1029" s="1" t="s">
        <v>3240</v>
      </c>
      <c r="AQ1029" s="11">
        <v>42023</v>
      </c>
      <c r="AR1029" s="1" t="s">
        <v>3241</v>
      </c>
      <c r="AS1029" s="11">
        <v>42023</v>
      </c>
      <c r="AT1029" s="1" t="s">
        <v>49</v>
      </c>
      <c r="AU1029" s="1" t="s">
        <v>4171</v>
      </c>
    </row>
    <row r="1030" spans="1:47" ht="15" customHeight="1" x14ac:dyDescent="0.25">
      <c r="A1030" s="1">
        <v>1026</v>
      </c>
      <c r="B1030" s="1" t="s">
        <v>1258</v>
      </c>
      <c r="C1030" s="1" t="s">
        <v>38</v>
      </c>
      <c r="D1030" s="1">
        <v>9103550830</v>
      </c>
      <c r="E1030" s="5">
        <v>41960</v>
      </c>
      <c r="F1030" s="1" t="s">
        <v>910</v>
      </c>
      <c r="G1030" s="1" t="s">
        <v>40</v>
      </c>
      <c r="H1030" s="1" t="s">
        <v>41</v>
      </c>
      <c r="I1030" s="1" t="s">
        <v>2809</v>
      </c>
      <c r="J1030" s="1" t="s">
        <v>50</v>
      </c>
      <c r="K1030" s="1">
        <v>38237090</v>
      </c>
      <c r="L1030" s="6">
        <v>93.87</v>
      </c>
      <c r="M1030" s="1" t="s">
        <v>70</v>
      </c>
      <c r="N1030" s="7" t="s">
        <v>52</v>
      </c>
      <c r="O1030" s="1" t="s">
        <v>45</v>
      </c>
      <c r="P1030" s="8">
        <v>1000</v>
      </c>
      <c r="Q1030" s="17">
        <f t="shared" si="97"/>
        <v>93870</v>
      </c>
      <c r="R1030" s="9">
        <v>3398.88</v>
      </c>
      <c r="S1030" s="9">
        <v>0</v>
      </c>
      <c r="T1030" s="9">
        <v>0</v>
      </c>
      <c r="U1030" s="10">
        <v>0</v>
      </c>
      <c r="V1030" s="1" t="s">
        <v>46</v>
      </c>
      <c r="W1030" s="1" t="s">
        <v>2657</v>
      </c>
      <c r="X1030" s="1">
        <v>6013829</v>
      </c>
      <c r="Y1030" s="24">
        <v>41955</v>
      </c>
      <c r="Z1030" s="11"/>
      <c r="AA1030" s="9">
        <f t="shared" si="98"/>
        <v>90471.12</v>
      </c>
      <c r="AB1030" s="12">
        <v>76.150000000000006</v>
      </c>
      <c r="AC1030" s="9">
        <f t="shared" si="99"/>
        <v>7148200.5000000009</v>
      </c>
      <c r="AD1030" s="9">
        <f t="shared" si="100"/>
        <v>6889375.7879999997</v>
      </c>
      <c r="AE1030" s="1" t="s">
        <v>284</v>
      </c>
      <c r="AF1030" s="1" t="s">
        <v>45</v>
      </c>
      <c r="AG1030" s="4">
        <f t="shared" si="101"/>
        <v>93870</v>
      </c>
      <c r="AH1030" s="10">
        <v>93870</v>
      </c>
      <c r="AI1030" s="10">
        <v>3485.39</v>
      </c>
      <c r="AJ1030" s="10">
        <v>0</v>
      </c>
      <c r="AK1030" s="10">
        <v>0</v>
      </c>
      <c r="AL1030" s="9">
        <f t="shared" si="102"/>
        <v>90384.61</v>
      </c>
      <c r="AM1030" s="1"/>
      <c r="AN1030" s="1"/>
      <c r="AO1030" s="12" t="e">
        <f>AB1030/#REF!</f>
        <v>#REF!</v>
      </c>
      <c r="AP1030" s="1"/>
      <c r="AQ1030" s="11">
        <v>41982</v>
      </c>
      <c r="AR1030" s="1" t="s">
        <v>3682</v>
      </c>
      <c r="AS1030" s="11">
        <v>41982</v>
      </c>
      <c r="AT1030" s="1" t="s">
        <v>49</v>
      </c>
      <c r="AU1030" s="1" t="s">
        <v>4171</v>
      </c>
    </row>
    <row r="1031" spans="1:47" ht="15" customHeight="1" x14ac:dyDescent="0.25">
      <c r="A1031" s="1">
        <v>1027</v>
      </c>
      <c r="B1031" s="1" t="s">
        <v>1258</v>
      </c>
      <c r="C1031" s="1" t="s">
        <v>38</v>
      </c>
      <c r="D1031" s="1">
        <v>9103550831</v>
      </c>
      <c r="E1031" s="5">
        <v>41960</v>
      </c>
      <c r="F1031" s="1" t="s">
        <v>906</v>
      </c>
      <c r="G1031" s="1" t="s">
        <v>40</v>
      </c>
      <c r="H1031" s="1" t="s">
        <v>41</v>
      </c>
      <c r="I1031" s="1" t="s">
        <v>2809</v>
      </c>
      <c r="J1031" s="1" t="s">
        <v>187</v>
      </c>
      <c r="K1031" s="1">
        <v>38237090</v>
      </c>
      <c r="L1031" s="6">
        <v>18.38</v>
      </c>
      <c r="M1031" s="1" t="s">
        <v>70</v>
      </c>
      <c r="N1031" s="7" t="s">
        <v>44</v>
      </c>
      <c r="O1031" s="1" t="s">
        <v>53</v>
      </c>
      <c r="P1031" s="8">
        <v>1495</v>
      </c>
      <c r="Q1031" s="17">
        <f t="shared" si="97"/>
        <v>27478.1</v>
      </c>
      <c r="R1031" s="9">
        <v>2800</v>
      </c>
      <c r="S1031" s="9">
        <v>3.93</v>
      </c>
      <c r="T1031" s="9">
        <v>0</v>
      </c>
      <c r="U1031" s="10">
        <v>0</v>
      </c>
      <c r="V1031" s="1" t="s">
        <v>46</v>
      </c>
      <c r="W1031" s="1" t="s">
        <v>56</v>
      </c>
      <c r="X1031" s="1">
        <v>6013781</v>
      </c>
      <c r="Y1031" s="24">
        <v>41955</v>
      </c>
      <c r="Z1031" s="11"/>
      <c r="AA1031" s="9">
        <f t="shared" si="98"/>
        <v>24674.17</v>
      </c>
      <c r="AB1031" s="12">
        <v>60.9</v>
      </c>
      <c r="AC1031" s="9">
        <f t="shared" si="99"/>
        <v>1673416.2899999998</v>
      </c>
      <c r="AD1031" s="9">
        <f t="shared" si="100"/>
        <v>1502656.9529999997</v>
      </c>
      <c r="AE1031" s="1" t="s">
        <v>48</v>
      </c>
      <c r="AF1031" s="1" t="s">
        <v>53</v>
      </c>
      <c r="AG1031" s="4">
        <f t="shared" si="101"/>
        <v>27478.1</v>
      </c>
      <c r="AH1031" s="10">
        <v>27478.1</v>
      </c>
      <c r="AI1031" s="10">
        <v>2800</v>
      </c>
      <c r="AJ1031" s="10">
        <v>3.93</v>
      </c>
      <c r="AK1031" s="10">
        <v>0</v>
      </c>
      <c r="AL1031" s="9">
        <f t="shared" si="102"/>
        <v>24674.17</v>
      </c>
      <c r="AM1031" s="1"/>
      <c r="AN1031" s="1"/>
      <c r="AO1031" s="12" t="e">
        <f>AB1031/#REF!</f>
        <v>#REF!</v>
      </c>
      <c r="AP1031" s="1" t="s">
        <v>3242</v>
      </c>
      <c r="AQ1031" s="11">
        <v>41991</v>
      </c>
      <c r="AR1031" s="1" t="s">
        <v>3243</v>
      </c>
      <c r="AS1031" s="11">
        <v>41992</v>
      </c>
      <c r="AT1031" s="1" t="s">
        <v>49</v>
      </c>
      <c r="AU1031" s="1" t="s">
        <v>4171</v>
      </c>
    </row>
    <row r="1032" spans="1:47" ht="15" customHeight="1" x14ac:dyDescent="0.25">
      <c r="A1032" s="1">
        <v>1028</v>
      </c>
      <c r="B1032" s="1" t="s">
        <v>1258</v>
      </c>
      <c r="C1032" s="1" t="s">
        <v>38</v>
      </c>
      <c r="D1032" s="1" t="s">
        <v>2854</v>
      </c>
      <c r="E1032" s="5">
        <v>41960</v>
      </c>
      <c r="F1032" s="1" t="s">
        <v>904</v>
      </c>
      <c r="G1032" s="1" t="s">
        <v>40</v>
      </c>
      <c r="H1032" s="1" t="s">
        <v>41</v>
      </c>
      <c r="I1032" s="1" t="s">
        <v>2809</v>
      </c>
      <c r="J1032" s="1" t="s">
        <v>2641</v>
      </c>
      <c r="K1032" s="1">
        <v>38237090</v>
      </c>
      <c r="L1032" s="6">
        <v>19.54</v>
      </c>
      <c r="M1032" s="1" t="s">
        <v>70</v>
      </c>
      <c r="N1032" s="7" t="s">
        <v>44</v>
      </c>
      <c r="O1032" s="1" t="s">
        <v>53</v>
      </c>
      <c r="P1032" s="8">
        <v>1195</v>
      </c>
      <c r="Q1032" s="17">
        <f t="shared" si="97"/>
        <v>23350.3</v>
      </c>
      <c r="R1032" s="9">
        <v>760</v>
      </c>
      <c r="S1032" s="9">
        <v>3.34</v>
      </c>
      <c r="T1032" s="9">
        <v>0</v>
      </c>
      <c r="U1032" s="10">
        <v>0</v>
      </c>
      <c r="V1032" s="1" t="s">
        <v>46</v>
      </c>
      <c r="W1032" s="1" t="s">
        <v>54</v>
      </c>
      <c r="X1032" s="1">
        <v>6017168</v>
      </c>
      <c r="Y1032" s="24">
        <v>41955</v>
      </c>
      <c r="Z1032" s="11"/>
      <c r="AA1032" s="9">
        <f t="shared" si="98"/>
        <v>22586.959999999999</v>
      </c>
      <c r="AB1032" s="12">
        <v>60.9</v>
      </c>
      <c r="AC1032" s="9">
        <f t="shared" si="99"/>
        <v>1422033.27</v>
      </c>
      <c r="AD1032" s="9">
        <f t="shared" si="100"/>
        <v>1375545.8639999998</v>
      </c>
      <c r="AE1032" s="1" t="s">
        <v>48</v>
      </c>
      <c r="AF1032" s="1" t="s">
        <v>53</v>
      </c>
      <c r="AG1032" s="4">
        <f t="shared" si="101"/>
        <v>23350.3</v>
      </c>
      <c r="AH1032" s="10">
        <v>23350.3</v>
      </c>
      <c r="AI1032" s="10">
        <v>760</v>
      </c>
      <c r="AJ1032" s="10">
        <v>3.34</v>
      </c>
      <c r="AK1032" s="10">
        <v>0</v>
      </c>
      <c r="AL1032" s="9">
        <f t="shared" si="102"/>
        <v>22586.959999999999</v>
      </c>
      <c r="AM1032" s="1"/>
      <c r="AN1032" s="1"/>
      <c r="AO1032" s="12" t="e">
        <f>AB1032/#REF!</f>
        <v>#REF!</v>
      </c>
      <c r="AP1032" s="1" t="s">
        <v>3244</v>
      </c>
      <c r="AQ1032" s="11">
        <v>42053</v>
      </c>
      <c r="AR1032" s="1" t="s">
        <v>3245</v>
      </c>
      <c r="AS1032" s="11">
        <v>42055</v>
      </c>
      <c r="AT1032" s="1" t="s">
        <v>49</v>
      </c>
      <c r="AU1032" s="1" t="s">
        <v>4171</v>
      </c>
    </row>
    <row r="1033" spans="1:47" ht="15" customHeight="1" x14ac:dyDescent="0.25">
      <c r="A1033" s="1">
        <v>1029</v>
      </c>
      <c r="B1033" s="1" t="s">
        <v>1258</v>
      </c>
      <c r="C1033" s="1" t="s">
        <v>38</v>
      </c>
      <c r="D1033" s="1" t="s">
        <v>2854</v>
      </c>
      <c r="E1033" s="5">
        <v>41960</v>
      </c>
      <c r="F1033" s="1" t="s">
        <v>928</v>
      </c>
      <c r="G1033" s="1" t="s">
        <v>40</v>
      </c>
      <c r="H1033" s="1" t="s">
        <v>41</v>
      </c>
      <c r="I1033" s="1" t="s">
        <v>2809</v>
      </c>
      <c r="J1033" s="1" t="s">
        <v>2641</v>
      </c>
      <c r="K1033" s="1">
        <v>38237090</v>
      </c>
      <c r="L1033" s="6">
        <v>76.55</v>
      </c>
      <c r="M1033" s="1" t="s">
        <v>70</v>
      </c>
      <c r="N1033" s="7" t="s">
        <v>44</v>
      </c>
      <c r="O1033" s="1" t="s">
        <v>53</v>
      </c>
      <c r="P1033" s="8">
        <v>1195</v>
      </c>
      <c r="Q1033" s="17">
        <f t="shared" si="97"/>
        <v>91477.25</v>
      </c>
      <c r="R1033" s="9">
        <v>3040</v>
      </c>
      <c r="S1033" s="9">
        <v>13.08</v>
      </c>
      <c r="T1033" s="9">
        <v>0</v>
      </c>
      <c r="U1033" s="10">
        <v>0</v>
      </c>
      <c r="V1033" s="1" t="s">
        <v>46</v>
      </c>
      <c r="W1033" s="1" t="s">
        <v>54</v>
      </c>
      <c r="X1033" s="1">
        <v>6040906</v>
      </c>
      <c r="Y1033" s="24">
        <v>41956</v>
      </c>
      <c r="Z1033" s="11"/>
      <c r="AA1033" s="9">
        <f t="shared" si="98"/>
        <v>88424.17</v>
      </c>
      <c r="AB1033" s="12">
        <v>60.9</v>
      </c>
      <c r="AC1033" s="9">
        <f t="shared" si="99"/>
        <v>5570964.5249999994</v>
      </c>
      <c r="AD1033" s="9">
        <f t="shared" si="100"/>
        <v>5385031.9529999997</v>
      </c>
      <c r="AE1033" s="1" t="s">
        <v>48</v>
      </c>
      <c r="AF1033" s="1" t="s">
        <v>53</v>
      </c>
      <c r="AG1033" s="4">
        <f t="shared" si="101"/>
        <v>91477.25</v>
      </c>
      <c r="AH1033" s="10">
        <v>91477.25</v>
      </c>
      <c r="AI1033" s="10">
        <v>3040</v>
      </c>
      <c r="AJ1033" s="10">
        <v>13.08</v>
      </c>
      <c r="AK1033" s="10">
        <v>0</v>
      </c>
      <c r="AL1033" s="9">
        <f t="shared" si="102"/>
        <v>88424.17</v>
      </c>
      <c r="AM1033" s="1"/>
      <c r="AN1033" s="1"/>
      <c r="AO1033" s="12" t="e">
        <f>AB1033/#REF!</f>
        <v>#REF!</v>
      </c>
      <c r="AP1033" s="1" t="s">
        <v>3244</v>
      </c>
      <c r="AQ1033" s="11">
        <v>42053</v>
      </c>
      <c r="AR1033" s="1" t="s">
        <v>3246</v>
      </c>
      <c r="AS1033" s="11">
        <v>42055</v>
      </c>
      <c r="AT1033" s="1" t="s">
        <v>49</v>
      </c>
      <c r="AU1033" s="1" t="s">
        <v>4171</v>
      </c>
    </row>
    <row r="1034" spans="1:47" ht="15" customHeight="1" x14ac:dyDescent="0.25">
      <c r="A1034" s="1">
        <v>1030</v>
      </c>
      <c r="B1034" s="1" t="s">
        <v>1258</v>
      </c>
      <c r="C1034" s="1" t="s">
        <v>38</v>
      </c>
      <c r="D1034" s="1">
        <v>9103550833</v>
      </c>
      <c r="E1034" s="5">
        <v>41960</v>
      </c>
      <c r="F1034" s="1" t="s">
        <v>926</v>
      </c>
      <c r="G1034" s="1" t="s">
        <v>40</v>
      </c>
      <c r="H1034" s="1" t="s">
        <v>41</v>
      </c>
      <c r="I1034" s="1" t="s">
        <v>2809</v>
      </c>
      <c r="J1034" s="1" t="s">
        <v>2955</v>
      </c>
      <c r="K1034" s="1">
        <v>38231900</v>
      </c>
      <c r="L1034" s="6">
        <v>38.1</v>
      </c>
      <c r="M1034" s="1" t="s">
        <v>70</v>
      </c>
      <c r="N1034" s="7" t="s">
        <v>44</v>
      </c>
      <c r="O1034" s="1" t="s">
        <v>45</v>
      </c>
      <c r="P1034" s="8">
        <v>2920</v>
      </c>
      <c r="Q1034" s="17">
        <f t="shared" si="97"/>
        <v>111252</v>
      </c>
      <c r="R1034" s="9">
        <v>1359.55</v>
      </c>
      <c r="S1034" s="9">
        <v>15.91</v>
      </c>
      <c r="T1034" s="9">
        <v>2133.6</v>
      </c>
      <c r="U1034" s="10">
        <v>0</v>
      </c>
      <c r="V1034" s="1" t="s">
        <v>46</v>
      </c>
      <c r="W1034" s="1" t="s">
        <v>2657</v>
      </c>
      <c r="X1034" s="1">
        <v>6020614</v>
      </c>
      <c r="Y1034" s="24">
        <v>41955</v>
      </c>
      <c r="Z1034" s="11"/>
      <c r="AA1034" s="9">
        <f t="shared" si="98"/>
        <v>109876.54</v>
      </c>
      <c r="AB1034" s="12">
        <v>76.150000000000006</v>
      </c>
      <c r="AC1034" s="9">
        <f t="shared" si="99"/>
        <v>8471839.8000000007</v>
      </c>
      <c r="AD1034" s="9">
        <f t="shared" si="100"/>
        <v>8367098.5209999997</v>
      </c>
      <c r="AE1034" s="1" t="s">
        <v>57</v>
      </c>
      <c r="AF1034" s="1" t="s">
        <v>45</v>
      </c>
      <c r="AG1034" s="4">
        <f t="shared" si="101"/>
        <v>111252</v>
      </c>
      <c r="AH1034" s="10">
        <v>111252</v>
      </c>
      <c r="AI1034" s="10"/>
      <c r="AJ1034" s="10"/>
      <c r="AK1034" s="10"/>
      <c r="AL1034" s="9">
        <f t="shared" si="102"/>
        <v>111252</v>
      </c>
      <c r="AM1034" s="1"/>
      <c r="AN1034" s="1"/>
      <c r="AO1034" s="12" t="e">
        <f>AB1034/#REF!</f>
        <v>#REF!</v>
      </c>
      <c r="AP1034" s="1" t="s">
        <v>4179</v>
      </c>
      <c r="AQ1034" s="11">
        <v>42065</v>
      </c>
      <c r="AR1034" s="1" t="s">
        <v>4186</v>
      </c>
      <c r="AS1034" s="11">
        <v>42355</v>
      </c>
      <c r="AT1034" s="1" t="s">
        <v>49</v>
      </c>
      <c r="AU1034" s="1" t="s">
        <v>4171</v>
      </c>
    </row>
    <row r="1035" spans="1:47" ht="15" customHeight="1" x14ac:dyDescent="0.25">
      <c r="A1035" s="1">
        <v>1031</v>
      </c>
      <c r="B1035" s="1" t="s">
        <v>1258</v>
      </c>
      <c r="C1035" s="1" t="s">
        <v>38</v>
      </c>
      <c r="D1035" s="1">
        <v>9103550834</v>
      </c>
      <c r="E1035" s="5">
        <v>41959</v>
      </c>
      <c r="F1035" s="1" t="s">
        <v>927</v>
      </c>
      <c r="G1035" s="1" t="s">
        <v>40</v>
      </c>
      <c r="H1035" s="1" t="s">
        <v>41</v>
      </c>
      <c r="I1035" s="1" t="s">
        <v>2809</v>
      </c>
      <c r="J1035" s="1" t="s">
        <v>43</v>
      </c>
      <c r="K1035" s="1">
        <v>38231900</v>
      </c>
      <c r="L1035" s="6">
        <v>37.82</v>
      </c>
      <c r="M1035" s="1" t="s">
        <v>70</v>
      </c>
      <c r="N1035" s="7" t="s">
        <v>44</v>
      </c>
      <c r="O1035" s="1" t="s">
        <v>45</v>
      </c>
      <c r="P1035" s="8">
        <v>2940</v>
      </c>
      <c r="Q1035" s="17">
        <f t="shared" si="97"/>
        <v>111190.8</v>
      </c>
      <c r="R1035" s="9">
        <v>1759.42</v>
      </c>
      <c r="S1035" s="9">
        <v>15.9</v>
      </c>
      <c r="T1035" s="9">
        <v>0</v>
      </c>
      <c r="U1035" s="10">
        <v>0</v>
      </c>
      <c r="V1035" s="1" t="s">
        <v>46</v>
      </c>
      <c r="W1035" s="1" t="s">
        <v>47</v>
      </c>
      <c r="X1035" s="1">
        <v>6027772</v>
      </c>
      <c r="Y1035" s="24">
        <v>41956</v>
      </c>
      <c r="Z1035" s="11"/>
      <c r="AA1035" s="9">
        <f t="shared" si="98"/>
        <v>109415.48000000001</v>
      </c>
      <c r="AB1035" s="12">
        <v>76.150000000000006</v>
      </c>
      <c r="AC1035" s="9">
        <f t="shared" si="99"/>
        <v>8467179.4199999999</v>
      </c>
      <c r="AD1035" s="9">
        <f t="shared" si="100"/>
        <v>8331988.8020000011</v>
      </c>
      <c r="AE1035" s="1" t="s">
        <v>48</v>
      </c>
      <c r="AF1035" s="1" t="s">
        <v>45</v>
      </c>
      <c r="AG1035" s="4">
        <f t="shared" si="101"/>
        <v>111190.8</v>
      </c>
      <c r="AH1035" s="10">
        <v>111190.8</v>
      </c>
      <c r="AI1035" s="10">
        <v>1793.4</v>
      </c>
      <c r="AJ1035" s="10">
        <v>15.9</v>
      </c>
      <c r="AK1035" s="10">
        <v>0</v>
      </c>
      <c r="AL1035" s="9">
        <f t="shared" si="102"/>
        <v>109381.5</v>
      </c>
      <c r="AM1035" s="1"/>
      <c r="AN1035" s="1"/>
      <c r="AO1035" s="12" t="e">
        <f>AB1035/#REF!</f>
        <v>#REF!</v>
      </c>
      <c r="AP1035" s="1" t="s">
        <v>3247</v>
      </c>
      <c r="AQ1035" s="11">
        <v>42024</v>
      </c>
      <c r="AR1035" s="1" t="s">
        <v>3248</v>
      </c>
      <c r="AS1035" s="11">
        <v>42025</v>
      </c>
      <c r="AT1035" s="1" t="s">
        <v>49</v>
      </c>
      <c r="AU1035" s="1" t="s">
        <v>4171</v>
      </c>
    </row>
    <row r="1036" spans="1:47" ht="15" customHeight="1" x14ac:dyDescent="0.25">
      <c r="A1036" s="1">
        <v>1032</v>
      </c>
      <c r="B1036" s="1" t="s">
        <v>1258</v>
      </c>
      <c r="C1036" s="1" t="s">
        <v>38</v>
      </c>
      <c r="D1036" s="1">
        <v>9103550835</v>
      </c>
      <c r="E1036" s="5">
        <v>41959</v>
      </c>
      <c r="F1036" s="1" t="s">
        <v>911</v>
      </c>
      <c r="G1036" s="1" t="s">
        <v>40</v>
      </c>
      <c r="H1036" s="1" t="s">
        <v>41</v>
      </c>
      <c r="I1036" s="1" t="s">
        <v>2809</v>
      </c>
      <c r="J1036" s="1" t="s">
        <v>2695</v>
      </c>
      <c r="K1036" s="1">
        <v>38237090</v>
      </c>
      <c r="L1036" s="6">
        <v>60</v>
      </c>
      <c r="M1036" s="1" t="s">
        <v>70</v>
      </c>
      <c r="N1036" s="7" t="s">
        <v>67</v>
      </c>
      <c r="O1036" s="1" t="s">
        <v>45</v>
      </c>
      <c r="P1036" s="8">
        <v>1065</v>
      </c>
      <c r="Q1036" s="17">
        <f t="shared" si="97"/>
        <v>63900</v>
      </c>
      <c r="R1036" s="9">
        <v>0</v>
      </c>
      <c r="S1036" s="9">
        <v>0</v>
      </c>
      <c r="T1036" s="9">
        <v>0</v>
      </c>
      <c r="U1036" s="10">
        <v>0</v>
      </c>
      <c r="V1036" s="1" t="s">
        <v>46</v>
      </c>
      <c r="W1036" s="1" t="s">
        <v>205</v>
      </c>
      <c r="X1036" s="1">
        <v>6034556</v>
      </c>
      <c r="Y1036" s="24">
        <v>41956</v>
      </c>
      <c r="Z1036" s="11"/>
      <c r="AA1036" s="9">
        <f t="shared" si="98"/>
        <v>63900</v>
      </c>
      <c r="AB1036" s="12">
        <v>76.150000000000006</v>
      </c>
      <c r="AC1036" s="9">
        <f t="shared" si="99"/>
        <v>4865985</v>
      </c>
      <c r="AD1036" s="9">
        <f t="shared" si="100"/>
        <v>4865985</v>
      </c>
      <c r="AE1036" s="1" t="s">
        <v>48</v>
      </c>
      <c r="AF1036" s="1" t="s">
        <v>45</v>
      </c>
      <c r="AG1036" s="4">
        <f t="shared" si="101"/>
        <v>63900</v>
      </c>
      <c r="AH1036" s="10">
        <v>63830</v>
      </c>
      <c r="AI1036" s="10">
        <v>0</v>
      </c>
      <c r="AJ1036" s="10">
        <v>0</v>
      </c>
      <c r="AK1036" s="10">
        <v>0</v>
      </c>
      <c r="AL1036" s="9">
        <f t="shared" si="102"/>
        <v>63830</v>
      </c>
      <c r="AM1036" s="1"/>
      <c r="AN1036" s="1"/>
      <c r="AO1036" s="12" t="e">
        <f>AB1036/#REF!</f>
        <v>#REF!</v>
      </c>
      <c r="AP1036" s="1"/>
      <c r="AQ1036" s="11">
        <v>41996</v>
      </c>
      <c r="AR1036" s="1" t="s">
        <v>3683</v>
      </c>
      <c r="AS1036" s="11">
        <v>41997</v>
      </c>
      <c r="AT1036" s="1" t="s">
        <v>49</v>
      </c>
      <c r="AU1036" s="1" t="s">
        <v>4171</v>
      </c>
    </row>
    <row r="1037" spans="1:47" ht="15" customHeight="1" x14ac:dyDescent="0.25">
      <c r="A1037" s="1">
        <v>1033</v>
      </c>
      <c r="B1037" s="1" t="s">
        <v>1258</v>
      </c>
      <c r="C1037" s="1" t="s">
        <v>38</v>
      </c>
      <c r="D1037" s="1" t="s">
        <v>2696</v>
      </c>
      <c r="E1037" s="5">
        <v>41960</v>
      </c>
      <c r="F1037" s="1" t="s">
        <v>912</v>
      </c>
      <c r="G1037" s="1" t="s">
        <v>40</v>
      </c>
      <c r="H1037" s="1" t="s">
        <v>41</v>
      </c>
      <c r="I1037" s="1" t="s">
        <v>2810</v>
      </c>
      <c r="J1037" s="1" t="s">
        <v>1116</v>
      </c>
      <c r="K1037" s="1">
        <v>38237090</v>
      </c>
      <c r="L1037" s="6">
        <v>169.58</v>
      </c>
      <c r="M1037" s="1" t="s">
        <v>70</v>
      </c>
      <c r="N1037" s="7" t="s">
        <v>67</v>
      </c>
      <c r="O1037" s="1" t="s">
        <v>1117</v>
      </c>
      <c r="P1037" s="8">
        <v>83850</v>
      </c>
      <c r="Q1037" s="17">
        <f t="shared" si="97"/>
        <v>14219283.000000002</v>
      </c>
      <c r="R1037" s="9">
        <v>0</v>
      </c>
      <c r="S1037" s="9">
        <v>0</v>
      </c>
      <c r="T1037" s="9">
        <f>L1037*5500</f>
        <v>932690.00000000012</v>
      </c>
      <c r="U1037" s="10">
        <v>0</v>
      </c>
      <c r="V1037" s="1" t="s">
        <v>46</v>
      </c>
      <c r="W1037" s="1" t="s">
        <v>361</v>
      </c>
      <c r="X1037" s="1">
        <v>6051641</v>
      </c>
      <c r="Y1037" s="24">
        <v>41957</v>
      </c>
      <c r="Z1037" s="11"/>
      <c r="AA1037" s="9">
        <f t="shared" si="98"/>
        <v>14219283.000000002</v>
      </c>
      <c r="AB1037" s="12">
        <v>1</v>
      </c>
      <c r="AC1037" s="9">
        <f t="shared" si="99"/>
        <v>14219283.000000002</v>
      </c>
      <c r="AD1037" s="9">
        <f t="shared" si="100"/>
        <v>14219283.000000002</v>
      </c>
      <c r="AE1037" s="1" t="s">
        <v>4162</v>
      </c>
      <c r="AF1037" s="1" t="s">
        <v>1117</v>
      </c>
      <c r="AG1037" s="4">
        <f t="shared" si="101"/>
        <v>14219283.000000002</v>
      </c>
      <c r="AH1037" s="10">
        <v>13803589</v>
      </c>
      <c r="AI1037" s="10"/>
      <c r="AJ1037" s="10"/>
      <c r="AK1037" s="10"/>
      <c r="AL1037" s="9">
        <f t="shared" si="102"/>
        <v>13803589</v>
      </c>
      <c r="AM1037" s="1"/>
      <c r="AN1037" s="1"/>
      <c r="AO1037" s="12"/>
      <c r="AP1037" s="1" t="s">
        <v>3934</v>
      </c>
      <c r="AQ1037" s="11" t="s">
        <v>3935</v>
      </c>
      <c r="AR1037" s="1" t="s">
        <v>3936</v>
      </c>
      <c r="AS1037" s="1" t="s">
        <v>3928</v>
      </c>
      <c r="AT1037" s="1" t="s">
        <v>49</v>
      </c>
      <c r="AU1037" s="1" t="s">
        <v>4171</v>
      </c>
    </row>
    <row r="1038" spans="1:47" ht="15" customHeight="1" x14ac:dyDescent="0.25">
      <c r="A1038" s="1">
        <v>1034</v>
      </c>
      <c r="B1038" s="1" t="s">
        <v>1258</v>
      </c>
      <c r="C1038" s="1" t="s">
        <v>38</v>
      </c>
      <c r="D1038" s="1" t="s">
        <v>2696</v>
      </c>
      <c r="E1038" s="5">
        <v>41960</v>
      </c>
      <c r="F1038" s="86" t="s">
        <v>905</v>
      </c>
      <c r="G1038" s="1" t="s">
        <v>40</v>
      </c>
      <c r="H1038" s="1" t="s">
        <v>41</v>
      </c>
      <c r="I1038" s="1" t="s">
        <v>2810</v>
      </c>
      <c r="J1038" s="1" t="s">
        <v>1116</v>
      </c>
      <c r="K1038" s="1">
        <v>38237090</v>
      </c>
      <c r="L1038" s="6">
        <v>18.52</v>
      </c>
      <c r="M1038" s="1" t="s">
        <v>70</v>
      </c>
      <c r="N1038" s="7" t="s">
        <v>67</v>
      </c>
      <c r="O1038" s="1" t="s">
        <v>1117</v>
      </c>
      <c r="P1038" s="8">
        <v>83850</v>
      </c>
      <c r="Q1038" s="17">
        <f t="shared" si="97"/>
        <v>1552902</v>
      </c>
      <c r="R1038" s="9">
        <v>0</v>
      </c>
      <c r="S1038" s="9">
        <v>0</v>
      </c>
      <c r="T1038" s="9">
        <f>L1038*5500</f>
        <v>101860</v>
      </c>
      <c r="U1038" s="10">
        <v>0</v>
      </c>
      <c r="V1038" s="1" t="s">
        <v>46</v>
      </c>
      <c r="W1038" s="1" t="s">
        <v>361</v>
      </c>
      <c r="X1038" s="1">
        <v>6051622</v>
      </c>
      <c r="Y1038" s="24">
        <v>41957</v>
      </c>
      <c r="Z1038" s="11"/>
      <c r="AA1038" s="9">
        <f t="shared" si="98"/>
        <v>1552902</v>
      </c>
      <c r="AB1038" s="12">
        <v>1</v>
      </c>
      <c r="AC1038" s="9">
        <f t="shared" si="99"/>
        <v>1552902</v>
      </c>
      <c r="AD1038" s="9">
        <f t="shared" si="100"/>
        <v>1552902</v>
      </c>
      <c r="AE1038" s="1" t="s">
        <v>4162</v>
      </c>
      <c r="AF1038" s="1" t="s">
        <v>1117</v>
      </c>
      <c r="AG1038" s="4">
        <f t="shared" si="101"/>
        <v>1552902</v>
      </c>
      <c r="AH1038" s="10">
        <v>3123412.5</v>
      </c>
      <c r="AI1038" s="10"/>
      <c r="AJ1038" s="10"/>
      <c r="AK1038" s="10"/>
      <c r="AL1038" s="9">
        <f t="shared" si="102"/>
        <v>3123412.5</v>
      </c>
      <c r="AM1038" s="1"/>
      <c r="AN1038" s="1"/>
      <c r="AO1038" s="12"/>
      <c r="AP1038" s="1" t="s">
        <v>3934</v>
      </c>
      <c r="AQ1038" s="11" t="s">
        <v>3935</v>
      </c>
      <c r="AR1038" s="1" t="s">
        <v>3933</v>
      </c>
      <c r="AS1038" s="1" t="s">
        <v>3928</v>
      </c>
      <c r="AT1038" s="1" t="s">
        <v>49</v>
      </c>
      <c r="AU1038" s="1" t="s">
        <v>4171</v>
      </c>
    </row>
    <row r="1039" spans="1:47" ht="15" customHeight="1" x14ac:dyDescent="0.25">
      <c r="A1039" s="1">
        <v>1068</v>
      </c>
      <c r="B1039" s="1" t="s">
        <v>1258</v>
      </c>
      <c r="C1039" s="1" t="s">
        <v>38</v>
      </c>
      <c r="D1039" s="1">
        <v>9103550871</v>
      </c>
      <c r="E1039" s="5">
        <v>41966</v>
      </c>
      <c r="F1039" s="86" t="s">
        <v>905</v>
      </c>
      <c r="G1039" s="1" t="s">
        <v>40</v>
      </c>
      <c r="H1039" s="1" t="s">
        <v>41</v>
      </c>
      <c r="I1039" s="1" t="s">
        <v>2810</v>
      </c>
      <c r="J1039" s="1" t="s">
        <v>1116</v>
      </c>
      <c r="K1039" s="1">
        <v>38237090</v>
      </c>
      <c r="L1039" s="6">
        <v>18.73</v>
      </c>
      <c r="M1039" s="1" t="s">
        <v>70</v>
      </c>
      <c r="N1039" s="7" t="s">
        <v>67</v>
      </c>
      <c r="O1039" s="1" t="s">
        <v>1117</v>
      </c>
      <c r="P1039" s="8">
        <v>83850</v>
      </c>
      <c r="Q1039" s="17">
        <f>+L1039*P1039</f>
        <v>1570510.5</v>
      </c>
      <c r="R1039" s="9">
        <v>0</v>
      </c>
      <c r="S1039" s="9">
        <v>0</v>
      </c>
      <c r="T1039" s="9">
        <f>L1039*5500</f>
        <v>103015</v>
      </c>
      <c r="U1039" s="10">
        <v>0</v>
      </c>
      <c r="V1039" s="1" t="s">
        <v>46</v>
      </c>
      <c r="W1039" s="1" t="s">
        <v>361</v>
      </c>
      <c r="X1039" s="1">
        <v>6051622</v>
      </c>
      <c r="Y1039" s="24">
        <v>41957</v>
      </c>
      <c r="Z1039" s="11"/>
      <c r="AA1039" s="9">
        <f>Q1039-R1039-S1039</f>
        <v>1570510.5</v>
      </c>
      <c r="AB1039" s="12">
        <v>1</v>
      </c>
      <c r="AC1039" s="9">
        <f>+Q1039*AB1039</f>
        <v>1570510.5</v>
      </c>
      <c r="AD1039" s="9">
        <f>+AA1039*AB1039</f>
        <v>1570510.5</v>
      </c>
      <c r="AE1039" s="1" t="s">
        <v>4162</v>
      </c>
      <c r="AF1039" s="1" t="s">
        <v>1117</v>
      </c>
      <c r="AG1039" s="4">
        <f t="shared" si="101"/>
        <v>1570510.5</v>
      </c>
      <c r="AH1039" s="10"/>
      <c r="AI1039" s="10"/>
      <c r="AJ1039" s="10"/>
      <c r="AK1039" s="10"/>
      <c r="AL1039" s="9">
        <f t="shared" si="102"/>
        <v>0</v>
      </c>
      <c r="AM1039" s="1"/>
      <c r="AN1039" s="1"/>
      <c r="AO1039" s="12"/>
      <c r="AP1039" s="1" t="s">
        <v>3934</v>
      </c>
      <c r="AQ1039" s="11" t="s">
        <v>3935</v>
      </c>
      <c r="AR1039" s="1" t="s">
        <v>3933</v>
      </c>
      <c r="AS1039" s="1" t="s">
        <v>3928</v>
      </c>
      <c r="AT1039" s="1" t="s">
        <v>49</v>
      </c>
      <c r="AU1039" s="1" t="s">
        <v>4171</v>
      </c>
    </row>
    <row r="1040" spans="1:47" ht="15" customHeight="1" x14ac:dyDescent="0.25">
      <c r="A1040" s="1">
        <v>1035</v>
      </c>
      <c r="B1040" s="1" t="s">
        <v>1258</v>
      </c>
      <c r="C1040" s="1" t="s">
        <v>38</v>
      </c>
      <c r="D1040" s="1">
        <v>9103550839</v>
      </c>
      <c r="E1040" s="5">
        <v>41961</v>
      </c>
      <c r="F1040" s="1" t="s">
        <v>922</v>
      </c>
      <c r="G1040" s="1" t="s">
        <v>40</v>
      </c>
      <c r="H1040" s="1" t="s">
        <v>41</v>
      </c>
      <c r="I1040" s="1" t="s">
        <v>2809</v>
      </c>
      <c r="J1040" s="2" t="s">
        <v>58</v>
      </c>
      <c r="K1040" s="1">
        <v>29159020</v>
      </c>
      <c r="L1040" s="6">
        <v>37.869999999999997</v>
      </c>
      <c r="M1040" s="1" t="s">
        <v>70</v>
      </c>
      <c r="N1040" s="7" t="s">
        <v>333</v>
      </c>
      <c r="O1040" s="1" t="s">
        <v>45</v>
      </c>
      <c r="P1040" s="8">
        <v>3590</v>
      </c>
      <c r="Q1040" s="17">
        <f t="shared" si="97"/>
        <v>135953.29999999999</v>
      </c>
      <c r="R1040" s="9">
        <v>2799.08</v>
      </c>
      <c r="S1040" s="9">
        <v>19.440000000000001</v>
      </c>
      <c r="T1040" s="9">
        <v>2586.52</v>
      </c>
      <c r="U1040" s="10">
        <v>0</v>
      </c>
      <c r="V1040" s="1" t="s">
        <v>46</v>
      </c>
      <c r="W1040" s="1" t="s">
        <v>59</v>
      </c>
      <c r="X1040" s="1">
        <v>6052735</v>
      </c>
      <c r="Y1040" s="24">
        <v>41957</v>
      </c>
      <c r="Z1040" s="11"/>
      <c r="AA1040" s="9">
        <f t="shared" si="98"/>
        <v>133134.78</v>
      </c>
      <c r="AB1040" s="12">
        <v>76.150000000000006</v>
      </c>
      <c r="AC1040" s="9">
        <f t="shared" si="99"/>
        <v>10352843.795</v>
      </c>
      <c r="AD1040" s="9">
        <f t="shared" si="100"/>
        <v>10138213.497000001</v>
      </c>
      <c r="AE1040" s="1" t="s">
        <v>284</v>
      </c>
      <c r="AF1040" s="1" t="s">
        <v>45</v>
      </c>
      <c r="AG1040" s="4">
        <f t="shared" si="101"/>
        <v>135953.29999999999</v>
      </c>
      <c r="AH1040" s="10">
        <v>135729.37</v>
      </c>
      <c r="AI1040" s="10">
        <v>3010.48</v>
      </c>
      <c r="AJ1040" s="10">
        <v>19.440000000000001</v>
      </c>
      <c r="AK1040" s="10">
        <v>0</v>
      </c>
      <c r="AL1040" s="9">
        <f t="shared" si="102"/>
        <v>132699.44999999998</v>
      </c>
      <c r="AM1040" s="1"/>
      <c r="AN1040" s="1"/>
      <c r="AO1040" s="12" t="e">
        <f>AB1040/#REF!</f>
        <v>#REF!</v>
      </c>
      <c r="AP1040" s="1" t="s">
        <v>2697</v>
      </c>
      <c r="AQ1040" s="11">
        <v>41983</v>
      </c>
      <c r="AR1040" s="1" t="s">
        <v>2698</v>
      </c>
      <c r="AS1040" s="11">
        <v>41983</v>
      </c>
      <c r="AT1040" s="1" t="s">
        <v>49</v>
      </c>
      <c r="AU1040" s="1" t="s">
        <v>4171</v>
      </c>
    </row>
    <row r="1041" spans="1:47" ht="15" customHeight="1" x14ac:dyDescent="0.25">
      <c r="A1041" s="1">
        <v>1036</v>
      </c>
      <c r="B1041" s="1" t="s">
        <v>1258</v>
      </c>
      <c r="C1041" s="1" t="s">
        <v>38</v>
      </c>
      <c r="D1041" s="1">
        <v>9103550840</v>
      </c>
      <c r="E1041" s="5">
        <v>41961</v>
      </c>
      <c r="F1041" s="1" t="s">
        <v>929</v>
      </c>
      <c r="G1041" s="1" t="s">
        <v>40</v>
      </c>
      <c r="H1041" s="1" t="s">
        <v>41</v>
      </c>
      <c r="I1041" s="1" t="s">
        <v>2809</v>
      </c>
      <c r="J1041" s="1" t="s">
        <v>63</v>
      </c>
      <c r="K1041" s="1">
        <v>38231200</v>
      </c>
      <c r="L1041" s="6">
        <v>39.22</v>
      </c>
      <c r="M1041" s="1" t="s">
        <v>70</v>
      </c>
      <c r="N1041" s="7" t="s">
        <v>44</v>
      </c>
      <c r="O1041" s="1" t="s">
        <v>53</v>
      </c>
      <c r="P1041" s="8">
        <v>1330</v>
      </c>
      <c r="Q1041" s="17">
        <f t="shared" si="97"/>
        <v>52162.6</v>
      </c>
      <c r="R1041" s="9">
        <v>800</v>
      </c>
      <c r="S1041" s="9">
        <v>7.46</v>
      </c>
      <c r="T1041" s="9">
        <v>0</v>
      </c>
      <c r="U1041" s="10">
        <v>0</v>
      </c>
      <c r="V1041" s="1" t="s">
        <v>46</v>
      </c>
      <c r="W1041" s="1" t="s">
        <v>64</v>
      </c>
      <c r="X1041" s="1">
        <v>6054450</v>
      </c>
      <c r="Y1041" s="24">
        <v>41957</v>
      </c>
      <c r="Z1041" s="11"/>
      <c r="AA1041" s="9">
        <f t="shared" si="98"/>
        <v>51355.14</v>
      </c>
      <c r="AB1041" s="12">
        <v>60.9</v>
      </c>
      <c r="AC1041" s="9">
        <f t="shared" si="99"/>
        <v>3176702.34</v>
      </c>
      <c r="AD1041" s="9">
        <f t="shared" si="100"/>
        <v>3127528.0260000001</v>
      </c>
      <c r="AE1041" s="1" t="s">
        <v>51</v>
      </c>
      <c r="AF1041" s="1" t="s">
        <v>53</v>
      </c>
      <c r="AG1041" s="4">
        <f t="shared" si="101"/>
        <v>52162.6</v>
      </c>
      <c r="AH1041" s="10">
        <v>52121</v>
      </c>
      <c r="AI1041" s="10">
        <v>712</v>
      </c>
      <c r="AJ1041" s="10">
        <v>7.46</v>
      </c>
      <c r="AK1041" s="10">
        <v>0</v>
      </c>
      <c r="AL1041" s="9">
        <f t="shared" si="102"/>
        <v>51401.54</v>
      </c>
      <c r="AM1041" s="1"/>
      <c r="AN1041" s="1"/>
      <c r="AO1041" s="12" t="e">
        <f>AB1041/#REF!</f>
        <v>#REF!</v>
      </c>
      <c r="AP1041" s="1"/>
      <c r="AQ1041" s="11">
        <v>41992</v>
      </c>
      <c r="AR1041" s="1" t="s">
        <v>3630</v>
      </c>
      <c r="AS1041" s="11">
        <v>42017</v>
      </c>
      <c r="AT1041" s="1" t="s">
        <v>49</v>
      </c>
      <c r="AU1041" s="1" t="s">
        <v>4171</v>
      </c>
    </row>
    <row r="1042" spans="1:47" ht="15" customHeight="1" x14ac:dyDescent="0.25">
      <c r="A1042" s="1">
        <v>1037</v>
      </c>
      <c r="B1042" s="1" t="s">
        <v>1258</v>
      </c>
      <c r="C1042" s="1" t="s">
        <v>38</v>
      </c>
      <c r="D1042" s="1">
        <v>9103550841</v>
      </c>
      <c r="E1042" s="5">
        <v>41962</v>
      </c>
      <c r="F1042" s="1" t="s">
        <v>913</v>
      </c>
      <c r="G1042" s="1" t="s">
        <v>40</v>
      </c>
      <c r="H1042" s="1" t="s">
        <v>41</v>
      </c>
      <c r="I1042" s="1" t="s">
        <v>2809</v>
      </c>
      <c r="J1042" s="1" t="s">
        <v>1747</v>
      </c>
      <c r="K1042" s="1">
        <v>38237090</v>
      </c>
      <c r="L1042" s="6">
        <v>12</v>
      </c>
      <c r="M1042" s="1" t="s">
        <v>70</v>
      </c>
      <c r="N1042" s="7" t="s">
        <v>44</v>
      </c>
      <c r="O1042" s="1" t="s">
        <v>53</v>
      </c>
      <c r="P1042" s="8">
        <v>1510</v>
      </c>
      <c r="Q1042" s="17">
        <f t="shared" si="97"/>
        <v>18120</v>
      </c>
      <c r="R1042" s="9">
        <f>860/13*12</f>
        <v>793.84615384615392</v>
      </c>
      <c r="S1042" s="9">
        <v>2.59</v>
      </c>
      <c r="T1042" s="9">
        <v>0</v>
      </c>
      <c r="U1042" s="10">
        <v>0</v>
      </c>
      <c r="V1042" s="1" t="s">
        <v>46</v>
      </c>
      <c r="W1042" s="1" t="s">
        <v>137</v>
      </c>
      <c r="X1042" s="1">
        <v>6058219</v>
      </c>
      <c r="Y1042" s="24">
        <v>41957</v>
      </c>
      <c r="Z1042" s="11"/>
      <c r="AA1042" s="9">
        <f t="shared" si="98"/>
        <v>17323.563846153847</v>
      </c>
      <c r="AB1042" s="12">
        <v>60.9</v>
      </c>
      <c r="AC1042" s="9">
        <f t="shared" si="99"/>
        <v>1103508</v>
      </c>
      <c r="AD1042" s="9">
        <f t="shared" si="100"/>
        <v>1055005.0382307693</v>
      </c>
      <c r="AE1042" s="1" t="s">
        <v>48</v>
      </c>
      <c r="AF1042" s="1" t="s">
        <v>53</v>
      </c>
      <c r="AG1042" s="4">
        <f t="shared" si="101"/>
        <v>18120</v>
      </c>
      <c r="AH1042" s="10">
        <v>18110</v>
      </c>
      <c r="AI1042" s="9">
        <v>775</v>
      </c>
      <c r="AJ1042" s="9">
        <v>2.59</v>
      </c>
      <c r="AK1042" s="10">
        <v>0</v>
      </c>
      <c r="AL1042" s="9">
        <f t="shared" si="102"/>
        <v>17332.41</v>
      </c>
      <c r="AM1042" s="1"/>
      <c r="AN1042" s="1"/>
      <c r="AO1042" s="12" t="e">
        <f>AB1042/#REF!</f>
        <v>#REF!</v>
      </c>
      <c r="AP1042" s="1"/>
      <c r="AQ1042" s="11">
        <v>41981</v>
      </c>
      <c r="AR1042" s="1" t="s">
        <v>3380</v>
      </c>
      <c r="AS1042" s="11">
        <v>41982</v>
      </c>
      <c r="AT1042" s="1" t="s">
        <v>49</v>
      </c>
      <c r="AU1042" s="1" t="s">
        <v>4171</v>
      </c>
    </row>
    <row r="1043" spans="1:47" ht="15" customHeight="1" x14ac:dyDescent="0.25">
      <c r="A1043" s="1">
        <v>1038</v>
      </c>
      <c r="B1043" s="1" t="s">
        <v>1258</v>
      </c>
      <c r="C1043" s="1" t="s">
        <v>38</v>
      </c>
      <c r="D1043" s="1">
        <v>9103550841</v>
      </c>
      <c r="E1043" s="5">
        <v>41962</v>
      </c>
      <c r="F1043" s="1" t="s">
        <v>913</v>
      </c>
      <c r="G1043" s="1" t="s">
        <v>40</v>
      </c>
      <c r="H1043" s="1" t="s">
        <v>41</v>
      </c>
      <c r="I1043" s="1" t="s">
        <v>2809</v>
      </c>
      <c r="J1043" s="1" t="s">
        <v>1747</v>
      </c>
      <c r="K1043" s="1">
        <v>29051700</v>
      </c>
      <c r="L1043" s="6">
        <v>1</v>
      </c>
      <c r="M1043" s="1" t="s">
        <v>70</v>
      </c>
      <c r="N1043" s="7" t="s">
        <v>44</v>
      </c>
      <c r="O1043" s="1" t="s">
        <v>53</v>
      </c>
      <c r="P1043" s="8">
        <v>1550</v>
      </c>
      <c r="Q1043" s="17">
        <f t="shared" si="97"/>
        <v>1550</v>
      </c>
      <c r="R1043" s="9">
        <f>860/13*1</f>
        <v>66.15384615384616</v>
      </c>
      <c r="S1043" s="9">
        <f>2.81-2.59</f>
        <v>0.2200000000000002</v>
      </c>
      <c r="T1043" s="9">
        <v>0</v>
      </c>
      <c r="U1043" s="10">
        <v>0</v>
      </c>
      <c r="V1043" s="1" t="s">
        <v>46</v>
      </c>
      <c r="W1043" s="1" t="s">
        <v>137</v>
      </c>
      <c r="X1043" s="1">
        <v>6058219</v>
      </c>
      <c r="Y1043" s="24">
        <v>41957</v>
      </c>
      <c r="Z1043" s="11"/>
      <c r="AA1043" s="9">
        <f t="shared" si="98"/>
        <v>1483.6261538461538</v>
      </c>
      <c r="AB1043" s="12">
        <v>60.9</v>
      </c>
      <c r="AC1043" s="9">
        <f t="shared" si="99"/>
        <v>94395</v>
      </c>
      <c r="AD1043" s="9">
        <f t="shared" si="100"/>
        <v>90352.832769230765</v>
      </c>
      <c r="AE1043" s="1" t="s">
        <v>48</v>
      </c>
      <c r="AF1043" s="1" t="s">
        <v>53</v>
      </c>
      <c r="AG1043" s="4">
        <f t="shared" si="101"/>
        <v>1550</v>
      </c>
      <c r="AH1043" s="10">
        <v>1545</v>
      </c>
      <c r="AI1043" s="9">
        <v>60</v>
      </c>
      <c r="AJ1043" s="9">
        <f>2.81-2.59</f>
        <v>0.2200000000000002</v>
      </c>
      <c r="AK1043" s="10">
        <v>0</v>
      </c>
      <c r="AL1043" s="9">
        <f t="shared" si="102"/>
        <v>1484.78</v>
      </c>
      <c r="AM1043" s="1"/>
      <c r="AN1043" s="1"/>
      <c r="AO1043" s="12" t="e">
        <f>AB1043/#REF!</f>
        <v>#REF!</v>
      </c>
      <c r="AP1043" s="1"/>
      <c r="AQ1043" s="11">
        <v>41981</v>
      </c>
      <c r="AR1043" s="1" t="s">
        <v>3380</v>
      </c>
      <c r="AS1043" s="11">
        <v>41982</v>
      </c>
      <c r="AT1043" s="1" t="s">
        <v>49</v>
      </c>
      <c r="AU1043" s="1" t="s">
        <v>4171</v>
      </c>
    </row>
    <row r="1044" spans="1:47" ht="15" customHeight="1" x14ac:dyDescent="0.25">
      <c r="A1044" s="1">
        <v>1039</v>
      </c>
      <c r="B1044" s="1" t="s">
        <v>1258</v>
      </c>
      <c r="C1044" s="1" t="s">
        <v>38</v>
      </c>
      <c r="D1044" s="1">
        <v>9103550842</v>
      </c>
      <c r="E1044" s="5">
        <v>41963</v>
      </c>
      <c r="F1044" s="1" t="s">
        <v>916</v>
      </c>
      <c r="G1044" s="1" t="s">
        <v>40</v>
      </c>
      <c r="H1044" s="1" t="s">
        <v>41</v>
      </c>
      <c r="I1044" s="1" t="s">
        <v>2809</v>
      </c>
      <c r="J1044" s="1" t="s">
        <v>2690</v>
      </c>
      <c r="K1044" s="1">
        <v>38237090</v>
      </c>
      <c r="L1044" s="6">
        <v>17.600000000000001</v>
      </c>
      <c r="M1044" s="1" t="s">
        <v>70</v>
      </c>
      <c r="N1044" s="7" t="s">
        <v>44</v>
      </c>
      <c r="O1044" s="1" t="s">
        <v>53</v>
      </c>
      <c r="P1044" s="8">
        <v>1705</v>
      </c>
      <c r="Q1044" s="17">
        <f t="shared" si="97"/>
        <v>30008.000000000004</v>
      </c>
      <c r="R1044" s="9">
        <v>1175</v>
      </c>
      <c r="S1044" s="9">
        <v>4.29</v>
      </c>
      <c r="T1044" s="9">
        <v>0</v>
      </c>
      <c r="U1044" s="10">
        <v>0</v>
      </c>
      <c r="V1044" s="1" t="s">
        <v>46</v>
      </c>
      <c r="W1044" s="1" t="s">
        <v>205</v>
      </c>
      <c r="X1044" s="1">
        <v>6061464</v>
      </c>
      <c r="Y1044" s="24">
        <v>41957</v>
      </c>
      <c r="Z1044" s="11"/>
      <c r="AA1044" s="9">
        <f t="shared" si="98"/>
        <v>28828.710000000003</v>
      </c>
      <c r="AB1044" s="12">
        <v>60.9</v>
      </c>
      <c r="AC1044" s="9">
        <f t="shared" si="99"/>
        <v>1827487.2000000002</v>
      </c>
      <c r="AD1044" s="9">
        <f t="shared" si="100"/>
        <v>1755668.439</v>
      </c>
      <c r="AE1044" s="1" t="s">
        <v>48</v>
      </c>
      <c r="AF1044" s="1" t="s">
        <v>53</v>
      </c>
      <c r="AG1044" s="4">
        <f t="shared" si="101"/>
        <v>30008.000000000004</v>
      </c>
      <c r="AH1044" s="10">
        <v>29993</v>
      </c>
      <c r="AI1044" s="10">
        <v>1170</v>
      </c>
      <c r="AJ1044" s="10">
        <v>4.29</v>
      </c>
      <c r="AK1044" s="10">
        <v>0</v>
      </c>
      <c r="AL1044" s="9">
        <f t="shared" si="102"/>
        <v>28818.71</v>
      </c>
      <c r="AM1044" s="1"/>
      <c r="AN1044" s="1"/>
      <c r="AO1044" s="12" t="e">
        <f>AB1044/#REF!</f>
        <v>#REF!</v>
      </c>
      <c r="AP1044" s="1"/>
      <c r="AQ1044" s="11">
        <v>41996</v>
      </c>
      <c r="AR1044" s="1" t="s">
        <v>3381</v>
      </c>
      <c r="AS1044" s="11">
        <v>41997</v>
      </c>
      <c r="AT1044" s="1" t="s">
        <v>49</v>
      </c>
      <c r="AU1044" s="1" t="s">
        <v>4171</v>
      </c>
    </row>
    <row r="1045" spans="1:47" ht="15" customHeight="1" x14ac:dyDescent="0.25">
      <c r="A1045" s="1">
        <v>1040</v>
      </c>
      <c r="B1045" s="1" t="s">
        <v>1258</v>
      </c>
      <c r="C1045" s="1" t="s">
        <v>38</v>
      </c>
      <c r="D1045" s="1">
        <v>9103550843</v>
      </c>
      <c r="E1045" s="5">
        <v>41963</v>
      </c>
      <c r="F1045" s="1" t="s">
        <v>914</v>
      </c>
      <c r="G1045" s="1" t="s">
        <v>40</v>
      </c>
      <c r="H1045" s="1" t="s">
        <v>41</v>
      </c>
      <c r="I1045" s="1" t="s">
        <v>2809</v>
      </c>
      <c r="J1045" s="1" t="s">
        <v>2690</v>
      </c>
      <c r="K1045" s="1">
        <v>38237090</v>
      </c>
      <c r="L1045" s="6">
        <v>11.6</v>
      </c>
      <c r="M1045" s="1" t="s">
        <v>70</v>
      </c>
      <c r="N1045" s="7" t="s">
        <v>44</v>
      </c>
      <c r="O1045" s="1" t="s">
        <v>53</v>
      </c>
      <c r="P1045" s="8">
        <v>1705</v>
      </c>
      <c r="Q1045" s="17">
        <f t="shared" si="97"/>
        <v>19778</v>
      </c>
      <c r="R1045" s="9">
        <f>1175/17.6*11.6</f>
        <v>774.43181818181802</v>
      </c>
      <c r="S1045" s="9">
        <f>21755.8*0.013%</f>
        <v>2.8282539999999998</v>
      </c>
      <c r="T1045" s="9">
        <v>0</v>
      </c>
      <c r="U1045" s="10">
        <v>0</v>
      </c>
      <c r="V1045" s="1" t="s">
        <v>46</v>
      </c>
      <c r="W1045" s="1" t="s">
        <v>205</v>
      </c>
      <c r="X1045" s="1">
        <v>6063001</v>
      </c>
      <c r="Y1045" s="24">
        <v>41957</v>
      </c>
      <c r="Z1045" s="11"/>
      <c r="AA1045" s="9">
        <f t="shared" si="98"/>
        <v>19000.739927818184</v>
      </c>
      <c r="AB1045" s="12">
        <v>60.9</v>
      </c>
      <c r="AC1045" s="9">
        <f t="shared" si="99"/>
        <v>1204480.2</v>
      </c>
      <c r="AD1045" s="9">
        <f t="shared" si="100"/>
        <v>1157145.0616041273</v>
      </c>
      <c r="AE1045" s="1" t="s">
        <v>48</v>
      </c>
      <c r="AF1045" s="1" t="s">
        <v>53</v>
      </c>
      <c r="AG1045" s="4">
        <f t="shared" si="101"/>
        <v>19778</v>
      </c>
      <c r="AH1045" s="10">
        <v>19784</v>
      </c>
      <c r="AI1045" s="10">
        <v>735.7</v>
      </c>
      <c r="AJ1045" s="10">
        <v>2.83</v>
      </c>
      <c r="AK1045" s="10">
        <v>0</v>
      </c>
      <c r="AL1045" s="9">
        <f t="shared" si="102"/>
        <v>19045.47</v>
      </c>
      <c r="AM1045" s="1"/>
      <c r="AN1045" s="1"/>
      <c r="AO1045" s="12" t="e">
        <f>AB1045/#REF!</f>
        <v>#REF!</v>
      </c>
      <c r="AP1045" s="1"/>
      <c r="AQ1045" s="11">
        <v>41989</v>
      </c>
      <c r="AR1045" s="1" t="s">
        <v>3382</v>
      </c>
      <c r="AS1045" s="11">
        <v>41992</v>
      </c>
      <c r="AT1045" s="1" t="s">
        <v>49</v>
      </c>
      <c r="AU1045" s="1" t="s">
        <v>4171</v>
      </c>
    </row>
    <row r="1046" spans="1:47" ht="15" customHeight="1" x14ac:dyDescent="0.25">
      <c r="A1046" s="1">
        <v>1041</v>
      </c>
      <c r="B1046" s="1" t="s">
        <v>1258</v>
      </c>
      <c r="C1046" s="1" t="s">
        <v>38</v>
      </c>
      <c r="D1046" s="1">
        <v>9103550843</v>
      </c>
      <c r="E1046" s="5">
        <v>41963</v>
      </c>
      <c r="F1046" s="1" t="s">
        <v>914</v>
      </c>
      <c r="G1046" s="1" t="s">
        <v>40</v>
      </c>
      <c r="H1046" s="1" t="s">
        <v>41</v>
      </c>
      <c r="I1046" s="1" t="s">
        <v>2809</v>
      </c>
      <c r="J1046" s="1" t="s">
        <v>2690</v>
      </c>
      <c r="K1046" s="1">
        <v>29051700</v>
      </c>
      <c r="L1046" s="6">
        <v>6</v>
      </c>
      <c r="M1046" s="1" t="s">
        <v>70</v>
      </c>
      <c r="N1046" s="7" t="s">
        <v>44</v>
      </c>
      <c r="O1046" s="1" t="s">
        <v>53</v>
      </c>
      <c r="P1046" s="8">
        <v>1950</v>
      </c>
      <c r="Q1046" s="17">
        <f t="shared" si="97"/>
        <v>11700</v>
      </c>
      <c r="R1046" s="9">
        <f>1175/17.6*6</f>
        <v>400.56818181818176</v>
      </c>
      <c r="S1046" s="9">
        <f>12870*0.013%</f>
        <v>1.6730999999999998</v>
      </c>
      <c r="T1046" s="9">
        <v>0</v>
      </c>
      <c r="U1046" s="10">
        <v>0</v>
      </c>
      <c r="V1046" s="1" t="s">
        <v>46</v>
      </c>
      <c r="W1046" s="1" t="s">
        <v>205</v>
      </c>
      <c r="X1046" s="1">
        <v>6063001</v>
      </c>
      <c r="Y1046" s="24">
        <v>41957</v>
      </c>
      <c r="Z1046" s="11"/>
      <c r="AA1046" s="9">
        <f t="shared" si="98"/>
        <v>11297.758718181818</v>
      </c>
      <c r="AB1046" s="12">
        <v>60.9</v>
      </c>
      <c r="AC1046" s="9">
        <f t="shared" si="99"/>
        <v>712530</v>
      </c>
      <c r="AD1046" s="9">
        <f t="shared" si="100"/>
        <v>688033.50593727268</v>
      </c>
      <c r="AE1046" s="1" t="s">
        <v>48</v>
      </c>
      <c r="AF1046" s="1" t="s">
        <v>53</v>
      </c>
      <c r="AG1046" s="4">
        <f t="shared" si="101"/>
        <v>11700</v>
      </c>
      <c r="AH1046" s="10">
        <v>11679</v>
      </c>
      <c r="AI1046" s="10">
        <v>434.3</v>
      </c>
      <c r="AJ1046" s="10">
        <v>1.67</v>
      </c>
      <c r="AK1046" s="10">
        <v>0</v>
      </c>
      <c r="AL1046" s="9">
        <f t="shared" si="102"/>
        <v>11243.03</v>
      </c>
      <c r="AM1046" s="1"/>
      <c r="AN1046" s="1"/>
      <c r="AO1046" s="12" t="e">
        <f>AB1046/#REF!</f>
        <v>#REF!</v>
      </c>
      <c r="AP1046" s="1"/>
      <c r="AQ1046" s="11">
        <v>41989</v>
      </c>
      <c r="AR1046" s="1" t="s">
        <v>3382</v>
      </c>
      <c r="AS1046" s="11">
        <v>41992</v>
      </c>
      <c r="AT1046" s="1" t="s">
        <v>49</v>
      </c>
      <c r="AU1046" s="1" t="s">
        <v>4171</v>
      </c>
    </row>
    <row r="1047" spans="1:47" ht="15" customHeight="1" x14ac:dyDescent="0.25">
      <c r="A1047" s="1">
        <v>1042</v>
      </c>
      <c r="B1047" s="1" t="s">
        <v>1258</v>
      </c>
      <c r="C1047" s="1" t="s">
        <v>38</v>
      </c>
      <c r="D1047" s="1" t="s">
        <v>2699</v>
      </c>
      <c r="E1047" s="5">
        <v>41963</v>
      </c>
      <c r="F1047" s="1" t="s">
        <v>907</v>
      </c>
      <c r="G1047" s="1" t="s">
        <v>40</v>
      </c>
      <c r="H1047" s="1" t="s">
        <v>41</v>
      </c>
      <c r="I1047" s="1" t="s">
        <v>2809</v>
      </c>
      <c r="J1047" s="2" t="s">
        <v>58</v>
      </c>
      <c r="K1047" s="1">
        <v>38231900</v>
      </c>
      <c r="L1047" s="6">
        <v>19.79</v>
      </c>
      <c r="M1047" s="1" t="s">
        <v>70</v>
      </c>
      <c r="N1047" s="7" t="s">
        <v>333</v>
      </c>
      <c r="O1047" s="1" t="s">
        <v>45</v>
      </c>
      <c r="P1047" s="8">
        <v>2921</v>
      </c>
      <c r="Q1047" s="17">
        <f t="shared" si="97"/>
        <v>57806.59</v>
      </c>
      <c r="R1047" s="9">
        <v>1399.54</v>
      </c>
      <c r="S1047" s="9">
        <v>8.27</v>
      </c>
      <c r="T1047" s="9">
        <v>1092.4100000000001</v>
      </c>
      <c r="U1047" s="10">
        <v>0</v>
      </c>
      <c r="V1047" s="1" t="s">
        <v>46</v>
      </c>
      <c r="W1047" s="1" t="s">
        <v>59</v>
      </c>
      <c r="X1047" s="1">
        <v>6044079</v>
      </c>
      <c r="Y1047" s="24">
        <v>41956</v>
      </c>
      <c r="Z1047" s="11"/>
      <c r="AA1047" s="9">
        <f t="shared" si="98"/>
        <v>56398.78</v>
      </c>
      <c r="AB1047" s="12">
        <v>76.150000000000006</v>
      </c>
      <c r="AC1047" s="9">
        <f t="shared" si="99"/>
        <v>4401971.8284999998</v>
      </c>
      <c r="AD1047" s="9">
        <f t="shared" si="100"/>
        <v>4294767.0970000001</v>
      </c>
      <c r="AE1047" s="1" t="s">
        <v>284</v>
      </c>
      <c r="AF1047" s="1" t="s">
        <v>45</v>
      </c>
      <c r="AG1047" s="4">
        <f t="shared" si="101"/>
        <v>57806.59</v>
      </c>
      <c r="AH1047" s="10">
        <v>57806.59</v>
      </c>
      <c r="AI1047" s="10">
        <v>1505.23</v>
      </c>
      <c r="AJ1047" s="10">
        <v>8.27</v>
      </c>
      <c r="AK1047" s="10">
        <v>1092.4100000000001</v>
      </c>
      <c r="AL1047" s="9">
        <f t="shared" si="102"/>
        <v>55200.679999999993</v>
      </c>
      <c r="AM1047" s="1"/>
      <c r="AN1047" s="1"/>
      <c r="AO1047" s="12" t="e">
        <f>AB1047/#REF!</f>
        <v>#REF!</v>
      </c>
      <c r="AP1047" s="1"/>
      <c r="AQ1047" s="11">
        <v>41983</v>
      </c>
      <c r="AR1047" s="1" t="s">
        <v>3718</v>
      </c>
      <c r="AS1047" s="11">
        <v>41983</v>
      </c>
      <c r="AT1047" s="1" t="s">
        <v>49</v>
      </c>
      <c r="AU1047" s="1" t="s">
        <v>4171</v>
      </c>
    </row>
    <row r="1048" spans="1:47" ht="15" customHeight="1" x14ac:dyDescent="0.25">
      <c r="A1048" s="1">
        <v>1043</v>
      </c>
      <c r="B1048" s="1" t="s">
        <v>1258</v>
      </c>
      <c r="C1048" s="1" t="s">
        <v>38</v>
      </c>
      <c r="D1048" s="1" t="s">
        <v>2699</v>
      </c>
      <c r="E1048" s="5">
        <v>41963</v>
      </c>
      <c r="F1048" s="1" t="s">
        <v>930</v>
      </c>
      <c r="G1048" s="1" t="s">
        <v>40</v>
      </c>
      <c r="H1048" s="1" t="s">
        <v>41</v>
      </c>
      <c r="I1048" s="1" t="s">
        <v>2809</v>
      </c>
      <c r="J1048" s="2" t="s">
        <v>58</v>
      </c>
      <c r="K1048" s="1">
        <v>38231900</v>
      </c>
      <c r="L1048" s="6">
        <v>19.03</v>
      </c>
      <c r="M1048" s="1" t="s">
        <v>70</v>
      </c>
      <c r="N1048" s="7" t="s">
        <v>333</v>
      </c>
      <c r="O1048" s="1" t="s">
        <v>45</v>
      </c>
      <c r="P1048" s="8">
        <v>2921</v>
      </c>
      <c r="Q1048" s="17">
        <f t="shared" si="97"/>
        <v>55586.630000000005</v>
      </c>
      <c r="R1048" s="9">
        <v>1399.54</v>
      </c>
      <c r="S1048" s="9">
        <v>7.95</v>
      </c>
      <c r="T1048" s="9">
        <v>1050.46</v>
      </c>
      <c r="U1048" s="10">
        <v>0</v>
      </c>
      <c r="V1048" s="1" t="s">
        <v>46</v>
      </c>
      <c r="W1048" s="1" t="s">
        <v>59</v>
      </c>
      <c r="X1048" s="1">
        <v>6063867</v>
      </c>
      <c r="Y1048" s="24">
        <v>41957</v>
      </c>
      <c r="Z1048" s="11"/>
      <c r="AA1048" s="9">
        <f t="shared" si="98"/>
        <v>54179.140000000007</v>
      </c>
      <c r="AB1048" s="12">
        <v>76.150000000000006</v>
      </c>
      <c r="AC1048" s="9">
        <f t="shared" si="99"/>
        <v>4232921.8745000008</v>
      </c>
      <c r="AD1048" s="9">
        <f t="shared" si="100"/>
        <v>4125741.5110000009</v>
      </c>
      <c r="AE1048" s="1" t="s">
        <v>284</v>
      </c>
      <c r="AF1048" s="1" t="s">
        <v>45</v>
      </c>
      <c r="AG1048" s="4">
        <f t="shared" si="101"/>
        <v>55586.630000000005</v>
      </c>
      <c r="AH1048" s="10">
        <v>55396.54</v>
      </c>
      <c r="AI1048" s="10">
        <v>1505.23</v>
      </c>
      <c r="AJ1048" s="10">
        <v>7.95</v>
      </c>
      <c r="AK1048" s="10">
        <v>1050.46</v>
      </c>
      <c r="AL1048" s="9">
        <f t="shared" si="102"/>
        <v>52832.9</v>
      </c>
      <c r="AM1048" s="1"/>
      <c r="AN1048" s="1"/>
      <c r="AO1048" s="12" t="e">
        <f>AB1048/#REF!</f>
        <v>#REF!</v>
      </c>
      <c r="AP1048" s="1"/>
      <c r="AQ1048" s="11">
        <v>41983</v>
      </c>
      <c r="AR1048" s="1" t="s">
        <v>3719</v>
      </c>
      <c r="AS1048" s="11">
        <v>41983</v>
      </c>
      <c r="AT1048" s="1" t="s">
        <v>49</v>
      </c>
      <c r="AU1048" s="1" t="s">
        <v>4171</v>
      </c>
    </row>
    <row r="1049" spans="1:47" ht="15" customHeight="1" x14ac:dyDescent="0.25">
      <c r="A1049" s="1">
        <v>1044</v>
      </c>
      <c r="B1049" s="1" t="s">
        <v>1258</v>
      </c>
      <c r="C1049" s="1" t="s">
        <v>38</v>
      </c>
      <c r="D1049" s="1">
        <v>9103550846</v>
      </c>
      <c r="E1049" s="5">
        <v>41965</v>
      </c>
      <c r="F1049" s="1" t="s">
        <v>920</v>
      </c>
      <c r="G1049" s="1" t="s">
        <v>40</v>
      </c>
      <c r="H1049" s="1" t="s">
        <v>41</v>
      </c>
      <c r="I1049" s="1" t="s">
        <v>2809</v>
      </c>
      <c r="J1049" s="1" t="s">
        <v>2641</v>
      </c>
      <c r="K1049" s="1">
        <v>38237090</v>
      </c>
      <c r="L1049" s="6">
        <v>95.24</v>
      </c>
      <c r="M1049" s="1" t="s">
        <v>70</v>
      </c>
      <c r="N1049" s="7" t="s">
        <v>44</v>
      </c>
      <c r="O1049" s="1" t="s">
        <v>53</v>
      </c>
      <c r="P1049" s="8">
        <v>1195</v>
      </c>
      <c r="Q1049" s="17">
        <f t="shared" si="97"/>
        <v>113811.79999999999</v>
      </c>
      <c r="R1049" s="9">
        <v>3800</v>
      </c>
      <c r="S1049" s="9">
        <v>16.28</v>
      </c>
      <c r="T1049" s="9">
        <v>0</v>
      </c>
      <c r="U1049" s="10">
        <v>0</v>
      </c>
      <c r="V1049" s="1" t="s">
        <v>46</v>
      </c>
      <c r="W1049" s="1" t="s">
        <v>54</v>
      </c>
      <c r="X1049" s="1">
        <v>6078295</v>
      </c>
      <c r="Y1049" s="24">
        <v>41958</v>
      </c>
      <c r="Z1049" s="11"/>
      <c r="AA1049" s="9">
        <f t="shared" si="98"/>
        <v>109995.51999999999</v>
      </c>
      <c r="AB1049" s="12">
        <v>60.9</v>
      </c>
      <c r="AC1049" s="9">
        <f t="shared" si="99"/>
        <v>6931138.6199999992</v>
      </c>
      <c r="AD1049" s="9">
        <f t="shared" si="100"/>
        <v>6698727.1679999996</v>
      </c>
      <c r="AE1049" s="1" t="s">
        <v>48</v>
      </c>
      <c r="AF1049" s="1" t="s">
        <v>53</v>
      </c>
      <c r="AG1049" s="4">
        <f t="shared" si="101"/>
        <v>113811.79999999999</v>
      </c>
      <c r="AH1049" s="10">
        <v>113605.8</v>
      </c>
      <c r="AI1049" s="10">
        <v>3800</v>
      </c>
      <c r="AJ1049" s="10">
        <v>16.28</v>
      </c>
      <c r="AK1049" s="10">
        <v>0</v>
      </c>
      <c r="AL1049" s="9">
        <f t="shared" si="102"/>
        <v>109789.52</v>
      </c>
      <c r="AM1049" s="1"/>
      <c r="AN1049" s="1"/>
      <c r="AO1049" s="12" t="e">
        <f>AB1049/#REF!</f>
        <v>#REF!</v>
      </c>
      <c r="AP1049" s="1"/>
      <c r="AQ1049" s="11">
        <v>42061</v>
      </c>
      <c r="AR1049" s="1" t="s">
        <v>3383</v>
      </c>
      <c r="AS1049" s="11">
        <v>42062</v>
      </c>
      <c r="AT1049" s="1" t="s">
        <v>49</v>
      </c>
      <c r="AU1049" s="1" t="s">
        <v>4171</v>
      </c>
    </row>
    <row r="1050" spans="1:47" ht="15" customHeight="1" x14ac:dyDescent="0.25">
      <c r="A1050" s="1">
        <v>1045</v>
      </c>
      <c r="B1050" s="1" t="s">
        <v>1258</v>
      </c>
      <c r="C1050" s="1" t="s">
        <v>38</v>
      </c>
      <c r="D1050" s="1">
        <v>9103550847</v>
      </c>
      <c r="E1050" s="5">
        <v>41962</v>
      </c>
      <c r="F1050" s="1" t="s">
        <v>915</v>
      </c>
      <c r="G1050" s="1" t="s">
        <v>40</v>
      </c>
      <c r="H1050" s="1" t="s">
        <v>41</v>
      </c>
      <c r="I1050" s="1" t="s">
        <v>2809</v>
      </c>
      <c r="J1050" s="1" t="s">
        <v>2913</v>
      </c>
      <c r="K1050" s="1">
        <v>38237090</v>
      </c>
      <c r="L1050" s="6">
        <v>28.5</v>
      </c>
      <c r="M1050" s="1" t="s">
        <v>70</v>
      </c>
      <c r="N1050" s="7" t="s">
        <v>44</v>
      </c>
      <c r="O1050" s="1" t="s">
        <v>53</v>
      </c>
      <c r="P1050" s="8">
        <v>1720</v>
      </c>
      <c r="Q1050" s="17">
        <f t="shared" si="97"/>
        <v>49020</v>
      </c>
      <c r="R1050" s="9">
        <f>2670/34.5*28.5</f>
        <v>2205.6521739130435</v>
      </c>
      <c r="S1050" s="9">
        <f>53922*0.013%</f>
        <v>7.0098599999999998</v>
      </c>
      <c r="T1050" s="9">
        <v>0</v>
      </c>
      <c r="U1050" s="10">
        <v>0</v>
      </c>
      <c r="V1050" s="1" t="s">
        <v>46</v>
      </c>
      <c r="W1050" s="1" t="s">
        <v>137</v>
      </c>
      <c r="X1050" s="1">
        <v>6077528</v>
      </c>
      <c r="Y1050" s="24">
        <v>41958</v>
      </c>
      <c r="Z1050" s="11"/>
      <c r="AA1050" s="9">
        <f t="shared" si="98"/>
        <v>46807.337966086961</v>
      </c>
      <c r="AB1050" s="12">
        <v>60.9</v>
      </c>
      <c r="AC1050" s="9">
        <f t="shared" si="99"/>
        <v>2985318</v>
      </c>
      <c r="AD1050" s="9">
        <f t="shared" si="100"/>
        <v>2850566.882134696</v>
      </c>
      <c r="AE1050" s="1" t="s">
        <v>48</v>
      </c>
      <c r="AF1050" s="1" t="s">
        <v>53</v>
      </c>
      <c r="AG1050" s="4">
        <f t="shared" si="101"/>
        <v>49020</v>
      </c>
      <c r="AH1050" s="10">
        <v>48995</v>
      </c>
      <c r="AI1050" s="10">
        <v>2235.83</v>
      </c>
      <c r="AJ1050" s="10">
        <v>7.01</v>
      </c>
      <c r="AK1050" s="10">
        <v>0</v>
      </c>
      <c r="AL1050" s="9">
        <f t="shared" si="102"/>
        <v>46752.160000000003</v>
      </c>
      <c r="AM1050" s="1"/>
      <c r="AN1050" s="1"/>
      <c r="AO1050" s="12" t="e">
        <f>AB1050/#REF!</f>
        <v>#REF!</v>
      </c>
      <c r="AP1050" s="1"/>
      <c r="AQ1050" s="11">
        <v>42083</v>
      </c>
      <c r="AR1050" s="1" t="s">
        <v>3384</v>
      </c>
      <c r="AS1050" s="11">
        <v>42086</v>
      </c>
      <c r="AT1050" s="1" t="s">
        <v>49</v>
      </c>
      <c r="AU1050" s="1" t="s">
        <v>4171</v>
      </c>
    </row>
    <row r="1051" spans="1:47" ht="15" customHeight="1" x14ac:dyDescent="0.25">
      <c r="A1051" s="1">
        <v>1046</v>
      </c>
      <c r="B1051" s="1" t="s">
        <v>1258</v>
      </c>
      <c r="C1051" s="1" t="s">
        <v>38</v>
      </c>
      <c r="D1051" s="1">
        <v>9103550847</v>
      </c>
      <c r="E1051" s="5">
        <v>41962</v>
      </c>
      <c r="F1051" s="1" t="s">
        <v>915</v>
      </c>
      <c r="G1051" s="1" t="s">
        <v>40</v>
      </c>
      <c r="H1051" s="1" t="s">
        <v>41</v>
      </c>
      <c r="I1051" s="1" t="s">
        <v>2809</v>
      </c>
      <c r="J1051" s="1" t="s">
        <v>2913</v>
      </c>
      <c r="K1051" s="1">
        <v>29051700</v>
      </c>
      <c r="L1051" s="6">
        <v>6</v>
      </c>
      <c r="M1051" s="1" t="s">
        <v>70</v>
      </c>
      <c r="N1051" s="7" t="s">
        <v>44</v>
      </c>
      <c r="O1051" s="1" t="s">
        <v>53</v>
      </c>
      <c r="P1051" s="8">
        <v>1770</v>
      </c>
      <c r="Q1051" s="17">
        <f t="shared" si="97"/>
        <v>10620</v>
      </c>
      <c r="R1051" s="9">
        <f>2670/34.5*6</f>
        <v>464.34782608695656</v>
      </c>
      <c r="S1051" s="9">
        <f>8.53-7.01</f>
        <v>1.5199999999999996</v>
      </c>
      <c r="T1051" s="9">
        <v>0</v>
      </c>
      <c r="U1051" s="10">
        <v>0</v>
      </c>
      <c r="V1051" s="1" t="s">
        <v>46</v>
      </c>
      <c r="W1051" s="1" t="s">
        <v>137</v>
      </c>
      <c r="X1051" s="1">
        <v>6077528</v>
      </c>
      <c r="Y1051" s="24">
        <v>41958</v>
      </c>
      <c r="Z1051" s="11"/>
      <c r="AA1051" s="9">
        <f t="shared" si="98"/>
        <v>10154.132173913044</v>
      </c>
      <c r="AB1051" s="12">
        <v>60.9</v>
      </c>
      <c r="AC1051" s="9">
        <f t="shared" si="99"/>
        <v>646758</v>
      </c>
      <c r="AD1051" s="9">
        <f t="shared" si="100"/>
        <v>618386.64939130435</v>
      </c>
      <c r="AE1051" s="1" t="s">
        <v>48</v>
      </c>
      <c r="AF1051" s="1" t="s">
        <v>53</v>
      </c>
      <c r="AG1051" s="4">
        <f t="shared" si="101"/>
        <v>10620</v>
      </c>
      <c r="AH1051" s="10">
        <v>10610</v>
      </c>
      <c r="AI1051" s="10">
        <v>484.17</v>
      </c>
      <c r="AJ1051" s="10">
        <v>1.52</v>
      </c>
      <c r="AK1051" s="10">
        <v>0</v>
      </c>
      <c r="AL1051" s="9">
        <f t="shared" si="102"/>
        <v>10124.31</v>
      </c>
      <c r="AM1051" s="1"/>
      <c r="AN1051" s="1"/>
      <c r="AO1051" s="12" t="e">
        <f>AB1051/#REF!</f>
        <v>#REF!</v>
      </c>
      <c r="AP1051" s="1"/>
      <c r="AQ1051" s="11">
        <v>42083</v>
      </c>
      <c r="AR1051" s="1" t="s">
        <v>3384</v>
      </c>
      <c r="AS1051" s="11">
        <v>42086</v>
      </c>
      <c r="AT1051" s="1" t="s">
        <v>49</v>
      </c>
      <c r="AU1051" s="1" t="s">
        <v>4171</v>
      </c>
    </row>
    <row r="1052" spans="1:47" ht="15" customHeight="1" x14ac:dyDescent="0.25">
      <c r="A1052" s="1">
        <v>1047</v>
      </c>
      <c r="B1052" s="1" t="s">
        <v>1258</v>
      </c>
      <c r="C1052" s="1" t="s">
        <v>38</v>
      </c>
      <c r="D1052" s="1">
        <v>9103550848</v>
      </c>
      <c r="E1052" s="5">
        <v>41963</v>
      </c>
      <c r="F1052" s="1" t="s">
        <v>932</v>
      </c>
      <c r="G1052" s="1" t="s">
        <v>40</v>
      </c>
      <c r="H1052" s="1" t="s">
        <v>41</v>
      </c>
      <c r="I1052" s="1" t="s">
        <v>2809</v>
      </c>
      <c r="J1052" s="1" t="s">
        <v>2654</v>
      </c>
      <c r="K1052" s="1">
        <v>38231900</v>
      </c>
      <c r="L1052" s="6">
        <v>19.579999999999998</v>
      </c>
      <c r="M1052" s="1" t="s">
        <v>70</v>
      </c>
      <c r="N1052" s="7" t="s">
        <v>44</v>
      </c>
      <c r="O1052" s="1" t="s">
        <v>53</v>
      </c>
      <c r="P1052" s="8">
        <v>1140</v>
      </c>
      <c r="Q1052" s="17">
        <f t="shared" si="97"/>
        <v>22321.199999999997</v>
      </c>
      <c r="R1052" s="9">
        <v>400</v>
      </c>
      <c r="S1052" s="9">
        <v>3.19</v>
      </c>
      <c r="T1052" s="9">
        <v>0</v>
      </c>
      <c r="U1052" s="10">
        <v>0</v>
      </c>
      <c r="V1052" s="1" t="s">
        <v>46</v>
      </c>
      <c r="W1052" s="1" t="s">
        <v>2632</v>
      </c>
      <c r="X1052" s="1">
        <v>6088326</v>
      </c>
      <c r="Y1052" s="24">
        <v>41960</v>
      </c>
      <c r="Z1052" s="11"/>
      <c r="AA1052" s="9">
        <f t="shared" si="98"/>
        <v>21918.01</v>
      </c>
      <c r="AB1052" s="12">
        <v>60.9</v>
      </c>
      <c r="AC1052" s="9">
        <f t="shared" si="99"/>
        <v>1359361.0799999998</v>
      </c>
      <c r="AD1052" s="9">
        <f t="shared" si="100"/>
        <v>1334806.8089999999</v>
      </c>
      <c r="AE1052" s="1" t="s">
        <v>48</v>
      </c>
      <c r="AF1052" s="1" t="s">
        <v>53</v>
      </c>
      <c r="AG1052" s="4">
        <f t="shared" si="101"/>
        <v>22321.199999999997</v>
      </c>
      <c r="AH1052" s="10">
        <v>22080.2</v>
      </c>
      <c r="AI1052" s="10">
        <v>360</v>
      </c>
      <c r="AJ1052" s="10">
        <v>3.19</v>
      </c>
      <c r="AK1052" s="10">
        <v>0</v>
      </c>
      <c r="AL1052" s="9">
        <f t="shared" si="102"/>
        <v>21717.010000000002</v>
      </c>
      <c r="AM1052" s="1"/>
      <c r="AN1052" s="1"/>
      <c r="AO1052" s="12" t="e">
        <f>AB1052/#REF!</f>
        <v>#REF!</v>
      </c>
      <c r="AP1052" s="1"/>
      <c r="AQ1052" s="11">
        <v>41976</v>
      </c>
      <c r="AR1052" s="1" t="s">
        <v>3385</v>
      </c>
      <c r="AS1052" s="11">
        <v>41977</v>
      </c>
      <c r="AT1052" s="1" t="s">
        <v>49</v>
      </c>
      <c r="AU1052" s="1" t="s">
        <v>4171</v>
      </c>
    </row>
    <row r="1053" spans="1:47" ht="15" customHeight="1" x14ac:dyDescent="0.25">
      <c r="A1053" s="1">
        <v>1048</v>
      </c>
      <c r="B1053" s="1" t="s">
        <v>1258</v>
      </c>
      <c r="C1053" s="1" t="s">
        <v>38</v>
      </c>
      <c r="D1053" s="1" t="s">
        <v>2700</v>
      </c>
      <c r="E1053" s="5">
        <v>41963</v>
      </c>
      <c r="F1053" s="1" t="s">
        <v>918</v>
      </c>
      <c r="G1053" s="1" t="s">
        <v>40</v>
      </c>
      <c r="H1053" s="1" t="s">
        <v>41</v>
      </c>
      <c r="I1053" s="1" t="s">
        <v>2809</v>
      </c>
      <c r="J1053" s="1" t="s">
        <v>386</v>
      </c>
      <c r="K1053" s="1">
        <v>38237090</v>
      </c>
      <c r="L1053" s="6">
        <v>74.790000000000006</v>
      </c>
      <c r="M1053" s="1" t="s">
        <v>70</v>
      </c>
      <c r="N1053" s="7" t="s">
        <v>52</v>
      </c>
      <c r="O1053" s="1" t="s">
        <v>53</v>
      </c>
      <c r="P1053" s="8">
        <v>1275</v>
      </c>
      <c r="Q1053" s="17">
        <f t="shared" si="97"/>
        <v>95357.250000000015</v>
      </c>
      <c r="R1053" s="9">
        <v>3000</v>
      </c>
      <c r="S1053" s="9">
        <v>0</v>
      </c>
      <c r="T1053" s="9">
        <v>0</v>
      </c>
      <c r="U1053" s="10">
        <v>0</v>
      </c>
      <c r="V1053" s="1" t="s">
        <v>46</v>
      </c>
      <c r="W1053" s="1" t="s">
        <v>241</v>
      </c>
      <c r="X1053" s="1">
        <v>6064512</v>
      </c>
      <c r="Y1053" s="24">
        <v>41957</v>
      </c>
      <c r="Z1053" s="11"/>
      <c r="AA1053" s="9">
        <f t="shared" si="98"/>
        <v>92357.250000000015</v>
      </c>
      <c r="AB1053" s="12">
        <v>60.9</v>
      </c>
      <c r="AC1053" s="9">
        <f t="shared" si="99"/>
        <v>5807256.5250000004</v>
      </c>
      <c r="AD1053" s="9">
        <f t="shared" si="100"/>
        <v>5624556.5250000004</v>
      </c>
      <c r="AE1053" s="1" t="s">
        <v>48</v>
      </c>
      <c r="AF1053" s="1" t="s">
        <v>53</v>
      </c>
      <c r="AG1053" s="4">
        <f t="shared" si="101"/>
        <v>95357.250000000015</v>
      </c>
      <c r="AH1053" s="10">
        <v>95357.25</v>
      </c>
      <c r="AI1053" s="10">
        <v>2620</v>
      </c>
      <c r="AJ1053" s="10">
        <v>0</v>
      </c>
      <c r="AK1053" s="10">
        <v>0</v>
      </c>
      <c r="AL1053" s="9">
        <f t="shared" si="102"/>
        <v>92737.25</v>
      </c>
      <c r="AM1053" s="1"/>
      <c r="AN1053" s="1"/>
      <c r="AO1053" s="12" t="e">
        <f>AB1053/#REF!</f>
        <v>#REF!</v>
      </c>
      <c r="AP1053" s="1" t="s">
        <v>2701</v>
      </c>
      <c r="AQ1053" s="11">
        <v>42032</v>
      </c>
      <c r="AR1053" s="1" t="s">
        <v>2702</v>
      </c>
      <c r="AS1053" s="11">
        <v>42038</v>
      </c>
      <c r="AT1053" s="1" t="s">
        <v>49</v>
      </c>
      <c r="AU1053" s="1" t="s">
        <v>4171</v>
      </c>
    </row>
    <row r="1054" spans="1:47" ht="15" customHeight="1" x14ac:dyDescent="0.25">
      <c r="A1054" s="1">
        <v>1049</v>
      </c>
      <c r="B1054" s="1" t="s">
        <v>1258</v>
      </c>
      <c r="C1054" s="1" t="s">
        <v>38</v>
      </c>
      <c r="D1054" s="1" t="s">
        <v>2700</v>
      </c>
      <c r="E1054" s="5">
        <v>41963</v>
      </c>
      <c r="F1054" s="1" t="s">
        <v>923</v>
      </c>
      <c r="G1054" s="1" t="s">
        <v>40</v>
      </c>
      <c r="H1054" s="1" t="s">
        <v>41</v>
      </c>
      <c r="I1054" s="1" t="s">
        <v>2809</v>
      </c>
      <c r="J1054" s="1" t="s">
        <v>386</v>
      </c>
      <c r="K1054" s="1">
        <v>38237090</v>
      </c>
      <c r="L1054" s="6">
        <v>111.93</v>
      </c>
      <c r="M1054" s="1" t="s">
        <v>70</v>
      </c>
      <c r="N1054" s="7" t="s">
        <v>52</v>
      </c>
      <c r="O1054" s="1" t="s">
        <v>53</v>
      </c>
      <c r="P1054" s="8">
        <v>1275</v>
      </c>
      <c r="Q1054" s="17">
        <f t="shared" si="97"/>
        <v>142710.75</v>
      </c>
      <c r="R1054" s="9">
        <v>4500</v>
      </c>
      <c r="S1054" s="9">
        <v>0</v>
      </c>
      <c r="T1054" s="9">
        <v>0</v>
      </c>
      <c r="U1054" s="10">
        <v>0</v>
      </c>
      <c r="V1054" s="1" t="s">
        <v>46</v>
      </c>
      <c r="W1054" s="1" t="s">
        <v>241</v>
      </c>
      <c r="X1054" s="1">
        <v>6082170</v>
      </c>
      <c r="Y1054" s="24">
        <v>41958</v>
      </c>
      <c r="Z1054" s="11"/>
      <c r="AA1054" s="9">
        <f t="shared" si="98"/>
        <v>138210.75</v>
      </c>
      <c r="AB1054" s="12">
        <v>60.9</v>
      </c>
      <c r="AC1054" s="9">
        <f t="shared" si="99"/>
        <v>8691084.6749999989</v>
      </c>
      <c r="AD1054" s="9">
        <f t="shared" si="100"/>
        <v>8417034.6749999989</v>
      </c>
      <c r="AE1054" s="1" t="s">
        <v>48</v>
      </c>
      <c r="AF1054" s="1" t="s">
        <v>53</v>
      </c>
      <c r="AG1054" s="4">
        <f t="shared" si="101"/>
        <v>142710.75</v>
      </c>
      <c r="AH1054" s="10">
        <v>142710.75</v>
      </c>
      <c r="AI1054" s="10">
        <v>3930</v>
      </c>
      <c r="AJ1054" s="10">
        <v>0</v>
      </c>
      <c r="AK1054" s="10">
        <v>0</v>
      </c>
      <c r="AL1054" s="9">
        <f t="shared" si="102"/>
        <v>138780.75</v>
      </c>
      <c r="AM1054" s="1"/>
      <c r="AN1054" s="1"/>
      <c r="AO1054" s="12" t="e">
        <f>AB1054/#REF!</f>
        <v>#REF!</v>
      </c>
      <c r="AP1054" s="1" t="s">
        <v>2701</v>
      </c>
      <c r="AQ1054" s="11">
        <v>42032</v>
      </c>
      <c r="AR1054" s="1" t="s">
        <v>2703</v>
      </c>
      <c r="AS1054" s="11">
        <v>42038</v>
      </c>
      <c r="AT1054" s="1" t="s">
        <v>49</v>
      </c>
      <c r="AU1054" s="1" t="s">
        <v>4171</v>
      </c>
    </row>
    <row r="1055" spans="1:47" ht="15" customHeight="1" x14ac:dyDescent="0.25">
      <c r="A1055" s="1">
        <v>1050</v>
      </c>
      <c r="B1055" s="1" t="s">
        <v>1258</v>
      </c>
      <c r="C1055" s="1" t="s">
        <v>38</v>
      </c>
      <c r="D1055" s="1">
        <v>9103550851</v>
      </c>
      <c r="E1055" s="5">
        <v>41964</v>
      </c>
      <c r="F1055" s="1" t="s">
        <v>941</v>
      </c>
      <c r="G1055" s="1" t="s">
        <v>40</v>
      </c>
      <c r="H1055" s="1" t="s">
        <v>41</v>
      </c>
      <c r="I1055" s="1" t="s">
        <v>2809</v>
      </c>
      <c r="J1055" s="1" t="s">
        <v>256</v>
      </c>
      <c r="K1055" s="1">
        <v>38237090</v>
      </c>
      <c r="L1055" s="6">
        <v>12</v>
      </c>
      <c r="M1055" s="1" t="s">
        <v>70</v>
      </c>
      <c r="N1055" s="7" t="s">
        <v>67</v>
      </c>
      <c r="O1055" s="1" t="s">
        <v>53</v>
      </c>
      <c r="P1055" s="8">
        <v>2050</v>
      </c>
      <c r="Q1055" s="17">
        <f t="shared" si="97"/>
        <v>24600</v>
      </c>
      <c r="R1055" s="9">
        <v>0</v>
      </c>
      <c r="S1055" s="9">
        <v>0</v>
      </c>
      <c r="T1055" s="9">
        <v>0</v>
      </c>
      <c r="U1055" s="10">
        <v>0</v>
      </c>
      <c r="V1055" s="1" t="s">
        <v>46</v>
      </c>
      <c r="W1055" s="1" t="s">
        <v>257</v>
      </c>
      <c r="X1055" s="1">
        <v>6082169</v>
      </c>
      <c r="Y1055" s="24">
        <v>41958</v>
      </c>
      <c r="Z1055" s="11"/>
      <c r="AA1055" s="9">
        <f t="shared" si="98"/>
        <v>24600</v>
      </c>
      <c r="AB1055" s="12">
        <v>60.9</v>
      </c>
      <c r="AC1055" s="9">
        <f t="shared" si="99"/>
        <v>1498140</v>
      </c>
      <c r="AD1055" s="9">
        <f t="shared" si="100"/>
        <v>1498140</v>
      </c>
      <c r="AE1055" s="1" t="s">
        <v>48</v>
      </c>
      <c r="AF1055" s="1" t="s">
        <v>53</v>
      </c>
      <c r="AG1055" s="4">
        <f t="shared" si="101"/>
        <v>24600</v>
      </c>
      <c r="AH1055" s="10">
        <v>24585</v>
      </c>
      <c r="AI1055" s="10">
        <v>0</v>
      </c>
      <c r="AJ1055" s="10">
        <v>0</v>
      </c>
      <c r="AK1055" s="10">
        <v>0</v>
      </c>
      <c r="AL1055" s="9">
        <f t="shared" si="102"/>
        <v>24585</v>
      </c>
      <c r="AM1055" s="1"/>
      <c r="AN1055" s="1"/>
      <c r="AO1055" s="12" t="e">
        <f>AB1055/#REF!</f>
        <v>#REF!</v>
      </c>
      <c r="AP1055" s="1"/>
      <c r="AQ1055" s="11">
        <v>42018</v>
      </c>
      <c r="AR1055" s="1" t="s">
        <v>3386</v>
      </c>
      <c r="AS1055" s="11">
        <v>42019</v>
      </c>
      <c r="AT1055" s="1" t="s">
        <v>49</v>
      </c>
      <c r="AU1055" s="1" t="s">
        <v>4171</v>
      </c>
    </row>
    <row r="1056" spans="1:47" ht="15" customHeight="1" x14ac:dyDescent="0.25">
      <c r="A1056" s="1">
        <v>1051</v>
      </c>
      <c r="B1056" s="1" t="s">
        <v>1258</v>
      </c>
      <c r="C1056" s="1" t="s">
        <v>38</v>
      </c>
      <c r="D1056" s="1">
        <v>9103550852</v>
      </c>
      <c r="E1056" s="5">
        <v>41964</v>
      </c>
      <c r="F1056" s="1" t="s">
        <v>931</v>
      </c>
      <c r="G1056" s="1" t="s">
        <v>40</v>
      </c>
      <c r="H1056" s="1" t="s">
        <v>41</v>
      </c>
      <c r="I1056" s="1" t="s">
        <v>2809</v>
      </c>
      <c r="J1056" s="1" t="s">
        <v>256</v>
      </c>
      <c r="K1056" s="1">
        <v>38237090</v>
      </c>
      <c r="L1056" s="6">
        <v>12</v>
      </c>
      <c r="M1056" s="1" t="s">
        <v>70</v>
      </c>
      <c r="N1056" s="7" t="s">
        <v>67</v>
      </c>
      <c r="O1056" s="1" t="s">
        <v>53</v>
      </c>
      <c r="P1056" s="8">
        <v>2050</v>
      </c>
      <c r="Q1056" s="17">
        <f t="shared" si="97"/>
        <v>24600</v>
      </c>
      <c r="R1056" s="9">
        <v>0</v>
      </c>
      <c r="S1056" s="9">
        <v>0</v>
      </c>
      <c r="T1056" s="9">
        <v>0</v>
      </c>
      <c r="U1056" s="10">
        <v>0</v>
      </c>
      <c r="V1056" s="1" t="s">
        <v>46</v>
      </c>
      <c r="W1056" s="1" t="s">
        <v>257</v>
      </c>
      <c r="X1056" s="1">
        <v>6082166</v>
      </c>
      <c r="Y1056" s="24">
        <v>41958</v>
      </c>
      <c r="Z1056" s="11"/>
      <c r="AA1056" s="9">
        <f t="shared" si="98"/>
        <v>24600</v>
      </c>
      <c r="AB1056" s="12">
        <v>60.9</v>
      </c>
      <c r="AC1056" s="9">
        <f t="shared" si="99"/>
        <v>1498140</v>
      </c>
      <c r="AD1056" s="9">
        <f t="shared" si="100"/>
        <v>1498140</v>
      </c>
      <c r="AE1056" s="1" t="s">
        <v>48</v>
      </c>
      <c r="AF1056" s="1" t="s">
        <v>53</v>
      </c>
      <c r="AG1056" s="4">
        <f t="shared" si="101"/>
        <v>24600</v>
      </c>
      <c r="AH1056" s="10">
        <v>24585</v>
      </c>
      <c r="AI1056" s="10">
        <v>0</v>
      </c>
      <c r="AJ1056" s="10">
        <v>0</v>
      </c>
      <c r="AK1056" s="10">
        <v>0</v>
      </c>
      <c r="AL1056" s="9">
        <f t="shared" si="102"/>
        <v>24585</v>
      </c>
      <c r="AM1056" s="1"/>
      <c r="AN1056" s="1"/>
      <c r="AO1056" s="12" t="e">
        <f>AB1056/#REF!</f>
        <v>#REF!</v>
      </c>
      <c r="AP1056" s="1"/>
      <c r="AQ1056" s="11">
        <v>41995</v>
      </c>
      <c r="AR1056" s="1" t="s">
        <v>3387</v>
      </c>
      <c r="AS1056" s="11">
        <v>41996</v>
      </c>
      <c r="AT1056" s="1" t="s">
        <v>49</v>
      </c>
      <c r="AU1056" s="1" t="s">
        <v>4171</v>
      </c>
    </row>
    <row r="1057" spans="1:47" ht="15" customHeight="1" x14ac:dyDescent="0.25">
      <c r="A1057" s="1">
        <v>1052</v>
      </c>
      <c r="B1057" s="1" t="s">
        <v>1258</v>
      </c>
      <c r="C1057" s="1" t="s">
        <v>38</v>
      </c>
      <c r="D1057" s="1">
        <v>9103550853</v>
      </c>
      <c r="E1057" s="5">
        <v>41964</v>
      </c>
      <c r="F1057" s="1" t="s">
        <v>921</v>
      </c>
      <c r="G1057" s="1" t="s">
        <v>40</v>
      </c>
      <c r="H1057" s="1" t="s">
        <v>41</v>
      </c>
      <c r="I1057" s="1" t="s">
        <v>2809</v>
      </c>
      <c r="J1057" s="1" t="s">
        <v>76</v>
      </c>
      <c r="K1057" s="1">
        <v>29157010</v>
      </c>
      <c r="L1057" s="6">
        <v>15</v>
      </c>
      <c r="M1057" s="1" t="s">
        <v>70</v>
      </c>
      <c r="N1057" s="7" t="s">
        <v>67</v>
      </c>
      <c r="O1057" s="1" t="s">
        <v>53</v>
      </c>
      <c r="P1057" s="8">
        <v>1140</v>
      </c>
      <c r="Q1057" s="17">
        <f t="shared" si="97"/>
        <v>17100</v>
      </c>
      <c r="R1057" s="9">
        <v>0</v>
      </c>
      <c r="S1057" s="9">
        <v>0</v>
      </c>
      <c r="T1057" s="9">
        <v>0</v>
      </c>
      <c r="U1057" s="10">
        <v>0</v>
      </c>
      <c r="V1057" s="1" t="s">
        <v>46</v>
      </c>
      <c r="W1057" s="1" t="s">
        <v>2704</v>
      </c>
      <c r="X1057" s="1">
        <v>6082714</v>
      </c>
      <c r="Y1057" s="24">
        <v>41958</v>
      </c>
      <c r="Z1057" s="11"/>
      <c r="AA1057" s="9">
        <f t="shared" si="98"/>
        <v>17100</v>
      </c>
      <c r="AB1057" s="12">
        <v>60.9</v>
      </c>
      <c r="AC1057" s="9">
        <f t="shared" si="99"/>
        <v>1041390</v>
      </c>
      <c r="AD1057" s="9">
        <f t="shared" si="100"/>
        <v>1041390</v>
      </c>
      <c r="AE1057" s="1" t="s">
        <v>48</v>
      </c>
      <c r="AF1057" s="1" t="s">
        <v>53</v>
      </c>
      <c r="AG1057" s="4">
        <f t="shared" si="101"/>
        <v>17100</v>
      </c>
      <c r="AH1057" s="10">
        <v>17085</v>
      </c>
      <c r="AI1057" s="10">
        <v>0</v>
      </c>
      <c r="AJ1057" s="10">
        <v>0</v>
      </c>
      <c r="AK1057" s="10">
        <v>0</v>
      </c>
      <c r="AL1057" s="9">
        <f t="shared" si="102"/>
        <v>17085</v>
      </c>
      <c r="AM1057" s="1"/>
      <c r="AN1057" s="1"/>
      <c r="AO1057" s="12" t="e">
        <f>AB1057/#REF!</f>
        <v>#REF!</v>
      </c>
      <c r="AP1057" s="1"/>
      <c r="AQ1057" s="11">
        <v>42090</v>
      </c>
      <c r="AR1057" s="1" t="s">
        <v>3388</v>
      </c>
      <c r="AS1057" s="11">
        <v>42093</v>
      </c>
      <c r="AT1057" s="1" t="s">
        <v>49</v>
      </c>
      <c r="AU1057" s="1" t="s">
        <v>4171</v>
      </c>
    </row>
    <row r="1058" spans="1:47" ht="15" customHeight="1" x14ac:dyDescent="0.25">
      <c r="A1058" s="1">
        <v>1053</v>
      </c>
      <c r="B1058" s="1" t="s">
        <v>1258</v>
      </c>
      <c r="C1058" s="1" t="s">
        <v>38</v>
      </c>
      <c r="D1058" s="1" t="s">
        <v>2705</v>
      </c>
      <c r="E1058" s="5">
        <v>41963</v>
      </c>
      <c r="F1058" s="1" t="s">
        <v>935</v>
      </c>
      <c r="G1058" s="1" t="s">
        <v>40</v>
      </c>
      <c r="H1058" s="1" t="s">
        <v>41</v>
      </c>
      <c r="I1058" s="1" t="s">
        <v>2809</v>
      </c>
      <c r="J1058" s="1" t="s">
        <v>386</v>
      </c>
      <c r="K1058" s="1">
        <v>38237090</v>
      </c>
      <c r="L1058" s="6">
        <v>37.840000000000003</v>
      </c>
      <c r="M1058" s="1" t="s">
        <v>70</v>
      </c>
      <c r="N1058" s="7" t="s">
        <v>52</v>
      </c>
      <c r="O1058" s="1" t="s">
        <v>53</v>
      </c>
      <c r="P1058" s="8">
        <v>1275</v>
      </c>
      <c r="Q1058" s="17">
        <f t="shared" si="97"/>
        <v>48246.000000000007</v>
      </c>
      <c r="R1058" s="9">
        <v>1500</v>
      </c>
      <c r="S1058" s="9">
        <v>0</v>
      </c>
      <c r="T1058" s="9">
        <v>0</v>
      </c>
      <c r="U1058" s="10">
        <v>0</v>
      </c>
      <c r="V1058" s="1" t="s">
        <v>46</v>
      </c>
      <c r="W1058" s="1" t="s">
        <v>241</v>
      </c>
      <c r="X1058" s="1">
        <v>6083005</v>
      </c>
      <c r="Y1058" s="24">
        <v>41958</v>
      </c>
      <c r="Z1058" s="11"/>
      <c r="AA1058" s="9">
        <f t="shared" si="98"/>
        <v>46746.000000000007</v>
      </c>
      <c r="AB1058" s="12">
        <v>60.9</v>
      </c>
      <c r="AC1058" s="9">
        <f t="shared" si="99"/>
        <v>2938181.4000000004</v>
      </c>
      <c r="AD1058" s="9">
        <f t="shared" si="100"/>
        <v>2846831.4000000004</v>
      </c>
      <c r="AE1058" s="1" t="s">
        <v>48</v>
      </c>
      <c r="AF1058" s="1" t="s">
        <v>53</v>
      </c>
      <c r="AG1058" s="4">
        <f t="shared" si="101"/>
        <v>48246.000000000007</v>
      </c>
      <c r="AH1058" s="10">
        <v>48246</v>
      </c>
      <c r="AI1058" s="10">
        <v>1500</v>
      </c>
      <c r="AJ1058" s="10">
        <v>0</v>
      </c>
      <c r="AK1058" s="10">
        <v>0</v>
      </c>
      <c r="AL1058" s="9">
        <f t="shared" si="102"/>
        <v>46746</v>
      </c>
      <c r="AM1058" s="1"/>
      <c r="AN1058" s="1"/>
      <c r="AO1058" s="12" t="e">
        <f>AB1058/#REF!</f>
        <v>#REF!</v>
      </c>
      <c r="AP1058" s="1"/>
      <c r="AQ1058" s="11">
        <v>42055</v>
      </c>
      <c r="AR1058" s="1" t="s">
        <v>3389</v>
      </c>
      <c r="AS1058" s="11">
        <v>42056</v>
      </c>
      <c r="AT1058" s="1" t="s">
        <v>49</v>
      </c>
      <c r="AU1058" s="1" t="s">
        <v>4171</v>
      </c>
    </row>
    <row r="1059" spans="1:47" ht="15" customHeight="1" x14ac:dyDescent="0.25">
      <c r="A1059" s="1">
        <v>1054</v>
      </c>
      <c r="B1059" s="1" t="s">
        <v>1258</v>
      </c>
      <c r="C1059" s="1" t="s">
        <v>38</v>
      </c>
      <c r="D1059" s="1" t="s">
        <v>2705</v>
      </c>
      <c r="E1059" s="5">
        <v>41963</v>
      </c>
      <c r="F1059" s="1" t="s">
        <v>937</v>
      </c>
      <c r="G1059" s="1" t="s">
        <v>40</v>
      </c>
      <c r="H1059" s="1" t="s">
        <v>41</v>
      </c>
      <c r="I1059" s="1" t="s">
        <v>2809</v>
      </c>
      <c r="J1059" s="1" t="s">
        <v>386</v>
      </c>
      <c r="K1059" s="1">
        <v>38237090</v>
      </c>
      <c r="L1059" s="6">
        <v>18.260000000000002</v>
      </c>
      <c r="M1059" s="1" t="s">
        <v>70</v>
      </c>
      <c r="N1059" s="7" t="s">
        <v>52</v>
      </c>
      <c r="O1059" s="1" t="s">
        <v>53</v>
      </c>
      <c r="P1059" s="8">
        <v>1275</v>
      </c>
      <c r="Q1059" s="17">
        <f t="shared" si="97"/>
        <v>23281.500000000004</v>
      </c>
      <c r="R1059" s="9">
        <v>750</v>
      </c>
      <c r="S1059" s="9">
        <v>0</v>
      </c>
      <c r="T1059" s="9">
        <v>0</v>
      </c>
      <c r="U1059" s="10">
        <v>0</v>
      </c>
      <c r="V1059" s="1" t="s">
        <v>46</v>
      </c>
      <c r="W1059" s="1" t="s">
        <v>241</v>
      </c>
      <c r="X1059" s="1">
        <v>6090684</v>
      </c>
      <c r="Y1059" s="24">
        <v>41960</v>
      </c>
      <c r="Z1059" s="11"/>
      <c r="AA1059" s="9">
        <f t="shared" si="98"/>
        <v>22531.500000000004</v>
      </c>
      <c r="AB1059" s="12">
        <v>60.9</v>
      </c>
      <c r="AC1059" s="9">
        <f t="shared" si="99"/>
        <v>1417843.35</v>
      </c>
      <c r="AD1059" s="9">
        <f t="shared" si="100"/>
        <v>1372168.35</v>
      </c>
      <c r="AE1059" s="1" t="s">
        <v>48</v>
      </c>
      <c r="AF1059" s="1" t="s">
        <v>53</v>
      </c>
      <c r="AG1059" s="4">
        <f t="shared" si="101"/>
        <v>23281.500000000004</v>
      </c>
      <c r="AH1059" s="10">
        <v>23281.5</v>
      </c>
      <c r="AI1059" s="10">
        <v>750</v>
      </c>
      <c r="AJ1059" s="10">
        <v>0</v>
      </c>
      <c r="AK1059" s="10">
        <v>0</v>
      </c>
      <c r="AL1059" s="9">
        <f t="shared" si="102"/>
        <v>22531.5</v>
      </c>
      <c r="AM1059" s="1"/>
      <c r="AN1059" s="1"/>
      <c r="AO1059" s="12" t="e">
        <f>AB1059/#REF!</f>
        <v>#REF!</v>
      </c>
      <c r="AP1059" s="1"/>
      <c r="AQ1059" s="11">
        <v>42055</v>
      </c>
      <c r="AR1059" s="1" t="s">
        <v>3390</v>
      </c>
      <c r="AS1059" s="11">
        <v>42056</v>
      </c>
      <c r="AT1059" s="1" t="s">
        <v>49</v>
      </c>
      <c r="AU1059" s="1" t="s">
        <v>4171</v>
      </c>
    </row>
    <row r="1060" spans="1:47" ht="15" customHeight="1" x14ac:dyDescent="0.25">
      <c r="A1060" s="1">
        <v>1055</v>
      </c>
      <c r="B1060" s="1" t="s">
        <v>1258</v>
      </c>
      <c r="C1060" s="1" t="s">
        <v>38</v>
      </c>
      <c r="D1060" s="1" t="s">
        <v>2706</v>
      </c>
      <c r="E1060" s="5">
        <v>41963</v>
      </c>
      <c r="F1060" s="1" t="s">
        <v>936</v>
      </c>
      <c r="G1060" s="1" t="s">
        <v>40</v>
      </c>
      <c r="H1060" s="1" t="s">
        <v>41</v>
      </c>
      <c r="I1060" s="1" t="s">
        <v>2809</v>
      </c>
      <c r="J1060" s="1" t="s">
        <v>386</v>
      </c>
      <c r="K1060" s="1">
        <v>38237090</v>
      </c>
      <c r="L1060" s="6">
        <v>77.47</v>
      </c>
      <c r="M1060" s="1" t="s">
        <v>70</v>
      </c>
      <c r="N1060" s="7" t="s">
        <v>52</v>
      </c>
      <c r="O1060" s="1" t="s">
        <v>53</v>
      </c>
      <c r="P1060" s="8">
        <v>1275</v>
      </c>
      <c r="Q1060" s="17">
        <f t="shared" si="97"/>
        <v>98774.25</v>
      </c>
      <c r="R1060" s="9">
        <v>3000</v>
      </c>
      <c r="S1060" s="9">
        <v>0</v>
      </c>
      <c r="T1060" s="9">
        <v>0</v>
      </c>
      <c r="U1060" s="10">
        <v>0</v>
      </c>
      <c r="V1060" s="1" t="s">
        <v>46</v>
      </c>
      <c r="W1060" s="1" t="s">
        <v>241</v>
      </c>
      <c r="X1060" s="1">
        <v>6083124</v>
      </c>
      <c r="Y1060" s="24">
        <v>41958</v>
      </c>
      <c r="Z1060" s="11"/>
      <c r="AA1060" s="9">
        <f t="shared" si="98"/>
        <v>95774.25</v>
      </c>
      <c r="AB1060" s="12">
        <v>60.9</v>
      </c>
      <c r="AC1060" s="9">
        <f t="shared" si="99"/>
        <v>6015351.8250000002</v>
      </c>
      <c r="AD1060" s="9">
        <f t="shared" si="100"/>
        <v>5832651.8250000002</v>
      </c>
      <c r="AE1060" s="1" t="s">
        <v>48</v>
      </c>
      <c r="AF1060" s="1" t="s">
        <v>53</v>
      </c>
      <c r="AG1060" s="4">
        <f t="shared" si="101"/>
        <v>98774.25</v>
      </c>
      <c r="AH1060" s="10">
        <v>98774.25</v>
      </c>
      <c r="AI1060" s="10">
        <v>3000</v>
      </c>
      <c r="AJ1060" s="10">
        <v>0</v>
      </c>
      <c r="AK1060" s="10">
        <v>0</v>
      </c>
      <c r="AL1060" s="9">
        <f t="shared" si="102"/>
        <v>95774.25</v>
      </c>
      <c r="AM1060" s="1"/>
      <c r="AN1060" s="1"/>
      <c r="AO1060" s="12" t="e">
        <f>AB1060/#REF!</f>
        <v>#REF!</v>
      </c>
      <c r="AP1060" s="1"/>
      <c r="AQ1060" s="11">
        <v>42025</v>
      </c>
      <c r="AR1060" s="1" t="s">
        <v>3391</v>
      </c>
      <c r="AS1060" s="11">
        <v>42026</v>
      </c>
      <c r="AT1060" s="1" t="s">
        <v>49</v>
      </c>
      <c r="AU1060" s="1" t="s">
        <v>4171</v>
      </c>
    </row>
    <row r="1061" spans="1:47" ht="15" customHeight="1" x14ac:dyDescent="0.25">
      <c r="A1061" s="1">
        <v>1056</v>
      </c>
      <c r="B1061" s="1" t="s">
        <v>1258</v>
      </c>
      <c r="C1061" s="1" t="s">
        <v>38</v>
      </c>
      <c r="D1061" s="1" t="s">
        <v>2706</v>
      </c>
      <c r="E1061" s="5">
        <v>41963</v>
      </c>
      <c r="F1061" s="1" t="s">
        <v>938</v>
      </c>
      <c r="G1061" s="1" t="s">
        <v>40</v>
      </c>
      <c r="H1061" s="1" t="s">
        <v>41</v>
      </c>
      <c r="I1061" s="1" t="s">
        <v>2809</v>
      </c>
      <c r="J1061" s="1" t="s">
        <v>386</v>
      </c>
      <c r="K1061" s="1">
        <v>38237090</v>
      </c>
      <c r="L1061" s="6">
        <v>115.17</v>
      </c>
      <c r="M1061" s="1" t="s">
        <v>70</v>
      </c>
      <c r="N1061" s="7" t="s">
        <v>52</v>
      </c>
      <c r="O1061" s="1" t="s">
        <v>53</v>
      </c>
      <c r="P1061" s="8">
        <v>1275</v>
      </c>
      <c r="Q1061" s="17">
        <f t="shared" si="97"/>
        <v>146841.75</v>
      </c>
      <c r="R1061" s="9">
        <v>4500</v>
      </c>
      <c r="S1061" s="9">
        <v>0</v>
      </c>
      <c r="T1061" s="9">
        <v>0</v>
      </c>
      <c r="U1061" s="10">
        <v>0</v>
      </c>
      <c r="V1061" s="1" t="s">
        <v>46</v>
      </c>
      <c r="W1061" s="1" t="s">
        <v>241</v>
      </c>
      <c r="X1061" s="1">
        <v>6098121</v>
      </c>
      <c r="Y1061" s="24">
        <v>41960</v>
      </c>
      <c r="Z1061" s="11"/>
      <c r="AA1061" s="9">
        <f t="shared" si="98"/>
        <v>142341.75</v>
      </c>
      <c r="AB1061" s="12">
        <v>60.9</v>
      </c>
      <c r="AC1061" s="9">
        <f t="shared" si="99"/>
        <v>8942662.5749999993</v>
      </c>
      <c r="AD1061" s="9">
        <f t="shared" si="100"/>
        <v>8668612.5749999993</v>
      </c>
      <c r="AE1061" s="1" t="s">
        <v>48</v>
      </c>
      <c r="AF1061" s="1" t="s">
        <v>53</v>
      </c>
      <c r="AG1061" s="4">
        <f t="shared" si="101"/>
        <v>146841.75</v>
      </c>
      <c r="AH1061" s="10">
        <v>146841.75</v>
      </c>
      <c r="AI1061" s="10">
        <v>4500</v>
      </c>
      <c r="AJ1061" s="10">
        <v>0</v>
      </c>
      <c r="AK1061" s="10">
        <v>0</v>
      </c>
      <c r="AL1061" s="9">
        <f t="shared" si="102"/>
        <v>142341.75</v>
      </c>
      <c r="AM1061" s="1"/>
      <c r="AN1061" s="1"/>
      <c r="AO1061" s="12" t="e">
        <f>AB1061/#REF!</f>
        <v>#REF!</v>
      </c>
      <c r="AP1061" s="1"/>
      <c r="AQ1061" s="11">
        <v>42025</v>
      </c>
      <c r="AR1061" s="1" t="s">
        <v>3392</v>
      </c>
      <c r="AS1061" s="11">
        <v>42026</v>
      </c>
      <c r="AT1061" s="1" t="s">
        <v>49</v>
      </c>
      <c r="AU1061" s="1" t="s">
        <v>4171</v>
      </c>
    </row>
    <row r="1062" spans="1:47" ht="15" customHeight="1" x14ac:dyDescent="0.25">
      <c r="A1062" s="1">
        <v>1057</v>
      </c>
      <c r="B1062" s="1" t="s">
        <v>1258</v>
      </c>
      <c r="C1062" s="1" t="s">
        <v>38</v>
      </c>
      <c r="D1062" s="1">
        <v>9103550858</v>
      </c>
      <c r="E1062" s="5">
        <v>41969</v>
      </c>
      <c r="F1062" s="1" t="s">
        <v>939</v>
      </c>
      <c r="G1062" s="1" t="s">
        <v>40</v>
      </c>
      <c r="H1062" s="1" t="s">
        <v>41</v>
      </c>
      <c r="I1062" s="1" t="s">
        <v>2809</v>
      </c>
      <c r="J1062" s="1" t="s">
        <v>919</v>
      </c>
      <c r="K1062" s="1">
        <v>38237090</v>
      </c>
      <c r="L1062" s="6">
        <v>24</v>
      </c>
      <c r="M1062" s="1" t="s">
        <v>70</v>
      </c>
      <c r="N1062" s="7" t="s">
        <v>52</v>
      </c>
      <c r="O1062" s="1" t="s">
        <v>53</v>
      </c>
      <c r="P1062" s="8">
        <v>1600</v>
      </c>
      <c r="Q1062" s="17">
        <f t="shared" si="97"/>
        <v>38400</v>
      </c>
      <c r="R1062" s="9">
        <v>2200</v>
      </c>
      <c r="S1062" s="9">
        <v>0</v>
      </c>
      <c r="T1062" s="9">
        <v>0</v>
      </c>
      <c r="U1062" s="10">
        <v>0</v>
      </c>
      <c r="V1062" s="1" t="s">
        <v>46</v>
      </c>
      <c r="W1062" s="1" t="s">
        <v>243</v>
      </c>
      <c r="X1062" s="1">
        <v>6117237</v>
      </c>
      <c r="Y1062" s="24">
        <v>41961</v>
      </c>
      <c r="Z1062" s="11"/>
      <c r="AA1062" s="9">
        <f t="shared" si="98"/>
        <v>36200</v>
      </c>
      <c r="AB1062" s="12">
        <v>60.9</v>
      </c>
      <c r="AC1062" s="9">
        <f t="shared" si="99"/>
        <v>2338560</v>
      </c>
      <c r="AD1062" s="9">
        <f t="shared" si="100"/>
        <v>2204580</v>
      </c>
      <c r="AE1062" s="1" t="s">
        <v>48</v>
      </c>
      <c r="AF1062" s="1" t="s">
        <v>53</v>
      </c>
      <c r="AG1062" s="4">
        <f t="shared" si="101"/>
        <v>38400</v>
      </c>
      <c r="AH1062" s="10">
        <v>38265</v>
      </c>
      <c r="AI1062" s="10">
        <v>1105</v>
      </c>
      <c r="AJ1062" s="10">
        <v>0</v>
      </c>
      <c r="AK1062" s="10">
        <v>0</v>
      </c>
      <c r="AL1062" s="9">
        <f t="shared" si="102"/>
        <v>37160</v>
      </c>
      <c r="AM1062" s="1"/>
      <c r="AN1062" s="1"/>
      <c r="AO1062" s="12" t="e">
        <f>AB1062/#REF!</f>
        <v>#REF!</v>
      </c>
      <c r="AP1062" s="1"/>
      <c r="AQ1062" s="11">
        <v>42027</v>
      </c>
      <c r="AR1062" s="1" t="s">
        <v>3393</v>
      </c>
      <c r="AS1062" s="11">
        <v>42028</v>
      </c>
      <c r="AT1062" s="1" t="s">
        <v>49</v>
      </c>
      <c r="AU1062" s="1" t="s">
        <v>4171</v>
      </c>
    </row>
    <row r="1063" spans="1:47" ht="15" customHeight="1" x14ac:dyDescent="0.25">
      <c r="A1063" s="1">
        <v>1058</v>
      </c>
      <c r="B1063" s="1" t="s">
        <v>1258</v>
      </c>
      <c r="C1063" s="1" t="s">
        <v>38</v>
      </c>
      <c r="D1063" s="1">
        <v>9103550859</v>
      </c>
      <c r="E1063" s="5">
        <v>41967</v>
      </c>
      <c r="F1063" s="1" t="s">
        <v>942</v>
      </c>
      <c r="G1063" s="1" t="s">
        <v>40</v>
      </c>
      <c r="H1063" s="1" t="s">
        <v>41</v>
      </c>
      <c r="I1063" s="1" t="s">
        <v>2809</v>
      </c>
      <c r="J1063" s="1" t="s">
        <v>187</v>
      </c>
      <c r="K1063" s="1">
        <v>38237090</v>
      </c>
      <c r="L1063" s="6">
        <v>18.38</v>
      </c>
      <c r="M1063" s="1" t="s">
        <v>70</v>
      </c>
      <c r="N1063" s="7" t="s">
        <v>44</v>
      </c>
      <c r="O1063" s="1" t="s">
        <v>53</v>
      </c>
      <c r="P1063" s="8">
        <v>1495</v>
      </c>
      <c r="Q1063" s="17">
        <f t="shared" si="97"/>
        <v>27478.1</v>
      </c>
      <c r="R1063" s="9">
        <v>2800</v>
      </c>
      <c r="S1063" s="9">
        <v>3.93</v>
      </c>
      <c r="T1063" s="9">
        <v>0</v>
      </c>
      <c r="U1063" s="10">
        <v>0</v>
      </c>
      <c r="V1063" s="1" t="s">
        <v>46</v>
      </c>
      <c r="W1063" s="1" t="s">
        <v>56</v>
      </c>
      <c r="X1063" s="1">
        <v>6122575</v>
      </c>
      <c r="Y1063" s="24">
        <v>41961</v>
      </c>
      <c r="Z1063" s="11"/>
      <c r="AA1063" s="9">
        <f t="shared" si="98"/>
        <v>24674.17</v>
      </c>
      <c r="AB1063" s="12">
        <v>60.9</v>
      </c>
      <c r="AC1063" s="9">
        <f t="shared" si="99"/>
        <v>1673416.2899999998</v>
      </c>
      <c r="AD1063" s="9">
        <f t="shared" si="100"/>
        <v>1502656.9529999997</v>
      </c>
      <c r="AE1063" s="1" t="s">
        <v>48</v>
      </c>
      <c r="AF1063" s="1" t="s">
        <v>53</v>
      </c>
      <c r="AG1063" s="4">
        <f t="shared" si="101"/>
        <v>27478.1</v>
      </c>
      <c r="AH1063" s="10">
        <v>27478.1</v>
      </c>
      <c r="AI1063" s="10">
        <v>2815</v>
      </c>
      <c r="AJ1063" s="10">
        <v>3.93</v>
      </c>
      <c r="AK1063" s="10">
        <v>0</v>
      </c>
      <c r="AL1063" s="9">
        <f t="shared" si="102"/>
        <v>24659.17</v>
      </c>
      <c r="AM1063" s="1"/>
      <c r="AN1063" s="1"/>
      <c r="AO1063" s="12" t="e">
        <f>AB1063/#REF!</f>
        <v>#REF!</v>
      </c>
      <c r="AP1063" s="1"/>
      <c r="AQ1063" s="11">
        <v>41991</v>
      </c>
      <c r="AR1063" s="1" t="s">
        <v>3394</v>
      </c>
      <c r="AS1063" s="11">
        <v>41992</v>
      </c>
      <c r="AT1063" s="1" t="s">
        <v>49</v>
      </c>
      <c r="AU1063" s="1" t="s">
        <v>4171</v>
      </c>
    </row>
    <row r="1064" spans="1:47" ht="15" customHeight="1" x14ac:dyDescent="0.25">
      <c r="A1064" s="1">
        <v>1059</v>
      </c>
      <c r="B1064" s="1" t="s">
        <v>1258</v>
      </c>
      <c r="C1064" s="1" t="s">
        <v>38</v>
      </c>
      <c r="D1064" s="1">
        <v>9103550860</v>
      </c>
      <c r="E1064" s="5">
        <v>41966</v>
      </c>
      <c r="F1064" s="1" t="s">
        <v>944</v>
      </c>
      <c r="G1064" s="1" t="s">
        <v>40</v>
      </c>
      <c r="H1064" s="1" t="s">
        <v>41</v>
      </c>
      <c r="I1064" s="1" t="s">
        <v>2809</v>
      </c>
      <c r="J1064" s="1" t="s">
        <v>2153</v>
      </c>
      <c r="K1064" s="1">
        <v>29159020</v>
      </c>
      <c r="L1064" s="6">
        <v>39.76</v>
      </c>
      <c r="M1064" s="1" t="s">
        <v>70</v>
      </c>
      <c r="N1064" s="7" t="s">
        <v>44</v>
      </c>
      <c r="O1064" s="1" t="s">
        <v>45</v>
      </c>
      <c r="P1064" s="8">
        <v>3470</v>
      </c>
      <c r="Q1064" s="17">
        <f t="shared" si="97"/>
        <v>137967.19999999998</v>
      </c>
      <c r="R1064" s="9">
        <v>1679.45</v>
      </c>
      <c r="S1064" s="9">
        <v>19.73</v>
      </c>
      <c r="T1064" s="9">
        <v>0</v>
      </c>
      <c r="U1064" s="10">
        <v>0</v>
      </c>
      <c r="V1064" s="1" t="s">
        <v>46</v>
      </c>
      <c r="W1064" s="1" t="s">
        <v>47</v>
      </c>
      <c r="X1064" s="1">
        <v>6141197</v>
      </c>
      <c r="Y1064" s="24">
        <v>41962</v>
      </c>
      <c r="Z1064" s="11"/>
      <c r="AA1064" s="9">
        <f t="shared" si="98"/>
        <v>136268.01999999996</v>
      </c>
      <c r="AB1064" s="12">
        <v>76.150000000000006</v>
      </c>
      <c r="AC1064" s="9">
        <f t="shared" si="99"/>
        <v>10506202.279999999</v>
      </c>
      <c r="AD1064" s="9">
        <f t="shared" si="100"/>
        <v>10376809.722999997</v>
      </c>
      <c r="AE1064" s="1" t="s">
        <v>48</v>
      </c>
      <c r="AF1064" s="1" t="s">
        <v>45</v>
      </c>
      <c r="AG1064" s="4">
        <f t="shared" si="101"/>
        <v>137967.19999999998</v>
      </c>
      <c r="AH1064" s="10">
        <v>137967.20000000001</v>
      </c>
      <c r="AI1064" s="10">
        <v>1720.5</v>
      </c>
      <c r="AJ1064" s="10">
        <v>19.73</v>
      </c>
      <c r="AK1064" s="10">
        <v>0</v>
      </c>
      <c r="AL1064" s="9">
        <f t="shared" si="102"/>
        <v>136226.97</v>
      </c>
      <c r="AM1064" s="1"/>
      <c r="AN1064" s="1"/>
      <c r="AO1064" s="12" t="e">
        <f>AB1064/#REF!</f>
        <v>#REF!</v>
      </c>
      <c r="AP1064" s="1"/>
      <c r="AQ1064" s="11">
        <v>42023</v>
      </c>
      <c r="AR1064" s="1" t="s">
        <v>3684</v>
      </c>
      <c r="AS1064" s="11">
        <v>42024</v>
      </c>
      <c r="AT1064" s="1" t="s">
        <v>49</v>
      </c>
      <c r="AU1064" s="1" t="s">
        <v>4171</v>
      </c>
    </row>
    <row r="1065" spans="1:47" ht="15" customHeight="1" x14ac:dyDescent="0.25">
      <c r="A1065" s="1">
        <v>1060</v>
      </c>
      <c r="B1065" s="1" t="s">
        <v>1258</v>
      </c>
      <c r="C1065" s="1" t="s">
        <v>38</v>
      </c>
      <c r="D1065" s="1">
        <v>9103550861</v>
      </c>
      <c r="E1065" s="5">
        <v>41966</v>
      </c>
      <c r="F1065" s="1" t="s">
        <v>940</v>
      </c>
      <c r="G1065" s="1" t="s">
        <v>40</v>
      </c>
      <c r="H1065" s="1" t="s">
        <v>41</v>
      </c>
      <c r="I1065" s="1" t="s">
        <v>2809</v>
      </c>
      <c r="J1065" s="1" t="s">
        <v>2153</v>
      </c>
      <c r="K1065" s="1">
        <v>29159090</v>
      </c>
      <c r="L1065" s="6">
        <v>39.35</v>
      </c>
      <c r="M1065" s="1" t="s">
        <v>70</v>
      </c>
      <c r="N1065" s="7" t="s">
        <v>44</v>
      </c>
      <c r="O1065" s="1" t="s">
        <v>45</v>
      </c>
      <c r="P1065" s="8">
        <v>1894</v>
      </c>
      <c r="Q1065" s="17">
        <f t="shared" si="97"/>
        <v>74528.900000000009</v>
      </c>
      <c r="R1065" s="9">
        <v>1679.45</v>
      </c>
      <c r="S1065" s="9">
        <v>10.66</v>
      </c>
      <c r="T1065" s="9">
        <v>0</v>
      </c>
      <c r="U1065" s="10">
        <v>0</v>
      </c>
      <c r="V1065" s="1" t="s">
        <v>46</v>
      </c>
      <c r="W1065" s="1" t="s">
        <v>47</v>
      </c>
      <c r="X1065" s="1">
        <v>6141196</v>
      </c>
      <c r="Y1065" s="24">
        <v>41962</v>
      </c>
      <c r="Z1065" s="11"/>
      <c r="AA1065" s="9">
        <f t="shared" si="98"/>
        <v>72838.790000000008</v>
      </c>
      <c r="AB1065" s="12">
        <v>76.150000000000006</v>
      </c>
      <c r="AC1065" s="9">
        <f t="shared" si="99"/>
        <v>5675375.7350000013</v>
      </c>
      <c r="AD1065" s="9">
        <f t="shared" si="100"/>
        <v>5546673.858500001</v>
      </c>
      <c r="AE1065" s="1" t="s">
        <v>48</v>
      </c>
      <c r="AF1065" s="1" t="s">
        <v>45</v>
      </c>
      <c r="AG1065" s="4">
        <f t="shared" si="101"/>
        <v>74528.900000000009</v>
      </c>
      <c r="AH1065" s="10">
        <v>74528.899999999994</v>
      </c>
      <c r="AI1065" s="10">
        <v>1720.5</v>
      </c>
      <c r="AJ1065" s="10">
        <v>10.66</v>
      </c>
      <c r="AK1065" s="10">
        <v>0</v>
      </c>
      <c r="AL1065" s="9">
        <f t="shared" si="102"/>
        <v>72797.739999999991</v>
      </c>
      <c r="AM1065" s="1"/>
      <c r="AN1065" s="1"/>
      <c r="AO1065" s="12" t="e">
        <f>AB1065/#REF!</f>
        <v>#REF!</v>
      </c>
      <c r="AP1065" s="1"/>
      <c r="AQ1065" s="11">
        <v>42023</v>
      </c>
      <c r="AR1065" s="1" t="s">
        <v>3685</v>
      </c>
      <c r="AS1065" s="11">
        <v>42024</v>
      </c>
      <c r="AT1065" s="1" t="s">
        <v>49</v>
      </c>
      <c r="AU1065" s="1" t="s">
        <v>4171</v>
      </c>
    </row>
    <row r="1066" spans="1:47" ht="15" customHeight="1" x14ac:dyDescent="0.25">
      <c r="A1066" s="1">
        <v>1061</v>
      </c>
      <c r="B1066" s="1" t="s">
        <v>1258</v>
      </c>
      <c r="C1066" s="1" t="s">
        <v>38</v>
      </c>
      <c r="D1066" s="1" t="s">
        <v>2707</v>
      </c>
      <c r="E1066" s="5">
        <v>41966</v>
      </c>
      <c r="F1066" s="1" t="s">
        <v>947</v>
      </c>
      <c r="G1066" s="1" t="s">
        <v>40</v>
      </c>
      <c r="H1066" s="1" t="s">
        <v>41</v>
      </c>
      <c r="I1066" s="1" t="s">
        <v>2809</v>
      </c>
      <c r="J1066" s="1" t="s">
        <v>2153</v>
      </c>
      <c r="K1066" s="1">
        <v>38231900</v>
      </c>
      <c r="L1066" s="6">
        <v>79.64</v>
      </c>
      <c r="M1066" s="1" t="s">
        <v>70</v>
      </c>
      <c r="N1066" s="7" t="s">
        <v>44</v>
      </c>
      <c r="O1066" s="1" t="s">
        <v>45</v>
      </c>
      <c r="P1066" s="8">
        <v>2940</v>
      </c>
      <c r="Q1066" s="17">
        <f t="shared" si="97"/>
        <v>234141.6</v>
      </c>
      <c r="R1066" s="9">
        <v>3358.9</v>
      </c>
      <c r="S1066" s="9">
        <v>33.479999999999997</v>
      </c>
      <c r="T1066" s="9">
        <v>0</v>
      </c>
      <c r="U1066" s="10">
        <v>0</v>
      </c>
      <c r="V1066" s="1" t="s">
        <v>46</v>
      </c>
      <c r="W1066" s="1" t="s">
        <v>47</v>
      </c>
      <c r="X1066" s="1">
        <v>6151795</v>
      </c>
      <c r="Y1066" s="24">
        <v>41962</v>
      </c>
      <c r="Z1066" s="11"/>
      <c r="AA1066" s="9">
        <f t="shared" si="98"/>
        <v>230749.22</v>
      </c>
      <c r="AB1066" s="12">
        <v>76.150000000000006</v>
      </c>
      <c r="AC1066" s="9">
        <f t="shared" si="99"/>
        <v>17829882.840000004</v>
      </c>
      <c r="AD1066" s="9">
        <f t="shared" si="100"/>
        <v>17571553.103</v>
      </c>
      <c r="AE1066" s="1" t="s">
        <v>48</v>
      </c>
      <c r="AF1066" s="1" t="s">
        <v>45</v>
      </c>
      <c r="AG1066" s="4">
        <f t="shared" si="101"/>
        <v>234141.6</v>
      </c>
      <c r="AH1066" s="10">
        <v>234141.6</v>
      </c>
      <c r="AI1066" s="10">
        <v>3608.83</v>
      </c>
      <c r="AJ1066" s="10">
        <v>33.479999999999997</v>
      </c>
      <c r="AK1066" s="10">
        <v>0</v>
      </c>
      <c r="AL1066" s="9">
        <f t="shared" si="102"/>
        <v>230499.29</v>
      </c>
      <c r="AM1066" s="1"/>
      <c r="AN1066" s="1"/>
      <c r="AO1066" s="12" t="e">
        <f>AB1066/#REF!</f>
        <v>#REF!</v>
      </c>
      <c r="AP1066" s="1"/>
      <c r="AQ1066" s="11">
        <v>42023</v>
      </c>
      <c r="AR1066" s="1" t="s">
        <v>3686</v>
      </c>
      <c r="AS1066" s="11">
        <v>42024</v>
      </c>
      <c r="AT1066" s="1" t="s">
        <v>49</v>
      </c>
      <c r="AU1066" s="1" t="s">
        <v>4171</v>
      </c>
    </row>
    <row r="1067" spans="1:47" ht="15" customHeight="1" x14ac:dyDescent="0.25">
      <c r="A1067" s="1">
        <v>1062</v>
      </c>
      <c r="B1067" s="1" t="s">
        <v>1258</v>
      </c>
      <c r="C1067" s="1" t="s">
        <v>38</v>
      </c>
      <c r="D1067" s="1" t="s">
        <v>2707</v>
      </c>
      <c r="E1067" s="5">
        <v>41966</v>
      </c>
      <c r="F1067" s="1" t="s">
        <v>953</v>
      </c>
      <c r="G1067" s="1" t="s">
        <v>40</v>
      </c>
      <c r="H1067" s="1" t="s">
        <v>41</v>
      </c>
      <c r="I1067" s="1" t="s">
        <v>2809</v>
      </c>
      <c r="J1067" s="1" t="s">
        <v>2153</v>
      </c>
      <c r="K1067" s="1">
        <v>38231900</v>
      </c>
      <c r="L1067" s="6">
        <v>19.75</v>
      </c>
      <c r="M1067" s="1" t="s">
        <v>70</v>
      </c>
      <c r="N1067" s="7" t="s">
        <v>44</v>
      </c>
      <c r="O1067" s="1" t="s">
        <v>45</v>
      </c>
      <c r="P1067" s="8">
        <v>2940</v>
      </c>
      <c r="Q1067" s="17">
        <f t="shared" si="97"/>
        <v>58065</v>
      </c>
      <c r="R1067" s="9">
        <v>839.72</v>
      </c>
      <c r="S1067" s="9">
        <v>8.3000000000000007</v>
      </c>
      <c r="T1067" s="9">
        <v>0</v>
      </c>
      <c r="U1067" s="10">
        <v>0</v>
      </c>
      <c r="V1067" s="1" t="s">
        <v>46</v>
      </c>
      <c r="W1067" s="1" t="s">
        <v>47</v>
      </c>
      <c r="X1067" s="1">
        <v>6161806</v>
      </c>
      <c r="Y1067" s="24">
        <v>41963</v>
      </c>
      <c r="Z1067" s="11"/>
      <c r="AA1067" s="9">
        <f t="shared" si="98"/>
        <v>57216.979999999996</v>
      </c>
      <c r="AB1067" s="12">
        <v>76.150000000000006</v>
      </c>
      <c r="AC1067" s="9">
        <f t="shared" si="99"/>
        <v>4421649.75</v>
      </c>
      <c r="AD1067" s="9">
        <f t="shared" si="100"/>
        <v>4357073.0269999998</v>
      </c>
      <c r="AE1067" s="1" t="s">
        <v>48</v>
      </c>
      <c r="AF1067" s="1" t="s">
        <v>45</v>
      </c>
      <c r="AG1067" s="4">
        <f t="shared" si="101"/>
        <v>58065</v>
      </c>
      <c r="AH1067" s="10">
        <v>58065</v>
      </c>
      <c r="AI1067" s="10">
        <v>902.2</v>
      </c>
      <c r="AJ1067" s="10">
        <v>8.3000000000000007</v>
      </c>
      <c r="AK1067" s="10">
        <v>0</v>
      </c>
      <c r="AL1067" s="9">
        <f t="shared" si="102"/>
        <v>57154.5</v>
      </c>
      <c r="AM1067" s="1"/>
      <c r="AN1067" s="1"/>
      <c r="AO1067" s="12" t="e">
        <f>AB1067/#REF!</f>
        <v>#REF!</v>
      </c>
      <c r="AP1067" s="1"/>
      <c r="AQ1067" s="11">
        <v>42023</v>
      </c>
      <c r="AR1067" s="1" t="s">
        <v>3687</v>
      </c>
      <c r="AS1067" s="11">
        <v>42024</v>
      </c>
      <c r="AT1067" s="1" t="s">
        <v>49</v>
      </c>
      <c r="AU1067" s="1" t="s">
        <v>4171</v>
      </c>
    </row>
    <row r="1068" spans="1:47" ht="15" customHeight="1" x14ac:dyDescent="0.25">
      <c r="A1068" s="1">
        <v>1063</v>
      </c>
      <c r="B1068" s="1" t="s">
        <v>1258</v>
      </c>
      <c r="C1068" s="1" t="s">
        <v>38</v>
      </c>
      <c r="D1068" s="1">
        <v>9103550865</v>
      </c>
      <c r="E1068" s="5">
        <v>41963</v>
      </c>
      <c r="F1068" s="1" t="s">
        <v>952</v>
      </c>
      <c r="G1068" s="1" t="s">
        <v>40</v>
      </c>
      <c r="H1068" s="1" t="s">
        <v>41</v>
      </c>
      <c r="I1068" s="1" t="s">
        <v>2809</v>
      </c>
      <c r="J1068" s="1" t="s">
        <v>2708</v>
      </c>
      <c r="K1068" s="1">
        <v>29159090</v>
      </c>
      <c r="L1068" s="6">
        <v>24</v>
      </c>
      <c r="M1068" s="1" t="s">
        <v>70</v>
      </c>
      <c r="N1068" s="7" t="s">
        <v>44</v>
      </c>
      <c r="O1068" s="1" t="s">
        <v>53</v>
      </c>
      <c r="P1068" s="8">
        <v>3480</v>
      </c>
      <c r="Q1068" s="17">
        <f t="shared" si="97"/>
        <v>83520</v>
      </c>
      <c r="R1068" s="9">
        <v>75</v>
      </c>
      <c r="S1068" s="9">
        <v>11.94</v>
      </c>
      <c r="T1068" s="9">
        <v>0</v>
      </c>
      <c r="U1068" s="10">
        <v>0</v>
      </c>
      <c r="V1068" s="1" t="s">
        <v>46</v>
      </c>
      <c r="W1068" s="1" t="s">
        <v>54</v>
      </c>
      <c r="X1068" s="1">
        <v>6164640</v>
      </c>
      <c r="Y1068" s="24">
        <v>41963</v>
      </c>
      <c r="Z1068" s="11"/>
      <c r="AA1068" s="9">
        <f t="shared" si="98"/>
        <v>83433.06</v>
      </c>
      <c r="AB1068" s="12">
        <v>60.9</v>
      </c>
      <c r="AC1068" s="9">
        <f t="shared" si="99"/>
        <v>5086368</v>
      </c>
      <c r="AD1068" s="9">
        <f t="shared" si="100"/>
        <v>5081073.3539999994</v>
      </c>
      <c r="AE1068" s="1" t="s">
        <v>48</v>
      </c>
      <c r="AF1068" s="1" t="s">
        <v>53</v>
      </c>
      <c r="AG1068" s="4">
        <f t="shared" ref="AG1068:AG1131" si="103">Q1068</f>
        <v>83520</v>
      </c>
      <c r="AH1068" s="10">
        <v>83335</v>
      </c>
      <c r="AI1068" s="10">
        <v>105</v>
      </c>
      <c r="AJ1068" s="10">
        <v>11.94</v>
      </c>
      <c r="AK1068" s="10">
        <v>0</v>
      </c>
      <c r="AL1068" s="9">
        <f t="shared" ref="AL1068:AL1131" si="104">AH1068-(AI1068+AJ1068+AK1068)</f>
        <v>83218.06</v>
      </c>
      <c r="AM1068" s="1"/>
      <c r="AN1068" s="1"/>
      <c r="AO1068" s="12" t="e">
        <f>AB1068/#REF!</f>
        <v>#REF!</v>
      </c>
      <c r="AP1068" s="1"/>
      <c r="AQ1068" s="11">
        <v>41992</v>
      </c>
      <c r="AR1068" s="1" t="s">
        <v>3395</v>
      </c>
      <c r="AS1068" s="11">
        <v>41993</v>
      </c>
      <c r="AT1068" s="1" t="s">
        <v>49</v>
      </c>
      <c r="AU1068" s="1" t="s">
        <v>4171</v>
      </c>
    </row>
    <row r="1069" spans="1:47" s="23" customFormat="1" ht="15" customHeight="1" x14ac:dyDescent="0.25">
      <c r="A1069" s="3">
        <v>1064</v>
      </c>
      <c r="B1069" s="3" t="s">
        <v>1258</v>
      </c>
      <c r="C1069" s="3" t="s">
        <v>38</v>
      </c>
      <c r="D1069" s="3">
        <v>9103550866</v>
      </c>
      <c r="E1069" s="19">
        <v>41966</v>
      </c>
      <c r="F1069" s="3" t="s">
        <v>945</v>
      </c>
      <c r="G1069" s="3" t="s">
        <v>40</v>
      </c>
      <c r="H1069" s="3" t="s">
        <v>41</v>
      </c>
      <c r="I1069" s="3" t="s">
        <v>2809</v>
      </c>
      <c r="J1069" s="3" t="s">
        <v>76</v>
      </c>
      <c r="K1069" s="3">
        <v>38237090</v>
      </c>
      <c r="L1069" s="48">
        <v>11</v>
      </c>
      <c r="M1069" s="3" t="s">
        <v>70</v>
      </c>
      <c r="N1069" s="49" t="s">
        <v>44</v>
      </c>
      <c r="O1069" s="3" t="s">
        <v>53</v>
      </c>
      <c r="P1069" s="50">
        <v>1445</v>
      </c>
      <c r="Q1069" s="17">
        <f t="shared" si="97"/>
        <v>15895</v>
      </c>
      <c r="R1069" s="20">
        <f>56/15*11</f>
        <v>41.06666666666667</v>
      </c>
      <c r="S1069" s="20">
        <f>17484.5*0.013%</f>
        <v>2.2729849999999998</v>
      </c>
      <c r="T1069" s="20">
        <v>0</v>
      </c>
      <c r="U1069" s="4">
        <v>0</v>
      </c>
      <c r="V1069" s="3" t="s">
        <v>46</v>
      </c>
      <c r="W1069" s="3" t="s">
        <v>72</v>
      </c>
      <c r="X1069" s="3">
        <v>6148321</v>
      </c>
      <c r="Y1069" s="93">
        <v>41962</v>
      </c>
      <c r="Z1069" s="21"/>
      <c r="AA1069" s="20">
        <f t="shared" si="98"/>
        <v>15851.660348333333</v>
      </c>
      <c r="AB1069" s="22">
        <v>60.9</v>
      </c>
      <c r="AC1069" s="20">
        <f t="shared" si="99"/>
        <v>968005.5</v>
      </c>
      <c r="AD1069" s="20">
        <f t="shared" si="100"/>
        <v>965366.11521349999</v>
      </c>
      <c r="AE1069" s="3" t="s">
        <v>48</v>
      </c>
      <c r="AF1069" s="3" t="s">
        <v>53</v>
      </c>
      <c r="AG1069" s="4">
        <f t="shared" si="103"/>
        <v>15895</v>
      </c>
      <c r="AH1069" s="4">
        <v>15895</v>
      </c>
      <c r="AI1069" s="4"/>
      <c r="AJ1069" s="4"/>
      <c r="AK1069" s="4"/>
      <c r="AL1069" s="20">
        <f t="shared" si="104"/>
        <v>15895</v>
      </c>
      <c r="AM1069" s="3"/>
      <c r="AN1069" s="3"/>
      <c r="AO1069" s="22" t="e">
        <f>AB1069/#REF!</f>
        <v>#REF!</v>
      </c>
      <c r="AP1069" s="3" t="s">
        <v>4217</v>
      </c>
      <c r="AQ1069" s="21">
        <v>42131</v>
      </c>
      <c r="AR1069" s="3" t="s">
        <v>4218</v>
      </c>
      <c r="AS1069" s="21">
        <v>42132</v>
      </c>
      <c r="AT1069" s="3" t="s">
        <v>49</v>
      </c>
      <c r="AU1069" s="3" t="s">
        <v>4171</v>
      </c>
    </row>
    <row r="1070" spans="1:47" s="23" customFormat="1" ht="15" customHeight="1" x14ac:dyDescent="0.25">
      <c r="A1070" s="3">
        <v>1065</v>
      </c>
      <c r="B1070" s="3" t="s">
        <v>1258</v>
      </c>
      <c r="C1070" s="3" t="s">
        <v>38</v>
      </c>
      <c r="D1070" s="3">
        <v>9103550866</v>
      </c>
      <c r="E1070" s="19">
        <v>41966</v>
      </c>
      <c r="F1070" s="3" t="s">
        <v>945</v>
      </c>
      <c r="G1070" s="3" t="s">
        <v>40</v>
      </c>
      <c r="H1070" s="3" t="s">
        <v>41</v>
      </c>
      <c r="I1070" s="3" t="s">
        <v>2809</v>
      </c>
      <c r="J1070" s="3" t="s">
        <v>76</v>
      </c>
      <c r="K1070" s="3">
        <v>29051700</v>
      </c>
      <c r="L1070" s="48">
        <v>4</v>
      </c>
      <c r="M1070" s="3" t="s">
        <v>70</v>
      </c>
      <c r="N1070" s="49" t="s">
        <v>44</v>
      </c>
      <c r="O1070" s="3" t="s">
        <v>53</v>
      </c>
      <c r="P1070" s="50">
        <v>1550</v>
      </c>
      <c r="Q1070" s="17">
        <f t="shared" si="97"/>
        <v>6200</v>
      </c>
      <c r="R1070" s="20">
        <f>56/15*4</f>
        <v>14.933333333333334</v>
      </c>
      <c r="S1070" s="20">
        <f>3.16-2.27</f>
        <v>0.89000000000000012</v>
      </c>
      <c r="T1070" s="20">
        <v>0</v>
      </c>
      <c r="U1070" s="4">
        <v>0</v>
      </c>
      <c r="V1070" s="3" t="s">
        <v>46</v>
      </c>
      <c r="W1070" s="3" t="s">
        <v>72</v>
      </c>
      <c r="X1070" s="3">
        <v>6148321</v>
      </c>
      <c r="Y1070" s="93">
        <v>41962</v>
      </c>
      <c r="Z1070" s="21"/>
      <c r="AA1070" s="20">
        <f t="shared" si="98"/>
        <v>6184.1766666666663</v>
      </c>
      <c r="AB1070" s="22">
        <v>60.9</v>
      </c>
      <c r="AC1070" s="20">
        <f t="shared" si="99"/>
        <v>377580</v>
      </c>
      <c r="AD1070" s="20">
        <f t="shared" si="100"/>
        <v>376616.35899999994</v>
      </c>
      <c r="AE1070" s="3" t="s">
        <v>48</v>
      </c>
      <c r="AF1070" s="3" t="s">
        <v>53</v>
      </c>
      <c r="AG1070" s="4">
        <f t="shared" si="103"/>
        <v>6200</v>
      </c>
      <c r="AH1070" s="4">
        <v>6200</v>
      </c>
      <c r="AI1070" s="4"/>
      <c r="AJ1070" s="4"/>
      <c r="AK1070" s="4"/>
      <c r="AL1070" s="20">
        <f t="shared" si="104"/>
        <v>6200</v>
      </c>
      <c r="AM1070" s="3"/>
      <c r="AN1070" s="3"/>
      <c r="AO1070" s="22" t="e">
        <f>AB1070/#REF!</f>
        <v>#REF!</v>
      </c>
      <c r="AP1070" s="3" t="s">
        <v>4217</v>
      </c>
      <c r="AQ1070" s="21">
        <v>42131</v>
      </c>
      <c r="AR1070" s="3" t="s">
        <v>4218</v>
      </c>
      <c r="AS1070" s="21">
        <v>42132</v>
      </c>
      <c r="AT1070" s="3" t="s">
        <v>49</v>
      </c>
      <c r="AU1070" s="3" t="s">
        <v>4171</v>
      </c>
    </row>
    <row r="1071" spans="1:47" ht="15" customHeight="1" x14ac:dyDescent="0.25">
      <c r="A1071" s="1">
        <v>1066</v>
      </c>
      <c r="B1071" s="1" t="s">
        <v>1258</v>
      </c>
      <c r="C1071" s="1" t="s">
        <v>38</v>
      </c>
      <c r="D1071" s="1" t="s">
        <v>2709</v>
      </c>
      <c r="E1071" s="5">
        <v>41967</v>
      </c>
      <c r="F1071" s="1" t="s">
        <v>943</v>
      </c>
      <c r="G1071" s="1" t="s">
        <v>40</v>
      </c>
      <c r="H1071" s="1" t="s">
        <v>41</v>
      </c>
      <c r="I1071" s="1" t="s">
        <v>2809</v>
      </c>
      <c r="J1071" s="1" t="s">
        <v>919</v>
      </c>
      <c r="K1071" s="1">
        <v>38237090</v>
      </c>
      <c r="L1071" s="6">
        <v>44</v>
      </c>
      <c r="M1071" s="1" t="s">
        <v>70</v>
      </c>
      <c r="N1071" s="7" t="s">
        <v>52</v>
      </c>
      <c r="O1071" s="1" t="s">
        <v>53</v>
      </c>
      <c r="P1071" s="8">
        <v>1600</v>
      </c>
      <c r="Q1071" s="17">
        <f t="shared" si="97"/>
        <v>70400</v>
      </c>
      <c r="R1071" s="9">
        <v>3600</v>
      </c>
      <c r="S1071" s="9">
        <v>0</v>
      </c>
      <c r="T1071" s="9">
        <v>0</v>
      </c>
      <c r="U1071" s="10">
        <v>0</v>
      </c>
      <c r="V1071" s="1" t="s">
        <v>46</v>
      </c>
      <c r="W1071" s="1" t="s">
        <v>243</v>
      </c>
      <c r="X1071" s="1">
        <v>6125396</v>
      </c>
      <c r="Y1071" s="24">
        <v>41961</v>
      </c>
      <c r="Z1071" s="11"/>
      <c r="AA1071" s="9">
        <f t="shared" si="98"/>
        <v>66800</v>
      </c>
      <c r="AB1071" s="12">
        <v>60.9</v>
      </c>
      <c r="AC1071" s="9">
        <f t="shared" si="99"/>
        <v>4287360</v>
      </c>
      <c r="AD1071" s="9">
        <f t="shared" si="100"/>
        <v>4068120</v>
      </c>
      <c r="AE1071" s="1" t="s">
        <v>48</v>
      </c>
      <c r="AF1071" s="1" t="s">
        <v>53</v>
      </c>
      <c r="AG1071" s="4">
        <f t="shared" si="103"/>
        <v>70400</v>
      </c>
      <c r="AH1071" s="10">
        <v>70400</v>
      </c>
      <c r="AI1071" s="10">
        <v>3400</v>
      </c>
      <c r="AJ1071" s="10">
        <v>0</v>
      </c>
      <c r="AK1071" s="10">
        <v>0</v>
      </c>
      <c r="AL1071" s="9">
        <f t="shared" si="104"/>
        <v>67000</v>
      </c>
      <c r="AM1071" s="1"/>
      <c r="AN1071" s="1"/>
      <c r="AO1071" s="12" t="e">
        <f>AB1071/#REF!</f>
        <v>#REF!</v>
      </c>
      <c r="AP1071" s="1" t="s">
        <v>2710</v>
      </c>
      <c r="AQ1071" s="11">
        <v>42018</v>
      </c>
      <c r="AR1071" s="1" t="s">
        <v>2711</v>
      </c>
      <c r="AS1071" s="11">
        <v>42019</v>
      </c>
      <c r="AT1071" s="1" t="s">
        <v>49</v>
      </c>
      <c r="AU1071" s="1" t="s">
        <v>4171</v>
      </c>
    </row>
    <row r="1072" spans="1:47" ht="15" customHeight="1" x14ac:dyDescent="0.25">
      <c r="A1072" s="1">
        <v>1067</v>
      </c>
      <c r="B1072" s="1" t="s">
        <v>1258</v>
      </c>
      <c r="C1072" s="1" t="s">
        <v>38</v>
      </c>
      <c r="D1072" s="1" t="s">
        <v>2709</v>
      </c>
      <c r="E1072" s="5">
        <v>41967</v>
      </c>
      <c r="F1072" s="1" t="s">
        <v>951</v>
      </c>
      <c r="G1072" s="1" t="s">
        <v>40</v>
      </c>
      <c r="H1072" s="1" t="s">
        <v>41</v>
      </c>
      <c r="I1072" s="1" t="s">
        <v>2809</v>
      </c>
      <c r="J1072" s="1" t="s">
        <v>919</v>
      </c>
      <c r="K1072" s="1">
        <v>38237090</v>
      </c>
      <c r="L1072" s="6">
        <v>22</v>
      </c>
      <c r="M1072" s="1" t="s">
        <v>70</v>
      </c>
      <c r="N1072" s="7" t="s">
        <v>52</v>
      </c>
      <c r="O1072" s="1" t="s">
        <v>53</v>
      </c>
      <c r="P1072" s="8">
        <v>1600</v>
      </c>
      <c r="Q1072" s="17">
        <f t="shared" si="97"/>
        <v>35200</v>
      </c>
      <c r="R1072" s="9">
        <v>1800</v>
      </c>
      <c r="S1072" s="9">
        <v>0</v>
      </c>
      <c r="T1072" s="9">
        <v>0</v>
      </c>
      <c r="U1072" s="10">
        <v>0</v>
      </c>
      <c r="V1072" s="1" t="s">
        <v>46</v>
      </c>
      <c r="W1072" s="1" t="s">
        <v>243</v>
      </c>
      <c r="X1072" s="1">
        <v>6147949</v>
      </c>
      <c r="Y1072" s="24">
        <v>41962</v>
      </c>
      <c r="Z1072" s="11"/>
      <c r="AA1072" s="9">
        <f t="shared" si="98"/>
        <v>33400</v>
      </c>
      <c r="AB1072" s="12">
        <v>60.9</v>
      </c>
      <c r="AC1072" s="9">
        <f t="shared" si="99"/>
        <v>2143680</v>
      </c>
      <c r="AD1072" s="9">
        <f t="shared" si="100"/>
        <v>2034060</v>
      </c>
      <c r="AE1072" s="1" t="s">
        <v>48</v>
      </c>
      <c r="AF1072" s="1" t="s">
        <v>53</v>
      </c>
      <c r="AG1072" s="4">
        <f t="shared" si="103"/>
        <v>35200</v>
      </c>
      <c r="AH1072" s="10">
        <v>35200</v>
      </c>
      <c r="AI1072" s="10">
        <v>1700</v>
      </c>
      <c r="AJ1072" s="10">
        <v>0</v>
      </c>
      <c r="AK1072" s="10">
        <v>0</v>
      </c>
      <c r="AL1072" s="9">
        <f t="shared" si="104"/>
        <v>33500</v>
      </c>
      <c r="AM1072" s="1"/>
      <c r="AN1072" s="1"/>
      <c r="AO1072" s="12" t="e">
        <f>AB1072/#REF!</f>
        <v>#REF!</v>
      </c>
      <c r="AP1072" s="1" t="s">
        <v>2710</v>
      </c>
      <c r="AQ1072" s="11">
        <v>42018</v>
      </c>
      <c r="AR1072" s="1" t="s">
        <v>2712</v>
      </c>
      <c r="AS1072" s="11">
        <v>42019</v>
      </c>
      <c r="AT1072" s="1" t="s">
        <v>49</v>
      </c>
      <c r="AU1072" s="1" t="s">
        <v>4171</v>
      </c>
    </row>
    <row r="1073" spans="1:47" ht="15" customHeight="1" x14ac:dyDescent="0.25">
      <c r="A1073" s="1">
        <v>1069</v>
      </c>
      <c r="B1073" s="1" t="s">
        <v>1258</v>
      </c>
      <c r="C1073" s="1" t="s">
        <v>38</v>
      </c>
      <c r="D1073" s="1">
        <v>9103550872</v>
      </c>
      <c r="E1073" s="5">
        <v>41970</v>
      </c>
      <c r="F1073" s="1" t="s">
        <v>954</v>
      </c>
      <c r="G1073" s="1" t="s">
        <v>40</v>
      </c>
      <c r="H1073" s="1" t="s">
        <v>41</v>
      </c>
      <c r="I1073" s="1" t="s">
        <v>2809</v>
      </c>
      <c r="J1073" s="1" t="s">
        <v>63</v>
      </c>
      <c r="K1073" s="1">
        <v>38231200</v>
      </c>
      <c r="L1073" s="6">
        <v>19.98</v>
      </c>
      <c r="M1073" s="1" t="s">
        <v>70</v>
      </c>
      <c r="N1073" s="7" t="s">
        <v>44</v>
      </c>
      <c r="O1073" s="1" t="s">
        <v>53</v>
      </c>
      <c r="P1073" s="8">
        <v>1330</v>
      </c>
      <c r="Q1073" s="17">
        <f t="shared" si="97"/>
        <v>26573.4</v>
      </c>
      <c r="R1073" s="9">
        <v>360</v>
      </c>
      <c r="S1073" s="9">
        <v>3.8</v>
      </c>
      <c r="T1073" s="9">
        <v>0</v>
      </c>
      <c r="U1073" s="10">
        <v>0</v>
      </c>
      <c r="V1073" s="1" t="s">
        <v>46</v>
      </c>
      <c r="W1073" s="1" t="s">
        <v>2632</v>
      </c>
      <c r="X1073" s="1">
        <v>6169498</v>
      </c>
      <c r="Y1073" s="24">
        <v>41963</v>
      </c>
      <c r="Z1073" s="11"/>
      <c r="AA1073" s="9">
        <f t="shared" si="98"/>
        <v>26209.600000000002</v>
      </c>
      <c r="AB1073" s="12">
        <v>60.9</v>
      </c>
      <c r="AC1073" s="9">
        <f t="shared" si="99"/>
        <v>1618320.06</v>
      </c>
      <c r="AD1073" s="9">
        <f t="shared" si="100"/>
        <v>1596164.6400000001</v>
      </c>
      <c r="AE1073" s="1" t="s">
        <v>284</v>
      </c>
      <c r="AF1073" s="1" t="s">
        <v>53</v>
      </c>
      <c r="AG1073" s="4">
        <f t="shared" si="103"/>
        <v>26573.4</v>
      </c>
      <c r="AH1073" s="10">
        <v>26551.4</v>
      </c>
      <c r="AI1073" s="10">
        <v>360</v>
      </c>
      <c r="AJ1073" s="10">
        <v>3.8</v>
      </c>
      <c r="AK1073" s="10">
        <v>0</v>
      </c>
      <c r="AL1073" s="9">
        <f t="shared" si="104"/>
        <v>26187.600000000002</v>
      </c>
      <c r="AM1073" s="1"/>
      <c r="AN1073" s="1"/>
      <c r="AO1073" s="12" t="e">
        <f>AB1073/#REF!</f>
        <v>#REF!</v>
      </c>
      <c r="AP1073" s="1" t="s">
        <v>2713</v>
      </c>
      <c r="AQ1073" s="11">
        <v>42004</v>
      </c>
      <c r="AR1073" s="1" t="s">
        <v>2714</v>
      </c>
      <c r="AS1073" s="11">
        <v>42004</v>
      </c>
      <c r="AT1073" s="1" t="s">
        <v>49</v>
      </c>
      <c r="AU1073" s="1" t="s">
        <v>4171</v>
      </c>
    </row>
    <row r="1074" spans="1:47" ht="15" customHeight="1" x14ac:dyDescent="0.25">
      <c r="A1074" s="1">
        <v>1070</v>
      </c>
      <c r="B1074" s="1" t="s">
        <v>1258</v>
      </c>
      <c r="C1074" s="1" t="s">
        <v>38</v>
      </c>
      <c r="D1074" s="1">
        <v>9103550873</v>
      </c>
      <c r="E1074" s="5">
        <v>41970</v>
      </c>
      <c r="F1074" s="1" t="s">
        <v>948</v>
      </c>
      <c r="G1074" s="1" t="s">
        <v>40</v>
      </c>
      <c r="H1074" s="1" t="s">
        <v>41</v>
      </c>
      <c r="I1074" s="1" t="s">
        <v>2809</v>
      </c>
      <c r="J1074" s="1" t="s">
        <v>2715</v>
      </c>
      <c r="K1074" s="1">
        <v>38237090</v>
      </c>
      <c r="L1074" s="6">
        <v>12</v>
      </c>
      <c r="M1074" s="1" t="s">
        <v>70</v>
      </c>
      <c r="N1074" s="7" t="s">
        <v>52</v>
      </c>
      <c r="O1074" s="1" t="s">
        <v>53</v>
      </c>
      <c r="P1074" s="8">
        <v>3876</v>
      </c>
      <c r="Q1074" s="17">
        <f t="shared" si="97"/>
        <v>46512</v>
      </c>
      <c r="R1074" s="9">
        <v>1100</v>
      </c>
      <c r="S1074" s="9">
        <v>0</v>
      </c>
      <c r="T1074" s="9">
        <v>0</v>
      </c>
      <c r="U1074" s="10">
        <v>0</v>
      </c>
      <c r="V1074" s="1" t="s">
        <v>46</v>
      </c>
      <c r="W1074" s="1" t="s">
        <v>243</v>
      </c>
      <c r="X1074" s="1">
        <v>6171395</v>
      </c>
      <c r="Y1074" s="24">
        <v>41963</v>
      </c>
      <c r="Z1074" s="11"/>
      <c r="AA1074" s="9">
        <f t="shared" si="98"/>
        <v>45412</v>
      </c>
      <c r="AB1074" s="12">
        <v>60.9</v>
      </c>
      <c r="AC1074" s="9">
        <f t="shared" si="99"/>
        <v>2832580.8</v>
      </c>
      <c r="AD1074" s="9">
        <f t="shared" si="100"/>
        <v>2765590.8</v>
      </c>
      <c r="AE1074" s="1" t="s">
        <v>48</v>
      </c>
      <c r="AF1074" s="1" t="s">
        <v>53</v>
      </c>
      <c r="AG1074" s="4">
        <f t="shared" si="103"/>
        <v>46512</v>
      </c>
      <c r="AH1074" s="10">
        <v>46443</v>
      </c>
      <c r="AI1074" s="10">
        <v>1037</v>
      </c>
      <c r="AJ1074" s="10">
        <v>0</v>
      </c>
      <c r="AK1074" s="10">
        <v>0</v>
      </c>
      <c r="AL1074" s="9">
        <f t="shared" si="104"/>
        <v>45406</v>
      </c>
      <c r="AM1074" s="1"/>
      <c r="AN1074" s="1"/>
      <c r="AO1074" s="12" t="e">
        <f>AB1074/#REF!</f>
        <v>#REF!</v>
      </c>
      <c r="AP1074" s="1"/>
      <c r="AQ1074" s="11">
        <v>42060</v>
      </c>
      <c r="AR1074" s="1" t="s">
        <v>3396</v>
      </c>
      <c r="AS1074" s="11">
        <v>42061</v>
      </c>
      <c r="AT1074" s="1" t="s">
        <v>49</v>
      </c>
      <c r="AU1074" s="1" t="s">
        <v>4171</v>
      </c>
    </row>
    <row r="1075" spans="1:47" ht="15" customHeight="1" x14ac:dyDescent="0.25">
      <c r="A1075" s="1">
        <v>1071</v>
      </c>
      <c r="B1075" s="1" t="s">
        <v>1258</v>
      </c>
      <c r="C1075" s="1" t="s">
        <v>38</v>
      </c>
      <c r="D1075" s="1">
        <v>9103550874</v>
      </c>
      <c r="E1075" s="5">
        <v>41970</v>
      </c>
      <c r="F1075" s="1" t="s">
        <v>950</v>
      </c>
      <c r="G1075" s="1" t="s">
        <v>40</v>
      </c>
      <c r="H1075" s="1" t="s">
        <v>41</v>
      </c>
      <c r="I1075" s="1" t="s">
        <v>2809</v>
      </c>
      <c r="J1075" s="1" t="s">
        <v>2716</v>
      </c>
      <c r="K1075" s="1">
        <v>38231900</v>
      </c>
      <c r="L1075" s="6">
        <v>18.82</v>
      </c>
      <c r="M1075" s="1" t="s">
        <v>70</v>
      </c>
      <c r="N1075" s="7" t="s">
        <v>67</v>
      </c>
      <c r="O1075" s="1" t="s">
        <v>45</v>
      </c>
      <c r="P1075" s="8">
        <v>2910</v>
      </c>
      <c r="Q1075" s="17">
        <f t="shared" si="97"/>
        <v>54766.200000000004</v>
      </c>
      <c r="R1075" s="9">
        <v>0</v>
      </c>
      <c r="S1075" s="9">
        <v>0</v>
      </c>
      <c r="T1075" s="9">
        <v>0</v>
      </c>
      <c r="U1075" s="10">
        <v>0</v>
      </c>
      <c r="V1075" s="1" t="s">
        <v>46</v>
      </c>
      <c r="W1075" s="1" t="s">
        <v>47</v>
      </c>
      <c r="X1075" s="1">
        <v>6187181</v>
      </c>
      <c r="Y1075" s="24">
        <v>41964</v>
      </c>
      <c r="Z1075" s="11"/>
      <c r="AA1075" s="9">
        <f t="shared" si="98"/>
        <v>54766.200000000004</v>
      </c>
      <c r="AB1075" s="12">
        <v>77</v>
      </c>
      <c r="AC1075" s="9">
        <f t="shared" si="99"/>
        <v>4216997.4000000004</v>
      </c>
      <c r="AD1075" s="9">
        <f t="shared" si="100"/>
        <v>4216997.4000000004</v>
      </c>
      <c r="AE1075" s="1" t="s">
        <v>48</v>
      </c>
      <c r="AF1075" s="1" t="s">
        <v>45</v>
      </c>
      <c r="AG1075" s="4">
        <f t="shared" si="103"/>
        <v>54766.200000000004</v>
      </c>
      <c r="AH1075" s="10">
        <v>54706.2</v>
      </c>
      <c r="AI1075" s="10">
        <v>0</v>
      </c>
      <c r="AJ1075" s="10">
        <v>0</v>
      </c>
      <c r="AK1075" s="10">
        <v>0</v>
      </c>
      <c r="AL1075" s="9">
        <f t="shared" si="104"/>
        <v>54706.2</v>
      </c>
      <c r="AM1075" s="1"/>
      <c r="AN1075" s="1"/>
      <c r="AO1075" s="12" t="e">
        <f>AB1075/#REF!</f>
        <v>#REF!</v>
      </c>
      <c r="AP1075" s="1"/>
      <c r="AQ1075" s="11">
        <v>42019</v>
      </c>
      <c r="AR1075" s="1" t="s">
        <v>3688</v>
      </c>
      <c r="AS1075" s="11">
        <v>42021</v>
      </c>
      <c r="AT1075" s="1" t="s">
        <v>49</v>
      </c>
      <c r="AU1075" s="1" t="s">
        <v>4171</v>
      </c>
    </row>
    <row r="1076" spans="1:47" ht="15" customHeight="1" x14ac:dyDescent="0.25">
      <c r="A1076" s="1">
        <v>1072</v>
      </c>
      <c r="B1076" s="1" t="s">
        <v>1258</v>
      </c>
      <c r="C1076" s="1" t="s">
        <v>38</v>
      </c>
      <c r="D1076" s="1">
        <v>9103550875</v>
      </c>
      <c r="E1076" s="5">
        <v>41974</v>
      </c>
      <c r="F1076" s="1" t="s">
        <v>958</v>
      </c>
      <c r="G1076" s="1" t="s">
        <v>40</v>
      </c>
      <c r="H1076" s="1" t="s">
        <v>41</v>
      </c>
      <c r="I1076" s="1" t="s">
        <v>2809</v>
      </c>
      <c r="J1076" s="1" t="s">
        <v>837</v>
      </c>
      <c r="K1076" s="1">
        <v>38231900</v>
      </c>
      <c r="L1076" s="6">
        <v>18.82</v>
      </c>
      <c r="M1076" s="1" t="s">
        <v>70</v>
      </c>
      <c r="N1076" s="7" t="s">
        <v>44</v>
      </c>
      <c r="O1076" s="1" t="s">
        <v>53</v>
      </c>
      <c r="P1076" s="8">
        <v>3799.9</v>
      </c>
      <c r="Q1076" s="17">
        <f t="shared" si="97"/>
        <v>71514.118000000002</v>
      </c>
      <c r="R1076" s="9">
        <v>6200</v>
      </c>
      <c r="S1076" s="9">
        <v>10.23</v>
      </c>
      <c r="T1076" s="9">
        <v>0</v>
      </c>
      <c r="U1076" s="10">
        <v>0</v>
      </c>
      <c r="V1076" s="1" t="s">
        <v>46</v>
      </c>
      <c r="W1076" s="1" t="s">
        <v>56</v>
      </c>
      <c r="X1076" s="1">
        <v>6187229</v>
      </c>
      <c r="Y1076" s="24">
        <v>41964</v>
      </c>
      <c r="Z1076" s="11"/>
      <c r="AA1076" s="9">
        <f t="shared" si="98"/>
        <v>65303.887999999999</v>
      </c>
      <c r="AB1076" s="12">
        <v>61.6</v>
      </c>
      <c r="AC1076" s="9">
        <f t="shared" si="99"/>
        <v>4405269.6688000001</v>
      </c>
      <c r="AD1076" s="9">
        <f t="shared" si="100"/>
        <v>4022719.5008</v>
      </c>
      <c r="AE1076" s="1" t="s">
        <v>57</v>
      </c>
      <c r="AF1076" s="1" t="s">
        <v>53</v>
      </c>
      <c r="AG1076" s="4">
        <f t="shared" si="103"/>
        <v>71514.118000000002</v>
      </c>
      <c r="AH1076" s="10">
        <v>71514.12</v>
      </c>
      <c r="AI1076" s="10">
        <v>6150</v>
      </c>
      <c r="AJ1076" s="10">
        <v>10.23</v>
      </c>
      <c r="AK1076" s="10">
        <v>0</v>
      </c>
      <c r="AL1076" s="9">
        <f t="shared" si="104"/>
        <v>65353.89</v>
      </c>
      <c r="AM1076" s="1"/>
      <c r="AN1076" s="1"/>
      <c r="AO1076" s="12" t="e">
        <f>AB1076/#REF!</f>
        <v>#REF!</v>
      </c>
      <c r="AP1076" s="1" t="s">
        <v>2717</v>
      </c>
      <c r="AQ1076" s="11">
        <v>42048</v>
      </c>
      <c r="AR1076" s="1" t="s">
        <v>2718</v>
      </c>
      <c r="AS1076" s="11">
        <v>42049</v>
      </c>
      <c r="AT1076" s="1" t="s">
        <v>49</v>
      </c>
      <c r="AU1076" s="1" t="s">
        <v>4171</v>
      </c>
    </row>
    <row r="1077" spans="1:47" ht="15" customHeight="1" x14ac:dyDescent="0.25">
      <c r="A1077" s="1">
        <v>1073</v>
      </c>
      <c r="B1077" s="1" t="s">
        <v>1258</v>
      </c>
      <c r="C1077" s="1" t="s">
        <v>38</v>
      </c>
      <c r="D1077" s="1">
        <v>9103550876</v>
      </c>
      <c r="E1077" s="5">
        <v>41970</v>
      </c>
      <c r="F1077" s="1" t="s">
        <v>956</v>
      </c>
      <c r="G1077" s="1" t="s">
        <v>40</v>
      </c>
      <c r="H1077" s="1" t="s">
        <v>41</v>
      </c>
      <c r="I1077" s="1" t="s">
        <v>2809</v>
      </c>
      <c r="J1077" s="1" t="s">
        <v>63</v>
      </c>
      <c r="K1077" s="1">
        <v>29159090</v>
      </c>
      <c r="L1077" s="6">
        <v>20</v>
      </c>
      <c r="M1077" s="1" t="s">
        <v>70</v>
      </c>
      <c r="N1077" s="7" t="s">
        <v>52</v>
      </c>
      <c r="O1077" s="1" t="s">
        <v>53</v>
      </c>
      <c r="P1077" s="8">
        <v>3600</v>
      </c>
      <c r="Q1077" s="17">
        <f t="shared" si="97"/>
        <v>72000</v>
      </c>
      <c r="R1077" s="9">
        <v>200</v>
      </c>
      <c r="S1077" s="9">
        <v>0</v>
      </c>
      <c r="T1077" s="9">
        <v>0</v>
      </c>
      <c r="U1077" s="10">
        <v>0</v>
      </c>
      <c r="V1077" s="1" t="s">
        <v>46</v>
      </c>
      <c r="W1077" s="1" t="s">
        <v>75</v>
      </c>
      <c r="X1077" s="1">
        <v>6187471</v>
      </c>
      <c r="Y1077" s="24">
        <v>41964</v>
      </c>
      <c r="Z1077" s="11"/>
      <c r="AA1077" s="9">
        <f t="shared" si="98"/>
        <v>71800</v>
      </c>
      <c r="AB1077" s="12">
        <v>61.6</v>
      </c>
      <c r="AC1077" s="9">
        <f t="shared" si="99"/>
        <v>4435200</v>
      </c>
      <c r="AD1077" s="9">
        <f t="shared" si="100"/>
        <v>4422880</v>
      </c>
      <c r="AE1077" s="1" t="s">
        <v>51</v>
      </c>
      <c r="AF1077" s="1" t="s">
        <v>53</v>
      </c>
      <c r="AG1077" s="4">
        <f t="shared" si="103"/>
        <v>72000</v>
      </c>
      <c r="AH1077" s="10">
        <v>71959</v>
      </c>
      <c r="AI1077" s="10">
        <v>258</v>
      </c>
      <c r="AJ1077" s="10">
        <v>0</v>
      </c>
      <c r="AK1077" s="10">
        <v>0</v>
      </c>
      <c r="AL1077" s="9">
        <f t="shared" si="104"/>
        <v>71701</v>
      </c>
      <c r="AM1077" s="1"/>
      <c r="AN1077" s="1"/>
      <c r="AO1077" s="12" t="e">
        <f>AB1077/#REF!</f>
        <v>#REF!</v>
      </c>
      <c r="AP1077" s="1"/>
      <c r="AQ1077" s="11">
        <v>42002</v>
      </c>
      <c r="AR1077" s="1" t="s">
        <v>3631</v>
      </c>
      <c r="AS1077" s="11">
        <v>42003</v>
      </c>
      <c r="AT1077" s="1" t="s">
        <v>49</v>
      </c>
      <c r="AU1077" s="1" t="s">
        <v>4171</v>
      </c>
    </row>
    <row r="1078" spans="1:47" ht="15" customHeight="1" x14ac:dyDescent="0.25">
      <c r="A1078" s="1">
        <v>1074</v>
      </c>
      <c r="B1078" s="1" t="s">
        <v>1258</v>
      </c>
      <c r="C1078" s="1" t="s">
        <v>38</v>
      </c>
      <c r="D1078" s="1" t="s">
        <v>2719</v>
      </c>
      <c r="E1078" s="5">
        <v>41970</v>
      </c>
      <c r="F1078" s="1" t="s">
        <v>946</v>
      </c>
      <c r="G1078" s="1" t="s">
        <v>40</v>
      </c>
      <c r="H1078" s="1" t="s">
        <v>41</v>
      </c>
      <c r="I1078" s="1" t="s">
        <v>2809</v>
      </c>
      <c r="J1078" s="1" t="s">
        <v>63</v>
      </c>
      <c r="K1078" s="1">
        <v>38231200</v>
      </c>
      <c r="L1078" s="6">
        <v>19.84</v>
      </c>
      <c r="M1078" s="1" t="s">
        <v>70</v>
      </c>
      <c r="N1078" s="7" t="s">
        <v>44</v>
      </c>
      <c r="O1078" s="1" t="s">
        <v>53</v>
      </c>
      <c r="P1078" s="8">
        <v>1320</v>
      </c>
      <c r="Q1078" s="17">
        <f t="shared" si="97"/>
        <v>26188.799999999999</v>
      </c>
      <c r="R1078" s="9">
        <v>360</v>
      </c>
      <c r="S1078" s="9">
        <v>3.74</v>
      </c>
      <c r="T1078" s="9">
        <v>0</v>
      </c>
      <c r="U1078" s="10">
        <v>0</v>
      </c>
      <c r="V1078" s="1" t="s">
        <v>46</v>
      </c>
      <c r="W1078" s="1" t="s">
        <v>64</v>
      </c>
      <c r="X1078" s="1">
        <v>6169493</v>
      </c>
      <c r="Y1078" s="24">
        <v>41963</v>
      </c>
      <c r="Z1078" s="11"/>
      <c r="AA1078" s="9">
        <f t="shared" si="98"/>
        <v>25825.059999999998</v>
      </c>
      <c r="AB1078" s="12">
        <v>60.9</v>
      </c>
      <c r="AC1078" s="9">
        <f t="shared" si="99"/>
        <v>1594897.92</v>
      </c>
      <c r="AD1078" s="9">
        <f t="shared" si="100"/>
        <v>1572746.1539999999</v>
      </c>
      <c r="AE1078" s="1" t="s">
        <v>284</v>
      </c>
      <c r="AF1078" s="1" t="s">
        <v>53</v>
      </c>
      <c r="AG1078" s="4">
        <f t="shared" si="103"/>
        <v>26188.799999999999</v>
      </c>
      <c r="AH1078" s="10">
        <v>26188.799999999999</v>
      </c>
      <c r="AI1078" s="10">
        <v>360</v>
      </c>
      <c r="AJ1078" s="10">
        <v>3.74</v>
      </c>
      <c r="AK1078" s="10">
        <v>0</v>
      </c>
      <c r="AL1078" s="9">
        <f t="shared" si="104"/>
        <v>25825.059999999998</v>
      </c>
      <c r="AM1078" s="1"/>
      <c r="AN1078" s="1"/>
      <c r="AO1078" s="12" t="e">
        <f>AB1078/#REF!</f>
        <v>#REF!</v>
      </c>
      <c r="AP1078" s="1" t="s">
        <v>2720</v>
      </c>
      <c r="AQ1078" s="11">
        <v>42004</v>
      </c>
      <c r="AR1078" s="1" t="s">
        <v>2721</v>
      </c>
      <c r="AS1078" s="11">
        <v>42004</v>
      </c>
      <c r="AT1078" s="1" t="s">
        <v>49</v>
      </c>
      <c r="AU1078" s="1" t="s">
        <v>4171</v>
      </c>
    </row>
    <row r="1079" spans="1:47" ht="15" customHeight="1" x14ac:dyDescent="0.25">
      <c r="A1079" s="1">
        <v>1075</v>
      </c>
      <c r="B1079" s="1" t="s">
        <v>1258</v>
      </c>
      <c r="C1079" s="1" t="s">
        <v>38</v>
      </c>
      <c r="D1079" s="1" t="s">
        <v>2719</v>
      </c>
      <c r="E1079" s="5">
        <v>41970</v>
      </c>
      <c r="F1079" s="1" t="s">
        <v>955</v>
      </c>
      <c r="G1079" s="1" t="s">
        <v>40</v>
      </c>
      <c r="H1079" s="1" t="s">
        <v>41</v>
      </c>
      <c r="I1079" s="1" t="s">
        <v>2809</v>
      </c>
      <c r="J1079" s="1" t="s">
        <v>63</v>
      </c>
      <c r="K1079" s="1">
        <v>38231200</v>
      </c>
      <c r="L1079" s="6">
        <v>19.989999999999998</v>
      </c>
      <c r="M1079" s="1" t="s">
        <v>70</v>
      </c>
      <c r="N1079" s="7" t="s">
        <v>44</v>
      </c>
      <c r="O1079" s="1" t="s">
        <v>53</v>
      </c>
      <c r="P1079" s="8">
        <v>1320</v>
      </c>
      <c r="Q1079" s="17">
        <f t="shared" si="97"/>
        <v>26386.799999999999</v>
      </c>
      <c r="R1079" s="9">
        <v>360</v>
      </c>
      <c r="S1079" s="9">
        <v>3.77</v>
      </c>
      <c r="T1079" s="9">
        <v>0</v>
      </c>
      <c r="U1079" s="10">
        <v>0</v>
      </c>
      <c r="V1079" s="1" t="s">
        <v>46</v>
      </c>
      <c r="W1079" s="1" t="s">
        <v>64</v>
      </c>
      <c r="X1079" s="1">
        <v>6187300</v>
      </c>
      <c r="Y1079" s="24">
        <v>41964</v>
      </c>
      <c r="Z1079" s="11"/>
      <c r="AA1079" s="9">
        <f t="shared" si="98"/>
        <v>26023.03</v>
      </c>
      <c r="AB1079" s="12">
        <v>61.6</v>
      </c>
      <c r="AC1079" s="9">
        <f t="shared" si="99"/>
        <v>1625426.88</v>
      </c>
      <c r="AD1079" s="9">
        <f t="shared" si="100"/>
        <v>1603018.648</v>
      </c>
      <c r="AE1079" s="1" t="s">
        <v>284</v>
      </c>
      <c r="AF1079" s="1" t="s">
        <v>53</v>
      </c>
      <c r="AG1079" s="4">
        <f t="shared" si="103"/>
        <v>26386.799999999999</v>
      </c>
      <c r="AH1079" s="10">
        <v>26386.799999999999</v>
      </c>
      <c r="AI1079" s="10">
        <v>360</v>
      </c>
      <c r="AJ1079" s="10">
        <v>3.77</v>
      </c>
      <c r="AK1079" s="10"/>
      <c r="AL1079" s="9">
        <f t="shared" si="104"/>
        <v>26023.03</v>
      </c>
      <c r="AM1079" s="1"/>
      <c r="AN1079" s="1"/>
      <c r="AO1079" s="12" t="e">
        <f>AB1079/#REF!</f>
        <v>#REF!</v>
      </c>
      <c r="AP1079" s="1" t="s">
        <v>2720</v>
      </c>
      <c r="AQ1079" s="11">
        <v>42004</v>
      </c>
      <c r="AR1079" s="1" t="s">
        <v>2722</v>
      </c>
      <c r="AS1079" s="11">
        <v>42004</v>
      </c>
      <c r="AT1079" s="1" t="s">
        <v>49</v>
      </c>
      <c r="AU1079" s="1" t="s">
        <v>4171</v>
      </c>
    </row>
    <row r="1080" spans="1:47" s="23" customFormat="1" ht="15" customHeight="1" x14ac:dyDescent="0.25">
      <c r="A1080" s="1">
        <v>1076</v>
      </c>
      <c r="B1080" s="3" t="s">
        <v>1258</v>
      </c>
      <c r="C1080" s="3" t="s">
        <v>38</v>
      </c>
      <c r="D1080" s="3">
        <v>9103550879</v>
      </c>
      <c r="E1080" s="19">
        <v>41969</v>
      </c>
      <c r="F1080" s="3" t="s">
        <v>957</v>
      </c>
      <c r="G1080" s="3" t="s">
        <v>40</v>
      </c>
      <c r="H1080" s="3" t="s">
        <v>41</v>
      </c>
      <c r="I1080" s="3" t="s">
        <v>2809</v>
      </c>
      <c r="J1080" s="3" t="s">
        <v>2723</v>
      </c>
      <c r="K1080" s="3">
        <v>29051700</v>
      </c>
      <c r="L1080" s="48">
        <v>12.5</v>
      </c>
      <c r="M1080" s="3" t="s">
        <v>70</v>
      </c>
      <c r="N1080" s="49" t="s">
        <v>44</v>
      </c>
      <c r="O1080" s="3" t="s">
        <v>53</v>
      </c>
      <c r="P1080" s="50">
        <v>1600</v>
      </c>
      <c r="Q1080" s="17">
        <f t="shared" si="97"/>
        <v>20000</v>
      </c>
      <c r="R1080" s="20">
        <f>1000/15*12.5</f>
        <v>833.33333333333337</v>
      </c>
      <c r="S1080" s="20">
        <f>22000*0.013%</f>
        <v>2.86</v>
      </c>
      <c r="T1080" s="20">
        <v>0</v>
      </c>
      <c r="U1080" s="4">
        <v>0</v>
      </c>
      <c r="V1080" s="3" t="s">
        <v>46</v>
      </c>
      <c r="W1080" s="3" t="s">
        <v>90</v>
      </c>
      <c r="X1080" s="3">
        <v>6191088</v>
      </c>
      <c r="Y1080" s="93">
        <v>41964</v>
      </c>
      <c r="Z1080" s="21"/>
      <c r="AA1080" s="20">
        <f t="shared" si="98"/>
        <v>19163.806666666667</v>
      </c>
      <c r="AB1080" s="22">
        <v>61.6</v>
      </c>
      <c r="AC1080" s="20">
        <f t="shared" si="99"/>
        <v>1232000</v>
      </c>
      <c r="AD1080" s="20">
        <f t="shared" si="100"/>
        <v>1180490.4906666668</v>
      </c>
      <c r="AE1080" s="3" t="s">
        <v>48</v>
      </c>
      <c r="AF1080" s="3" t="s">
        <v>53</v>
      </c>
      <c r="AG1080" s="4">
        <f t="shared" si="103"/>
        <v>20000</v>
      </c>
      <c r="AH1080" s="4">
        <v>19955</v>
      </c>
      <c r="AI1080" s="4">
        <v>827.4</v>
      </c>
      <c r="AJ1080" s="4">
        <v>2.87</v>
      </c>
      <c r="AK1080" s="4">
        <v>0</v>
      </c>
      <c r="AL1080" s="20">
        <f t="shared" si="104"/>
        <v>19124.73</v>
      </c>
      <c r="AM1080" s="3"/>
      <c r="AN1080" s="3"/>
      <c r="AO1080" s="22" t="e">
        <f>AB1080/#REF!</f>
        <v>#REF!</v>
      </c>
      <c r="AP1080" s="3" t="s">
        <v>2724</v>
      </c>
      <c r="AQ1080" s="21">
        <v>42012</v>
      </c>
      <c r="AR1080" s="3" t="s">
        <v>2725</v>
      </c>
      <c r="AS1080" s="21">
        <v>42014</v>
      </c>
      <c r="AT1080" s="3" t="s">
        <v>49</v>
      </c>
      <c r="AU1080" s="1" t="s">
        <v>4171</v>
      </c>
    </row>
    <row r="1081" spans="1:47" s="23" customFormat="1" ht="15" customHeight="1" x14ac:dyDescent="0.25">
      <c r="A1081" s="1">
        <v>1077</v>
      </c>
      <c r="B1081" s="3" t="s">
        <v>1258</v>
      </c>
      <c r="C1081" s="3" t="s">
        <v>38</v>
      </c>
      <c r="D1081" s="3">
        <v>9103550879</v>
      </c>
      <c r="E1081" s="19">
        <v>41969</v>
      </c>
      <c r="F1081" s="3" t="s">
        <v>957</v>
      </c>
      <c r="G1081" s="3" t="s">
        <v>40</v>
      </c>
      <c r="H1081" s="3" t="s">
        <v>41</v>
      </c>
      <c r="I1081" s="3" t="s">
        <v>2809</v>
      </c>
      <c r="J1081" s="3" t="s">
        <v>2723</v>
      </c>
      <c r="K1081" s="3">
        <v>38237090</v>
      </c>
      <c r="L1081" s="48">
        <v>2</v>
      </c>
      <c r="M1081" s="3" t="s">
        <v>70</v>
      </c>
      <c r="N1081" s="49" t="s">
        <v>44</v>
      </c>
      <c r="O1081" s="3" t="s">
        <v>53</v>
      </c>
      <c r="P1081" s="50">
        <v>1550</v>
      </c>
      <c r="Q1081" s="17">
        <f>+L1081*P1081</f>
        <v>3100</v>
      </c>
      <c r="R1081" s="20">
        <f>1000/15*2</f>
        <v>133.33333333333334</v>
      </c>
      <c r="S1081" s="20">
        <f>3410*0.013%</f>
        <v>0.44329999999999997</v>
      </c>
      <c r="T1081" s="20">
        <v>0</v>
      </c>
      <c r="U1081" s="4">
        <v>0</v>
      </c>
      <c r="V1081" s="3" t="s">
        <v>46</v>
      </c>
      <c r="W1081" s="3" t="s">
        <v>90</v>
      </c>
      <c r="X1081" s="3">
        <v>6191088</v>
      </c>
      <c r="Y1081" s="93">
        <v>41964</v>
      </c>
      <c r="Z1081" s="21"/>
      <c r="AA1081" s="20">
        <f t="shared" si="98"/>
        <v>2966.2233666666666</v>
      </c>
      <c r="AB1081" s="22">
        <v>61.6</v>
      </c>
      <c r="AC1081" s="20">
        <f t="shared" si="99"/>
        <v>190960</v>
      </c>
      <c r="AD1081" s="20">
        <f t="shared" si="100"/>
        <v>182719.35938666668</v>
      </c>
      <c r="AE1081" s="3" t="s">
        <v>48</v>
      </c>
      <c r="AF1081" s="3" t="s">
        <v>53</v>
      </c>
      <c r="AG1081" s="4">
        <f t="shared" si="103"/>
        <v>3100</v>
      </c>
      <c r="AH1081" s="4">
        <v>3075</v>
      </c>
      <c r="AI1081" s="4">
        <v>127.5</v>
      </c>
      <c r="AJ1081" s="4">
        <v>0.44</v>
      </c>
      <c r="AK1081" s="4">
        <v>0</v>
      </c>
      <c r="AL1081" s="20">
        <f t="shared" si="104"/>
        <v>2947.06</v>
      </c>
      <c r="AM1081" s="3"/>
      <c r="AN1081" s="3"/>
      <c r="AO1081" s="22" t="e">
        <f>AB1081/#REF!</f>
        <v>#REF!</v>
      </c>
      <c r="AP1081" s="3"/>
      <c r="AQ1081" s="21">
        <v>42012</v>
      </c>
      <c r="AR1081" s="3" t="s">
        <v>2725</v>
      </c>
      <c r="AS1081" s="21">
        <v>42014</v>
      </c>
      <c r="AT1081" s="3" t="s">
        <v>49</v>
      </c>
      <c r="AU1081" s="1" t="s">
        <v>4171</v>
      </c>
    </row>
    <row r="1082" spans="1:47" s="23" customFormat="1" ht="15" customHeight="1" x14ac:dyDescent="0.25">
      <c r="A1082" s="1">
        <v>1078</v>
      </c>
      <c r="B1082" s="3" t="s">
        <v>1258</v>
      </c>
      <c r="C1082" s="3" t="s">
        <v>38</v>
      </c>
      <c r="D1082" s="3">
        <v>9103550879</v>
      </c>
      <c r="E1082" s="19">
        <v>41969</v>
      </c>
      <c r="F1082" s="3" t="s">
        <v>957</v>
      </c>
      <c r="G1082" s="3" t="s">
        <v>40</v>
      </c>
      <c r="H1082" s="3" t="s">
        <v>41</v>
      </c>
      <c r="I1082" s="3" t="s">
        <v>2809</v>
      </c>
      <c r="J1082" s="3" t="s">
        <v>2723</v>
      </c>
      <c r="K1082" s="3">
        <v>38237090</v>
      </c>
      <c r="L1082" s="48">
        <v>0.5</v>
      </c>
      <c r="M1082" s="3" t="s">
        <v>70</v>
      </c>
      <c r="N1082" s="49" t="s">
        <v>44</v>
      </c>
      <c r="O1082" s="3" t="s">
        <v>53</v>
      </c>
      <c r="P1082" s="50">
        <v>1500</v>
      </c>
      <c r="Q1082" s="17">
        <f t="shared" si="97"/>
        <v>750</v>
      </c>
      <c r="R1082" s="20">
        <f>1000/15*0.5</f>
        <v>33.333333333333336</v>
      </c>
      <c r="S1082" s="20">
        <f>3.41-2.86-0.44</f>
        <v>0.11000000000000026</v>
      </c>
      <c r="T1082" s="20">
        <v>0</v>
      </c>
      <c r="U1082" s="4">
        <v>0</v>
      </c>
      <c r="V1082" s="3" t="s">
        <v>46</v>
      </c>
      <c r="W1082" s="3" t="s">
        <v>90</v>
      </c>
      <c r="X1082" s="3">
        <v>6191088</v>
      </c>
      <c r="Y1082" s="93">
        <v>41964</v>
      </c>
      <c r="Z1082" s="21"/>
      <c r="AA1082" s="20">
        <f t="shared" si="98"/>
        <v>716.55666666666662</v>
      </c>
      <c r="AB1082" s="22">
        <v>61.6</v>
      </c>
      <c r="AC1082" s="20">
        <f t="shared" si="99"/>
        <v>46200</v>
      </c>
      <c r="AD1082" s="20">
        <f t="shared" si="100"/>
        <v>44139.890666666666</v>
      </c>
      <c r="AE1082" s="3" t="s">
        <v>48</v>
      </c>
      <c r="AF1082" s="3" t="s">
        <v>53</v>
      </c>
      <c r="AG1082" s="4">
        <f t="shared" si="103"/>
        <v>750</v>
      </c>
      <c r="AH1082" s="4">
        <v>726</v>
      </c>
      <c r="AI1082" s="4">
        <v>30.1</v>
      </c>
      <c r="AJ1082" s="4">
        <v>0.1</v>
      </c>
      <c r="AK1082" s="4">
        <v>0</v>
      </c>
      <c r="AL1082" s="20">
        <f t="shared" si="104"/>
        <v>695.8</v>
      </c>
      <c r="AM1082" s="3"/>
      <c r="AN1082" s="3"/>
      <c r="AO1082" s="22" t="e">
        <f>AB1082/#REF!</f>
        <v>#REF!</v>
      </c>
      <c r="AP1082" s="3"/>
      <c r="AQ1082" s="21">
        <v>42012</v>
      </c>
      <c r="AR1082" s="3" t="s">
        <v>2725</v>
      </c>
      <c r="AS1082" s="21">
        <v>42014</v>
      </c>
      <c r="AT1082" s="3" t="s">
        <v>49</v>
      </c>
      <c r="AU1082" s="1" t="s">
        <v>4171</v>
      </c>
    </row>
    <row r="1083" spans="1:47" ht="15" customHeight="1" x14ac:dyDescent="0.25">
      <c r="A1083" s="1">
        <v>1079</v>
      </c>
      <c r="B1083" s="1" t="s">
        <v>1258</v>
      </c>
      <c r="C1083" s="1" t="s">
        <v>38</v>
      </c>
      <c r="D1083" s="1">
        <v>9103550880</v>
      </c>
      <c r="E1083" s="5">
        <v>41964</v>
      </c>
      <c r="F1083" s="1" t="s">
        <v>959</v>
      </c>
      <c r="G1083" s="1" t="s">
        <v>40</v>
      </c>
      <c r="H1083" s="1" t="s">
        <v>41</v>
      </c>
      <c r="I1083" s="1" t="s">
        <v>2809</v>
      </c>
      <c r="J1083" s="1" t="s">
        <v>267</v>
      </c>
      <c r="K1083" s="1">
        <v>29051700</v>
      </c>
      <c r="L1083" s="6">
        <v>48</v>
      </c>
      <c r="M1083" s="1" t="s">
        <v>70</v>
      </c>
      <c r="N1083" s="7" t="s">
        <v>67</v>
      </c>
      <c r="O1083" s="1" t="s">
        <v>53</v>
      </c>
      <c r="P1083" s="8">
        <v>1580</v>
      </c>
      <c r="Q1083" s="17">
        <f t="shared" si="97"/>
        <v>75840</v>
      </c>
      <c r="R1083" s="9">
        <v>0</v>
      </c>
      <c r="S1083" s="9">
        <v>0</v>
      </c>
      <c r="T1083" s="9">
        <v>0</v>
      </c>
      <c r="U1083" s="10">
        <v>0</v>
      </c>
      <c r="V1083" s="1" t="s">
        <v>46</v>
      </c>
      <c r="W1083" s="1" t="s">
        <v>329</v>
      </c>
      <c r="X1083" s="1">
        <v>6191306</v>
      </c>
      <c r="Y1083" s="24">
        <v>41964</v>
      </c>
      <c r="Z1083" s="11"/>
      <c r="AA1083" s="9">
        <f t="shared" si="98"/>
        <v>75840</v>
      </c>
      <c r="AB1083" s="12">
        <v>61.6</v>
      </c>
      <c r="AC1083" s="9">
        <f t="shared" si="99"/>
        <v>4671744</v>
      </c>
      <c r="AD1083" s="9">
        <f t="shared" si="100"/>
        <v>4671744</v>
      </c>
      <c r="AE1083" s="1" t="s">
        <v>48</v>
      </c>
      <c r="AF1083" s="1" t="s">
        <v>53</v>
      </c>
      <c r="AG1083" s="4">
        <f t="shared" si="103"/>
        <v>75840</v>
      </c>
      <c r="AH1083" s="10">
        <v>75571</v>
      </c>
      <c r="AI1083" s="10">
        <v>0</v>
      </c>
      <c r="AJ1083" s="10">
        <v>0</v>
      </c>
      <c r="AK1083" s="10">
        <v>0</v>
      </c>
      <c r="AL1083" s="9">
        <f t="shared" si="104"/>
        <v>75571</v>
      </c>
      <c r="AM1083" s="1"/>
      <c r="AN1083" s="1"/>
      <c r="AO1083" s="12" t="e">
        <f>AB1083/#REF!</f>
        <v>#REF!</v>
      </c>
      <c r="AP1083" s="1" t="s">
        <v>4181</v>
      </c>
      <c r="AQ1083" s="11">
        <v>42032</v>
      </c>
      <c r="AR1083" s="1" t="s">
        <v>4185</v>
      </c>
      <c r="AS1083" s="11">
        <v>42038</v>
      </c>
      <c r="AT1083" s="1" t="s">
        <v>49</v>
      </c>
      <c r="AU1083" s="1" t="s">
        <v>4171</v>
      </c>
    </row>
    <row r="1084" spans="1:47" ht="15" customHeight="1" x14ac:dyDescent="0.25">
      <c r="A1084" s="1">
        <v>1080</v>
      </c>
      <c r="B1084" s="1" t="s">
        <v>1258</v>
      </c>
      <c r="C1084" s="1" t="s">
        <v>38</v>
      </c>
      <c r="D1084" s="1">
        <v>9103550881</v>
      </c>
      <c r="E1084" s="5">
        <v>41980</v>
      </c>
      <c r="F1084" s="1" t="s">
        <v>949</v>
      </c>
      <c r="G1084" s="1" t="s">
        <v>40</v>
      </c>
      <c r="H1084" s="1" t="s">
        <v>41</v>
      </c>
      <c r="I1084" s="1" t="s">
        <v>2809</v>
      </c>
      <c r="J1084" s="1" t="s">
        <v>2671</v>
      </c>
      <c r="K1084" s="1">
        <v>38237090</v>
      </c>
      <c r="L1084" s="6">
        <v>2</v>
      </c>
      <c r="M1084" s="1" t="s">
        <v>70</v>
      </c>
      <c r="N1084" s="7" t="s">
        <v>52</v>
      </c>
      <c r="O1084" s="1" t="s">
        <v>53</v>
      </c>
      <c r="P1084" s="8">
        <v>4470</v>
      </c>
      <c r="Q1084" s="17">
        <f t="shared" si="97"/>
        <v>8940</v>
      </c>
      <c r="R1084" s="9">
        <v>100</v>
      </c>
      <c r="S1084" s="9">
        <v>0</v>
      </c>
      <c r="T1084" s="9">
        <v>0</v>
      </c>
      <c r="U1084" s="10">
        <v>0</v>
      </c>
      <c r="V1084" s="1" t="s">
        <v>46</v>
      </c>
      <c r="W1084" s="1" t="s">
        <v>236</v>
      </c>
      <c r="X1084" s="1">
        <v>6183272</v>
      </c>
      <c r="Y1084" s="24">
        <v>41964</v>
      </c>
      <c r="Z1084" s="11"/>
      <c r="AA1084" s="9">
        <f t="shared" si="98"/>
        <v>8840</v>
      </c>
      <c r="AB1084" s="12">
        <v>61.6</v>
      </c>
      <c r="AC1084" s="9">
        <f t="shared" si="99"/>
        <v>550704</v>
      </c>
      <c r="AD1084" s="9">
        <f t="shared" si="100"/>
        <v>544544</v>
      </c>
      <c r="AE1084" s="1" t="s">
        <v>48</v>
      </c>
      <c r="AF1084" s="1" t="s">
        <v>53</v>
      </c>
      <c r="AG1084" s="4">
        <f t="shared" si="103"/>
        <v>8940</v>
      </c>
      <c r="AH1084" s="10">
        <v>8905</v>
      </c>
      <c r="AI1084" s="10">
        <v>26.46</v>
      </c>
      <c r="AJ1084" s="10">
        <v>0</v>
      </c>
      <c r="AK1084" s="10">
        <v>0</v>
      </c>
      <c r="AL1084" s="9">
        <f t="shared" si="104"/>
        <v>8878.5400000000009</v>
      </c>
      <c r="AM1084" s="1"/>
      <c r="AN1084" s="1"/>
      <c r="AO1084" s="12" t="e">
        <f>AB1084/#REF!</f>
        <v>#REF!</v>
      </c>
      <c r="AP1084" s="1" t="s">
        <v>2726</v>
      </c>
      <c r="AQ1084" s="11">
        <v>42046</v>
      </c>
      <c r="AR1084" s="1" t="s">
        <v>2727</v>
      </c>
      <c r="AS1084" s="11">
        <v>42047</v>
      </c>
      <c r="AT1084" s="1" t="s">
        <v>49</v>
      </c>
      <c r="AU1084" s="1" t="s">
        <v>4171</v>
      </c>
    </row>
    <row r="1085" spans="1:47" ht="15" customHeight="1" x14ac:dyDescent="0.25">
      <c r="A1085" s="1">
        <v>1081</v>
      </c>
      <c r="B1085" s="1" t="s">
        <v>1258</v>
      </c>
      <c r="C1085" s="1" t="s">
        <v>38</v>
      </c>
      <c r="D1085" s="1">
        <v>9103550882</v>
      </c>
      <c r="E1085" s="5">
        <v>41970</v>
      </c>
      <c r="F1085" s="1" t="s">
        <v>962</v>
      </c>
      <c r="G1085" s="1" t="s">
        <v>40</v>
      </c>
      <c r="H1085" s="1" t="s">
        <v>41</v>
      </c>
      <c r="I1085" s="1" t="s">
        <v>2809</v>
      </c>
      <c r="J1085" s="1" t="s">
        <v>2641</v>
      </c>
      <c r="K1085" s="1">
        <v>29051700</v>
      </c>
      <c r="L1085" s="6">
        <v>38.6</v>
      </c>
      <c r="M1085" s="1" t="s">
        <v>70</v>
      </c>
      <c r="N1085" s="7" t="s">
        <v>44</v>
      </c>
      <c r="O1085" s="1" t="s">
        <v>53</v>
      </c>
      <c r="P1085" s="8">
        <v>1400</v>
      </c>
      <c r="Q1085" s="17">
        <f t="shared" si="97"/>
        <v>54040</v>
      </c>
      <c r="R1085" s="9">
        <v>1520</v>
      </c>
      <c r="S1085" s="9">
        <v>7.73</v>
      </c>
      <c r="T1085" s="9">
        <v>0</v>
      </c>
      <c r="U1085" s="10">
        <v>0</v>
      </c>
      <c r="V1085" s="1" t="s">
        <v>46</v>
      </c>
      <c r="W1085" s="1" t="s">
        <v>54</v>
      </c>
      <c r="X1085" s="1">
        <v>6195004</v>
      </c>
      <c r="Y1085" s="24">
        <v>41964</v>
      </c>
      <c r="Z1085" s="11"/>
      <c r="AA1085" s="9">
        <f t="shared" si="98"/>
        <v>52512.27</v>
      </c>
      <c r="AB1085" s="12">
        <v>61.6</v>
      </c>
      <c r="AC1085" s="9">
        <f t="shared" si="99"/>
        <v>3328864</v>
      </c>
      <c r="AD1085" s="9">
        <f t="shared" si="100"/>
        <v>3234755.8319999999</v>
      </c>
      <c r="AE1085" s="1" t="s">
        <v>48</v>
      </c>
      <c r="AF1085" s="1" t="s">
        <v>53</v>
      </c>
      <c r="AG1085" s="4">
        <f t="shared" si="103"/>
        <v>54040</v>
      </c>
      <c r="AH1085" s="10">
        <v>53840</v>
      </c>
      <c r="AI1085" s="9">
        <v>1520</v>
      </c>
      <c r="AJ1085" s="9">
        <v>7.73</v>
      </c>
      <c r="AK1085" s="10">
        <v>0</v>
      </c>
      <c r="AL1085" s="9">
        <f t="shared" si="104"/>
        <v>52312.27</v>
      </c>
      <c r="AM1085" s="1"/>
      <c r="AN1085" s="1"/>
      <c r="AO1085" s="12" t="e">
        <f>AB1085/#REF!</f>
        <v>#REF!</v>
      </c>
      <c r="AP1085" s="1"/>
      <c r="AQ1085" s="11">
        <v>42061</v>
      </c>
      <c r="AR1085" s="1" t="s">
        <v>3397</v>
      </c>
      <c r="AS1085" s="11">
        <v>42062</v>
      </c>
      <c r="AT1085" s="1" t="s">
        <v>49</v>
      </c>
      <c r="AU1085" s="1" t="s">
        <v>4171</v>
      </c>
    </row>
    <row r="1086" spans="1:47" ht="15" customHeight="1" x14ac:dyDescent="0.25">
      <c r="A1086" s="1">
        <v>1082</v>
      </c>
      <c r="B1086" s="1" t="s">
        <v>1258</v>
      </c>
      <c r="C1086" s="1" t="s">
        <v>38</v>
      </c>
      <c r="D1086" s="1">
        <v>9103550883</v>
      </c>
      <c r="E1086" s="5">
        <v>41969</v>
      </c>
      <c r="F1086" s="1" t="s">
        <v>963</v>
      </c>
      <c r="G1086" s="1" t="s">
        <v>40</v>
      </c>
      <c r="H1086" s="1" t="s">
        <v>41</v>
      </c>
      <c r="I1086" s="1" t="s">
        <v>2809</v>
      </c>
      <c r="J1086" s="1" t="s">
        <v>2138</v>
      </c>
      <c r="K1086" s="1">
        <v>29051700</v>
      </c>
      <c r="L1086" s="6">
        <v>1.2</v>
      </c>
      <c r="M1086" s="1" t="s">
        <v>70</v>
      </c>
      <c r="N1086" s="7" t="s">
        <v>44</v>
      </c>
      <c r="O1086" s="1" t="s">
        <v>53</v>
      </c>
      <c r="P1086" s="8">
        <v>1610</v>
      </c>
      <c r="Q1086" s="17">
        <f t="shared" si="97"/>
        <v>1932</v>
      </c>
      <c r="R1086" s="9">
        <f>850/12*1.2</f>
        <v>84.999999999999986</v>
      </c>
      <c r="S1086" s="9">
        <f>2125.2*0.013%</f>
        <v>0.27627599999999997</v>
      </c>
      <c r="T1086" s="9">
        <v>0</v>
      </c>
      <c r="U1086" s="10">
        <v>0</v>
      </c>
      <c r="V1086" s="1" t="s">
        <v>46</v>
      </c>
      <c r="W1086" s="1" t="s">
        <v>205</v>
      </c>
      <c r="X1086" s="1">
        <v>6233306</v>
      </c>
      <c r="Y1086" s="24">
        <v>41967</v>
      </c>
      <c r="Z1086" s="11"/>
      <c r="AA1086" s="9">
        <f t="shared" si="98"/>
        <v>1846.7237239999999</v>
      </c>
      <c r="AB1086" s="12">
        <v>61.6</v>
      </c>
      <c r="AC1086" s="9">
        <f t="shared" si="99"/>
        <v>119011.2</v>
      </c>
      <c r="AD1086" s="9">
        <f t="shared" si="100"/>
        <v>113758.1813984</v>
      </c>
      <c r="AE1086" s="1" t="s">
        <v>48</v>
      </c>
      <c r="AF1086" s="1" t="s">
        <v>53</v>
      </c>
      <c r="AG1086" s="4">
        <f t="shared" si="103"/>
        <v>1932</v>
      </c>
      <c r="AH1086" s="10">
        <v>1922.22</v>
      </c>
      <c r="AI1086" s="10">
        <v>95.4</v>
      </c>
      <c r="AJ1086" s="9">
        <f>2125.2*0.013%</f>
        <v>0.27627599999999997</v>
      </c>
      <c r="AK1086" s="10">
        <v>0</v>
      </c>
      <c r="AL1086" s="9">
        <f t="shared" si="104"/>
        <v>1826.5437240000001</v>
      </c>
      <c r="AM1086" s="1"/>
      <c r="AN1086" s="1"/>
      <c r="AO1086" s="12" t="e">
        <f>AB1086/#REF!</f>
        <v>#REF!</v>
      </c>
      <c r="AP1086" s="1"/>
      <c r="AQ1086" s="11">
        <v>41996</v>
      </c>
      <c r="AR1086" s="1" t="s">
        <v>3398</v>
      </c>
      <c r="AS1086" s="11">
        <v>41997</v>
      </c>
      <c r="AT1086" s="1" t="s">
        <v>49</v>
      </c>
      <c r="AU1086" s="1" t="s">
        <v>4171</v>
      </c>
    </row>
    <row r="1087" spans="1:47" ht="15" customHeight="1" x14ac:dyDescent="0.25">
      <c r="A1087" s="1">
        <v>1083</v>
      </c>
      <c r="B1087" s="1" t="s">
        <v>1258</v>
      </c>
      <c r="C1087" s="1" t="s">
        <v>38</v>
      </c>
      <c r="D1087" s="1">
        <v>9103550883</v>
      </c>
      <c r="E1087" s="5">
        <v>41969</v>
      </c>
      <c r="F1087" s="1" t="s">
        <v>963</v>
      </c>
      <c r="G1087" s="1" t="s">
        <v>40</v>
      </c>
      <c r="H1087" s="1" t="s">
        <v>41</v>
      </c>
      <c r="I1087" s="1" t="s">
        <v>2809</v>
      </c>
      <c r="J1087" s="1" t="s">
        <v>2138</v>
      </c>
      <c r="K1087" s="1">
        <v>38237090</v>
      </c>
      <c r="L1087" s="6">
        <v>10.8</v>
      </c>
      <c r="M1087" s="1" t="s">
        <v>70</v>
      </c>
      <c r="N1087" s="7" t="s">
        <v>44</v>
      </c>
      <c r="O1087" s="1" t="s">
        <v>53</v>
      </c>
      <c r="P1087" s="8">
        <v>1505</v>
      </c>
      <c r="Q1087" s="17">
        <f t="shared" si="97"/>
        <v>16254.000000000002</v>
      </c>
      <c r="R1087" s="9">
        <f>850/12*10.8</f>
        <v>765</v>
      </c>
      <c r="S1087" s="9">
        <f>2.6-0.28</f>
        <v>2.3200000000000003</v>
      </c>
      <c r="T1087" s="9">
        <v>0</v>
      </c>
      <c r="U1087" s="10">
        <v>0</v>
      </c>
      <c r="V1087" s="1" t="s">
        <v>46</v>
      </c>
      <c r="W1087" s="1" t="s">
        <v>205</v>
      </c>
      <c r="X1087" s="1">
        <v>6233306</v>
      </c>
      <c r="Y1087" s="24">
        <v>41967</v>
      </c>
      <c r="Z1087" s="11"/>
      <c r="AA1087" s="9">
        <f t="shared" si="98"/>
        <v>15486.680000000002</v>
      </c>
      <c r="AB1087" s="12">
        <v>61.6</v>
      </c>
      <c r="AC1087" s="9">
        <f t="shared" si="99"/>
        <v>1001246.4000000001</v>
      </c>
      <c r="AD1087" s="9">
        <f t="shared" si="100"/>
        <v>953979.48800000013</v>
      </c>
      <c r="AE1087" s="1" t="s">
        <v>48</v>
      </c>
      <c r="AF1087" s="1" t="s">
        <v>53</v>
      </c>
      <c r="AG1087" s="4">
        <f t="shared" si="103"/>
        <v>16254.000000000002</v>
      </c>
      <c r="AH1087" s="10">
        <v>16171.77</v>
      </c>
      <c r="AI1087" s="10">
        <v>802.6</v>
      </c>
      <c r="AJ1087" s="9">
        <f>2.6-0.28</f>
        <v>2.3200000000000003</v>
      </c>
      <c r="AK1087" s="10">
        <v>0</v>
      </c>
      <c r="AL1087" s="9">
        <f t="shared" si="104"/>
        <v>15366.85</v>
      </c>
      <c r="AM1087" s="1"/>
      <c r="AN1087" s="1"/>
      <c r="AO1087" s="12" t="e">
        <f>AB1087/#REF!</f>
        <v>#REF!</v>
      </c>
      <c r="AP1087" s="1"/>
      <c r="AQ1087" s="11">
        <v>41996</v>
      </c>
      <c r="AR1087" s="1" t="s">
        <v>3398</v>
      </c>
      <c r="AS1087" s="11">
        <v>41997</v>
      </c>
      <c r="AT1087" s="1" t="s">
        <v>49</v>
      </c>
      <c r="AU1087" s="1" t="s">
        <v>4171</v>
      </c>
    </row>
    <row r="1088" spans="1:47" ht="15" customHeight="1" x14ac:dyDescent="0.25">
      <c r="A1088" s="1">
        <v>1084</v>
      </c>
      <c r="B1088" s="1" t="s">
        <v>1258</v>
      </c>
      <c r="C1088" s="1" t="s">
        <v>38</v>
      </c>
      <c r="D1088" s="1" t="s">
        <v>2728</v>
      </c>
      <c r="E1088" s="5">
        <v>41971</v>
      </c>
      <c r="F1088" s="1" t="s">
        <v>964</v>
      </c>
      <c r="G1088" s="1" t="s">
        <v>40</v>
      </c>
      <c r="H1088" s="1" t="s">
        <v>41</v>
      </c>
      <c r="I1088" s="1" t="s">
        <v>2809</v>
      </c>
      <c r="J1088" s="1" t="s">
        <v>386</v>
      </c>
      <c r="K1088" s="1">
        <v>38237090</v>
      </c>
      <c r="L1088" s="6">
        <v>115.61</v>
      </c>
      <c r="M1088" s="1" t="s">
        <v>70</v>
      </c>
      <c r="N1088" s="7" t="s">
        <v>52</v>
      </c>
      <c r="O1088" s="1" t="s">
        <v>53</v>
      </c>
      <c r="P1088" s="8">
        <v>1275</v>
      </c>
      <c r="Q1088" s="17">
        <f t="shared" si="97"/>
        <v>147402.75</v>
      </c>
      <c r="R1088" s="9">
        <v>4500</v>
      </c>
      <c r="S1088" s="9">
        <v>0</v>
      </c>
      <c r="T1088" s="9">
        <v>0</v>
      </c>
      <c r="U1088" s="10">
        <v>0</v>
      </c>
      <c r="V1088" s="1" t="s">
        <v>46</v>
      </c>
      <c r="W1088" s="1" t="s">
        <v>241</v>
      </c>
      <c r="X1088" s="1">
        <v>6256687</v>
      </c>
      <c r="Y1088" s="24">
        <v>41968</v>
      </c>
      <c r="Z1088" s="11"/>
      <c r="AA1088" s="9">
        <f t="shared" si="98"/>
        <v>142902.75</v>
      </c>
      <c r="AB1088" s="12">
        <v>61.6</v>
      </c>
      <c r="AC1088" s="9">
        <f t="shared" si="99"/>
        <v>9080009.4000000004</v>
      </c>
      <c r="AD1088" s="9">
        <f t="shared" si="100"/>
        <v>8802809.4000000004</v>
      </c>
      <c r="AE1088" s="1" t="s">
        <v>48</v>
      </c>
      <c r="AF1088" s="1" t="s">
        <v>53</v>
      </c>
      <c r="AG1088" s="4">
        <f t="shared" si="103"/>
        <v>147402.75</v>
      </c>
      <c r="AH1088" s="10">
        <v>147402.75</v>
      </c>
      <c r="AI1088" s="10">
        <v>4500</v>
      </c>
      <c r="AJ1088" s="10">
        <v>0</v>
      </c>
      <c r="AK1088" s="10">
        <v>0</v>
      </c>
      <c r="AL1088" s="9">
        <f t="shared" si="104"/>
        <v>142902.75</v>
      </c>
      <c r="AM1088" s="1"/>
      <c r="AN1088" s="1"/>
      <c r="AO1088" s="12" t="e">
        <f>AB1088/#REF!</f>
        <v>#REF!</v>
      </c>
      <c r="AP1088" s="1"/>
      <c r="AQ1088" s="11">
        <v>42081</v>
      </c>
      <c r="AR1088" s="1" t="s">
        <v>3632</v>
      </c>
      <c r="AS1088" s="11">
        <v>42081</v>
      </c>
      <c r="AT1088" s="1" t="s">
        <v>49</v>
      </c>
      <c r="AU1088" s="1" t="s">
        <v>4171</v>
      </c>
    </row>
    <row r="1089" spans="1:47" ht="15" customHeight="1" x14ac:dyDescent="0.25">
      <c r="A1089" s="1">
        <v>1085</v>
      </c>
      <c r="B1089" s="1" t="s">
        <v>1258</v>
      </c>
      <c r="C1089" s="1" t="s">
        <v>38</v>
      </c>
      <c r="D1089" s="1" t="s">
        <v>2728</v>
      </c>
      <c r="E1089" s="5">
        <v>41971</v>
      </c>
      <c r="F1089" s="1" t="s">
        <v>967</v>
      </c>
      <c r="G1089" s="1" t="s">
        <v>40</v>
      </c>
      <c r="H1089" s="1" t="s">
        <v>41</v>
      </c>
      <c r="I1089" s="1" t="s">
        <v>2809</v>
      </c>
      <c r="J1089" s="1" t="s">
        <v>386</v>
      </c>
      <c r="K1089" s="1">
        <v>38237090</v>
      </c>
      <c r="L1089" s="6">
        <v>77.73</v>
      </c>
      <c r="M1089" s="1" t="s">
        <v>70</v>
      </c>
      <c r="N1089" s="7" t="s">
        <v>52</v>
      </c>
      <c r="O1089" s="1" t="s">
        <v>53</v>
      </c>
      <c r="P1089" s="8">
        <v>1275</v>
      </c>
      <c r="Q1089" s="17">
        <f t="shared" si="97"/>
        <v>99105.75</v>
      </c>
      <c r="R1089" s="9">
        <v>3000</v>
      </c>
      <c r="S1089" s="9">
        <v>0</v>
      </c>
      <c r="T1089" s="9">
        <v>0</v>
      </c>
      <c r="U1089" s="10">
        <v>0</v>
      </c>
      <c r="V1089" s="1" t="s">
        <v>46</v>
      </c>
      <c r="W1089" s="1" t="s">
        <v>241</v>
      </c>
      <c r="X1089" s="1">
        <v>6266538</v>
      </c>
      <c r="Y1089" s="24">
        <v>41968</v>
      </c>
      <c r="Z1089" s="11"/>
      <c r="AA1089" s="9">
        <f t="shared" si="98"/>
        <v>96105.75</v>
      </c>
      <c r="AB1089" s="12">
        <v>61.6</v>
      </c>
      <c r="AC1089" s="9">
        <f t="shared" si="99"/>
        <v>6104914.2000000002</v>
      </c>
      <c r="AD1089" s="9">
        <f t="shared" si="100"/>
        <v>5920114.2000000002</v>
      </c>
      <c r="AE1089" s="1" t="s">
        <v>48</v>
      </c>
      <c r="AF1089" s="1" t="s">
        <v>53</v>
      </c>
      <c r="AG1089" s="4">
        <f t="shared" si="103"/>
        <v>99105.75</v>
      </c>
      <c r="AH1089" s="10">
        <v>99105.75</v>
      </c>
      <c r="AI1089" s="10">
        <v>3000</v>
      </c>
      <c r="AJ1089" s="10">
        <v>0</v>
      </c>
      <c r="AK1089" s="10">
        <v>0</v>
      </c>
      <c r="AL1089" s="9">
        <f t="shared" si="104"/>
        <v>96105.75</v>
      </c>
      <c r="AM1089" s="1"/>
      <c r="AN1089" s="1"/>
      <c r="AO1089" s="12" t="e">
        <f>AB1089/#REF!</f>
        <v>#REF!</v>
      </c>
      <c r="AP1089" s="1"/>
      <c r="AQ1089" s="11">
        <v>42081</v>
      </c>
      <c r="AR1089" s="1" t="s">
        <v>3633</v>
      </c>
      <c r="AS1089" s="11">
        <v>42081</v>
      </c>
      <c r="AT1089" s="1" t="s">
        <v>49</v>
      </c>
      <c r="AU1089" s="1" t="s">
        <v>4171</v>
      </c>
    </row>
    <row r="1090" spans="1:47" ht="15" customHeight="1" x14ac:dyDescent="0.25">
      <c r="A1090" s="1">
        <v>1086</v>
      </c>
      <c r="B1090" s="1" t="s">
        <v>1258</v>
      </c>
      <c r="C1090" s="1" t="s">
        <v>38</v>
      </c>
      <c r="D1090" s="1" t="s">
        <v>2728</v>
      </c>
      <c r="E1090" s="5">
        <v>41971</v>
      </c>
      <c r="F1090" s="1" t="s">
        <v>976</v>
      </c>
      <c r="G1090" s="1" t="s">
        <v>40</v>
      </c>
      <c r="H1090" s="1" t="s">
        <v>41</v>
      </c>
      <c r="I1090" s="1" t="s">
        <v>2809</v>
      </c>
      <c r="J1090" s="1" t="s">
        <v>386</v>
      </c>
      <c r="K1090" s="1">
        <v>38237090</v>
      </c>
      <c r="L1090" s="6">
        <v>19.71</v>
      </c>
      <c r="M1090" s="1" t="s">
        <v>70</v>
      </c>
      <c r="N1090" s="7" t="s">
        <v>52</v>
      </c>
      <c r="O1090" s="1" t="s">
        <v>53</v>
      </c>
      <c r="P1090" s="8">
        <v>1275</v>
      </c>
      <c r="Q1090" s="17">
        <f t="shared" si="97"/>
        <v>25130.25</v>
      </c>
      <c r="R1090" s="9">
        <v>750</v>
      </c>
      <c r="S1090" s="9">
        <v>0</v>
      </c>
      <c r="T1090" s="9">
        <v>0</v>
      </c>
      <c r="U1090" s="10">
        <v>0</v>
      </c>
      <c r="V1090" s="1" t="s">
        <v>46</v>
      </c>
      <c r="W1090" s="1" t="s">
        <v>241</v>
      </c>
      <c r="X1090" s="1">
        <v>6266758</v>
      </c>
      <c r="Y1090" s="24">
        <v>41968</v>
      </c>
      <c r="Z1090" s="11"/>
      <c r="AA1090" s="9">
        <f t="shared" si="98"/>
        <v>24380.25</v>
      </c>
      <c r="AB1090" s="12">
        <v>61.6</v>
      </c>
      <c r="AC1090" s="9">
        <f t="shared" si="99"/>
        <v>1548023.4000000001</v>
      </c>
      <c r="AD1090" s="9">
        <f t="shared" si="100"/>
        <v>1501823.4000000001</v>
      </c>
      <c r="AE1090" s="1" t="s">
        <v>48</v>
      </c>
      <c r="AF1090" s="1" t="s">
        <v>53</v>
      </c>
      <c r="AG1090" s="4">
        <f t="shared" si="103"/>
        <v>25130.25</v>
      </c>
      <c r="AH1090" s="10">
        <v>25130.25</v>
      </c>
      <c r="AI1090" s="10">
        <v>750</v>
      </c>
      <c r="AJ1090" s="10">
        <v>0</v>
      </c>
      <c r="AK1090" s="10">
        <v>0</v>
      </c>
      <c r="AL1090" s="9">
        <f t="shared" si="104"/>
        <v>24380.25</v>
      </c>
      <c r="AM1090" s="1"/>
      <c r="AN1090" s="1"/>
      <c r="AO1090" s="12" t="e">
        <f>AB1090/#REF!</f>
        <v>#REF!</v>
      </c>
      <c r="AP1090" s="1"/>
      <c r="AQ1090" s="11">
        <v>42081</v>
      </c>
      <c r="AR1090" s="1" t="s">
        <v>3634</v>
      </c>
      <c r="AS1090" s="11">
        <v>42081</v>
      </c>
      <c r="AT1090" s="1" t="s">
        <v>49</v>
      </c>
      <c r="AU1090" s="1" t="s">
        <v>4171</v>
      </c>
    </row>
    <row r="1091" spans="1:47" ht="15" customHeight="1" x14ac:dyDescent="0.25">
      <c r="A1091" s="1">
        <v>1087</v>
      </c>
      <c r="B1091" s="1" t="s">
        <v>1258</v>
      </c>
      <c r="C1091" s="1" t="s">
        <v>38</v>
      </c>
      <c r="D1091" s="1" t="s">
        <v>2728</v>
      </c>
      <c r="E1091" s="5">
        <v>41971</v>
      </c>
      <c r="F1091" s="1" t="s">
        <v>970</v>
      </c>
      <c r="G1091" s="1" t="s">
        <v>40</v>
      </c>
      <c r="H1091" s="1" t="s">
        <v>41</v>
      </c>
      <c r="I1091" s="1" t="s">
        <v>2809</v>
      </c>
      <c r="J1091" s="1" t="s">
        <v>386</v>
      </c>
      <c r="K1091" s="1">
        <v>38237090</v>
      </c>
      <c r="L1091" s="6">
        <v>19.73</v>
      </c>
      <c r="M1091" s="1" t="s">
        <v>70</v>
      </c>
      <c r="N1091" s="7" t="s">
        <v>52</v>
      </c>
      <c r="O1091" s="1" t="s">
        <v>53</v>
      </c>
      <c r="P1091" s="8">
        <v>1275</v>
      </c>
      <c r="Q1091" s="17">
        <f t="shared" si="97"/>
        <v>25155.75</v>
      </c>
      <c r="R1091" s="9">
        <v>750</v>
      </c>
      <c r="S1091" s="9">
        <v>0</v>
      </c>
      <c r="T1091" s="9">
        <v>0</v>
      </c>
      <c r="U1091" s="10">
        <v>0</v>
      </c>
      <c r="V1091" s="1" t="s">
        <v>46</v>
      </c>
      <c r="W1091" s="1" t="s">
        <v>241</v>
      </c>
      <c r="X1091" s="1">
        <v>6276151</v>
      </c>
      <c r="Y1091" s="24">
        <v>41969</v>
      </c>
      <c r="Z1091" s="11"/>
      <c r="AA1091" s="9">
        <f t="shared" si="98"/>
        <v>24405.75</v>
      </c>
      <c r="AB1091" s="12">
        <v>61.6</v>
      </c>
      <c r="AC1091" s="9">
        <f t="shared" si="99"/>
        <v>1549594.2</v>
      </c>
      <c r="AD1091" s="9">
        <f t="shared" si="100"/>
        <v>1503394.2</v>
      </c>
      <c r="AE1091" s="1" t="s">
        <v>48</v>
      </c>
      <c r="AF1091" s="1" t="s">
        <v>53</v>
      </c>
      <c r="AG1091" s="4">
        <f t="shared" si="103"/>
        <v>25155.75</v>
      </c>
      <c r="AH1091" s="10">
        <v>25155.75</v>
      </c>
      <c r="AI1091" s="10">
        <v>750</v>
      </c>
      <c r="AJ1091" s="10">
        <v>0</v>
      </c>
      <c r="AK1091" s="10">
        <v>0</v>
      </c>
      <c r="AL1091" s="9">
        <f t="shared" si="104"/>
        <v>24405.75</v>
      </c>
      <c r="AM1091" s="1"/>
      <c r="AN1091" s="1"/>
      <c r="AO1091" s="12" t="e">
        <f>AB1091/#REF!</f>
        <v>#REF!</v>
      </c>
      <c r="AP1091" s="1"/>
      <c r="AQ1091" s="11">
        <v>42081</v>
      </c>
      <c r="AR1091" s="1" t="s">
        <v>3635</v>
      </c>
      <c r="AS1091" s="11">
        <v>42081</v>
      </c>
      <c r="AT1091" s="1" t="s">
        <v>49</v>
      </c>
      <c r="AU1091" s="1" t="s">
        <v>4171</v>
      </c>
    </row>
    <row r="1092" spans="1:47" ht="15" customHeight="1" x14ac:dyDescent="0.25">
      <c r="A1092" s="1">
        <v>1088</v>
      </c>
      <c r="B1092" s="1" t="s">
        <v>1258</v>
      </c>
      <c r="C1092" s="1" t="s">
        <v>38</v>
      </c>
      <c r="D1092" s="1" t="s">
        <v>2729</v>
      </c>
      <c r="E1092" s="5">
        <v>41971</v>
      </c>
      <c r="F1092" s="1" t="s">
        <v>965</v>
      </c>
      <c r="G1092" s="1" t="s">
        <v>40</v>
      </c>
      <c r="H1092" s="1" t="s">
        <v>41</v>
      </c>
      <c r="I1092" s="1" t="s">
        <v>2809</v>
      </c>
      <c r="J1092" s="1" t="s">
        <v>386</v>
      </c>
      <c r="K1092" s="1">
        <v>38237090</v>
      </c>
      <c r="L1092" s="6">
        <v>76.61</v>
      </c>
      <c r="M1092" s="1" t="s">
        <v>70</v>
      </c>
      <c r="N1092" s="7" t="s">
        <v>52</v>
      </c>
      <c r="O1092" s="1" t="s">
        <v>53</v>
      </c>
      <c r="P1092" s="8">
        <v>1275</v>
      </c>
      <c r="Q1092" s="17">
        <f t="shared" si="97"/>
        <v>97677.75</v>
      </c>
      <c r="R1092" s="9">
        <v>3000</v>
      </c>
      <c r="S1092" s="9">
        <v>0</v>
      </c>
      <c r="T1092" s="9">
        <v>0</v>
      </c>
      <c r="U1092" s="10">
        <v>0</v>
      </c>
      <c r="V1092" s="1" t="s">
        <v>46</v>
      </c>
      <c r="W1092" s="1" t="s">
        <v>241</v>
      </c>
      <c r="X1092" s="1">
        <v>6256694</v>
      </c>
      <c r="Y1092" s="24">
        <v>41968</v>
      </c>
      <c r="Z1092" s="11"/>
      <c r="AA1092" s="9">
        <f t="shared" si="98"/>
        <v>94677.75</v>
      </c>
      <c r="AB1092" s="12">
        <v>61.6</v>
      </c>
      <c r="AC1092" s="9">
        <f t="shared" si="99"/>
        <v>6016949.4000000004</v>
      </c>
      <c r="AD1092" s="9">
        <f t="shared" si="100"/>
        <v>5832149.4000000004</v>
      </c>
      <c r="AE1092" s="1" t="s">
        <v>48</v>
      </c>
      <c r="AF1092" s="1" t="s">
        <v>53</v>
      </c>
      <c r="AG1092" s="4">
        <f t="shared" si="103"/>
        <v>97677.75</v>
      </c>
      <c r="AH1092" s="10">
        <v>97677.75</v>
      </c>
      <c r="AI1092" s="10">
        <v>3000</v>
      </c>
      <c r="AJ1092" s="10">
        <v>0</v>
      </c>
      <c r="AK1092" s="10">
        <v>0</v>
      </c>
      <c r="AL1092" s="9">
        <f t="shared" si="104"/>
        <v>94677.75</v>
      </c>
      <c r="AM1092" s="1"/>
      <c r="AN1092" s="1"/>
      <c r="AO1092" s="12" t="e">
        <f>AB1092/#REF!</f>
        <v>#REF!</v>
      </c>
      <c r="AP1092" s="1"/>
      <c r="AQ1092" s="11">
        <v>42066</v>
      </c>
      <c r="AR1092" s="1" t="s">
        <v>3636</v>
      </c>
      <c r="AS1092" s="11">
        <v>42066</v>
      </c>
      <c r="AT1092" s="1" t="s">
        <v>49</v>
      </c>
      <c r="AU1092" s="1" t="s">
        <v>4171</v>
      </c>
    </row>
    <row r="1093" spans="1:47" ht="15" customHeight="1" x14ac:dyDescent="0.25">
      <c r="A1093" s="1">
        <v>1089</v>
      </c>
      <c r="B1093" s="1" t="s">
        <v>1258</v>
      </c>
      <c r="C1093" s="1" t="s">
        <v>38</v>
      </c>
      <c r="D1093" s="1" t="s">
        <v>2729</v>
      </c>
      <c r="E1093" s="5">
        <v>41971</v>
      </c>
      <c r="F1093" s="1" t="s">
        <v>966</v>
      </c>
      <c r="G1093" s="1" t="s">
        <v>40</v>
      </c>
      <c r="H1093" s="1" t="s">
        <v>41</v>
      </c>
      <c r="I1093" s="1" t="s">
        <v>2809</v>
      </c>
      <c r="J1093" s="1" t="s">
        <v>386</v>
      </c>
      <c r="K1093" s="1">
        <v>38237090</v>
      </c>
      <c r="L1093" s="6">
        <v>38.46</v>
      </c>
      <c r="M1093" s="1" t="s">
        <v>70</v>
      </c>
      <c r="N1093" s="7" t="s">
        <v>52</v>
      </c>
      <c r="O1093" s="1" t="s">
        <v>53</v>
      </c>
      <c r="P1093" s="8">
        <v>1275</v>
      </c>
      <c r="Q1093" s="17">
        <f t="shared" si="97"/>
        <v>49036.5</v>
      </c>
      <c r="R1093" s="9">
        <v>1500</v>
      </c>
      <c r="S1093" s="9">
        <v>0</v>
      </c>
      <c r="T1093" s="9">
        <v>0</v>
      </c>
      <c r="U1093" s="10">
        <v>0</v>
      </c>
      <c r="V1093" s="1" t="s">
        <v>46</v>
      </c>
      <c r="W1093" s="1" t="s">
        <v>241</v>
      </c>
      <c r="X1093" s="1">
        <v>6263850</v>
      </c>
      <c r="Y1093" s="24">
        <v>41968</v>
      </c>
      <c r="Z1093" s="11"/>
      <c r="AA1093" s="9">
        <f t="shared" si="98"/>
        <v>47536.5</v>
      </c>
      <c r="AB1093" s="12">
        <v>61.6</v>
      </c>
      <c r="AC1093" s="9">
        <f t="shared" si="99"/>
        <v>3020648.4</v>
      </c>
      <c r="AD1093" s="9">
        <f t="shared" si="100"/>
        <v>2928248.4</v>
      </c>
      <c r="AE1093" s="1" t="s">
        <v>48</v>
      </c>
      <c r="AF1093" s="1" t="s">
        <v>53</v>
      </c>
      <c r="AG1093" s="4">
        <f t="shared" si="103"/>
        <v>49036.5</v>
      </c>
      <c r="AH1093" s="10">
        <v>49036.5</v>
      </c>
      <c r="AI1093" s="10">
        <v>1500</v>
      </c>
      <c r="AJ1093" s="10">
        <v>0</v>
      </c>
      <c r="AK1093" s="10">
        <v>0</v>
      </c>
      <c r="AL1093" s="9">
        <f t="shared" si="104"/>
        <v>47536.5</v>
      </c>
      <c r="AM1093" s="1"/>
      <c r="AN1093" s="1"/>
      <c r="AO1093" s="12" t="e">
        <f>AB1093/#REF!</f>
        <v>#REF!</v>
      </c>
      <c r="AP1093" s="1"/>
      <c r="AQ1093" s="11">
        <v>42066</v>
      </c>
      <c r="AR1093" s="1" t="s">
        <v>3637</v>
      </c>
      <c r="AS1093" s="11">
        <v>42066</v>
      </c>
      <c r="AT1093" s="1" t="s">
        <v>49</v>
      </c>
      <c r="AU1093" s="1" t="s">
        <v>4171</v>
      </c>
    </row>
    <row r="1094" spans="1:47" ht="15" customHeight="1" x14ac:dyDescent="0.25">
      <c r="A1094" s="1">
        <v>1090</v>
      </c>
      <c r="B1094" s="1" t="s">
        <v>1258</v>
      </c>
      <c r="C1094" s="1" t="s">
        <v>38</v>
      </c>
      <c r="D1094" s="1" t="s">
        <v>2729</v>
      </c>
      <c r="E1094" s="5">
        <v>41971</v>
      </c>
      <c r="F1094" s="1" t="s">
        <v>971</v>
      </c>
      <c r="G1094" s="1" t="s">
        <v>40</v>
      </c>
      <c r="H1094" s="1" t="s">
        <v>41</v>
      </c>
      <c r="I1094" s="1" t="s">
        <v>2809</v>
      </c>
      <c r="J1094" s="1" t="s">
        <v>386</v>
      </c>
      <c r="K1094" s="1">
        <v>38237090</v>
      </c>
      <c r="L1094" s="6">
        <v>38.54</v>
      </c>
      <c r="M1094" s="1" t="s">
        <v>70</v>
      </c>
      <c r="N1094" s="7" t="s">
        <v>52</v>
      </c>
      <c r="O1094" s="1" t="s">
        <v>53</v>
      </c>
      <c r="P1094" s="8">
        <v>1275</v>
      </c>
      <c r="Q1094" s="17">
        <f t="shared" si="97"/>
        <v>49138.5</v>
      </c>
      <c r="R1094" s="9">
        <v>1500</v>
      </c>
      <c r="S1094" s="9">
        <v>0</v>
      </c>
      <c r="T1094" s="9">
        <v>0</v>
      </c>
      <c r="U1094" s="10">
        <v>0</v>
      </c>
      <c r="V1094" s="1" t="s">
        <v>46</v>
      </c>
      <c r="W1094" s="1" t="s">
        <v>241</v>
      </c>
      <c r="X1094" s="1">
        <v>6276493</v>
      </c>
      <c r="Y1094" s="24">
        <v>41969</v>
      </c>
      <c r="Z1094" s="11"/>
      <c r="AA1094" s="9">
        <f t="shared" si="98"/>
        <v>47638.5</v>
      </c>
      <c r="AB1094" s="12">
        <v>61.6</v>
      </c>
      <c r="AC1094" s="9">
        <f t="shared" si="99"/>
        <v>3026931.6</v>
      </c>
      <c r="AD1094" s="9">
        <f t="shared" si="100"/>
        <v>2934531.6</v>
      </c>
      <c r="AE1094" s="1" t="s">
        <v>48</v>
      </c>
      <c r="AF1094" s="1" t="s">
        <v>53</v>
      </c>
      <c r="AG1094" s="4">
        <f t="shared" si="103"/>
        <v>49138.5</v>
      </c>
      <c r="AH1094" s="10">
        <v>49138.5</v>
      </c>
      <c r="AI1094" s="10">
        <v>1500</v>
      </c>
      <c r="AJ1094" s="10">
        <v>0</v>
      </c>
      <c r="AK1094" s="10">
        <v>0</v>
      </c>
      <c r="AL1094" s="9">
        <f t="shared" si="104"/>
        <v>47638.5</v>
      </c>
      <c r="AM1094" s="1"/>
      <c r="AN1094" s="1"/>
      <c r="AO1094" s="12" t="e">
        <f>AB1094/#REF!</f>
        <v>#REF!</v>
      </c>
      <c r="AP1094" s="1"/>
      <c r="AQ1094" s="11">
        <v>42066</v>
      </c>
      <c r="AR1094" s="1" t="s">
        <v>3638</v>
      </c>
      <c r="AS1094" s="11">
        <v>42066</v>
      </c>
      <c r="AT1094" s="1" t="s">
        <v>49</v>
      </c>
      <c r="AU1094" s="1" t="s">
        <v>4171</v>
      </c>
    </row>
    <row r="1095" spans="1:47" ht="15" customHeight="1" x14ac:dyDescent="0.25">
      <c r="A1095" s="1">
        <v>1091</v>
      </c>
      <c r="B1095" s="1" t="s">
        <v>1258</v>
      </c>
      <c r="C1095" s="1" t="s">
        <v>38</v>
      </c>
      <c r="D1095" s="1">
        <v>9103550888</v>
      </c>
      <c r="E1095" s="5">
        <v>41972</v>
      </c>
      <c r="F1095" s="1" t="s">
        <v>969</v>
      </c>
      <c r="G1095" s="1" t="s">
        <v>40</v>
      </c>
      <c r="H1095" s="1" t="s">
        <v>41</v>
      </c>
      <c r="I1095" s="1" t="s">
        <v>2809</v>
      </c>
      <c r="J1095" s="1" t="s">
        <v>76</v>
      </c>
      <c r="K1095" s="1">
        <v>29161990</v>
      </c>
      <c r="L1095" s="6">
        <v>14.4</v>
      </c>
      <c r="M1095" s="1" t="s">
        <v>70</v>
      </c>
      <c r="N1095" s="7" t="s">
        <v>44</v>
      </c>
      <c r="O1095" s="1" t="s">
        <v>53</v>
      </c>
      <c r="P1095" s="8">
        <v>2712</v>
      </c>
      <c r="Q1095" s="17">
        <f t="shared" si="97"/>
        <v>39052.800000000003</v>
      </c>
      <c r="R1095" s="9">
        <v>25</v>
      </c>
      <c r="S1095" s="9">
        <v>5.58</v>
      </c>
      <c r="T1095" s="9">
        <v>0</v>
      </c>
      <c r="U1095" s="10">
        <v>0</v>
      </c>
      <c r="V1095" s="1" t="s">
        <v>46</v>
      </c>
      <c r="W1095" s="1" t="s">
        <v>690</v>
      </c>
      <c r="X1095" s="1">
        <v>6283380</v>
      </c>
      <c r="Y1095" s="24">
        <v>41969</v>
      </c>
      <c r="Z1095" s="11"/>
      <c r="AA1095" s="9">
        <f t="shared" si="98"/>
        <v>39022.22</v>
      </c>
      <c r="AB1095" s="12">
        <v>61.6</v>
      </c>
      <c r="AC1095" s="9">
        <f t="shared" si="99"/>
        <v>2405652.4800000004</v>
      </c>
      <c r="AD1095" s="9">
        <f t="shared" si="100"/>
        <v>2403768.7520000003</v>
      </c>
      <c r="AE1095" s="1" t="s">
        <v>48</v>
      </c>
      <c r="AF1095" s="1" t="s">
        <v>53</v>
      </c>
      <c r="AG1095" s="4">
        <f t="shared" si="103"/>
        <v>39052.800000000003</v>
      </c>
      <c r="AH1095" s="10">
        <v>39037.800000000003</v>
      </c>
      <c r="AI1095" s="10"/>
      <c r="AJ1095" s="10"/>
      <c r="AK1095" s="10"/>
      <c r="AL1095" s="9">
        <f t="shared" si="104"/>
        <v>39037.800000000003</v>
      </c>
      <c r="AM1095" s="1"/>
      <c r="AN1095" s="1"/>
      <c r="AO1095" s="12" t="e">
        <f>AB1095/#REF!</f>
        <v>#REF!</v>
      </c>
      <c r="AP1095" s="1" t="s">
        <v>4216</v>
      </c>
      <c r="AQ1095" s="11">
        <v>42131</v>
      </c>
      <c r="AR1095" s="1" t="s">
        <v>4214</v>
      </c>
      <c r="AS1095" s="11">
        <v>42132</v>
      </c>
      <c r="AT1095" s="1" t="s">
        <v>49</v>
      </c>
      <c r="AU1095" s="1" t="s">
        <v>4215</v>
      </c>
    </row>
    <row r="1096" spans="1:47" ht="15" customHeight="1" x14ac:dyDescent="0.25">
      <c r="A1096" s="1">
        <v>1092</v>
      </c>
      <c r="B1096" s="1" t="s">
        <v>1258</v>
      </c>
      <c r="C1096" s="1" t="s">
        <v>38</v>
      </c>
      <c r="D1096" s="1">
        <v>9103550889</v>
      </c>
      <c r="E1096" s="5">
        <v>41974</v>
      </c>
      <c r="F1096" s="1" t="s">
        <v>972</v>
      </c>
      <c r="G1096" s="1" t="s">
        <v>40</v>
      </c>
      <c r="H1096" s="1" t="s">
        <v>41</v>
      </c>
      <c r="I1096" s="1" t="s">
        <v>2809</v>
      </c>
      <c r="J1096" s="1" t="s">
        <v>187</v>
      </c>
      <c r="K1096" s="1">
        <v>38237090</v>
      </c>
      <c r="L1096" s="6">
        <v>18.510000000000002</v>
      </c>
      <c r="M1096" s="1" t="s">
        <v>70</v>
      </c>
      <c r="N1096" s="7" t="s">
        <v>44</v>
      </c>
      <c r="O1096" s="1" t="s">
        <v>53</v>
      </c>
      <c r="P1096" s="8">
        <v>1495</v>
      </c>
      <c r="Q1096" s="17">
        <f t="shared" si="97"/>
        <v>27672.45</v>
      </c>
      <c r="R1096" s="9">
        <v>2800</v>
      </c>
      <c r="S1096" s="9">
        <v>3.96</v>
      </c>
      <c r="T1096" s="9">
        <v>0</v>
      </c>
      <c r="U1096" s="10">
        <v>0</v>
      </c>
      <c r="V1096" s="1" t="s">
        <v>46</v>
      </c>
      <c r="W1096" s="1" t="s">
        <v>56</v>
      </c>
      <c r="X1096" s="1">
        <v>6284060</v>
      </c>
      <c r="Y1096" s="24">
        <v>41969</v>
      </c>
      <c r="Z1096" s="11"/>
      <c r="AA1096" s="9">
        <f t="shared" si="98"/>
        <v>24868.49</v>
      </c>
      <c r="AB1096" s="12">
        <v>61.6</v>
      </c>
      <c r="AC1096" s="9">
        <f t="shared" si="99"/>
        <v>1704622.9200000002</v>
      </c>
      <c r="AD1096" s="9">
        <f t="shared" si="100"/>
        <v>1531898.9840000002</v>
      </c>
      <c r="AE1096" s="1" t="s">
        <v>48</v>
      </c>
      <c r="AF1096" s="1" t="s">
        <v>53</v>
      </c>
      <c r="AG1096" s="4">
        <f t="shared" si="103"/>
        <v>27672.45</v>
      </c>
      <c r="AH1096" s="10">
        <v>27672.45</v>
      </c>
      <c r="AI1096" s="10">
        <v>2800</v>
      </c>
      <c r="AJ1096" s="10">
        <v>3.96</v>
      </c>
      <c r="AK1096" s="10">
        <v>0</v>
      </c>
      <c r="AL1096" s="9">
        <f t="shared" si="104"/>
        <v>24868.49</v>
      </c>
      <c r="AM1096" s="1"/>
      <c r="AN1096" s="1"/>
      <c r="AO1096" s="12" t="e">
        <f>AB1096/#REF!</f>
        <v>#REF!</v>
      </c>
      <c r="AP1096" s="1"/>
      <c r="AQ1096" s="11">
        <v>41991</v>
      </c>
      <c r="AR1096" s="1" t="s">
        <v>3399</v>
      </c>
      <c r="AS1096" s="11">
        <v>41992</v>
      </c>
      <c r="AT1096" s="1" t="s">
        <v>49</v>
      </c>
      <c r="AU1096" s="1" t="s">
        <v>4171</v>
      </c>
    </row>
    <row r="1097" spans="1:47" ht="15" customHeight="1" x14ac:dyDescent="0.25">
      <c r="A1097" s="1">
        <v>1093</v>
      </c>
      <c r="B1097" s="1" t="s">
        <v>1258</v>
      </c>
      <c r="C1097" s="1" t="s">
        <v>38</v>
      </c>
      <c r="D1097" s="1">
        <v>9103550890</v>
      </c>
      <c r="E1097" s="5">
        <v>41981</v>
      </c>
      <c r="F1097" s="1" t="s">
        <v>960</v>
      </c>
      <c r="G1097" s="1" t="s">
        <v>40</v>
      </c>
      <c r="H1097" s="1" t="s">
        <v>41</v>
      </c>
      <c r="I1097" s="1" t="s">
        <v>2809</v>
      </c>
      <c r="J1097" s="1" t="s">
        <v>2913</v>
      </c>
      <c r="K1097" s="1">
        <v>38237090</v>
      </c>
      <c r="L1097" s="6">
        <v>1.5</v>
      </c>
      <c r="M1097" s="1" t="s">
        <v>70</v>
      </c>
      <c r="N1097" s="7" t="s">
        <v>44</v>
      </c>
      <c r="O1097" s="1" t="s">
        <v>53</v>
      </c>
      <c r="P1097" s="8">
        <v>1940</v>
      </c>
      <c r="Q1097" s="17">
        <f t="shared" si="97"/>
        <v>2910</v>
      </c>
      <c r="R1097" s="9">
        <v>150</v>
      </c>
      <c r="S1097" s="9">
        <v>0.42</v>
      </c>
      <c r="T1097" s="9">
        <v>0</v>
      </c>
      <c r="U1097" s="10">
        <v>0</v>
      </c>
      <c r="V1097" s="1" t="s">
        <v>46</v>
      </c>
      <c r="W1097" s="1" t="s">
        <v>137</v>
      </c>
      <c r="X1097" s="1">
        <v>6252293</v>
      </c>
      <c r="Y1097" s="24">
        <v>41968</v>
      </c>
      <c r="Z1097" s="11"/>
      <c r="AA1097" s="9">
        <f t="shared" si="98"/>
        <v>2759.58</v>
      </c>
      <c r="AB1097" s="12">
        <v>61.6</v>
      </c>
      <c r="AC1097" s="9">
        <f t="shared" si="99"/>
        <v>179256</v>
      </c>
      <c r="AD1097" s="9">
        <f t="shared" si="100"/>
        <v>169990.128</v>
      </c>
      <c r="AE1097" s="1" t="s">
        <v>48</v>
      </c>
      <c r="AF1097" s="1" t="s">
        <v>53</v>
      </c>
      <c r="AG1097" s="4">
        <f t="shared" si="103"/>
        <v>2910</v>
      </c>
      <c r="AH1097" s="10">
        <v>2890</v>
      </c>
      <c r="AI1097" s="10">
        <v>71.73</v>
      </c>
      <c r="AJ1097" s="10">
        <v>0.42</v>
      </c>
      <c r="AK1097" s="10">
        <v>0</v>
      </c>
      <c r="AL1097" s="9">
        <f t="shared" si="104"/>
        <v>2817.85</v>
      </c>
      <c r="AM1097" s="1"/>
      <c r="AN1097" s="1"/>
      <c r="AO1097" s="12" t="e">
        <f>AB1097/#REF!</f>
        <v>#REF!</v>
      </c>
      <c r="AP1097" s="1"/>
      <c r="AQ1097" s="11">
        <v>42121</v>
      </c>
      <c r="AR1097" s="1" t="s">
        <v>3400</v>
      </c>
      <c r="AS1097" s="11">
        <v>42122</v>
      </c>
      <c r="AT1097" s="1" t="s">
        <v>49</v>
      </c>
      <c r="AU1097" s="1" t="s">
        <v>4171</v>
      </c>
    </row>
    <row r="1098" spans="1:47" ht="15" customHeight="1" x14ac:dyDescent="0.25">
      <c r="A1098" s="1">
        <v>1094</v>
      </c>
      <c r="B1098" s="1" t="s">
        <v>1258</v>
      </c>
      <c r="C1098" s="1" t="s">
        <v>38</v>
      </c>
      <c r="D1098" s="1">
        <v>9103550891</v>
      </c>
      <c r="E1098" s="5">
        <v>41973</v>
      </c>
      <c r="F1098" s="1" t="s">
        <v>973</v>
      </c>
      <c r="G1098" s="1" t="s">
        <v>40</v>
      </c>
      <c r="H1098" s="1" t="s">
        <v>41</v>
      </c>
      <c r="I1098" s="1" t="s">
        <v>2809</v>
      </c>
      <c r="J1098" s="1" t="s">
        <v>50</v>
      </c>
      <c r="K1098" s="1">
        <v>38237090</v>
      </c>
      <c r="L1098" s="6">
        <v>146.02000000000001</v>
      </c>
      <c r="M1098" s="1" t="s">
        <v>70</v>
      </c>
      <c r="N1098" s="7" t="s">
        <v>52</v>
      </c>
      <c r="O1098" s="1" t="s">
        <v>45</v>
      </c>
      <c r="P1098" s="8">
        <v>1048</v>
      </c>
      <c r="Q1098" s="17">
        <f t="shared" si="97"/>
        <v>153028.96000000002</v>
      </c>
      <c r="R1098" s="9">
        <v>5760</v>
      </c>
      <c r="S1098" s="9">
        <v>0</v>
      </c>
      <c r="T1098" s="9">
        <v>0</v>
      </c>
      <c r="U1098" s="10">
        <v>0</v>
      </c>
      <c r="V1098" s="1" t="s">
        <v>46</v>
      </c>
      <c r="W1098" s="1" t="s">
        <v>2657</v>
      </c>
      <c r="X1098" s="1">
        <v>6290660</v>
      </c>
      <c r="Y1098" s="24">
        <v>41969</v>
      </c>
      <c r="Z1098" s="11"/>
      <c r="AA1098" s="9">
        <f t="shared" si="98"/>
        <v>147268.96000000002</v>
      </c>
      <c r="AB1098" s="12">
        <v>77</v>
      </c>
      <c r="AC1098" s="9">
        <f t="shared" si="99"/>
        <v>11783229.920000002</v>
      </c>
      <c r="AD1098" s="9">
        <f t="shared" si="100"/>
        <v>11339709.920000002</v>
      </c>
      <c r="AE1098" s="1" t="s">
        <v>284</v>
      </c>
      <c r="AF1098" s="1" t="s">
        <v>45</v>
      </c>
      <c r="AG1098" s="4">
        <f t="shared" si="103"/>
        <v>153028.96000000002</v>
      </c>
      <c r="AH1098" s="10">
        <v>153028.96</v>
      </c>
      <c r="AI1098" s="10">
        <v>5568.93</v>
      </c>
      <c r="AJ1098" s="10">
        <v>0</v>
      </c>
      <c r="AK1098" s="10">
        <v>0</v>
      </c>
      <c r="AL1098" s="9">
        <f t="shared" si="104"/>
        <v>147460.03</v>
      </c>
      <c r="AM1098" s="1"/>
      <c r="AN1098" s="1"/>
      <c r="AO1098" s="12" t="e">
        <f>AB1098/#REF!</f>
        <v>#REF!</v>
      </c>
      <c r="AP1098" s="1"/>
      <c r="AQ1098" s="11">
        <v>42037</v>
      </c>
      <c r="AR1098" s="1" t="s">
        <v>3720</v>
      </c>
      <c r="AS1098" s="11">
        <v>42037</v>
      </c>
      <c r="AT1098" s="1" t="s">
        <v>49</v>
      </c>
      <c r="AU1098" s="1" t="s">
        <v>4171</v>
      </c>
    </row>
    <row r="1099" spans="1:47" ht="15" customHeight="1" x14ac:dyDescent="0.25">
      <c r="A1099" s="1">
        <v>1095</v>
      </c>
      <c r="B1099" s="1" t="s">
        <v>1258</v>
      </c>
      <c r="C1099" s="1" t="s">
        <v>38</v>
      </c>
      <c r="D1099" s="1" t="s">
        <v>2730</v>
      </c>
      <c r="E1099" s="5">
        <v>41974</v>
      </c>
      <c r="F1099" s="1" t="s">
        <v>974</v>
      </c>
      <c r="G1099" s="1" t="s">
        <v>40</v>
      </c>
      <c r="H1099" s="1" t="s">
        <v>41</v>
      </c>
      <c r="I1099" s="1" t="s">
        <v>2809</v>
      </c>
      <c r="J1099" s="1" t="s">
        <v>78</v>
      </c>
      <c r="K1099" s="1">
        <v>38237090</v>
      </c>
      <c r="L1099" s="6">
        <v>77.81</v>
      </c>
      <c r="M1099" s="1" t="s">
        <v>70</v>
      </c>
      <c r="N1099" s="7" t="s">
        <v>67</v>
      </c>
      <c r="O1099" s="1" t="s">
        <v>53</v>
      </c>
      <c r="P1099" s="8">
        <v>1325</v>
      </c>
      <c r="Q1099" s="17">
        <f t="shared" si="97"/>
        <v>103098.25</v>
      </c>
      <c r="R1099" s="9">
        <v>0</v>
      </c>
      <c r="S1099" s="9">
        <v>0</v>
      </c>
      <c r="T1099" s="9">
        <v>0</v>
      </c>
      <c r="U1099" s="10">
        <v>0</v>
      </c>
      <c r="V1099" s="1" t="s">
        <v>46</v>
      </c>
      <c r="W1099" s="1" t="s">
        <v>56</v>
      </c>
      <c r="X1099" s="1">
        <v>6290652</v>
      </c>
      <c r="Y1099" s="24">
        <v>41969</v>
      </c>
      <c r="Z1099" s="11"/>
      <c r="AA1099" s="9">
        <f t="shared" si="98"/>
        <v>103098.25</v>
      </c>
      <c r="AB1099" s="12">
        <v>61.6</v>
      </c>
      <c r="AC1099" s="9">
        <f t="shared" si="99"/>
        <v>6350852.2000000002</v>
      </c>
      <c r="AD1099" s="9">
        <f t="shared" si="100"/>
        <v>6350852.2000000002</v>
      </c>
      <c r="AE1099" s="1" t="s">
        <v>284</v>
      </c>
      <c r="AF1099" s="1" t="s">
        <v>53</v>
      </c>
      <c r="AG1099" s="4">
        <f t="shared" si="103"/>
        <v>103098.25</v>
      </c>
      <c r="AH1099" s="10">
        <v>103098.25</v>
      </c>
      <c r="AI1099" s="10">
        <v>0</v>
      </c>
      <c r="AJ1099" s="10">
        <v>0</v>
      </c>
      <c r="AK1099" s="10">
        <v>0</v>
      </c>
      <c r="AL1099" s="9">
        <f t="shared" si="104"/>
        <v>103098.25</v>
      </c>
      <c r="AM1099" s="1"/>
      <c r="AN1099" s="1"/>
      <c r="AO1099" s="12" t="e">
        <f>AB1099/#REF!</f>
        <v>#REF!</v>
      </c>
      <c r="AP1099" s="1"/>
      <c r="AQ1099" s="11">
        <v>42013</v>
      </c>
      <c r="AR1099" s="1" t="s">
        <v>3639</v>
      </c>
      <c r="AS1099" s="11">
        <v>42013</v>
      </c>
      <c r="AT1099" s="1" t="s">
        <v>49</v>
      </c>
      <c r="AU1099" s="1" t="s">
        <v>4171</v>
      </c>
    </row>
    <row r="1100" spans="1:47" ht="15" customHeight="1" x14ac:dyDescent="0.25">
      <c r="A1100" s="1">
        <v>1096</v>
      </c>
      <c r="B1100" s="1" t="s">
        <v>1258</v>
      </c>
      <c r="C1100" s="1" t="s">
        <v>38</v>
      </c>
      <c r="D1100" s="1" t="s">
        <v>2730</v>
      </c>
      <c r="E1100" s="5">
        <v>41974</v>
      </c>
      <c r="F1100" s="1" t="s">
        <v>981</v>
      </c>
      <c r="G1100" s="1" t="s">
        <v>40</v>
      </c>
      <c r="H1100" s="1" t="s">
        <v>41</v>
      </c>
      <c r="I1100" s="1" t="s">
        <v>2809</v>
      </c>
      <c r="J1100" s="1" t="s">
        <v>78</v>
      </c>
      <c r="K1100" s="1">
        <v>38237090</v>
      </c>
      <c r="L1100" s="6">
        <v>19.57</v>
      </c>
      <c r="M1100" s="1" t="s">
        <v>70</v>
      </c>
      <c r="N1100" s="7" t="s">
        <v>67</v>
      </c>
      <c r="O1100" s="1" t="s">
        <v>53</v>
      </c>
      <c r="P1100" s="8">
        <v>1325</v>
      </c>
      <c r="Q1100" s="17">
        <f t="shared" si="97"/>
        <v>25930.25</v>
      </c>
      <c r="R1100" s="9">
        <v>0</v>
      </c>
      <c r="S1100" s="9">
        <v>0</v>
      </c>
      <c r="T1100" s="9">
        <v>0</v>
      </c>
      <c r="U1100" s="10">
        <v>0</v>
      </c>
      <c r="V1100" s="1" t="s">
        <v>46</v>
      </c>
      <c r="W1100" s="1" t="s">
        <v>56</v>
      </c>
      <c r="X1100" s="1">
        <v>6311019</v>
      </c>
      <c r="Y1100" s="24">
        <v>41970</v>
      </c>
      <c r="Z1100" s="11"/>
      <c r="AA1100" s="9">
        <f t="shared" si="98"/>
        <v>25930.25</v>
      </c>
      <c r="AB1100" s="12">
        <v>61.6</v>
      </c>
      <c r="AC1100" s="9">
        <f t="shared" si="99"/>
        <v>1597303.4000000001</v>
      </c>
      <c r="AD1100" s="9">
        <f t="shared" si="100"/>
        <v>1597303.4000000001</v>
      </c>
      <c r="AE1100" s="1" t="s">
        <v>284</v>
      </c>
      <c r="AF1100" s="1" t="s">
        <v>53</v>
      </c>
      <c r="AG1100" s="4">
        <f t="shared" si="103"/>
        <v>25930.25</v>
      </c>
      <c r="AH1100" s="10">
        <v>25893.25</v>
      </c>
      <c r="AI1100" s="10">
        <v>0</v>
      </c>
      <c r="AJ1100" s="10">
        <v>0</v>
      </c>
      <c r="AK1100" s="10">
        <v>0</v>
      </c>
      <c r="AL1100" s="9">
        <f t="shared" si="104"/>
        <v>25893.25</v>
      </c>
      <c r="AM1100" s="1"/>
      <c r="AN1100" s="1"/>
      <c r="AO1100" s="12" t="e">
        <f>AB1100/#REF!</f>
        <v>#REF!</v>
      </c>
      <c r="AP1100" s="1"/>
      <c r="AQ1100" s="11">
        <v>42013</v>
      </c>
      <c r="AR1100" s="1" t="s">
        <v>3640</v>
      </c>
      <c r="AS1100" s="11">
        <v>42013</v>
      </c>
      <c r="AT1100" s="1" t="s">
        <v>49</v>
      </c>
      <c r="AU1100" s="1" t="s">
        <v>4171</v>
      </c>
    </row>
    <row r="1101" spans="1:47" ht="15" customHeight="1" x14ac:dyDescent="0.25">
      <c r="A1101" s="1">
        <v>1097</v>
      </c>
      <c r="B1101" s="1" t="s">
        <v>1258</v>
      </c>
      <c r="C1101" s="1" t="s">
        <v>38</v>
      </c>
      <c r="D1101" s="1">
        <v>9103550893</v>
      </c>
      <c r="E1101" s="5">
        <v>41975</v>
      </c>
      <c r="F1101" s="1" t="s">
        <v>979</v>
      </c>
      <c r="G1101" s="1" t="s">
        <v>40</v>
      </c>
      <c r="H1101" s="1" t="s">
        <v>41</v>
      </c>
      <c r="I1101" s="1" t="s">
        <v>2809</v>
      </c>
      <c r="J1101" s="1" t="s">
        <v>2731</v>
      </c>
      <c r="K1101" s="1">
        <v>38231900</v>
      </c>
      <c r="L1101" s="6">
        <v>43.2</v>
      </c>
      <c r="M1101" s="1" t="s">
        <v>70</v>
      </c>
      <c r="N1101" s="7" t="s">
        <v>44</v>
      </c>
      <c r="O1101" s="1" t="s">
        <v>53</v>
      </c>
      <c r="P1101" s="8">
        <v>1200</v>
      </c>
      <c r="Q1101" s="17">
        <f t="shared" si="97"/>
        <v>51840</v>
      </c>
      <c r="R1101" s="9">
        <v>1248</v>
      </c>
      <c r="S1101" s="9">
        <v>7.41</v>
      </c>
      <c r="T1101" s="9">
        <v>0</v>
      </c>
      <c r="U1101" s="10">
        <v>0</v>
      </c>
      <c r="V1101" s="1" t="s">
        <v>46</v>
      </c>
      <c r="W1101" s="1" t="s">
        <v>2732</v>
      </c>
      <c r="X1101" s="1">
        <v>6290650</v>
      </c>
      <c r="Y1101" s="24">
        <v>41969</v>
      </c>
      <c r="Z1101" s="11"/>
      <c r="AA1101" s="9">
        <f t="shared" si="98"/>
        <v>50584.59</v>
      </c>
      <c r="AB1101" s="12">
        <v>61.6</v>
      </c>
      <c r="AC1101" s="9">
        <f t="shared" si="99"/>
        <v>3193344</v>
      </c>
      <c r="AD1101" s="9">
        <f t="shared" si="100"/>
        <v>3116010.7439999999</v>
      </c>
      <c r="AE1101" s="1" t="s">
        <v>48</v>
      </c>
      <c r="AF1101" s="1" t="s">
        <v>53</v>
      </c>
      <c r="AG1101" s="4">
        <f t="shared" si="103"/>
        <v>51840</v>
      </c>
      <c r="AH1101" s="10">
        <v>51669</v>
      </c>
      <c r="AI1101" s="10">
        <v>1200</v>
      </c>
      <c r="AJ1101" s="10">
        <v>7.41</v>
      </c>
      <c r="AK1101" s="10">
        <v>0</v>
      </c>
      <c r="AL1101" s="9">
        <f t="shared" si="104"/>
        <v>50461.59</v>
      </c>
      <c r="AM1101" s="1"/>
      <c r="AN1101" s="1"/>
      <c r="AO1101" s="12" t="e">
        <f>AB1101/#REF!</f>
        <v>#REF!</v>
      </c>
      <c r="AP1101" s="1" t="s">
        <v>2733</v>
      </c>
      <c r="AQ1101" s="11">
        <v>42004</v>
      </c>
      <c r="AR1101" s="1" t="s">
        <v>2734</v>
      </c>
      <c r="AS1101" s="11">
        <v>42006</v>
      </c>
      <c r="AT1101" s="1" t="s">
        <v>49</v>
      </c>
      <c r="AU1101" s="1" t="s">
        <v>4171</v>
      </c>
    </row>
    <row r="1102" spans="1:47" ht="15" customHeight="1" x14ac:dyDescent="0.25">
      <c r="A1102" s="1">
        <v>1098</v>
      </c>
      <c r="B1102" s="1" t="s">
        <v>1258</v>
      </c>
      <c r="C1102" s="1" t="s">
        <v>38</v>
      </c>
      <c r="D1102" s="1" t="s">
        <v>2735</v>
      </c>
      <c r="E1102" s="5">
        <v>41974</v>
      </c>
      <c r="F1102" s="1" t="s">
        <v>968</v>
      </c>
      <c r="G1102" s="1" t="s">
        <v>40</v>
      </c>
      <c r="H1102" s="1" t="s">
        <v>41</v>
      </c>
      <c r="I1102" s="1" t="s">
        <v>2809</v>
      </c>
      <c r="J1102" s="1" t="s">
        <v>2736</v>
      </c>
      <c r="K1102" s="1">
        <v>38237090</v>
      </c>
      <c r="L1102" s="6">
        <v>48</v>
      </c>
      <c r="M1102" s="1" t="s">
        <v>70</v>
      </c>
      <c r="N1102" s="7" t="s">
        <v>52</v>
      </c>
      <c r="O1102" s="1" t="s">
        <v>53</v>
      </c>
      <c r="P1102" s="8">
        <v>1750</v>
      </c>
      <c r="Q1102" s="17">
        <f t="shared" si="97"/>
        <v>84000</v>
      </c>
      <c r="R1102" s="9">
        <v>4200</v>
      </c>
      <c r="S1102" s="9">
        <v>0</v>
      </c>
      <c r="T1102" s="9">
        <v>0</v>
      </c>
      <c r="U1102" s="10">
        <v>0</v>
      </c>
      <c r="V1102" s="1" t="s">
        <v>46</v>
      </c>
      <c r="W1102" s="1" t="s">
        <v>745</v>
      </c>
      <c r="X1102" s="1">
        <v>6266520</v>
      </c>
      <c r="Y1102" s="24">
        <v>41968</v>
      </c>
      <c r="Z1102" s="11"/>
      <c r="AA1102" s="9">
        <f t="shared" si="98"/>
        <v>79800</v>
      </c>
      <c r="AB1102" s="12">
        <v>61.6</v>
      </c>
      <c r="AC1102" s="9">
        <f t="shared" si="99"/>
        <v>5174400</v>
      </c>
      <c r="AD1102" s="9">
        <f t="shared" si="100"/>
        <v>4915680</v>
      </c>
      <c r="AE1102" s="1" t="s">
        <v>48</v>
      </c>
      <c r="AF1102" s="1" t="s">
        <v>53</v>
      </c>
      <c r="AG1102" s="4">
        <f t="shared" si="103"/>
        <v>84000</v>
      </c>
      <c r="AH1102" s="10">
        <v>84000</v>
      </c>
      <c r="AI1102" s="10"/>
      <c r="AJ1102" s="10"/>
      <c r="AK1102" s="10"/>
      <c r="AL1102" s="9">
        <f t="shared" si="104"/>
        <v>84000</v>
      </c>
      <c r="AM1102" s="1"/>
      <c r="AN1102" s="1"/>
      <c r="AO1102" s="12" t="e">
        <f>AB1102/#REF!</f>
        <v>#REF!</v>
      </c>
      <c r="AP1102" s="1" t="s">
        <v>4241</v>
      </c>
      <c r="AQ1102" s="11">
        <v>42185</v>
      </c>
      <c r="AR1102" s="1" t="s">
        <v>4242</v>
      </c>
      <c r="AS1102" s="11">
        <v>42186</v>
      </c>
      <c r="AT1102" s="1" t="s">
        <v>49</v>
      </c>
      <c r="AU1102" s="1" t="s">
        <v>4171</v>
      </c>
    </row>
    <row r="1103" spans="1:47" ht="15" customHeight="1" x14ac:dyDescent="0.25">
      <c r="A1103" s="1">
        <v>1099</v>
      </c>
      <c r="B1103" s="1" t="s">
        <v>1258</v>
      </c>
      <c r="C1103" s="1" t="s">
        <v>38</v>
      </c>
      <c r="D1103" s="1" t="s">
        <v>2735</v>
      </c>
      <c r="E1103" s="5">
        <v>41974</v>
      </c>
      <c r="F1103" s="1" t="s">
        <v>975</v>
      </c>
      <c r="G1103" s="1" t="s">
        <v>40</v>
      </c>
      <c r="H1103" s="1" t="s">
        <v>41</v>
      </c>
      <c r="I1103" s="1" t="s">
        <v>2809</v>
      </c>
      <c r="J1103" s="1" t="s">
        <v>2736</v>
      </c>
      <c r="K1103" s="1">
        <v>38237090</v>
      </c>
      <c r="L1103" s="6">
        <v>24</v>
      </c>
      <c r="M1103" s="1" t="s">
        <v>70</v>
      </c>
      <c r="N1103" s="7" t="s">
        <v>52</v>
      </c>
      <c r="O1103" s="1" t="s">
        <v>53</v>
      </c>
      <c r="P1103" s="8">
        <v>1750</v>
      </c>
      <c r="Q1103" s="17">
        <f t="shared" si="97"/>
        <v>42000</v>
      </c>
      <c r="R1103" s="9">
        <v>2100</v>
      </c>
      <c r="S1103" s="9">
        <v>0</v>
      </c>
      <c r="T1103" s="9">
        <v>0</v>
      </c>
      <c r="U1103" s="10">
        <v>0</v>
      </c>
      <c r="V1103" s="1" t="s">
        <v>46</v>
      </c>
      <c r="W1103" s="1" t="s">
        <v>745</v>
      </c>
      <c r="X1103" s="1">
        <v>6290642</v>
      </c>
      <c r="Y1103" s="24">
        <v>41969</v>
      </c>
      <c r="Z1103" s="11"/>
      <c r="AA1103" s="9">
        <f t="shared" si="98"/>
        <v>39900</v>
      </c>
      <c r="AB1103" s="12">
        <v>61.6</v>
      </c>
      <c r="AC1103" s="9">
        <f t="shared" si="99"/>
        <v>2587200</v>
      </c>
      <c r="AD1103" s="9">
        <f t="shared" si="100"/>
        <v>2457840</v>
      </c>
      <c r="AE1103" s="1" t="s">
        <v>48</v>
      </c>
      <c r="AF1103" s="1" t="s">
        <v>53</v>
      </c>
      <c r="AG1103" s="4">
        <f t="shared" si="103"/>
        <v>42000</v>
      </c>
      <c r="AH1103" s="10">
        <v>42000</v>
      </c>
      <c r="AI1103" s="10"/>
      <c r="AJ1103" s="10"/>
      <c r="AK1103" s="10"/>
      <c r="AL1103" s="9">
        <f t="shared" si="104"/>
        <v>42000</v>
      </c>
      <c r="AM1103" s="1"/>
      <c r="AN1103" s="1"/>
      <c r="AO1103" s="12" t="e">
        <f>AB1103/#REF!</f>
        <v>#REF!</v>
      </c>
      <c r="AP1103" s="1" t="s">
        <v>4241</v>
      </c>
      <c r="AQ1103" s="11">
        <v>42185</v>
      </c>
      <c r="AR1103" s="1" t="s">
        <v>4244</v>
      </c>
      <c r="AS1103" s="11">
        <v>42186</v>
      </c>
      <c r="AT1103" s="1" t="s">
        <v>49</v>
      </c>
      <c r="AU1103" s="1" t="s">
        <v>4171</v>
      </c>
    </row>
    <row r="1104" spans="1:47" ht="15" customHeight="1" x14ac:dyDescent="0.25">
      <c r="A1104" s="1">
        <v>1100</v>
      </c>
      <c r="B1104" s="1" t="s">
        <v>1258</v>
      </c>
      <c r="C1104" s="1" t="s">
        <v>38</v>
      </c>
      <c r="D1104" s="1" t="s">
        <v>2735</v>
      </c>
      <c r="E1104" s="5">
        <v>41974</v>
      </c>
      <c r="F1104" s="1" t="s">
        <v>977</v>
      </c>
      <c r="G1104" s="1" t="s">
        <v>40</v>
      </c>
      <c r="H1104" s="1" t="s">
        <v>41</v>
      </c>
      <c r="I1104" s="1" t="s">
        <v>2809</v>
      </c>
      <c r="J1104" s="1" t="s">
        <v>2736</v>
      </c>
      <c r="K1104" s="1">
        <v>38237090</v>
      </c>
      <c r="L1104" s="6">
        <v>24</v>
      </c>
      <c r="M1104" s="1" t="s">
        <v>70</v>
      </c>
      <c r="N1104" s="7" t="s">
        <v>52</v>
      </c>
      <c r="O1104" s="1" t="s">
        <v>53</v>
      </c>
      <c r="P1104" s="8">
        <v>1750</v>
      </c>
      <c r="Q1104" s="17">
        <f t="shared" si="97"/>
        <v>42000</v>
      </c>
      <c r="R1104" s="9">
        <v>2100</v>
      </c>
      <c r="S1104" s="9">
        <v>0</v>
      </c>
      <c r="T1104" s="9">
        <v>0</v>
      </c>
      <c r="U1104" s="10">
        <v>0</v>
      </c>
      <c r="V1104" s="1" t="s">
        <v>46</v>
      </c>
      <c r="W1104" s="1" t="s">
        <v>745</v>
      </c>
      <c r="X1104" s="1">
        <v>6298136</v>
      </c>
      <c r="Y1104" s="24">
        <v>41970</v>
      </c>
      <c r="Z1104" s="11"/>
      <c r="AA1104" s="9">
        <f t="shared" si="98"/>
        <v>39900</v>
      </c>
      <c r="AB1104" s="12">
        <v>61.6</v>
      </c>
      <c r="AC1104" s="9">
        <f t="shared" si="99"/>
        <v>2587200</v>
      </c>
      <c r="AD1104" s="9">
        <f t="shared" si="100"/>
        <v>2457840</v>
      </c>
      <c r="AE1104" s="1" t="s">
        <v>48</v>
      </c>
      <c r="AF1104" s="1" t="s">
        <v>53</v>
      </c>
      <c r="AG1104" s="4">
        <f t="shared" si="103"/>
        <v>42000</v>
      </c>
      <c r="AH1104" s="10">
        <v>42000</v>
      </c>
      <c r="AI1104" s="10"/>
      <c r="AJ1104" s="10"/>
      <c r="AK1104" s="10"/>
      <c r="AL1104" s="9">
        <f t="shared" si="104"/>
        <v>42000</v>
      </c>
      <c r="AM1104" s="1"/>
      <c r="AN1104" s="1"/>
      <c r="AO1104" s="12" t="e">
        <f>AB1104/#REF!</f>
        <v>#REF!</v>
      </c>
      <c r="AP1104" s="1" t="s">
        <v>4241</v>
      </c>
      <c r="AQ1104" s="11">
        <v>42185</v>
      </c>
      <c r="AR1104" s="1" t="s">
        <v>4245</v>
      </c>
      <c r="AS1104" s="11">
        <v>42186</v>
      </c>
      <c r="AT1104" s="1" t="s">
        <v>49</v>
      </c>
      <c r="AU1104" s="1" t="s">
        <v>4171</v>
      </c>
    </row>
    <row r="1105" spans="1:47" ht="15" customHeight="1" x14ac:dyDescent="0.25">
      <c r="A1105" s="1">
        <v>1101</v>
      </c>
      <c r="B1105" s="1" t="s">
        <v>1258</v>
      </c>
      <c r="C1105" s="1" t="s">
        <v>38</v>
      </c>
      <c r="D1105" s="1">
        <v>9103550897</v>
      </c>
      <c r="E1105" s="5">
        <v>41973</v>
      </c>
      <c r="F1105" s="1" t="s">
        <v>978</v>
      </c>
      <c r="G1105" s="1" t="s">
        <v>40</v>
      </c>
      <c r="H1105" s="1" t="s">
        <v>41</v>
      </c>
      <c r="I1105" s="1" t="s">
        <v>2809</v>
      </c>
      <c r="J1105" s="1" t="s">
        <v>50</v>
      </c>
      <c r="K1105" s="1">
        <v>38237090</v>
      </c>
      <c r="L1105" s="6">
        <v>18.34</v>
      </c>
      <c r="M1105" s="1" t="s">
        <v>70</v>
      </c>
      <c r="N1105" s="7" t="s">
        <v>52</v>
      </c>
      <c r="O1105" s="1" t="s">
        <v>45</v>
      </c>
      <c r="P1105" s="8">
        <v>1048</v>
      </c>
      <c r="Q1105" s="17">
        <f t="shared" si="97"/>
        <v>19220.32</v>
      </c>
      <c r="R1105" s="9">
        <v>720</v>
      </c>
      <c r="S1105" s="9">
        <v>0</v>
      </c>
      <c r="T1105" s="9">
        <v>0</v>
      </c>
      <c r="U1105" s="10">
        <v>0</v>
      </c>
      <c r="V1105" s="1" t="s">
        <v>46</v>
      </c>
      <c r="W1105" s="1" t="s">
        <v>2657</v>
      </c>
      <c r="X1105" s="1">
        <v>6300820</v>
      </c>
      <c r="Y1105" s="24">
        <v>41970</v>
      </c>
      <c r="Z1105" s="11"/>
      <c r="AA1105" s="9">
        <f t="shared" si="98"/>
        <v>18500.32</v>
      </c>
      <c r="AB1105" s="12">
        <v>77</v>
      </c>
      <c r="AC1105" s="9">
        <f t="shared" si="99"/>
        <v>1479964.64</v>
      </c>
      <c r="AD1105" s="9">
        <f t="shared" si="100"/>
        <v>1424524.64</v>
      </c>
      <c r="AE1105" s="1" t="s">
        <v>284</v>
      </c>
      <c r="AF1105" s="1" t="s">
        <v>45</v>
      </c>
      <c r="AG1105" s="4">
        <f t="shared" si="103"/>
        <v>19220.32</v>
      </c>
      <c r="AH1105" s="10">
        <v>19220.32</v>
      </c>
      <c r="AI1105" s="10">
        <v>696</v>
      </c>
      <c r="AJ1105" s="10">
        <v>0</v>
      </c>
      <c r="AK1105" s="10">
        <v>0</v>
      </c>
      <c r="AL1105" s="9">
        <f t="shared" si="104"/>
        <v>18524.32</v>
      </c>
      <c r="AM1105" s="1"/>
      <c r="AN1105" s="1"/>
      <c r="AO1105" s="12" t="e">
        <f>AB1105/#REF!</f>
        <v>#REF!</v>
      </c>
      <c r="AP1105" s="1"/>
      <c r="AQ1105" s="11">
        <v>42037</v>
      </c>
      <c r="AR1105" s="1" t="s">
        <v>3721</v>
      </c>
      <c r="AS1105" s="11">
        <v>42037</v>
      </c>
      <c r="AT1105" s="1" t="s">
        <v>49</v>
      </c>
      <c r="AU1105" s="1" t="s">
        <v>4171</v>
      </c>
    </row>
    <row r="1106" spans="1:47" ht="15" customHeight="1" x14ac:dyDescent="0.25">
      <c r="A1106" s="1">
        <v>1102</v>
      </c>
      <c r="B1106" s="1" t="s">
        <v>1258</v>
      </c>
      <c r="C1106" s="1" t="s">
        <v>38</v>
      </c>
      <c r="D1106" s="1">
        <v>9103550898</v>
      </c>
      <c r="E1106" s="5">
        <v>41976</v>
      </c>
      <c r="F1106" s="1" t="s">
        <v>982</v>
      </c>
      <c r="G1106" s="1" t="s">
        <v>40</v>
      </c>
      <c r="H1106" s="1" t="s">
        <v>41</v>
      </c>
      <c r="I1106" s="1" t="s">
        <v>2809</v>
      </c>
      <c r="J1106" s="1" t="s">
        <v>50</v>
      </c>
      <c r="K1106" s="1">
        <v>38237090</v>
      </c>
      <c r="L1106" s="6">
        <v>12</v>
      </c>
      <c r="M1106" s="1" t="s">
        <v>70</v>
      </c>
      <c r="N1106" s="7" t="s">
        <v>52</v>
      </c>
      <c r="O1106" s="1" t="s">
        <v>53</v>
      </c>
      <c r="P1106" s="8">
        <v>1633</v>
      </c>
      <c r="Q1106" s="17">
        <f t="shared" si="97"/>
        <v>19596</v>
      </c>
      <c r="R1106" s="9">
        <v>1035</v>
      </c>
      <c r="S1106" s="9">
        <v>0</v>
      </c>
      <c r="T1106" s="9">
        <v>0</v>
      </c>
      <c r="U1106" s="10">
        <v>0</v>
      </c>
      <c r="V1106" s="1" t="s">
        <v>46</v>
      </c>
      <c r="W1106" s="1" t="s">
        <v>62</v>
      </c>
      <c r="X1106" s="1">
        <v>6309716</v>
      </c>
      <c r="Y1106" s="24">
        <v>41970</v>
      </c>
      <c r="Z1106" s="11"/>
      <c r="AA1106" s="9">
        <f t="shared" si="98"/>
        <v>18561</v>
      </c>
      <c r="AB1106" s="12">
        <v>61.6</v>
      </c>
      <c r="AC1106" s="9">
        <f t="shared" si="99"/>
        <v>1207113.6000000001</v>
      </c>
      <c r="AD1106" s="9">
        <f t="shared" si="100"/>
        <v>1143357.6000000001</v>
      </c>
      <c r="AE1106" s="1" t="s">
        <v>284</v>
      </c>
      <c r="AF1106" s="1" t="s">
        <v>53</v>
      </c>
      <c r="AG1106" s="4">
        <f t="shared" si="103"/>
        <v>19596</v>
      </c>
      <c r="AH1106" s="10">
        <v>19596</v>
      </c>
      <c r="AI1106" s="10">
        <v>1000</v>
      </c>
      <c r="AJ1106" s="10">
        <v>0</v>
      </c>
      <c r="AK1106" s="10">
        <v>0</v>
      </c>
      <c r="AL1106" s="9">
        <f t="shared" si="104"/>
        <v>18596</v>
      </c>
      <c r="AM1106" s="1"/>
      <c r="AN1106" s="1"/>
      <c r="AO1106" s="12" t="e">
        <f>AB1106/#REF!</f>
        <v>#REF!</v>
      </c>
      <c r="AP1106" s="1"/>
      <c r="AQ1106" s="11">
        <v>42038</v>
      </c>
      <c r="AR1106" s="1" t="s">
        <v>3641</v>
      </c>
      <c r="AS1106" s="11">
        <v>42038</v>
      </c>
      <c r="AT1106" s="1" t="s">
        <v>49</v>
      </c>
      <c r="AU1106" s="1" t="s">
        <v>4171</v>
      </c>
    </row>
    <row r="1107" spans="1:47" ht="15" customHeight="1" x14ac:dyDescent="0.25">
      <c r="A1107" s="1">
        <v>1103</v>
      </c>
      <c r="B1107" s="1" t="s">
        <v>1258</v>
      </c>
      <c r="C1107" s="1" t="s">
        <v>38</v>
      </c>
      <c r="D1107" s="1" t="s">
        <v>2737</v>
      </c>
      <c r="E1107" s="5">
        <v>41974</v>
      </c>
      <c r="F1107" s="1" t="s">
        <v>984</v>
      </c>
      <c r="G1107" s="1" t="s">
        <v>40</v>
      </c>
      <c r="H1107" s="1" t="s">
        <v>41</v>
      </c>
      <c r="I1107" s="1" t="s">
        <v>2809</v>
      </c>
      <c r="J1107" s="1" t="s">
        <v>50</v>
      </c>
      <c r="K1107" s="1">
        <v>38237090</v>
      </c>
      <c r="L1107" s="6">
        <v>128.25</v>
      </c>
      <c r="M1107" s="1" t="s">
        <v>70</v>
      </c>
      <c r="N1107" s="7" t="s">
        <v>52</v>
      </c>
      <c r="O1107" s="1" t="s">
        <v>45</v>
      </c>
      <c r="P1107" s="8">
        <v>1048</v>
      </c>
      <c r="Q1107" s="17">
        <f t="shared" si="97"/>
        <v>134406</v>
      </c>
      <c r="R1107" s="9">
        <v>5040</v>
      </c>
      <c r="S1107" s="9">
        <v>0</v>
      </c>
      <c r="T1107" s="9">
        <v>0</v>
      </c>
      <c r="U1107" s="10">
        <v>0</v>
      </c>
      <c r="V1107" s="1" t="s">
        <v>46</v>
      </c>
      <c r="W1107" s="1" t="s">
        <v>2657</v>
      </c>
      <c r="X1107" s="1">
        <v>6314710</v>
      </c>
      <c r="Y1107" s="24">
        <v>41970</v>
      </c>
      <c r="Z1107" s="11"/>
      <c r="AA1107" s="9">
        <f t="shared" si="98"/>
        <v>129366</v>
      </c>
      <c r="AB1107" s="12">
        <v>77</v>
      </c>
      <c r="AC1107" s="9">
        <f t="shared" si="99"/>
        <v>10349262</v>
      </c>
      <c r="AD1107" s="9">
        <f t="shared" si="100"/>
        <v>9961182</v>
      </c>
      <c r="AE1107" s="1" t="s">
        <v>284</v>
      </c>
      <c r="AF1107" s="1" t="s">
        <v>45</v>
      </c>
      <c r="AG1107" s="4">
        <f t="shared" si="103"/>
        <v>134406</v>
      </c>
      <c r="AH1107" s="10">
        <v>134406</v>
      </c>
      <c r="AI1107" s="10">
        <v>4506.53</v>
      </c>
      <c r="AJ1107" s="10">
        <v>0</v>
      </c>
      <c r="AK1107" s="10">
        <v>0</v>
      </c>
      <c r="AL1107" s="9">
        <f t="shared" si="104"/>
        <v>129899.47</v>
      </c>
      <c r="AM1107" s="1"/>
      <c r="AN1107" s="1"/>
      <c r="AO1107" s="12" t="e">
        <f>AB1107/#REF!</f>
        <v>#REF!</v>
      </c>
      <c r="AP1107" s="1"/>
      <c r="AQ1107" s="11">
        <v>42037</v>
      </c>
      <c r="AR1107" s="1" t="s">
        <v>3722</v>
      </c>
      <c r="AS1107" s="11">
        <v>42037</v>
      </c>
      <c r="AT1107" s="1" t="s">
        <v>49</v>
      </c>
      <c r="AU1107" s="1" t="s">
        <v>4171</v>
      </c>
    </row>
    <row r="1108" spans="1:47" ht="15" customHeight="1" x14ac:dyDescent="0.25">
      <c r="A1108" s="1">
        <v>1104</v>
      </c>
      <c r="B1108" s="1" t="s">
        <v>1258</v>
      </c>
      <c r="C1108" s="1" t="s">
        <v>38</v>
      </c>
      <c r="D1108" s="1" t="s">
        <v>2737</v>
      </c>
      <c r="E1108" s="5">
        <v>41974</v>
      </c>
      <c r="F1108" s="1" t="s">
        <v>985</v>
      </c>
      <c r="G1108" s="1" t="s">
        <v>40</v>
      </c>
      <c r="H1108" s="1" t="s">
        <v>41</v>
      </c>
      <c r="I1108" s="1" t="s">
        <v>2809</v>
      </c>
      <c r="J1108" s="1" t="s">
        <v>50</v>
      </c>
      <c r="K1108" s="1">
        <v>38237090</v>
      </c>
      <c r="L1108" s="6">
        <v>18.329999999999998</v>
      </c>
      <c r="M1108" s="1" t="s">
        <v>70</v>
      </c>
      <c r="N1108" s="7" t="s">
        <v>52</v>
      </c>
      <c r="O1108" s="1" t="s">
        <v>45</v>
      </c>
      <c r="P1108" s="8">
        <v>1048</v>
      </c>
      <c r="Q1108" s="17">
        <f t="shared" si="97"/>
        <v>19209.839999999997</v>
      </c>
      <c r="R1108" s="9">
        <v>720</v>
      </c>
      <c r="S1108" s="9">
        <v>0</v>
      </c>
      <c r="T1108" s="9">
        <v>0</v>
      </c>
      <c r="U1108" s="10">
        <v>0</v>
      </c>
      <c r="V1108" s="1" t="s">
        <v>46</v>
      </c>
      <c r="W1108" s="1" t="s">
        <v>2657</v>
      </c>
      <c r="X1108" s="1">
        <v>6326995</v>
      </c>
      <c r="Y1108" s="24">
        <v>41971</v>
      </c>
      <c r="Z1108" s="11"/>
      <c r="AA1108" s="9">
        <f t="shared" si="98"/>
        <v>18489.839999999997</v>
      </c>
      <c r="AB1108" s="12">
        <v>77</v>
      </c>
      <c r="AC1108" s="9">
        <f t="shared" si="99"/>
        <v>1479157.6799999997</v>
      </c>
      <c r="AD1108" s="9">
        <f t="shared" si="100"/>
        <v>1423717.6799999997</v>
      </c>
      <c r="AE1108" s="1" t="s">
        <v>284</v>
      </c>
      <c r="AF1108" s="1" t="s">
        <v>45</v>
      </c>
      <c r="AG1108" s="4">
        <f t="shared" si="103"/>
        <v>19209.839999999997</v>
      </c>
      <c r="AH1108" s="10">
        <v>19209.84</v>
      </c>
      <c r="AI1108" s="10">
        <v>643.79</v>
      </c>
      <c r="AJ1108" s="10">
        <v>0</v>
      </c>
      <c r="AK1108" s="10">
        <v>0</v>
      </c>
      <c r="AL1108" s="9">
        <f t="shared" si="104"/>
        <v>18566.05</v>
      </c>
      <c r="AM1108" s="1"/>
      <c r="AN1108" s="1"/>
      <c r="AO1108" s="12" t="e">
        <f>AB1108/#REF!</f>
        <v>#REF!</v>
      </c>
      <c r="AP1108" s="1"/>
      <c r="AQ1108" s="11">
        <v>42037</v>
      </c>
      <c r="AR1108" s="1" t="s">
        <v>3723</v>
      </c>
      <c r="AS1108" s="11">
        <v>42037</v>
      </c>
      <c r="AT1108" s="1" t="s">
        <v>49</v>
      </c>
      <c r="AU1108" s="1" t="s">
        <v>4171</v>
      </c>
    </row>
    <row r="1109" spans="1:47" ht="15" customHeight="1" x14ac:dyDescent="0.25">
      <c r="A1109" s="1">
        <v>1105</v>
      </c>
      <c r="B1109" s="1" t="s">
        <v>1258</v>
      </c>
      <c r="C1109" s="1" t="s">
        <v>38</v>
      </c>
      <c r="D1109" s="1" t="s">
        <v>2738</v>
      </c>
      <c r="E1109" s="5">
        <v>41976</v>
      </c>
      <c r="F1109" s="1" t="s">
        <v>988</v>
      </c>
      <c r="G1109" s="1" t="s">
        <v>40</v>
      </c>
      <c r="H1109" s="1" t="s">
        <v>41</v>
      </c>
      <c r="I1109" s="1" t="s">
        <v>2809</v>
      </c>
      <c r="J1109" s="1" t="s">
        <v>2153</v>
      </c>
      <c r="K1109" s="1">
        <v>38231900</v>
      </c>
      <c r="L1109" s="6">
        <v>19.88</v>
      </c>
      <c r="M1109" s="1" t="s">
        <v>70</v>
      </c>
      <c r="N1109" s="7" t="s">
        <v>44</v>
      </c>
      <c r="O1109" s="1" t="s">
        <v>45</v>
      </c>
      <c r="P1109" s="8">
        <v>2940</v>
      </c>
      <c r="Q1109" s="17">
        <f t="shared" si="97"/>
        <v>58447.199999999997</v>
      </c>
      <c r="R1109" s="9">
        <v>840</v>
      </c>
      <c r="S1109" s="9">
        <v>8.36</v>
      </c>
      <c r="T1109" s="9">
        <v>0</v>
      </c>
      <c r="U1109" s="10">
        <v>0</v>
      </c>
      <c r="V1109" s="1" t="s">
        <v>46</v>
      </c>
      <c r="W1109" s="1" t="s">
        <v>47</v>
      </c>
      <c r="X1109" s="1">
        <v>6314574</v>
      </c>
      <c r="Y1109" s="24">
        <v>41970</v>
      </c>
      <c r="Z1109" s="11"/>
      <c r="AA1109" s="9">
        <f t="shared" si="98"/>
        <v>57598.84</v>
      </c>
      <c r="AB1109" s="12">
        <v>77</v>
      </c>
      <c r="AC1109" s="9">
        <f t="shared" si="99"/>
        <v>4500434.3999999994</v>
      </c>
      <c r="AD1109" s="9">
        <f t="shared" si="100"/>
        <v>4435110.68</v>
      </c>
      <c r="AE1109" s="1" t="s">
        <v>48</v>
      </c>
      <c r="AF1109" s="1" t="s">
        <v>45</v>
      </c>
      <c r="AG1109" s="4">
        <f t="shared" si="103"/>
        <v>58447.199999999997</v>
      </c>
      <c r="AH1109" s="10">
        <v>58447.199999999997</v>
      </c>
      <c r="AI1109" s="10">
        <v>894.34</v>
      </c>
      <c r="AJ1109" s="10">
        <v>8.36</v>
      </c>
      <c r="AK1109" s="10">
        <v>0</v>
      </c>
      <c r="AL1109" s="9">
        <f t="shared" si="104"/>
        <v>57544.5</v>
      </c>
      <c r="AM1109" s="1"/>
      <c r="AN1109" s="1"/>
      <c r="AO1109" s="12" t="e">
        <f>AB1109/#REF!</f>
        <v>#REF!</v>
      </c>
      <c r="AP1109" s="1"/>
      <c r="AQ1109" s="11">
        <v>42025</v>
      </c>
      <c r="AR1109" s="1" t="s">
        <v>3689</v>
      </c>
      <c r="AS1109" s="11">
        <v>42026</v>
      </c>
      <c r="AT1109" s="1" t="s">
        <v>49</v>
      </c>
      <c r="AU1109" s="1" t="s">
        <v>4171</v>
      </c>
    </row>
    <row r="1110" spans="1:47" ht="15" customHeight="1" x14ac:dyDescent="0.25">
      <c r="A1110" s="1">
        <v>1106</v>
      </c>
      <c r="B1110" s="1" t="s">
        <v>1258</v>
      </c>
      <c r="C1110" s="1" t="s">
        <v>38</v>
      </c>
      <c r="D1110" s="1" t="s">
        <v>2738</v>
      </c>
      <c r="E1110" s="5">
        <v>41976</v>
      </c>
      <c r="F1110" s="1" t="s">
        <v>992</v>
      </c>
      <c r="G1110" s="1" t="s">
        <v>40</v>
      </c>
      <c r="H1110" s="1" t="s">
        <v>41</v>
      </c>
      <c r="I1110" s="1" t="s">
        <v>2809</v>
      </c>
      <c r="J1110" s="1" t="s">
        <v>2153</v>
      </c>
      <c r="K1110" s="1">
        <v>38231900</v>
      </c>
      <c r="L1110" s="6">
        <v>99.24</v>
      </c>
      <c r="M1110" s="1" t="s">
        <v>70</v>
      </c>
      <c r="N1110" s="7" t="s">
        <v>44</v>
      </c>
      <c r="O1110" s="1" t="s">
        <v>45</v>
      </c>
      <c r="P1110" s="8">
        <v>2940</v>
      </c>
      <c r="Q1110" s="17">
        <f t="shared" si="97"/>
        <v>291765.59999999998</v>
      </c>
      <c r="R1110" s="9">
        <v>4200</v>
      </c>
      <c r="S1110" s="9">
        <v>41.72</v>
      </c>
      <c r="T1110" s="9">
        <v>0</v>
      </c>
      <c r="U1110" s="10">
        <v>0</v>
      </c>
      <c r="V1110" s="1" t="s">
        <v>46</v>
      </c>
      <c r="W1110" s="1" t="s">
        <v>47</v>
      </c>
      <c r="X1110" s="1">
        <v>6327384</v>
      </c>
      <c r="Y1110" s="24">
        <v>41971</v>
      </c>
      <c r="Z1110" s="11"/>
      <c r="AA1110" s="9">
        <f t="shared" si="98"/>
        <v>287523.88</v>
      </c>
      <c r="AB1110" s="12">
        <v>77</v>
      </c>
      <c r="AC1110" s="9">
        <f t="shared" si="99"/>
        <v>22465951.199999999</v>
      </c>
      <c r="AD1110" s="9">
        <f t="shared" si="100"/>
        <v>22139338.760000002</v>
      </c>
      <c r="AE1110" s="1" t="s">
        <v>48</v>
      </c>
      <c r="AF1110" s="1" t="s">
        <v>45</v>
      </c>
      <c r="AG1110" s="4">
        <f t="shared" si="103"/>
        <v>291765.59999999998</v>
      </c>
      <c r="AH1110" s="10">
        <v>291765</v>
      </c>
      <c r="AI1110" s="10">
        <v>4200</v>
      </c>
      <c r="AJ1110" s="10">
        <v>41.72</v>
      </c>
      <c r="AK1110" s="10">
        <v>0</v>
      </c>
      <c r="AL1110" s="9">
        <f t="shared" si="104"/>
        <v>287523.28000000003</v>
      </c>
      <c r="AM1110" s="1"/>
      <c r="AN1110" s="1"/>
      <c r="AO1110" s="12" t="e">
        <f>AB1110/#REF!</f>
        <v>#REF!</v>
      </c>
      <c r="AP1110" s="1"/>
      <c r="AQ1110" s="11">
        <v>42025</v>
      </c>
      <c r="AR1110" s="1" t="s">
        <v>3690</v>
      </c>
      <c r="AS1110" s="11">
        <v>42026</v>
      </c>
      <c r="AT1110" s="1" t="s">
        <v>49</v>
      </c>
      <c r="AU1110" s="1" t="s">
        <v>4171</v>
      </c>
    </row>
    <row r="1111" spans="1:47" ht="15" customHeight="1" x14ac:dyDescent="0.25">
      <c r="A1111" s="1">
        <v>1107</v>
      </c>
      <c r="B1111" s="1" t="s">
        <v>1258</v>
      </c>
      <c r="C1111" s="1" t="s">
        <v>38</v>
      </c>
      <c r="D1111" s="1">
        <v>9103550904</v>
      </c>
      <c r="E1111" s="5">
        <v>41973</v>
      </c>
      <c r="F1111" s="1" t="s">
        <v>980</v>
      </c>
      <c r="G1111" s="1" t="s">
        <v>40</v>
      </c>
      <c r="H1111" s="1" t="s">
        <v>41</v>
      </c>
      <c r="I1111" s="1" t="s">
        <v>2810</v>
      </c>
      <c r="J1111" s="1" t="s">
        <v>1116</v>
      </c>
      <c r="K1111" s="1">
        <v>38237090</v>
      </c>
      <c r="L1111" s="6">
        <v>111.64</v>
      </c>
      <c r="M1111" s="1" t="s">
        <v>70</v>
      </c>
      <c r="N1111" s="7" t="s">
        <v>67</v>
      </c>
      <c r="O1111" s="1" t="s">
        <v>1117</v>
      </c>
      <c r="P1111" s="8">
        <v>83850</v>
      </c>
      <c r="Q1111" s="17">
        <f t="shared" si="97"/>
        <v>9361014</v>
      </c>
      <c r="R1111" s="9">
        <v>0</v>
      </c>
      <c r="S1111" s="9">
        <v>0</v>
      </c>
      <c r="T1111" s="9">
        <v>614020</v>
      </c>
      <c r="U1111" s="10">
        <v>0</v>
      </c>
      <c r="V1111" s="1" t="s">
        <v>46</v>
      </c>
      <c r="W1111" s="1" t="s">
        <v>2676</v>
      </c>
      <c r="X1111" s="1">
        <v>6310753</v>
      </c>
      <c r="Y1111" s="24">
        <v>41970</v>
      </c>
      <c r="Z1111" s="11"/>
      <c r="AA1111" s="9">
        <f t="shared" si="98"/>
        <v>9361014</v>
      </c>
      <c r="AB1111" s="12">
        <v>1</v>
      </c>
      <c r="AC1111" s="9">
        <f t="shared" si="99"/>
        <v>9361014</v>
      </c>
      <c r="AD1111" s="9">
        <f t="shared" si="100"/>
        <v>9361014</v>
      </c>
      <c r="AE1111" s="1" t="s">
        <v>4162</v>
      </c>
      <c r="AF1111" s="1" t="s">
        <v>1117</v>
      </c>
      <c r="AG1111" s="4">
        <f t="shared" si="103"/>
        <v>9361014</v>
      </c>
      <c r="AH1111" s="10">
        <v>9361014</v>
      </c>
      <c r="AI1111" s="10"/>
      <c r="AJ1111" s="10"/>
      <c r="AK1111" s="10"/>
      <c r="AL1111" s="9">
        <f t="shared" si="104"/>
        <v>9361014</v>
      </c>
      <c r="AM1111" s="1"/>
      <c r="AN1111" s="1"/>
      <c r="AO1111" s="12"/>
      <c r="AP1111" s="1" t="s">
        <v>4050</v>
      </c>
      <c r="AQ1111" s="11" t="s">
        <v>4049</v>
      </c>
      <c r="AR1111" s="1" t="s">
        <v>4051</v>
      </c>
      <c r="AS1111" s="1" t="s">
        <v>3971</v>
      </c>
      <c r="AT1111" s="1" t="s">
        <v>49</v>
      </c>
      <c r="AU1111" s="1" t="s">
        <v>4171</v>
      </c>
    </row>
    <row r="1112" spans="1:47" ht="15" customHeight="1" x14ac:dyDescent="0.25">
      <c r="A1112" s="1">
        <v>1108</v>
      </c>
      <c r="B1112" s="1" t="s">
        <v>1258</v>
      </c>
      <c r="C1112" s="1" t="s">
        <v>38</v>
      </c>
      <c r="D1112" s="1">
        <v>9103550904</v>
      </c>
      <c r="E1112" s="5">
        <v>41973</v>
      </c>
      <c r="F1112" s="1" t="s">
        <v>983</v>
      </c>
      <c r="G1112" s="1" t="s">
        <v>40</v>
      </c>
      <c r="H1112" s="1" t="s">
        <v>41</v>
      </c>
      <c r="I1112" s="1" t="s">
        <v>2810</v>
      </c>
      <c r="J1112" s="1" t="s">
        <v>1116</v>
      </c>
      <c r="K1112" s="1">
        <v>38237090</v>
      </c>
      <c r="L1112" s="6">
        <v>93.74</v>
      </c>
      <c r="M1112" s="1" t="s">
        <v>70</v>
      </c>
      <c r="N1112" s="7" t="s">
        <v>67</v>
      </c>
      <c r="O1112" s="1" t="s">
        <v>1117</v>
      </c>
      <c r="P1112" s="8">
        <v>83850</v>
      </c>
      <c r="Q1112" s="17">
        <f t="shared" si="97"/>
        <v>7860099</v>
      </c>
      <c r="R1112" s="9">
        <v>0</v>
      </c>
      <c r="S1112" s="9">
        <v>0</v>
      </c>
      <c r="T1112" s="9">
        <v>515570</v>
      </c>
      <c r="U1112" s="10">
        <v>0</v>
      </c>
      <c r="V1112" s="1" t="s">
        <v>46</v>
      </c>
      <c r="W1112" s="1" t="s">
        <v>2676</v>
      </c>
      <c r="X1112" s="1">
        <v>6310754</v>
      </c>
      <c r="Y1112" s="24">
        <v>41970</v>
      </c>
      <c r="Z1112" s="11"/>
      <c r="AA1112" s="9">
        <f t="shared" si="98"/>
        <v>7860099</v>
      </c>
      <c r="AB1112" s="12">
        <v>1</v>
      </c>
      <c r="AC1112" s="9">
        <f t="shared" si="99"/>
        <v>7860099</v>
      </c>
      <c r="AD1112" s="9">
        <f t="shared" si="100"/>
        <v>7860099</v>
      </c>
      <c r="AE1112" s="1" t="s">
        <v>4162</v>
      </c>
      <c r="AF1112" s="1" t="s">
        <v>1117</v>
      </c>
      <c r="AG1112" s="4">
        <f t="shared" si="103"/>
        <v>7860099</v>
      </c>
      <c r="AH1112" s="10">
        <v>7860099</v>
      </c>
      <c r="AI1112" s="10"/>
      <c r="AJ1112" s="10"/>
      <c r="AK1112" s="10"/>
      <c r="AL1112" s="9">
        <f t="shared" si="104"/>
        <v>7860099</v>
      </c>
      <c r="AM1112" s="1"/>
      <c r="AN1112" s="1"/>
      <c r="AO1112" s="12"/>
      <c r="AP1112" s="1" t="s">
        <v>3922</v>
      </c>
      <c r="AQ1112" s="11" t="s">
        <v>3923</v>
      </c>
      <c r="AR1112" s="1" t="s">
        <v>4320</v>
      </c>
      <c r="AS1112" s="11">
        <v>42662</v>
      </c>
      <c r="AT1112" s="1" t="s">
        <v>49</v>
      </c>
      <c r="AU1112" s="1" t="s">
        <v>4171</v>
      </c>
    </row>
    <row r="1113" spans="1:47" ht="15" customHeight="1" x14ac:dyDescent="0.25">
      <c r="A1113" s="1">
        <v>1109</v>
      </c>
      <c r="B1113" s="1" t="s">
        <v>1258</v>
      </c>
      <c r="C1113" s="1" t="s">
        <v>38</v>
      </c>
      <c r="D1113" s="1" t="s">
        <v>2739</v>
      </c>
      <c r="E1113" s="5">
        <v>41975</v>
      </c>
      <c r="F1113" s="1" t="s">
        <v>986</v>
      </c>
      <c r="G1113" s="1" t="s">
        <v>40</v>
      </c>
      <c r="H1113" s="1" t="s">
        <v>41</v>
      </c>
      <c r="I1113" s="1" t="s">
        <v>2810</v>
      </c>
      <c r="J1113" s="1" t="s">
        <v>1116</v>
      </c>
      <c r="K1113" s="1">
        <v>38237090</v>
      </c>
      <c r="L1113" s="6">
        <v>18.93</v>
      </c>
      <c r="M1113" s="1" t="s">
        <v>70</v>
      </c>
      <c r="N1113" s="7" t="s">
        <v>67</v>
      </c>
      <c r="O1113" s="1" t="s">
        <v>1117</v>
      </c>
      <c r="P1113" s="8">
        <v>83850</v>
      </c>
      <c r="Q1113" s="17">
        <f t="shared" si="97"/>
        <v>1587280.5</v>
      </c>
      <c r="R1113" s="9">
        <v>0</v>
      </c>
      <c r="S1113" s="9">
        <v>0</v>
      </c>
      <c r="T1113" s="9">
        <v>104115</v>
      </c>
      <c r="U1113" s="10">
        <v>0</v>
      </c>
      <c r="V1113" s="1" t="s">
        <v>46</v>
      </c>
      <c r="W1113" s="1" t="s">
        <v>2676</v>
      </c>
      <c r="X1113" s="1">
        <v>6341879</v>
      </c>
      <c r="Y1113" s="24">
        <v>41971</v>
      </c>
      <c r="Z1113" s="11"/>
      <c r="AA1113" s="9">
        <f t="shared" si="98"/>
        <v>1587280.5</v>
      </c>
      <c r="AB1113" s="12">
        <v>1</v>
      </c>
      <c r="AC1113" s="9">
        <f t="shared" si="99"/>
        <v>1587280.5</v>
      </c>
      <c r="AD1113" s="9">
        <f t="shared" si="100"/>
        <v>1587280.5</v>
      </c>
      <c r="AE1113" s="1" t="s">
        <v>4162</v>
      </c>
      <c r="AF1113" s="1" t="s">
        <v>1117</v>
      </c>
      <c r="AG1113" s="4">
        <f t="shared" si="103"/>
        <v>1587280.5</v>
      </c>
      <c r="AH1113" s="10">
        <v>1587280.5</v>
      </c>
      <c r="AI1113" s="10"/>
      <c r="AJ1113" s="10"/>
      <c r="AK1113" s="10"/>
      <c r="AL1113" s="9">
        <f t="shared" si="104"/>
        <v>1587280.5</v>
      </c>
      <c r="AM1113" s="1"/>
      <c r="AN1113" s="1"/>
      <c r="AO1113" s="12"/>
      <c r="AP1113" s="1" t="s">
        <v>3990</v>
      </c>
      <c r="AQ1113" s="11" t="s">
        <v>3991</v>
      </c>
      <c r="AR1113" s="1" t="s">
        <v>3988</v>
      </c>
      <c r="AS1113" s="1" t="s">
        <v>3989</v>
      </c>
      <c r="AT1113" s="1" t="s">
        <v>49</v>
      </c>
      <c r="AU1113" s="1" t="s">
        <v>4171</v>
      </c>
    </row>
    <row r="1114" spans="1:47" ht="15" customHeight="1" x14ac:dyDescent="0.25">
      <c r="A1114" s="1">
        <v>1110</v>
      </c>
      <c r="B1114" s="1" t="s">
        <v>1258</v>
      </c>
      <c r="C1114" s="1" t="s">
        <v>38</v>
      </c>
      <c r="D1114" s="1" t="s">
        <v>2739</v>
      </c>
      <c r="E1114" s="5">
        <v>41975</v>
      </c>
      <c r="F1114" s="1" t="s">
        <v>987</v>
      </c>
      <c r="G1114" s="1" t="s">
        <v>40</v>
      </c>
      <c r="H1114" s="1" t="s">
        <v>41</v>
      </c>
      <c r="I1114" s="1" t="s">
        <v>2810</v>
      </c>
      <c r="J1114" s="1" t="s">
        <v>1116</v>
      </c>
      <c r="K1114" s="1">
        <v>38237090</v>
      </c>
      <c r="L1114" s="6">
        <v>94.31</v>
      </c>
      <c r="M1114" s="1" t="s">
        <v>70</v>
      </c>
      <c r="N1114" s="7" t="s">
        <v>67</v>
      </c>
      <c r="O1114" s="1" t="s">
        <v>1117</v>
      </c>
      <c r="P1114" s="8">
        <v>83850</v>
      </c>
      <c r="Q1114" s="17">
        <f t="shared" si="97"/>
        <v>7907893.5</v>
      </c>
      <c r="R1114" s="9">
        <v>0</v>
      </c>
      <c r="S1114" s="9">
        <v>0</v>
      </c>
      <c r="T1114" s="9">
        <v>518705</v>
      </c>
      <c r="U1114" s="10">
        <v>0</v>
      </c>
      <c r="V1114" s="1" t="s">
        <v>46</v>
      </c>
      <c r="W1114" s="1" t="s">
        <v>2676</v>
      </c>
      <c r="X1114" s="1">
        <v>6350891</v>
      </c>
      <c r="Y1114" s="24">
        <v>41972</v>
      </c>
      <c r="Z1114" s="11"/>
      <c r="AA1114" s="9">
        <f t="shared" si="98"/>
        <v>7907893.5</v>
      </c>
      <c r="AB1114" s="12">
        <v>1</v>
      </c>
      <c r="AC1114" s="9">
        <f t="shared" si="99"/>
        <v>7907893.5</v>
      </c>
      <c r="AD1114" s="9">
        <f t="shared" si="100"/>
        <v>7907893.5</v>
      </c>
      <c r="AE1114" s="1" t="s">
        <v>4162</v>
      </c>
      <c r="AF1114" s="1" t="s">
        <v>1117</v>
      </c>
      <c r="AG1114" s="4">
        <f t="shared" si="103"/>
        <v>7907893.5</v>
      </c>
      <c r="AH1114" s="10">
        <v>7907893.5</v>
      </c>
      <c r="AI1114" s="10"/>
      <c r="AJ1114" s="10"/>
      <c r="AK1114" s="10"/>
      <c r="AL1114" s="9">
        <f t="shared" si="104"/>
        <v>7907893.5</v>
      </c>
      <c r="AM1114" s="1"/>
      <c r="AN1114" s="1"/>
      <c r="AO1114" s="12"/>
      <c r="AP1114" s="1" t="s">
        <v>3990</v>
      </c>
      <c r="AQ1114" s="11" t="s">
        <v>3991</v>
      </c>
      <c r="AR1114" s="1" t="s">
        <v>3992</v>
      </c>
      <c r="AS1114" s="1" t="s">
        <v>3989</v>
      </c>
      <c r="AT1114" s="1" t="s">
        <v>49</v>
      </c>
      <c r="AU1114" s="1" t="s">
        <v>4171</v>
      </c>
    </row>
    <row r="1115" spans="1:47" ht="15" customHeight="1" x14ac:dyDescent="0.25">
      <c r="A1115" s="1">
        <v>1111</v>
      </c>
      <c r="B1115" s="1" t="s">
        <v>1258</v>
      </c>
      <c r="C1115" s="1" t="s">
        <v>38</v>
      </c>
      <c r="D1115" s="1">
        <v>9103550907</v>
      </c>
      <c r="E1115" s="5">
        <v>41976</v>
      </c>
      <c r="F1115" s="1" t="s">
        <v>993</v>
      </c>
      <c r="G1115" s="1" t="s">
        <v>40</v>
      </c>
      <c r="H1115" s="1" t="s">
        <v>41</v>
      </c>
      <c r="I1115" s="1" t="s">
        <v>2809</v>
      </c>
      <c r="J1115" s="1" t="s">
        <v>2740</v>
      </c>
      <c r="K1115" s="1">
        <v>38237090</v>
      </c>
      <c r="L1115" s="6">
        <v>12</v>
      </c>
      <c r="M1115" s="1" t="s">
        <v>70</v>
      </c>
      <c r="N1115" s="7" t="s">
        <v>44</v>
      </c>
      <c r="O1115" s="1" t="s">
        <v>53</v>
      </c>
      <c r="P1115" s="8">
        <v>1650</v>
      </c>
      <c r="Q1115" s="17">
        <f t="shared" si="97"/>
        <v>19800</v>
      </c>
      <c r="R1115" s="9">
        <v>856</v>
      </c>
      <c r="S1115" s="9">
        <v>2.83</v>
      </c>
      <c r="T1115" s="9">
        <v>0</v>
      </c>
      <c r="U1115" s="10">
        <v>0</v>
      </c>
      <c r="V1115" s="1" t="s">
        <v>46</v>
      </c>
      <c r="W1115" s="1" t="s">
        <v>205</v>
      </c>
      <c r="X1115" s="1">
        <v>6353037</v>
      </c>
      <c r="Y1115" s="24">
        <v>41972</v>
      </c>
      <c r="Z1115" s="11"/>
      <c r="AA1115" s="9">
        <f t="shared" si="98"/>
        <v>18941.169999999998</v>
      </c>
      <c r="AB1115" s="12">
        <v>61.6</v>
      </c>
      <c r="AC1115" s="9">
        <f t="shared" si="99"/>
        <v>1219680</v>
      </c>
      <c r="AD1115" s="9">
        <f t="shared" si="100"/>
        <v>1166776.0719999999</v>
      </c>
      <c r="AE1115" s="1" t="s">
        <v>284</v>
      </c>
      <c r="AF1115" s="1" t="s">
        <v>53</v>
      </c>
      <c r="AG1115" s="4">
        <f t="shared" si="103"/>
        <v>19800</v>
      </c>
      <c r="AH1115" s="10">
        <v>19787</v>
      </c>
      <c r="AI1115" s="10">
        <v>892.64</v>
      </c>
      <c r="AJ1115" s="10">
        <v>2.83</v>
      </c>
      <c r="AK1115" s="10">
        <v>0</v>
      </c>
      <c r="AL1115" s="9">
        <f t="shared" si="104"/>
        <v>18891.53</v>
      </c>
      <c r="AM1115" s="1"/>
      <c r="AN1115" s="1"/>
      <c r="AO1115" s="12" t="e">
        <f>AB1115/#REF!</f>
        <v>#REF!</v>
      </c>
      <c r="AP1115" s="1" t="s">
        <v>2741</v>
      </c>
      <c r="AQ1115" s="11">
        <v>42004</v>
      </c>
      <c r="AR1115" s="1" t="s">
        <v>2742</v>
      </c>
      <c r="AS1115" s="11">
        <v>42004</v>
      </c>
      <c r="AT1115" s="1" t="s">
        <v>49</v>
      </c>
      <c r="AU1115" s="1" t="s">
        <v>4171</v>
      </c>
    </row>
    <row r="1116" spans="1:47" ht="15" customHeight="1" x14ac:dyDescent="0.25">
      <c r="A1116" s="1">
        <v>1112</v>
      </c>
      <c r="B1116" s="1" t="s">
        <v>1258</v>
      </c>
      <c r="C1116" s="1" t="s">
        <v>38</v>
      </c>
      <c r="D1116" s="1">
        <v>9103550908</v>
      </c>
      <c r="E1116" s="5">
        <v>41976</v>
      </c>
      <c r="F1116" s="1" t="s">
        <v>989</v>
      </c>
      <c r="G1116" s="1" t="s">
        <v>40</v>
      </c>
      <c r="H1116" s="1" t="s">
        <v>41</v>
      </c>
      <c r="I1116" s="1" t="s">
        <v>2809</v>
      </c>
      <c r="J1116" s="1" t="s">
        <v>2740</v>
      </c>
      <c r="K1116" s="1">
        <v>29051700</v>
      </c>
      <c r="L1116" s="6">
        <v>3.5</v>
      </c>
      <c r="M1116" s="1" t="s">
        <v>70</v>
      </c>
      <c r="N1116" s="7" t="s">
        <v>44</v>
      </c>
      <c r="O1116" s="1" t="s">
        <v>53</v>
      </c>
      <c r="P1116" s="8">
        <v>1613</v>
      </c>
      <c r="Q1116" s="17">
        <f t="shared" si="97"/>
        <v>5645.5</v>
      </c>
      <c r="R1116" s="9">
        <f>856/12*3.5</f>
        <v>249.66666666666666</v>
      </c>
      <c r="S1116" s="9">
        <f>6210.05*0.013%</f>
        <v>0.80730649999999993</v>
      </c>
      <c r="T1116" s="9">
        <v>0</v>
      </c>
      <c r="U1116" s="10">
        <v>0</v>
      </c>
      <c r="V1116" s="1" t="s">
        <v>46</v>
      </c>
      <c r="W1116" s="1" t="s">
        <v>205</v>
      </c>
      <c r="X1116" s="1">
        <v>6353044</v>
      </c>
      <c r="Y1116" s="24">
        <v>41972</v>
      </c>
      <c r="Z1116" s="11"/>
      <c r="AA1116" s="9">
        <f t="shared" si="98"/>
        <v>5395.0260268333332</v>
      </c>
      <c r="AB1116" s="12">
        <v>61.6</v>
      </c>
      <c r="AC1116" s="9">
        <f t="shared" si="99"/>
        <v>347762.8</v>
      </c>
      <c r="AD1116" s="9">
        <f t="shared" si="100"/>
        <v>332333.6032529333</v>
      </c>
      <c r="AE1116" s="1" t="s">
        <v>284</v>
      </c>
      <c r="AF1116" s="1" t="s">
        <v>53</v>
      </c>
      <c r="AG1116" s="4">
        <f t="shared" si="103"/>
        <v>5645.5</v>
      </c>
      <c r="AH1116" s="10">
        <v>5634.5</v>
      </c>
      <c r="AI1116" s="10">
        <v>273.60000000000002</v>
      </c>
      <c r="AJ1116" s="10">
        <v>0.80600000000000005</v>
      </c>
      <c r="AK1116" s="10">
        <v>0</v>
      </c>
      <c r="AL1116" s="9">
        <f t="shared" si="104"/>
        <v>5360.0940000000001</v>
      </c>
      <c r="AM1116" s="1"/>
      <c r="AN1116" s="1"/>
      <c r="AO1116" s="12" t="e">
        <f>AB1116/#REF!</f>
        <v>#REF!</v>
      </c>
      <c r="AP1116" s="1" t="s">
        <v>2743</v>
      </c>
      <c r="AQ1116" s="11">
        <v>42004</v>
      </c>
      <c r="AR1116" s="1" t="s">
        <v>2744</v>
      </c>
      <c r="AS1116" s="11">
        <v>42004</v>
      </c>
      <c r="AT1116" s="1" t="s">
        <v>49</v>
      </c>
      <c r="AU1116" s="1" t="s">
        <v>4171</v>
      </c>
    </row>
    <row r="1117" spans="1:47" ht="15" customHeight="1" x14ac:dyDescent="0.25">
      <c r="A1117" s="1">
        <v>1113</v>
      </c>
      <c r="B1117" s="1" t="s">
        <v>1258</v>
      </c>
      <c r="C1117" s="1" t="s">
        <v>38</v>
      </c>
      <c r="D1117" s="1">
        <v>9103550908</v>
      </c>
      <c r="E1117" s="5">
        <v>41976</v>
      </c>
      <c r="F1117" s="1" t="s">
        <v>989</v>
      </c>
      <c r="G1117" s="1" t="s">
        <v>40</v>
      </c>
      <c r="H1117" s="1" t="s">
        <v>41</v>
      </c>
      <c r="I1117" s="1" t="s">
        <v>2809</v>
      </c>
      <c r="J1117" s="1" t="s">
        <v>2740</v>
      </c>
      <c r="K1117" s="1">
        <v>38237090</v>
      </c>
      <c r="L1117" s="6">
        <v>8.5</v>
      </c>
      <c r="M1117" s="1" t="s">
        <v>70</v>
      </c>
      <c r="N1117" s="7" t="s">
        <v>44</v>
      </c>
      <c r="O1117" s="1" t="s">
        <v>53</v>
      </c>
      <c r="P1117" s="8">
        <v>1500</v>
      </c>
      <c r="Q1117" s="17">
        <f t="shared" si="97"/>
        <v>12750</v>
      </c>
      <c r="R1117" s="9">
        <f>856/12*8.5</f>
        <v>606.33333333333326</v>
      </c>
      <c r="S1117" s="9">
        <f>2.63-0.81</f>
        <v>1.8199999999999998</v>
      </c>
      <c r="T1117" s="9">
        <v>0</v>
      </c>
      <c r="U1117" s="10">
        <v>0</v>
      </c>
      <c r="V1117" s="1" t="s">
        <v>46</v>
      </c>
      <c r="W1117" s="1" t="s">
        <v>205</v>
      </c>
      <c r="X1117" s="1">
        <v>6353044</v>
      </c>
      <c r="Y1117" s="24">
        <v>41972</v>
      </c>
      <c r="Z1117" s="11"/>
      <c r="AA1117" s="9">
        <f t="shared" si="98"/>
        <v>12141.846666666666</v>
      </c>
      <c r="AB1117" s="12">
        <v>61.6</v>
      </c>
      <c r="AC1117" s="9">
        <f t="shared" si="99"/>
        <v>785400</v>
      </c>
      <c r="AD1117" s="9">
        <f t="shared" si="100"/>
        <v>747937.75466666662</v>
      </c>
      <c r="AE1117" s="1" t="s">
        <v>284</v>
      </c>
      <c r="AF1117" s="1" t="s">
        <v>53</v>
      </c>
      <c r="AG1117" s="4">
        <f t="shared" si="103"/>
        <v>12750</v>
      </c>
      <c r="AH1117" s="10">
        <v>12748</v>
      </c>
      <c r="AI1117" s="10">
        <v>619.04</v>
      </c>
      <c r="AJ1117" s="10">
        <v>1.82</v>
      </c>
      <c r="AK1117" s="10">
        <v>0</v>
      </c>
      <c r="AL1117" s="9">
        <f t="shared" si="104"/>
        <v>12127.14</v>
      </c>
      <c r="AM1117" s="1"/>
      <c r="AN1117" s="1"/>
      <c r="AO1117" s="12" t="e">
        <f>AB1117/#REF!</f>
        <v>#REF!</v>
      </c>
      <c r="AP1117" s="1"/>
      <c r="AQ1117" s="11">
        <v>42004</v>
      </c>
      <c r="AR1117" s="1" t="s">
        <v>2744</v>
      </c>
      <c r="AS1117" s="11">
        <v>42004</v>
      </c>
      <c r="AT1117" s="1" t="s">
        <v>49</v>
      </c>
      <c r="AU1117" s="1" t="s">
        <v>4171</v>
      </c>
    </row>
    <row r="1118" spans="1:47" ht="15" customHeight="1" x14ac:dyDescent="0.25">
      <c r="A1118" s="1">
        <v>1114</v>
      </c>
      <c r="B1118" s="1" t="s">
        <v>1258</v>
      </c>
      <c r="C1118" s="1" t="s">
        <v>38</v>
      </c>
      <c r="D1118" s="1">
        <v>9103550909</v>
      </c>
      <c r="E1118" s="5">
        <v>41972</v>
      </c>
      <c r="F1118" s="1" t="s">
        <v>990</v>
      </c>
      <c r="G1118" s="1" t="s">
        <v>40</v>
      </c>
      <c r="H1118" s="1" t="s">
        <v>41</v>
      </c>
      <c r="I1118" s="1" t="s">
        <v>2809</v>
      </c>
      <c r="J1118" s="1" t="s">
        <v>2708</v>
      </c>
      <c r="K1118" s="1">
        <v>29161990</v>
      </c>
      <c r="L1118" s="6">
        <v>28.8</v>
      </c>
      <c r="M1118" s="1" t="s">
        <v>70</v>
      </c>
      <c r="N1118" s="7" t="s">
        <v>44</v>
      </c>
      <c r="O1118" s="1" t="s">
        <v>53</v>
      </c>
      <c r="P1118" s="8">
        <v>2816</v>
      </c>
      <c r="Q1118" s="17">
        <f t="shared" si="97"/>
        <v>81100.800000000003</v>
      </c>
      <c r="R1118" s="9">
        <v>100</v>
      </c>
      <c r="S1118" s="9">
        <v>11.6</v>
      </c>
      <c r="T1118" s="9">
        <v>0</v>
      </c>
      <c r="U1118" s="10">
        <v>0</v>
      </c>
      <c r="V1118" s="1" t="s">
        <v>46</v>
      </c>
      <c r="W1118" s="1" t="s">
        <v>54</v>
      </c>
      <c r="X1118" s="1">
        <v>6356662</v>
      </c>
      <c r="Y1118" s="24">
        <v>41972</v>
      </c>
      <c r="Z1118" s="11"/>
      <c r="AA1118" s="9">
        <f t="shared" si="98"/>
        <v>80989.2</v>
      </c>
      <c r="AB1118" s="12">
        <v>61.6</v>
      </c>
      <c r="AC1118" s="9">
        <f t="shared" si="99"/>
        <v>4995809.2800000003</v>
      </c>
      <c r="AD1118" s="9">
        <f t="shared" si="100"/>
        <v>4988934.72</v>
      </c>
      <c r="AE1118" s="1" t="s">
        <v>48</v>
      </c>
      <c r="AF1118" s="1" t="s">
        <v>53</v>
      </c>
      <c r="AG1118" s="4">
        <f t="shared" si="103"/>
        <v>81100.800000000003</v>
      </c>
      <c r="AH1118" s="10">
        <v>80915.8</v>
      </c>
      <c r="AI1118" s="10">
        <v>100</v>
      </c>
      <c r="AJ1118" s="10">
        <v>11.8</v>
      </c>
      <c r="AK1118" s="10">
        <v>0</v>
      </c>
      <c r="AL1118" s="9">
        <f t="shared" si="104"/>
        <v>80804</v>
      </c>
      <c r="AM1118" s="1"/>
      <c r="AN1118" s="1"/>
      <c r="AO1118" s="12" t="e">
        <f>AB1118/#REF!</f>
        <v>#REF!</v>
      </c>
      <c r="AP1118" s="1"/>
      <c r="AQ1118" s="11">
        <v>41999</v>
      </c>
      <c r="AR1118" s="1" t="s">
        <v>3401</v>
      </c>
      <c r="AS1118" s="11">
        <v>42000</v>
      </c>
      <c r="AT1118" s="1" t="s">
        <v>49</v>
      </c>
      <c r="AU1118" s="1" t="s">
        <v>4171</v>
      </c>
    </row>
    <row r="1119" spans="1:47" ht="15" customHeight="1" x14ac:dyDescent="0.25">
      <c r="A1119" s="1">
        <v>1115</v>
      </c>
      <c r="B1119" s="1" t="s">
        <v>1258</v>
      </c>
      <c r="C1119" s="1" t="s">
        <v>38</v>
      </c>
      <c r="D1119" s="1">
        <v>9103550910</v>
      </c>
      <c r="E1119" s="5">
        <v>41978</v>
      </c>
      <c r="F1119" s="1" t="s">
        <v>991</v>
      </c>
      <c r="G1119" s="1" t="s">
        <v>40</v>
      </c>
      <c r="H1119" s="1" t="s">
        <v>41</v>
      </c>
      <c r="I1119" s="1" t="s">
        <v>2809</v>
      </c>
      <c r="J1119" s="1" t="s">
        <v>187</v>
      </c>
      <c r="K1119" s="1">
        <v>29051700</v>
      </c>
      <c r="L1119" s="6">
        <v>54.42</v>
      </c>
      <c r="M1119" s="1" t="s">
        <v>70</v>
      </c>
      <c r="N1119" s="7" t="s">
        <v>44</v>
      </c>
      <c r="O1119" s="1" t="s">
        <v>53</v>
      </c>
      <c r="P1119" s="8">
        <v>1802</v>
      </c>
      <c r="Q1119" s="17">
        <f t="shared" si="97"/>
        <v>98064.84</v>
      </c>
      <c r="R1119" s="9">
        <v>9909</v>
      </c>
      <c r="S1119" s="9">
        <v>14.02</v>
      </c>
      <c r="T1119" s="9">
        <v>0</v>
      </c>
      <c r="U1119" s="10">
        <v>0</v>
      </c>
      <c r="V1119" s="1" t="s">
        <v>46</v>
      </c>
      <c r="W1119" s="1" t="s">
        <v>56</v>
      </c>
      <c r="X1119" s="1">
        <v>6360124</v>
      </c>
      <c r="Y1119" s="24">
        <v>41972</v>
      </c>
      <c r="Z1119" s="11"/>
      <c r="AA1119" s="9">
        <f t="shared" si="98"/>
        <v>88141.819999999992</v>
      </c>
      <c r="AB1119" s="12">
        <v>61.6</v>
      </c>
      <c r="AC1119" s="9">
        <f t="shared" si="99"/>
        <v>6040794.1440000003</v>
      </c>
      <c r="AD1119" s="9">
        <f t="shared" si="100"/>
        <v>5429536.1119999997</v>
      </c>
      <c r="AE1119" s="1" t="s">
        <v>48</v>
      </c>
      <c r="AF1119" s="1" t="s">
        <v>53</v>
      </c>
      <c r="AG1119" s="4">
        <f t="shared" si="103"/>
        <v>98064.84</v>
      </c>
      <c r="AH1119" s="10">
        <v>98064.84</v>
      </c>
      <c r="AI1119" s="9">
        <v>9912</v>
      </c>
      <c r="AJ1119" s="9">
        <v>14.02</v>
      </c>
      <c r="AK1119" s="9">
        <v>0</v>
      </c>
      <c r="AL1119" s="9">
        <f t="shared" si="104"/>
        <v>88138.819999999992</v>
      </c>
      <c r="AM1119" s="1"/>
      <c r="AN1119" s="1"/>
      <c r="AO1119" s="12" t="e">
        <f>AB1119/#REF!</f>
        <v>#REF!</v>
      </c>
      <c r="AP1119" s="1"/>
      <c r="AQ1119" s="11">
        <v>42072</v>
      </c>
      <c r="AR1119" s="1" t="s">
        <v>3402</v>
      </c>
      <c r="AS1119" s="11">
        <v>42073</v>
      </c>
      <c r="AT1119" s="1" t="s">
        <v>49</v>
      </c>
      <c r="AU1119" s="1" t="s">
        <v>4171</v>
      </c>
    </row>
    <row r="1120" spans="1:47" ht="15" customHeight="1" x14ac:dyDescent="0.25">
      <c r="A1120" s="1">
        <v>1116</v>
      </c>
      <c r="B1120" s="1" t="s">
        <v>1258</v>
      </c>
      <c r="C1120" s="1" t="s">
        <v>38</v>
      </c>
      <c r="D1120" s="1">
        <v>9103550911</v>
      </c>
      <c r="E1120" s="5">
        <v>41975</v>
      </c>
      <c r="F1120" s="1" t="s">
        <v>995</v>
      </c>
      <c r="G1120" s="1" t="s">
        <v>40</v>
      </c>
      <c r="H1120" s="1" t="s">
        <v>41</v>
      </c>
      <c r="I1120" s="1" t="s">
        <v>2810</v>
      </c>
      <c r="J1120" s="1" t="s">
        <v>1116</v>
      </c>
      <c r="K1120" s="1">
        <v>38237090</v>
      </c>
      <c r="L1120" s="6">
        <v>207.21</v>
      </c>
      <c r="M1120" s="1" t="s">
        <v>70</v>
      </c>
      <c r="N1120" s="7" t="s">
        <v>67</v>
      </c>
      <c r="O1120" s="1" t="s">
        <v>1117</v>
      </c>
      <c r="P1120" s="8">
        <v>83850</v>
      </c>
      <c r="Q1120" s="17">
        <f t="shared" si="97"/>
        <v>17374558.5</v>
      </c>
      <c r="R1120" s="9">
        <v>0</v>
      </c>
      <c r="S1120" s="9">
        <v>0</v>
      </c>
      <c r="T1120" s="9">
        <f>5500*207.21</f>
        <v>1139655</v>
      </c>
      <c r="U1120" s="10">
        <v>0</v>
      </c>
      <c r="V1120" s="1" t="s">
        <v>46</v>
      </c>
      <c r="W1120" s="1" t="s">
        <v>361</v>
      </c>
      <c r="X1120" s="1">
        <v>6362048</v>
      </c>
      <c r="Y1120" s="24">
        <v>41972</v>
      </c>
      <c r="Z1120" s="11"/>
      <c r="AA1120" s="9">
        <f t="shared" si="98"/>
        <v>17374558.5</v>
      </c>
      <c r="AB1120" s="12">
        <v>1</v>
      </c>
      <c r="AC1120" s="9">
        <f t="shared" si="99"/>
        <v>17374558.5</v>
      </c>
      <c r="AD1120" s="9">
        <f t="shared" si="100"/>
        <v>17374558.5</v>
      </c>
      <c r="AE1120" s="1" t="s">
        <v>4162</v>
      </c>
      <c r="AF1120" s="1" t="s">
        <v>1117</v>
      </c>
      <c r="AG1120" s="4">
        <f t="shared" si="103"/>
        <v>17374558.5</v>
      </c>
      <c r="AH1120" s="10">
        <v>17342123.989999998</v>
      </c>
      <c r="AI1120" s="10"/>
      <c r="AJ1120" s="10"/>
      <c r="AK1120" s="10"/>
      <c r="AL1120" s="9">
        <f t="shared" si="104"/>
        <v>17342123.989999998</v>
      </c>
      <c r="AM1120" s="1"/>
      <c r="AN1120" s="1"/>
      <c r="AO1120" s="12"/>
      <c r="AP1120" s="1" t="s">
        <v>3994</v>
      </c>
      <c r="AQ1120" s="11" t="s">
        <v>3991</v>
      </c>
      <c r="AR1120" s="1" t="s">
        <v>3993</v>
      </c>
      <c r="AS1120" s="1" t="s">
        <v>3989</v>
      </c>
      <c r="AT1120" s="1" t="s">
        <v>49</v>
      </c>
      <c r="AU1120" s="1" t="s">
        <v>4171</v>
      </c>
    </row>
    <row r="1121" spans="1:47" ht="15" customHeight="1" x14ac:dyDescent="0.25">
      <c r="A1121" s="1">
        <v>1117</v>
      </c>
      <c r="B1121" s="1" t="s">
        <v>1258</v>
      </c>
      <c r="C1121" s="1" t="s">
        <v>38</v>
      </c>
      <c r="D1121" s="1">
        <v>9103550912</v>
      </c>
      <c r="E1121" s="5">
        <v>41978</v>
      </c>
      <c r="F1121" s="1" t="s">
        <v>996</v>
      </c>
      <c r="G1121" s="1" t="s">
        <v>40</v>
      </c>
      <c r="H1121" s="1" t="s">
        <v>41</v>
      </c>
      <c r="I1121" s="1" t="s">
        <v>2809</v>
      </c>
      <c r="J1121" s="1" t="s">
        <v>187</v>
      </c>
      <c r="K1121" s="1">
        <v>38237090</v>
      </c>
      <c r="L1121" s="6">
        <v>18.14</v>
      </c>
      <c r="M1121" s="1" t="s">
        <v>70</v>
      </c>
      <c r="N1121" s="7" t="s">
        <v>44</v>
      </c>
      <c r="O1121" s="1" t="s">
        <v>53</v>
      </c>
      <c r="P1121" s="8">
        <v>1567</v>
      </c>
      <c r="Q1121" s="17">
        <f t="shared" si="97"/>
        <v>28425.38</v>
      </c>
      <c r="R1121" s="9">
        <v>2580</v>
      </c>
      <c r="S1121" s="9">
        <v>4.0599999999999996</v>
      </c>
      <c r="T1121" s="9">
        <v>0</v>
      </c>
      <c r="U1121" s="10">
        <v>0</v>
      </c>
      <c r="V1121" s="1" t="s">
        <v>46</v>
      </c>
      <c r="W1121" s="1" t="s">
        <v>56</v>
      </c>
      <c r="X1121" s="1">
        <v>6374251</v>
      </c>
      <c r="Y1121" s="24">
        <v>41974</v>
      </c>
      <c r="Z1121" s="11"/>
      <c r="AA1121" s="9">
        <f t="shared" si="98"/>
        <v>25841.32</v>
      </c>
      <c r="AB1121" s="12">
        <v>61.6</v>
      </c>
      <c r="AC1121" s="9">
        <f t="shared" si="99"/>
        <v>1751003.4080000001</v>
      </c>
      <c r="AD1121" s="9">
        <f t="shared" si="100"/>
        <v>1591825.3119999999</v>
      </c>
      <c r="AE1121" s="1" t="s">
        <v>48</v>
      </c>
      <c r="AF1121" s="1" t="s">
        <v>53</v>
      </c>
      <c r="AG1121" s="4">
        <f t="shared" si="103"/>
        <v>28425.38</v>
      </c>
      <c r="AH1121" s="10">
        <v>28425.38</v>
      </c>
      <c r="AI1121" s="10">
        <v>2580</v>
      </c>
      <c r="AJ1121" s="10">
        <v>4.0599999999999996</v>
      </c>
      <c r="AK1121" s="10">
        <v>0</v>
      </c>
      <c r="AL1121" s="9">
        <f t="shared" si="104"/>
        <v>25841.32</v>
      </c>
      <c r="AM1121" s="1"/>
      <c r="AN1121" s="1"/>
      <c r="AO1121" s="12" t="e">
        <f>AB1121/#REF!</f>
        <v>#REF!</v>
      </c>
      <c r="AP1121" s="1"/>
      <c r="AQ1121" s="11">
        <v>42072</v>
      </c>
      <c r="AR1121" s="1" t="s">
        <v>3403</v>
      </c>
      <c r="AS1121" s="11">
        <v>42073</v>
      </c>
      <c r="AT1121" s="1" t="s">
        <v>49</v>
      </c>
      <c r="AU1121" s="1" t="s">
        <v>4171</v>
      </c>
    </row>
    <row r="1122" spans="1:47" ht="15" customHeight="1" x14ac:dyDescent="0.25">
      <c r="A1122" s="1">
        <v>1118</v>
      </c>
      <c r="B1122" s="1" t="s">
        <v>1258</v>
      </c>
      <c r="C1122" s="1" t="s">
        <v>38</v>
      </c>
      <c r="D1122" s="1">
        <v>9103550913</v>
      </c>
      <c r="E1122" s="5">
        <v>41981</v>
      </c>
      <c r="F1122" s="1" t="s">
        <v>994</v>
      </c>
      <c r="G1122" s="1" t="s">
        <v>40</v>
      </c>
      <c r="H1122" s="1" t="s">
        <v>41</v>
      </c>
      <c r="I1122" s="1" t="s">
        <v>2809</v>
      </c>
      <c r="J1122" s="1" t="s">
        <v>50</v>
      </c>
      <c r="K1122" s="1">
        <v>38237090</v>
      </c>
      <c r="L1122" s="6">
        <v>15</v>
      </c>
      <c r="M1122" s="1" t="s">
        <v>70</v>
      </c>
      <c r="N1122" s="7" t="s">
        <v>52</v>
      </c>
      <c r="O1122" s="1" t="s">
        <v>53</v>
      </c>
      <c r="P1122" s="8">
        <v>1520</v>
      </c>
      <c r="Q1122" s="17">
        <f t="shared" si="97"/>
        <v>22800</v>
      </c>
      <c r="R1122" s="9">
        <v>700</v>
      </c>
      <c r="S1122" s="9">
        <v>0</v>
      </c>
      <c r="T1122" s="9">
        <v>0</v>
      </c>
      <c r="U1122" s="10">
        <v>0</v>
      </c>
      <c r="V1122" s="1" t="s">
        <v>46</v>
      </c>
      <c r="W1122" s="1" t="s">
        <v>2657</v>
      </c>
      <c r="X1122" s="1">
        <v>6401898</v>
      </c>
      <c r="Y1122" s="24">
        <v>41975</v>
      </c>
      <c r="Z1122" s="11"/>
      <c r="AA1122" s="9">
        <f t="shared" si="98"/>
        <v>22100</v>
      </c>
      <c r="AB1122" s="12">
        <v>61.6</v>
      </c>
      <c r="AC1122" s="9">
        <f t="shared" si="99"/>
        <v>1404480</v>
      </c>
      <c r="AD1122" s="9">
        <f t="shared" si="100"/>
        <v>1361360</v>
      </c>
      <c r="AE1122" s="1" t="s">
        <v>284</v>
      </c>
      <c r="AF1122" s="1" t="s">
        <v>53</v>
      </c>
      <c r="AG1122" s="4">
        <f t="shared" si="103"/>
        <v>22800</v>
      </c>
      <c r="AH1122" s="10">
        <v>22790</v>
      </c>
      <c r="AI1122" s="10">
        <v>700</v>
      </c>
      <c r="AJ1122" s="10">
        <v>0</v>
      </c>
      <c r="AK1122" s="10">
        <v>0</v>
      </c>
      <c r="AL1122" s="9">
        <f t="shared" si="104"/>
        <v>22090</v>
      </c>
      <c r="AM1122" s="1"/>
      <c r="AN1122" s="1"/>
      <c r="AO1122" s="12" t="e">
        <f>AB1122/#REF!</f>
        <v>#REF!</v>
      </c>
      <c r="AP1122" s="1" t="s">
        <v>2745</v>
      </c>
      <c r="AQ1122" s="11">
        <v>42048</v>
      </c>
      <c r="AR1122" s="1" t="s">
        <v>2746</v>
      </c>
      <c r="AS1122" s="11">
        <v>42048</v>
      </c>
      <c r="AT1122" s="1" t="s">
        <v>49</v>
      </c>
      <c r="AU1122" s="1" t="s">
        <v>4171</v>
      </c>
    </row>
    <row r="1123" spans="1:47" ht="15" customHeight="1" x14ac:dyDescent="0.25">
      <c r="A1123" s="1">
        <v>1119</v>
      </c>
      <c r="B1123" s="1" t="s">
        <v>1258</v>
      </c>
      <c r="C1123" s="1" t="s">
        <v>38</v>
      </c>
      <c r="D1123" s="1">
        <v>9103550914</v>
      </c>
      <c r="E1123" s="5">
        <v>41981</v>
      </c>
      <c r="F1123" s="1" t="s">
        <v>998</v>
      </c>
      <c r="G1123" s="1" t="s">
        <v>40</v>
      </c>
      <c r="H1123" s="1" t="s">
        <v>41</v>
      </c>
      <c r="I1123" s="1" t="s">
        <v>2809</v>
      </c>
      <c r="J1123" s="1" t="s">
        <v>187</v>
      </c>
      <c r="K1123" s="1">
        <v>38237090</v>
      </c>
      <c r="L1123" s="6">
        <v>54.42</v>
      </c>
      <c r="M1123" s="1" t="s">
        <v>70</v>
      </c>
      <c r="N1123" s="7" t="s">
        <v>44</v>
      </c>
      <c r="O1123" s="1" t="s">
        <v>53</v>
      </c>
      <c r="P1123" s="8">
        <v>1694</v>
      </c>
      <c r="Q1123" s="17">
        <f t="shared" si="97"/>
        <v>92187.48</v>
      </c>
      <c r="R1123" s="9">
        <v>8550</v>
      </c>
      <c r="S1123" s="9">
        <v>13.18</v>
      </c>
      <c r="T1123" s="9">
        <v>0</v>
      </c>
      <c r="U1123" s="10">
        <v>0</v>
      </c>
      <c r="V1123" s="1" t="s">
        <v>46</v>
      </c>
      <c r="W1123" s="1" t="s">
        <v>188</v>
      </c>
      <c r="X1123" s="1">
        <v>6411590</v>
      </c>
      <c r="Y1123" s="24">
        <v>41975</v>
      </c>
      <c r="Z1123" s="11"/>
      <c r="AA1123" s="9">
        <f t="shared" si="98"/>
        <v>83624.3</v>
      </c>
      <c r="AB1123" s="12">
        <v>61.6</v>
      </c>
      <c r="AC1123" s="9">
        <f t="shared" si="99"/>
        <v>5678748.7680000002</v>
      </c>
      <c r="AD1123" s="9">
        <f t="shared" si="100"/>
        <v>5151256.88</v>
      </c>
      <c r="AE1123" s="1" t="s">
        <v>48</v>
      </c>
      <c r="AF1123" s="1" t="s">
        <v>53</v>
      </c>
      <c r="AG1123" s="4">
        <f t="shared" si="103"/>
        <v>92187.48</v>
      </c>
      <c r="AH1123" s="10">
        <v>92187.48</v>
      </c>
      <c r="AI1123" s="10">
        <v>8301</v>
      </c>
      <c r="AJ1123" s="10">
        <v>13.18</v>
      </c>
      <c r="AK1123" s="10">
        <v>0</v>
      </c>
      <c r="AL1123" s="9">
        <f t="shared" si="104"/>
        <v>83873.299999999988</v>
      </c>
      <c r="AM1123" s="1"/>
      <c r="AN1123" s="1"/>
      <c r="AO1123" s="12" t="e">
        <f>AB1123/#REF!</f>
        <v>#REF!</v>
      </c>
      <c r="AP1123" s="1"/>
      <c r="AQ1123" s="11">
        <v>42072</v>
      </c>
      <c r="AR1123" s="1" t="s">
        <v>3404</v>
      </c>
      <c r="AS1123" s="11">
        <v>42073</v>
      </c>
      <c r="AT1123" s="1" t="s">
        <v>49</v>
      </c>
      <c r="AU1123" s="1" t="s">
        <v>4171</v>
      </c>
    </row>
    <row r="1124" spans="1:47" ht="15" customHeight="1" x14ac:dyDescent="0.25">
      <c r="A1124" s="1">
        <v>1120</v>
      </c>
      <c r="B1124" s="1" t="s">
        <v>1258</v>
      </c>
      <c r="C1124" s="1" t="s">
        <v>38</v>
      </c>
      <c r="D1124" s="1">
        <v>9103550915</v>
      </c>
      <c r="E1124" s="5">
        <v>41979</v>
      </c>
      <c r="F1124" s="1" t="s">
        <v>999</v>
      </c>
      <c r="G1124" s="1" t="s">
        <v>40</v>
      </c>
      <c r="H1124" s="1" t="s">
        <v>41</v>
      </c>
      <c r="I1124" s="1" t="s">
        <v>2809</v>
      </c>
      <c r="J1124" s="1" t="s">
        <v>50</v>
      </c>
      <c r="K1124" s="1">
        <v>29051700</v>
      </c>
      <c r="L1124" s="6">
        <v>10.199999999999999</v>
      </c>
      <c r="M1124" s="1" t="s">
        <v>70</v>
      </c>
      <c r="N1124" s="7" t="s">
        <v>52</v>
      </c>
      <c r="O1124" s="1" t="s">
        <v>53</v>
      </c>
      <c r="P1124" s="8">
        <v>1720</v>
      </c>
      <c r="Q1124" s="17">
        <f t="shared" si="97"/>
        <v>17544</v>
      </c>
      <c r="R1124" s="9">
        <f>731/12*10.2</f>
        <v>621.34999999999991</v>
      </c>
      <c r="S1124" s="9">
        <v>0</v>
      </c>
      <c r="T1124" s="9">
        <v>0</v>
      </c>
      <c r="U1124" s="10">
        <v>0</v>
      </c>
      <c r="V1124" s="1" t="s">
        <v>46</v>
      </c>
      <c r="W1124" s="1" t="s">
        <v>195</v>
      </c>
      <c r="X1124" s="1">
        <v>6425689</v>
      </c>
      <c r="Y1124" s="24">
        <v>41976</v>
      </c>
      <c r="Z1124" s="11"/>
      <c r="AA1124" s="9">
        <f t="shared" si="98"/>
        <v>16922.650000000001</v>
      </c>
      <c r="AB1124" s="12">
        <v>61.6</v>
      </c>
      <c r="AC1124" s="9">
        <f t="shared" si="99"/>
        <v>1080710.4000000001</v>
      </c>
      <c r="AD1124" s="9">
        <f t="shared" si="100"/>
        <v>1042435.2400000001</v>
      </c>
      <c r="AE1124" s="1" t="s">
        <v>284</v>
      </c>
      <c r="AF1124" s="1" t="s">
        <v>53</v>
      </c>
      <c r="AG1124" s="4">
        <f t="shared" si="103"/>
        <v>17544</v>
      </c>
      <c r="AH1124" s="10">
        <v>17538</v>
      </c>
      <c r="AI1124" s="10">
        <v>658.01</v>
      </c>
      <c r="AJ1124" s="10">
        <v>0</v>
      </c>
      <c r="AK1124" s="10">
        <v>0</v>
      </c>
      <c r="AL1124" s="9">
        <f t="shared" si="104"/>
        <v>16879.990000000002</v>
      </c>
      <c r="AM1124" s="1"/>
      <c r="AN1124" s="1"/>
      <c r="AO1124" s="12" t="e">
        <f>AB1124/#REF!</f>
        <v>#REF!</v>
      </c>
      <c r="AP1124" s="1"/>
      <c r="AQ1124" s="11">
        <v>42038</v>
      </c>
      <c r="AR1124" s="1" t="s">
        <v>3642</v>
      </c>
      <c r="AS1124" s="11">
        <v>42038</v>
      </c>
      <c r="AT1124" s="1" t="s">
        <v>49</v>
      </c>
      <c r="AU1124" s="1" t="s">
        <v>4171</v>
      </c>
    </row>
    <row r="1125" spans="1:47" ht="15" customHeight="1" x14ac:dyDescent="0.25">
      <c r="A1125" s="1">
        <v>1121</v>
      </c>
      <c r="B1125" s="1" t="s">
        <v>1258</v>
      </c>
      <c r="C1125" s="1" t="s">
        <v>38</v>
      </c>
      <c r="D1125" s="1">
        <v>9103550915</v>
      </c>
      <c r="E1125" s="5">
        <v>41979</v>
      </c>
      <c r="F1125" s="1" t="s">
        <v>999</v>
      </c>
      <c r="G1125" s="1" t="s">
        <v>40</v>
      </c>
      <c r="H1125" s="1" t="s">
        <v>41</v>
      </c>
      <c r="I1125" s="1" t="s">
        <v>2809</v>
      </c>
      <c r="J1125" s="1" t="s">
        <v>50</v>
      </c>
      <c r="K1125" s="1">
        <v>38237090</v>
      </c>
      <c r="L1125" s="6">
        <v>1.8</v>
      </c>
      <c r="M1125" s="1" t="s">
        <v>70</v>
      </c>
      <c r="N1125" s="7" t="s">
        <v>52</v>
      </c>
      <c r="O1125" s="1" t="s">
        <v>53</v>
      </c>
      <c r="P1125" s="8">
        <v>1690</v>
      </c>
      <c r="Q1125" s="17">
        <f t="shared" si="97"/>
        <v>3042</v>
      </c>
      <c r="R1125" s="9">
        <f>731/12*1.8</f>
        <v>109.64999999999999</v>
      </c>
      <c r="S1125" s="9">
        <v>0</v>
      </c>
      <c r="T1125" s="9">
        <v>0</v>
      </c>
      <c r="U1125" s="10">
        <v>0</v>
      </c>
      <c r="V1125" s="1" t="s">
        <v>46</v>
      </c>
      <c r="W1125" s="1" t="s">
        <v>195</v>
      </c>
      <c r="X1125" s="1">
        <v>6425689</v>
      </c>
      <c r="Y1125" s="24">
        <v>41976</v>
      </c>
      <c r="Z1125" s="11"/>
      <c r="AA1125" s="9">
        <f t="shared" si="98"/>
        <v>2932.35</v>
      </c>
      <c r="AB1125" s="12">
        <v>61.6</v>
      </c>
      <c r="AC1125" s="9">
        <f t="shared" si="99"/>
        <v>187387.2</v>
      </c>
      <c r="AD1125" s="9">
        <f t="shared" si="100"/>
        <v>180632.76</v>
      </c>
      <c r="AE1125" s="1" t="s">
        <v>284</v>
      </c>
      <c r="AF1125" s="1" t="s">
        <v>53</v>
      </c>
      <c r="AG1125" s="4">
        <f t="shared" si="103"/>
        <v>3042</v>
      </c>
      <c r="AH1125" s="10">
        <v>3038</v>
      </c>
      <c r="AI1125" s="10">
        <v>113.99</v>
      </c>
      <c r="AJ1125" s="10"/>
      <c r="AK1125" s="10"/>
      <c r="AL1125" s="9">
        <f t="shared" si="104"/>
        <v>2924.01</v>
      </c>
      <c r="AM1125" s="1"/>
      <c r="AN1125" s="1"/>
      <c r="AO1125" s="12" t="e">
        <f>AB1125/#REF!</f>
        <v>#REF!</v>
      </c>
      <c r="AP1125" s="1"/>
      <c r="AQ1125" s="11">
        <v>42038</v>
      </c>
      <c r="AR1125" s="1" t="s">
        <v>3642</v>
      </c>
      <c r="AS1125" s="11">
        <v>42038</v>
      </c>
      <c r="AT1125" s="1" t="s">
        <v>49</v>
      </c>
      <c r="AU1125" s="1" t="s">
        <v>4171</v>
      </c>
    </row>
    <row r="1126" spans="1:47" ht="15" customHeight="1" x14ac:dyDescent="0.25">
      <c r="A1126" s="1">
        <v>1122</v>
      </c>
      <c r="B1126" s="1" t="s">
        <v>1258</v>
      </c>
      <c r="C1126" s="1" t="s">
        <v>38</v>
      </c>
      <c r="D1126" s="1">
        <v>9103550916</v>
      </c>
      <c r="E1126" s="5">
        <v>41981</v>
      </c>
      <c r="F1126" s="1" t="s">
        <v>1007</v>
      </c>
      <c r="G1126" s="1" t="s">
        <v>40</v>
      </c>
      <c r="H1126" s="1" t="s">
        <v>41</v>
      </c>
      <c r="I1126" s="1" t="s">
        <v>2809</v>
      </c>
      <c r="J1126" s="1" t="s">
        <v>2468</v>
      </c>
      <c r="K1126" s="1">
        <v>38237090</v>
      </c>
      <c r="L1126" s="6">
        <v>23</v>
      </c>
      <c r="M1126" s="1" t="s">
        <v>70</v>
      </c>
      <c r="N1126" s="7" t="s">
        <v>52</v>
      </c>
      <c r="O1126" s="1" t="s">
        <v>45</v>
      </c>
      <c r="P1126" s="8">
        <v>1351</v>
      </c>
      <c r="Q1126" s="17">
        <f t="shared" si="97"/>
        <v>31073</v>
      </c>
      <c r="R1126" s="9">
        <f>1360/24*23</f>
        <v>1303.3333333333333</v>
      </c>
      <c r="S1126" s="9">
        <v>0</v>
      </c>
      <c r="T1126" s="9">
        <v>0</v>
      </c>
      <c r="U1126" s="10">
        <v>0</v>
      </c>
      <c r="V1126" s="1" t="s">
        <v>46</v>
      </c>
      <c r="W1126" s="1" t="s">
        <v>123</v>
      </c>
      <c r="X1126" s="1">
        <v>6425775</v>
      </c>
      <c r="Y1126" s="24">
        <v>41976</v>
      </c>
      <c r="Z1126" s="11"/>
      <c r="AA1126" s="9">
        <f t="shared" si="98"/>
        <v>29769.666666666668</v>
      </c>
      <c r="AB1126" s="12">
        <v>77</v>
      </c>
      <c r="AC1126" s="9">
        <f t="shared" si="99"/>
        <v>2392621</v>
      </c>
      <c r="AD1126" s="9">
        <f t="shared" si="100"/>
        <v>2292264.3333333335</v>
      </c>
      <c r="AE1126" s="1" t="s">
        <v>48</v>
      </c>
      <c r="AF1126" s="1" t="s">
        <v>45</v>
      </c>
      <c r="AG1126" s="4">
        <f t="shared" si="103"/>
        <v>31073</v>
      </c>
      <c r="AH1126" s="10">
        <v>31000</v>
      </c>
      <c r="AI1126" s="10">
        <v>1274.22</v>
      </c>
      <c r="AJ1126" s="10">
        <v>0</v>
      </c>
      <c r="AK1126" s="10">
        <v>0</v>
      </c>
      <c r="AL1126" s="9">
        <f t="shared" si="104"/>
        <v>29725.78</v>
      </c>
      <c r="AM1126" s="1"/>
      <c r="AN1126" s="1"/>
      <c r="AO1126" s="12" t="e">
        <f>AB1126/#REF!</f>
        <v>#REF!</v>
      </c>
      <c r="AP1126" s="1" t="s">
        <v>2747</v>
      </c>
      <c r="AQ1126" s="11">
        <v>42032</v>
      </c>
      <c r="AR1126" s="1" t="s">
        <v>2748</v>
      </c>
      <c r="AS1126" s="11">
        <v>42038</v>
      </c>
      <c r="AT1126" s="1" t="s">
        <v>49</v>
      </c>
      <c r="AU1126" s="1" t="s">
        <v>4171</v>
      </c>
    </row>
    <row r="1127" spans="1:47" ht="15" customHeight="1" x14ac:dyDescent="0.25">
      <c r="A1127" s="1">
        <v>1123</v>
      </c>
      <c r="B1127" s="1" t="s">
        <v>1258</v>
      </c>
      <c r="C1127" s="1" t="s">
        <v>38</v>
      </c>
      <c r="D1127" s="1">
        <v>9103550916</v>
      </c>
      <c r="E1127" s="5">
        <v>41981</v>
      </c>
      <c r="F1127" s="1" t="s">
        <v>1007</v>
      </c>
      <c r="G1127" s="1" t="s">
        <v>40</v>
      </c>
      <c r="H1127" s="1" t="s">
        <v>41</v>
      </c>
      <c r="I1127" s="1" t="s">
        <v>2809</v>
      </c>
      <c r="J1127" s="1" t="s">
        <v>2468</v>
      </c>
      <c r="K1127" s="1">
        <v>29051700</v>
      </c>
      <c r="L1127" s="6">
        <v>1</v>
      </c>
      <c r="M1127" s="1" t="s">
        <v>70</v>
      </c>
      <c r="N1127" s="7" t="s">
        <v>52</v>
      </c>
      <c r="O1127" s="1" t="s">
        <v>45</v>
      </c>
      <c r="P1127" s="8">
        <v>1462</v>
      </c>
      <c r="Q1127" s="17">
        <f t="shared" si="97"/>
        <v>1462</v>
      </c>
      <c r="R1127" s="9">
        <f>1360/24*1</f>
        <v>56.666666666666664</v>
      </c>
      <c r="S1127" s="9">
        <v>0</v>
      </c>
      <c r="T1127" s="9">
        <v>0</v>
      </c>
      <c r="U1127" s="10">
        <v>0</v>
      </c>
      <c r="V1127" s="1" t="s">
        <v>46</v>
      </c>
      <c r="W1127" s="1" t="s">
        <v>123</v>
      </c>
      <c r="X1127" s="1">
        <v>6425775</v>
      </c>
      <c r="Y1127" s="24">
        <v>41976</v>
      </c>
      <c r="Z1127" s="11"/>
      <c r="AA1127" s="9">
        <f t="shared" si="98"/>
        <v>1405.3333333333333</v>
      </c>
      <c r="AB1127" s="12">
        <v>77</v>
      </c>
      <c r="AC1127" s="9">
        <f t="shared" si="99"/>
        <v>112574</v>
      </c>
      <c r="AD1127" s="9">
        <f t="shared" si="100"/>
        <v>108210.66666666666</v>
      </c>
      <c r="AE1127" s="1" t="s">
        <v>48</v>
      </c>
      <c r="AF1127" s="1" t="s">
        <v>45</v>
      </c>
      <c r="AG1127" s="4">
        <f t="shared" si="103"/>
        <v>1462</v>
      </c>
      <c r="AH1127" s="10">
        <v>1459</v>
      </c>
      <c r="AI1127" s="10">
        <v>59.97</v>
      </c>
      <c r="AJ1127" s="10">
        <v>0</v>
      </c>
      <c r="AK1127" s="10">
        <v>0</v>
      </c>
      <c r="AL1127" s="9">
        <f t="shared" si="104"/>
        <v>1399.03</v>
      </c>
      <c r="AM1127" s="1"/>
      <c r="AN1127" s="1"/>
      <c r="AO1127" s="12" t="e">
        <f>AB1127/#REF!</f>
        <v>#REF!</v>
      </c>
      <c r="AP1127" s="1"/>
      <c r="AQ1127" s="11">
        <v>42032</v>
      </c>
      <c r="AR1127" s="1" t="s">
        <v>2748</v>
      </c>
      <c r="AS1127" s="11">
        <v>42038</v>
      </c>
      <c r="AT1127" s="1" t="s">
        <v>49</v>
      </c>
      <c r="AU1127" s="1" t="s">
        <v>4171</v>
      </c>
    </row>
    <row r="1128" spans="1:47" ht="15" customHeight="1" x14ac:dyDescent="0.25">
      <c r="A1128" s="1">
        <v>1124</v>
      </c>
      <c r="B1128" s="1" t="s">
        <v>1258</v>
      </c>
      <c r="C1128" s="1" t="s">
        <v>38</v>
      </c>
      <c r="D1128" s="1">
        <v>9103550917</v>
      </c>
      <c r="E1128" s="5">
        <v>41981</v>
      </c>
      <c r="F1128" s="1" t="s">
        <v>1002</v>
      </c>
      <c r="G1128" s="1" t="s">
        <v>40</v>
      </c>
      <c r="H1128" s="1" t="s">
        <v>41</v>
      </c>
      <c r="I1128" s="1" t="s">
        <v>2809</v>
      </c>
      <c r="J1128" s="1" t="s">
        <v>200</v>
      </c>
      <c r="K1128" s="1">
        <v>29157010</v>
      </c>
      <c r="L1128" s="6">
        <v>77.69</v>
      </c>
      <c r="M1128" s="1" t="s">
        <v>70</v>
      </c>
      <c r="N1128" s="7" t="s">
        <v>44</v>
      </c>
      <c r="O1128" s="1" t="s">
        <v>53</v>
      </c>
      <c r="P1128" s="8">
        <v>1050</v>
      </c>
      <c r="Q1128" s="17">
        <f t="shared" si="97"/>
        <v>81574.5</v>
      </c>
      <c r="R1128" s="9">
        <v>3400</v>
      </c>
      <c r="S1128" s="9">
        <v>11.67</v>
      </c>
      <c r="T1128" s="9">
        <v>1476.11</v>
      </c>
      <c r="U1128" s="10">
        <v>0</v>
      </c>
      <c r="V1128" s="1" t="s">
        <v>46</v>
      </c>
      <c r="W1128" s="1" t="s">
        <v>59</v>
      </c>
      <c r="X1128" s="1">
        <v>6429515</v>
      </c>
      <c r="Y1128" s="24">
        <v>41976</v>
      </c>
      <c r="Z1128" s="11"/>
      <c r="AA1128" s="9">
        <f t="shared" si="98"/>
        <v>78162.83</v>
      </c>
      <c r="AB1128" s="12">
        <v>61.6</v>
      </c>
      <c r="AC1128" s="9">
        <f t="shared" si="99"/>
        <v>5024989.2</v>
      </c>
      <c r="AD1128" s="9">
        <f t="shared" si="100"/>
        <v>4814830.3280000007</v>
      </c>
      <c r="AE1128" s="1" t="s">
        <v>51</v>
      </c>
      <c r="AF1128" s="1" t="s">
        <v>53</v>
      </c>
      <c r="AG1128" s="4">
        <f t="shared" si="103"/>
        <v>81574.5</v>
      </c>
      <c r="AH1128" s="10">
        <v>81564</v>
      </c>
      <c r="AI1128" s="9">
        <v>3200</v>
      </c>
      <c r="AJ1128" s="9">
        <v>11.67</v>
      </c>
      <c r="AK1128" s="9">
        <v>1476.11</v>
      </c>
      <c r="AL1128" s="9">
        <f t="shared" si="104"/>
        <v>76876.22</v>
      </c>
      <c r="AM1128" s="1"/>
      <c r="AN1128" s="1"/>
      <c r="AO1128" s="12" t="e">
        <f>AB1128/#REF!</f>
        <v>#REF!</v>
      </c>
      <c r="AP1128" s="1"/>
      <c r="AQ1128" s="11">
        <v>42010</v>
      </c>
      <c r="AR1128" s="1" t="s">
        <v>3651</v>
      </c>
      <c r="AS1128" s="11">
        <v>42012</v>
      </c>
      <c r="AT1128" s="1" t="s">
        <v>49</v>
      </c>
      <c r="AU1128" s="1" t="s">
        <v>4171</v>
      </c>
    </row>
    <row r="1129" spans="1:47" ht="15" customHeight="1" x14ac:dyDescent="0.25">
      <c r="A1129" s="1">
        <v>1125</v>
      </c>
      <c r="B1129" s="1" t="s">
        <v>1258</v>
      </c>
      <c r="C1129" s="1" t="s">
        <v>38</v>
      </c>
      <c r="D1129" s="1">
        <v>9103551020</v>
      </c>
      <c r="E1129" s="5">
        <v>41983</v>
      </c>
      <c r="F1129" s="1" t="s">
        <v>1008</v>
      </c>
      <c r="G1129" s="1" t="s">
        <v>40</v>
      </c>
      <c r="H1129" s="1" t="s">
        <v>41</v>
      </c>
      <c r="I1129" s="1" t="s">
        <v>2809</v>
      </c>
      <c r="J1129" s="1" t="s">
        <v>2749</v>
      </c>
      <c r="K1129" s="1">
        <v>38237090</v>
      </c>
      <c r="L1129" s="6">
        <v>20</v>
      </c>
      <c r="M1129" s="1" t="s">
        <v>70</v>
      </c>
      <c r="N1129" s="7" t="s">
        <v>67</v>
      </c>
      <c r="O1129" s="1" t="s">
        <v>53</v>
      </c>
      <c r="P1129" s="8">
        <v>1475</v>
      </c>
      <c r="Q1129" s="17">
        <f t="shared" si="97"/>
        <v>29500</v>
      </c>
      <c r="R1129" s="9">
        <v>0</v>
      </c>
      <c r="S1129" s="9">
        <v>0</v>
      </c>
      <c r="T1129" s="9">
        <v>0</v>
      </c>
      <c r="U1129" s="10">
        <v>0</v>
      </c>
      <c r="V1129" s="1" t="s">
        <v>46</v>
      </c>
      <c r="W1129" s="1" t="s">
        <v>205</v>
      </c>
      <c r="X1129" s="1">
        <v>6470518</v>
      </c>
      <c r="Y1129" s="24">
        <v>41978</v>
      </c>
      <c r="Z1129" s="11"/>
      <c r="AA1129" s="9">
        <f t="shared" si="98"/>
        <v>29500</v>
      </c>
      <c r="AB1129" s="12">
        <v>61.5</v>
      </c>
      <c r="AC1129" s="9">
        <f t="shared" si="99"/>
        <v>1814250</v>
      </c>
      <c r="AD1129" s="9">
        <f t="shared" si="100"/>
        <v>1814250</v>
      </c>
      <c r="AE1129" s="1" t="s">
        <v>48</v>
      </c>
      <c r="AF1129" s="1" t="s">
        <v>53</v>
      </c>
      <c r="AG1129" s="4">
        <f t="shared" si="103"/>
        <v>29500</v>
      </c>
      <c r="AH1129" s="10">
        <v>29321</v>
      </c>
      <c r="AI1129" s="10">
        <v>0</v>
      </c>
      <c r="AJ1129" s="10">
        <v>0</v>
      </c>
      <c r="AK1129" s="10">
        <v>0</v>
      </c>
      <c r="AL1129" s="9">
        <f t="shared" si="104"/>
        <v>29321</v>
      </c>
      <c r="AM1129" s="1"/>
      <c r="AN1129" s="1"/>
      <c r="AO1129" s="12" t="e">
        <f>AB1129/#REF!</f>
        <v>#REF!</v>
      </c>
      <c r="AP1129" s="1"/>
      <c r="AQ1129" s="11">
        <v>42012</v>
      </c>
      <c r="AR1129" s="1" t="s">
        <v>3405</v>
      </c>
      <c r="AS1129" s="11">
        <v>42014</v>
      </c>
      <c r="AT1129" s="1" t="s">
        <v>49</v>
      </c>
      <c r="AU1129" s="1" t="s">
        <v>4171</v>
      </c>
    </row>
    <row r="1130" spans="1:47" ht="15" customHeight="1" x14ac:dyDescent="0.25">
      <c r="A1130" s="1">
        <v>1126</v>
      </c>
      <c r="B1130" s="1" t="s">
        <v>1258</v>
      </c>
      <c r="C1130" s="1" t="s">
        <v>38</v>
      </c>
      <c r="D1130" s="1">
        <v>9103551022</v>
      </c>
      <c r="E1130" s="5">
        <v>41983</v>
      </c>
      <c r="F1130" s="1" t="s">
        <v>1003</v>
      </c>
      <c r="G1130" s="1" t="s">
        <v>40</v>
      </c>
      <c r="H1130" s="1" t="s">
        <v>41</v>
      </c>
      <c r="I1130" s="1" t="s">
        <v>2809</v>
      </c>
      <c r="J1130" s="1" t="s">
        <v>2769</v>
      </c>
      <c r="K1130" s="1">
        <v>29051700</v>
      </c>
      <c r="L1130" s="6">
        <v>7.5</v>
      </c>
      <c r="M1130" s="1" t="s">
        <v>70</v>
      </c>
      <c r="N1130" s="7" t="s">
        <v>44</v>
      </c>
      <c r="O1130" s="1" t="s">
        <v>53</v>
      </c>
      <c r="P1130" s="8">
        <v>1645</v>
      </c>
      <c r="Q1130" s="17">
        <f t="shared" si="97"/>
        <v>12337.5</v>
      </c>
      <c r="R1130" s="9">
        <f>850/15*7.5</f>
        <v>425</v>
      </c>
      <c r="S1130" s="9">
        <f>13571.25*0.013%</f>
        <v>1.7642624999999998</v>
      </c>
      <c r="T1130" s="9">
        <v>0</v>
      </c>
      <c r="U1130" s="10">
        <v>0</v>
      </c>
      <c r="V1130" s="1" t="s">
        <v>46</v>
      </c>
      <c r="W1130" s="1" t="s">
        <v>205</v>
      </c>
      <c r="X1130" s="1">
        <v>6473029</v>
      </c>
      <c r="Y1130" s="24">
        <v>41978</v>
      </c>
      <c r="Z1130" s="11"/>
      <c r="AA1130" s="9">
        <f t="shared" si="98"/>
        <v>11910.735737499999</v>
      </c>
      <c r="AB1130" s="12">
        <v>61.5</v>
      </c>
      <c r="AC1130" s="9">
        <f t="shared" si="99"/>
        <v>758756.25</v>
      </c>
      <c r="AD1130" s="9">
        <f t="shared" si="100"/>
        <v>732510.24785624992</v>
      </c>
      <c r="AE1130" s="1" t="s">
        <v>48</v>
      </c>
      <c r="AF1130" s="1" t="s">
        <v>53</v>
      </c>
      <c r="AG1130" s="4">
        <f t="shared" si="103"/>
        <v>12337.5</v>
      </c>
      <c r="AH1130" s="10">
        <v>12327</v>
      </c>
      <c r="AI1130" s="10">
        <v>471.26</v>
      </c>
      <c r="AJ1130" s="10">
        <v>1.76</v>
      </c>
      <c r="AK1130" s="10">
        <v>0</v>
      </c>
      <c r="AL1130" s="9">
        <f t="shared" si="104"/>
        <v>11853.98</v>
      </c>
      <c r="AM1130" s="1"/>
      <c r="AN1130" s="1"/>
      <c r="AO1130" s="12" t="e">
        <f>AB1130/#REF!</f>
        <v>#REF!</v>
      </c>
      <c r="AP1130" s="1"/>
      <c r="AQ1130" s="11">
        <v>42018</v>
      </c>
      <c r="AR1130" s="1" t="s">
        <v>3406</v>
      </c>
      <c r="AS1130" s="11">
        <v>42019</v>
      </c>
      <c r="AT1130" s="1" t="s">
        <v>49</v>
      </c>
      <c r="AU1130" s="1" t="s">
        <v>4171</v>
      </c>
    </row>
    <row r="1131" spans="1:47" ht="15" customHeight="1" x14ac:dyDescent="0.25">
      <c r="A1131" s="1">
        <v>1127</v>
      </c>
      <c r="B1131" s="1" t="s">
        <v>1258</v>
      </c>
      <c r="C1131" s="1" t="s">
        <v>38</v>
      </c>
      <c r="D1131" s="1">
        <v>9103551022</v>
      </c>
      <c r="E1131" s="5">
        <v>41983</v>
      </c>
      <c r="F1131" s="1" t="s">
        <v>1003</v>
      </c>
      <c r="G1131" s="1" t="s">
        <v>40</v>
      </c>
      <c r="H1131" s="1" t="s">
        <v>41</v>
      </c>
      <c r="I1131" s="1" t="s">
        <v>2809</v>
      </c>
      <c r="J1131" s="1" t="s">
        <v>2769</v>
      </c>
      <c r="K1131" s="1">
        <v>38237090</v>
      </c>
      <c r="L1131" s="6">
        <v>7</v>
      </c>
      <c r="M1131" s="1" t="s">
        <v>70</v>
      </c>
      <c r="N1131" s="7" t="s">
        <v>44</v>
      </c>
      <c r="O1131" s="1" t="s">
        <v>53</v>
      </c>
      <c r="P1131" s="8">
        <v>1495</v>
      </c>
      <c r="Q1131" s="17">
        <f t="shared" si="97"/>
        <v>10465</v>
      </c>
      <c r="R1131" s="9">
        <f>850/15*7</f>
        <v>396.66666666666663</v>
      </c>
      <c r="S1131" s="9">
        <f>11511.5*0.013%</f>
        <v>1.4964949999999999</v>
      </c>
      <c r="T1131" s="9">
        <v>0</v>
      </c>
      <c r="U1131" s="10">
        <v>0</v>
      </c>
      <c r="V1131" s="1" t="s">
        <v>46</v>
      </c>
      <c r="W1131" s="1" t="s">
        <v>205</v>
      </c>
      <c r="X1131" s="1">
        <v>6473029</v>
      </c>
      <c r="Y1131" s="24">
        <v>41978</v>
      </c>
      <c r="Z1131" s="11"/>
      <c r="AA1131" s="9">
        <f t="shared" si="98"/>
        <v>10066.836838333335</v>
      </c>
      <c r="AB1131" s="12">
        <v>61.5</v>
      </c>
      <c r="AC1131" s="9">
        <f t="shared" si="99"/>
        <v>643597.5</v>
      </c>
      <c r="AD1131" s="9">
        <f t="shared" si="100"/>
        <v>619110.46555750002</v>
      </c>
      <c r="AE1131" s="1" t="s">
        <v>48</v>
      </c>
      <c r="AF1131" s="1" t="s">
        <v>53</v>
      </c>
      <c r="AG1131" s="4">
        <f t="shared" si="103"/>
        <v>10465</v>
      </c>
      <c r="AH1131" s="10">
        <v>10463</v>
      </c>
      <c r="AI1131" s="10">
        <v>400</v>
      </c>
      <c r="AJ1131" s="10">
        <v>1.5</v>
      </c>
      <c r="AK1131" s="10">
        <v>0</v>
      </c>
      <c r="AL1131" s="9">
        <f t="shared" si="104"/>
        <v>10061.5</v>
      </c>
      <c r="AM1131" s="1"/>
      <c r="AN1131" s="1"/>
      <c r="AO1131" s="12" t="e">
        <f>AB1131/#REF!</f>
        <v>#REF!</v>
      </c>
      <c r="AP1131" s="1"/>
      <c r="AQ1131" s="11">
        <v>42018</v>
      </c>
      <c r="AR1131" s="1" t="s">
        <v>3406</v>
      </c>
      <c r="AS1131" s="11">
        <v>42019</v>
      </c>
      <c r="AT1131" s="1" t="s">
        <v>49</v>
      </c>
      <c r="AU1131" s="1" t="s">
        <v>4171</v>
      </c>
    </row>
    <row r="1132" spans="1:47" ht="15" customHeight="1" x14ac:dyDescent="0.25">
      <c r="A1132" s="1">
        <v>1128</v>
      </c>
      <c r="B1132" s="1" t="s">
        <v>1258</v>
      </c>
      <c r="C1132" s="1" t="s">
        <v>38</v>
      </c>
      <c r="D1132" s="1">
        <v>9103551022</v>
      </c>
      <c r="E1132" s="5">
        <v>41983</v>
      </c>
      <c r="F1132" s="1" t="s">
        <v>1003</v>
      </c>
      <c r="G1132" s="1" t="s">
        <v>40</v>
      </c>
      <c r="H1132" s="1" t="s">
        <v>41</v>
      </c>
      <c r="I1132" s="1" t="s">
        <v>2809</v>
      </c>
      <c r="J1132" s="1" t="s">
        <v>2769</v>
      </c>
      <c r="K1132" s="1">
        <v>29051700</v>
      </c>
      <c r="L1132" s="6">
        <v>0.5</v>
      </c>
      <c r="M1132" s="1" t="s">
        <v>70</v>
      </c>
      <c r="N1132" s="7" t="s">
        <v>44</v>
      </c>
      <c r="O1132" s="1" t="s">
        <v>53</v>
      </c>
      <c r="P1132" s="8">
        <v>1655</v>
      </c>
      <c r="Q1132" s="17">
        <f t="shared" si="97"/>
        <v>827.5</v>
      </c>
      <c r="R1132" s="9">
        <f>850/15*0.5</f>
        <v>28.333333333333332</v>
      </c>
      <c r="S1132" s="9">
        <f>3.38-1.5-1.76</f>
        <v>0.11999999999999988</v>
      </c>
      <c r="T1132" s="9">
        <v>0</v>
      </c>
      <c r="U1132" s="10">
        <v>0</v>
      </c>
      <c r="V1132" s="1" t="s">
        <v>46</v>
      </c>
      <c r="W1132" s="1" t="s">
        <v>205</v>
      </c>
      <c r="X1132" s="1">
        <v>6473029</v>
      </c>
      <c r="Y1132" s="24">
        <v>41978</v>
      </c>
      <c r="Z1132" s="11"/>
      <c r="AA1132" s="9">
        <f t="shared" si="98"/>
        <v>799.04666666666662</v>
      </c>
      <c r="AB1132" s="12">
        <v>61.5</v>
      </c>
      <c r="AC1132" s="9">
        <f t="shared" si="99"/>
        <v>50891.25</v>
      </c>
      <c r="AD1132" s="9">
        <f t="shared" si="100"/>
        <v>49141.369999999995</v>
      </c>
      <c r="AE1132" s="1" t="s">
        <v>48</v>
      </c>
      <c r="AF1132" s="1" t="s">
        <v>53</v>
      </c>
      <c r="AG1132" s="4">
        <f t="shared" ref="AG1132:AG1195" si="105">Q1132</f>
        <v>827.5</v>
      </c>
      <c r="AH1132" s="10">
        <v>825</v>
      </c>
      <c r="AI1132" s="10">
        <v>31.53</v>
      </c>
      <c r="AJ1132" s="10">
        <v>0.12</v>
      </c>
      <c r="AK1132" s="10">
        <v>0</v>
      </c>
      <c r="AL1132" s="9">
        <f t="shared" ref="AL1132:AL1195" si="106">AH1132-(AI1132+AJ1132+AK1132)</f>
        <v>793.35</v>
      </c>
      <c r="AM1132" s="1"/>
      <c r="AN1132" s="1"/>
      <c r="AO1132" s="12" t="e">
        <f>AB1132/#REF!</f>
        <v>#REF!</v>
      </c>
      <c r="AP1132" s="1"/>
      <c r="AQ1132" s="11">
        <v>42018</v>
      </c>
      <c r="AR1132" s="1" t="s">
        <v>3406</v>
      </c>
      <c r="AS1132" s="11">
        <v>42019</v>
      </c>
      <c r="AT1132" s="1" t="s">
        <v>49</v>
      </c>
      <c r="AU1132" s="1" t="s">
        <v>4171</v>
      </c>
    </row>
    <row r="1133" spans="1:47" ht="15" customHeight="1" x14ac:dyDescent="0.25">
      <c r="A1133" s="1">
        <v>1129</v>
      </c>
      <c r="B1133" s="1" t="s">
        <v>1258</v>
      </c>
      <c r="C1133" s="1" t="s">
        <v>38</v>
      </c>
      <c r="D1133" s="1">
        <v>9103550920</v>
      </c>
      <c r="E1133" s="5">
        <v>41987</v>
      </c>
      <c r="F1133" s="1" t="s">
        <v>1005</v>
      </c>
      <c r="G1133" s="1" t="s">
        <v>40</v>
      </c>
      <c r="H1133" s="1" t="s">
        <v>41</v>
      </c>
      <c r="I1133" s="1" t="s">
        <v>2809</v>
      </c>
      <c r="J1133" s="1" t="s">
        <v>63</v>
      </c>
      <c r="K1133" s="1">
        <v>38231200</v>
      </c>
      <c r="L1133" s="6">
        <v>19.579999999999998</v>
      </c>
      <c r="M1133" s="1" t="s">
        <v>70</v>
      </c>
      <c r="N1133" s="7" t="s">
        <v>44</v>
      </c>
      <c r="O1133" s="1" t="s">
        <v>53</v>
      </c>
      <c r="P1133" s="8">
        <v>1320</v>
      </c>
      <c r="Q1133" s="17">
        <f t="shared" si="97"/>
        <v>25845.599999999999</v>
      </c>
      <c r="R1133" s="9">
        <v>560</v>
      </c>
      <c r="S1133" s="9">
        <v>3.7</v>
      </c>
      <c r="T1133" s="9">
        <v>0</v>
      </c>
      <c r="U1133" s="10">
        <v>0</v>
      </c>
      <c r="V1133" s="1" t="s">
        <v>46</v>
      </c>
      <c r="W1133" s="1" t="s">
        <v>64</v>
      </c>
      <c r="X1133" s="1">
        <v>6472928</v>
      </c>
      <c r="Y1133" s="24">
        <v>41978</v>
      </c>
      <c r="Z1133" s="11"/>
      <c r="AA1133" s="9">
        <f t="shared" si="98"/>
        <v>25281.899999999998</v>
      </c>
      <c r="AB1133" s="12">
        <v>61.5</v>
      </c>
      <c r="AC1133" s="9">
        <f t="shared" si="99"/>
        <v>1589504.4</v>
      </c>
      <c r="AD1133" s="9">
        <f t="shared" si="100"/>
        <v>1554836.8499999999</v>
      </c>
      <c r="AE1133" s="1" t="s">
        <v>284</v>
      </c>
      <c r="AF1133" s="1" t="s">
        <v>53</v>
      </c>
      <c r="AG1133" s="4">
        <f t="shared" si="105"/>
        <v>25845.599999999999</v>
      </c>
      <c r="AH1133" s="10">
        <v>25825.599999999999</v>
      </c>
      <c r="AI1133" s="10">
        <v>360</v>
      </c>
      <c r="AJ1133" s="10">
        <v>3.7</v>
      </c>
      <c r="AK1133" s="10">
        <v>0</v>
      </c>
      <c r="AL1133" s="9">
        <f t="shared" si="106"/>
        <v>25461.899999999998</v>
      </c>
      <c r="AM1133" s="1"/>
      <c r="AN1133" s="1"/>
      <c r="AO1133" s="12" t="e">
        <f>AB1133/#REF!</f>
        <v>#REF!</v>
      </c>
      <c r="AP1133" s="1"/>
      <c r="AQ1133" s="11">
        <v>42024</v>
      </c>
      <c r="AR1133" s="1" t="s">
        <v>3643</v>
      </c>
      <c r="AS1133" s="11">
        <v>42024</v>
      </c>
      <c r="AT1133" s="1" t="s">
        <v>49</v>
      </c>
      <c r="AU1133" s="1" t="s">
        <v>4171</v>
      </c>
    </row>
    <row r="1134" spans="1:47" ht="15" customHeight="1" x14ac:dyDescent="0.25">
      <c r="A1134" s="1">
        <v>1130</v>
      </c>
      <c r="B1134" s="1" t="s">
        <v>1258</v>
      </c>
      <c r="C1134" s="1" t="s">
        <v>38</v>
      </c>
      <c r="D1134" s="1">
        <v>9103550921</v>
      </c>
      <c r="E1134" s="5">
        <v>41978</v>
      </c>
      <c r="F1134" s="1" t="s">
        <v>2750</v>
      </c>
      <c r="G1134" s="1" t="s">
        <v>40</v>
      </c>
      <c r="H1134" s="1" t="s">
        <v>41</v>
      </c>
      <c r="I1134" s="1" t="s">
        <v>2809</v>
      </c>
      <c r="J1134" s="1" t="s">
        <v>2660</v>
      </c>
      <c r="K1134" s="1">
        <v>38237090</v>
      </c>
      <c r="L1134" s="6">
        <v>13.6</v>
      </c>
      <c r="M1134" s="1" t="s">
        <v>70</v>
      </c>
      <c r="N1134" s="7" t="s">
        <v>44</v>
      </c>
      <c r="O1134" s="1" t="s">
        <v>53</v>
      </c>
      <c r="P1134" s="8">
        <v>1473</v>
      </c>
      <c r="Q1134" s="17">
        <f t="shared" si="97"/>
        <v>20032.8</v>
      </c>
      <c r="R1134" s="9">
        <v>100</v>
      </c>
      <c r="S1134" s="9">
        <v>2.86</v>
      </c>
      <c r="T1134" s="9">
        <v>0</v>
      </c>
      <c r="U1134" s="10">
        <v>0</v>
      </c>
      <c r="V1134" s="1" t="s">
        <v>46</v>
      </c>
      <c r="W1134" s="1" t="s">
        <v>2682</v>
      </c>
      <c r="X1134" s="1">
        <v>6474835</v>
      </c>
      <c r="Y1134" s="24">
        <v>41978</v>
      </c>
      <c r="Z1134" s="11"/>
      <c r="AA1134" s="9">
        <f t="shared" si="98"/>
        <v>19929.939999999999</v>
      </c>
      <c r="AB1134" s="12">
        <v>61.5</v>
      </c>
      <c r="AC1134" s="9">
        <f t="shared" si="99"/>
        <v>1232017.2</v>
      </c>
      <c r="AD1134" s="9">
        <f t="shared" si="100"/>
        <v>1225691.3099999998</v>
      </c>
      <c r="AE1134" s="1" t="s">
        <v>48</v>
      </c>
      <c r="AF1134" s="1" t="s">
        <v>53</v>
      </c>
      <c r="AG1134" s="4">
        <f t="shared" si="105"/>
        <v>20032.8</v>
      </c>
      <c r="AH1134" s="10">
        <v>20032.8</v>
      </c>
      <c r="AI1134" s="10">
        <v>94</v>
      </c>
      <c r="AJ1134" s="10">
        <v>2.86</v>
      </c>
      <c r="AK1134" s="10"/>
      <c r="AL1134" s="9">
        <f t="shared" si="106"/>
        <v>19935.939999999999</v>
      </c>
      <c r="AM1134" s="1"/>
      <c r="AN1134" s="1"/>
      <c r="AO1134" s="12" t="e">
        <f>AB1134/#REF!</f>
        <v>#REF!</v>
      </c>
      <c r="AP1134" s="1"/>
      <c r="AQ1134" s="11">
        <v>42013</v>
      </c>
      <c r="AR1134" s="1" t="s">
        <v>3407</v>
      </c>
      <c r="AS1134" s="11">
        <v>42014</v>
      </c>
      <c r="AT1134" s="1" t="s">
        <v>49</v>
      </c>
      <c r="AU1134" s="1" t="s">
        <v>4171</v>
      </c>
    </row>
    <row r="1135" spans="1:47" ht="15" customHeight="1" x14ac:dyDescent="0.25">
      <c r="A1135" s="1">
        <v>1131</v>
      </c>
      <c r="B1135" s="1" t="s">
        <v>1258</v>
      </c>
      <c r="C1135" s="1" t="s">
        <v>38</v>
      </c>
      <c r="D1135" s="1">
        <v>9103550922</v>
      </c>
      <c r="E1135" s="5">
        <v>41982</v>
      </c>
      <c r="F1135" s="1" t="s">
        <v>1009</v>
      </c>
      <c r="G1135" s="1" t="s">
        <v>40</v>
      </c>
      <c r="H1135" s="1" t="s">
        <v>41</v>
      </c>
      <c r="I1135" s="1" t="s">
        <v>2809</v>
      </c>
      <c r="J1135" s="1" t="s">
        <v>169</v>
      </c>
      <c r="K1135" s="1">
        <v>38231200</v>
      </c>
      <c r="L1135" s="6">
        <v>18.61</v>
      </c>
      <c r="M1135" s="1" t="s">
        <v>70</v>
      </c>
      <c r="N1135" s="7" t="s">
        <v>67</v>
      </c>
      <c r="O1135" s="1" t="s">
        <v>53</v>
      </c>
      <c r="P1135" s="8">
        <v>1025</v>
      </c>
      <c r="Q1135" s="17">
        <f t="shared" si="97"/>
        <v>19075.25</v>
      </c>
      <c r="R1135" s="9">
        <v>0</v>
      </c>
      <c r="S1135" s="9">
        <v>0</v>
      </c>
      <c r="T1135" s="9">
        <v>0</v>
      </c>
      <c r="U1135" s="10">
        <v>0</v>
      </c>
      <c r="V1135" s="1" t="s">
        <v>46</v>
      </c>
      <c r="W1135" s="1" t="s">
        <v>72</v>
      </c>
      <c r="X1135" s="1">
        <v>6488382</v>
      </c>
      <c r="Y1135" s="24">
        <v>41979</v>
      </c>
      <c r="Z1135" s="11"/>
      <c r="AA1135" s="9">
        <f t="shared" si="98"/>
        <v>19075.25</v>
      </c>
      <c r="AB1135" s="12">
        <v>61.5</v>
      </c>
      <c r="AC1135" s="9">
        <f t="shared" si="99"/>
        <v>1173127.875</v>
      </c>
      <c r="AD1135" s="9">
        <f t="shared" si="100"/>
        <v>1173127.875</v>
      </c>
      <c r="AE1135" s="1" t="s">
        <v>48</v>
      </c>
      <c r="AF1135" s="1" t="s">
        <v>53</v>
      </c>
      <c r="AG1135" s="4">
        <f t="shared" si="105"/>
        <v>19075.25</v>
      </c>
      <c r="AH1135" s="10">
        <v>19040.75</v>
      </c>
      <c r="AI1135" s="10">
        <v>0</v>
      </c>
      <c r="AJ1135" s="10">
        <v>0</v>
      </c>
      <c r="AK1135" s="10">
        <v>0</v>
      </c>
      <c r="AL1135" s="9">
        <f t="shared" si="106"/>
        <v>19040.75</v>
      </c>
      <c r="AM1135" s="1"/>
      <c r="AN1135" s="1"/>
      <c r="AO1135" s="12" t="e">
        <f>AB1135/#REF!</f>
        <v>#REF!</v>
      </c>
      <c r="AP1135" s="1"/>
      <c r="AQ1135" s="11">
        <v>42051</v>
      </c>
      <c r="AR1135" s="1" t="s">
        <v>3408</v>
      </c>
      <c r="AS1135" s="11">
        <v>42053</v>
      </c>
      <c r="AT1135" s="1" t="s">
        <v>49</v>
      </c>
      <c r="AU1135" s="1" t="s">
        <v>4171</v>
      </c>
    </row>
    <row r="1136" spans="1:47" ht="15" customHeight="1" x14ac:dyDescent="0.25">
      <c r="A1136" s="1">
        <v>1132</v>
      </c>
      <c r="B1136" s="1" t="s">
        <v>1258</v>
      </c>
      <c r="C1136" s="1" t="s">
        <v>38</v>
      </c>
      <c r="D1136" s="1">
        <v>9103551024</v>
      </c>
      <c r="E1136" s="5">
        <v>41983</v>
      </c>
      <c r="F1136" s="1" t="s">
        <v>1010</v>
      </c>
      <c r="G1136" s="1" t="s">
        <v>40</v>
      </c>
      <c r="H1136" s="1" t="s">
        <v>41</v>
      </c>
      <c r="I1136" s="1" t="s">
        <v>2809</v>
      </c>
      <c r="J1136" s="1" t="s">
        <v>2690</v>
      </c>
      <c r="K1136" s="1">
        <v>38237090</v>
      </c>
      <c r="L1136" s="6">
        <v>17.600000000000001</v>
      </c>
      <c r="M1136" s="1" t="s">
        <v>70</v>
      </c>
      <c r="N1136" s="7" t="s">
        <v>44</v>
      </c>
      <c r="O1136" s="1" t="s">
        <v>53</v>
      </c>
      <c r="P1136" s="8">
        <v>1705</v>
      </c>
      <c r="Q1136" s="17">
        <f t="shared" si="97"/>
        <v>30008.000000000004</v>
      </c>
      <c r="R1136" s="9">
        <v>1230</v>
      </c>
      <c r="S1136" s="9">
        <v>4.29</v>
      </c>
      <c r="T1136" s="9">
        <v>0</v>
      </c>
      <c r="U1136" s="10">
        <v>0</v>
      </c>
      <c r="V1136" s="1" t="s">
        <v>46</v>
      </c>
      <c r="W1136" s="1" t="s">
        <v>205</v>
      </c>
      <c r="X1136" s="1">
        <v>6490702</v>
      </c>
      <c r="Y1136" s="24">
        <v>41979</v>
      </c>
      <c r="Z1136" s="11"/>
      <c r="AA1136" s="9">
        <f t="shared" si="98"/>
        <v>28773.710000000003</v>
      </c>
      <c r="AB1136" s="12">
        <v>61.5</v>
      </c>
      <c r="AC1136" s="9">
        <f t="shared" si="99"/>
        <v>1845492.0000000002</v>
      </c>
      <c r="AD1136" s="9">
        <f t="shared" si="100"/>
        <v>1769583.1650000003</v>
      </c>
      <c r="AE1136" s="1" t="s">
        <v>48</v>
      </c>
      <c r="AF1136" s="1" t="s">
        <v>53</v>
      </c>
      <c r="AG1136" s="4">
        <f t="shared" si="105"/>
        <v>30008.000000000004</v>
      </c>
      <c r="AH1136" s="10">
        <v>29993</v>
      </c>
      <c r="AI1136" s="10">
        <v>1274.53</v>
      </c>
      <c r="AJ1136" s="10">
        <v>4.29</v>
      </c>
      <c r="AK1136" s="10">
        <v>0</v>
      </c>
      <c r="AL1136" s="9">
        <f t="shared" si="106"/>
        <v>28714.18</v>
      </c>
      <c r="AM1136" s="1"/>
      <c r="AN1136" s="1"/>
      <c r="AO1136" s="12" t="e">
        <f>AB1136/#REF!</f>
        <v>#REF!</v>
      </c>
      <c r="AP1136" s="1"/>
      <c r="AQ1136" s="11">
        <v>42018</v>
      </c>
      <c r="AR1136" s="1" t="s">
        <v>3409</v>
      </c>
      <c r="AS1136" s="11">
        <v>42050</v>
      </c>
      <c r="AT1136" s="1" t="s">
        <v>49</v>
      </c>
      <c r="AU1136" s="1" t="s">
        <v>4171</v>
      </c>
    </row>
    <row r="1137" spans="1:47" ht="15" customHeight="1" x14ac:dyDescent="0.25">
      <c r="A1137" s="1">
        <v>1133</v>
      </c>
      <c r="B1137" s="1" t="s">
        <v>1258</v>
      </c>
      <c r="C1137" s="1" t="s">
        <v>38</v>
      </c>
      <c r="D1137" s="1">
        <v>9103551026</v>
      </c>
      <c r="E1137" s="5">
        <v>41983</v>
      </c>
      <c r="F1137" s="1" t="s">
        <v>1011</v>
      </c>
      <c r="G1137" s="1" t="s">
        <v>40</v>
      </c>
      <c r="H1137" s="1" t="s">
        <v>41</v>
      </c>
      <c r="I1137" s="1" t="s">
        <v>2809</v>
      </c>
      <c r="J1137" s="1" t="s">
        <v>2690</v>
      </c>
      <c r="K1137" s="1">
        <v>38237090</v>
      </c>
      <c r="L1137" s="6">
        <v>11.6</v>
      </c>
      <c r="M1137" s="1" t="s">
        <v>70</v>
      </c>
      <c r="N1137" s="7" t="s">
        <v>44</v>
      </c>
      <c r="O1137" s="1" t="s">
        <v>53</v>
      </c>
      <c r="P1137" s="8">
        <v>1705</v>
      </c>
      <c r="Q1137" s="17">
        <f t="shared" si="97"/>
        <v>19778</v>
      </c>
      <c r="R1137" s="9">
        <f>1175/17.6*11.6</f>
        <v>774.43181818181802</v>
      </c>
      <c r="S1137" s="9">
        <f>21755.8*0.013%</f>
        <v>2.8282539999999998</v>
      </c>
      <c r="T1137" s="9">
        <v>0</v>
      </c>
      <c r="U1137" s="10">
        <v>0</v>
      </c>
      <c r="V1137" s="1" t="s">
        <v>46</v>
      </c>
      <c r="W1137" s="1" t="s">
        <v>205</v>
      </c>
      <c r="X1137" s="1">
        <v>6491617</v>
      </c>
      <c r="Y1137" s="24">
        <v>41979</v>
      </c>
      <c r="Z1137" s="11"/>
      <c r="AA1137" s="9">
        <f t="shared" si="98"/>
        <v>19000.739927818184</v>
      </c>
      <c r="AB1137" s="12">
        <v>61.5</v>
      </c>
      <c r="AC1137" s="9">
        <f t="shared" si="99"/>
        <v>1216347</v>
      </c>
      <c r="AD1137" s="9">
        <f t="shared" si="100"/>
        <v>1168545.5055608184</v>
      </c>
      <c r="AE1137" s="1" t="s">
        <v>48</v>
      </c>
      <c r="AF1137" s="1" t="s">
        <v>53</v>
      </c>
      <c r="AG1137" s="4">
        <f t="shared" si="105"/>
        <v>19778</v>
      </c>
      <c r="AH1137" s="10">
        <v>19770</v>
      </c>
      <c r="AI1137" s="10">
        <v>800.86</v>
      </c>
      <c r="AJ1137" s="10">
        <v>2.83</v>
      </c>
      <c r="AK1137" s="10">
        <v>0</v>
      </c>
      <c r="AL1137" s="9">
        <f t="shared" si="106"/>
        <v>18966.310000000001</v>
      </c>
      <c r="AM1137" s="1"/>
      <c r="AN1137" s="1"/>
      <c r="AO1137" s="12" t="e">
        <f>AB1137/#REF!</f>
        <v>#REF!</v>
      </c>
      <c r="AP1137" s="1"/>
      <c r="AQ1137" s="11">
        <v>42018</v>
      </c>
      <c r="AR1137" s="1" t="s">
        <v>3410</v>
      </c>
      <c r="AS1137" s="11">
        <v>42019</v>
      </c>
      <c r="AT1137" s="1" t="s">
        <v>49</v>
      </c>
      <c r="AU1137" s="1" t="s">
        <v>4171</v>
      </c>
    </row>
    <row r="1138" spans="1:47" ht="15" customHeight="1" x14ac:dyDescent="0.25">
      <c r="A1138" s="1">
        <v>1134</v>
      </c>
      <c r="B1138" s="1" t="s">
        <v>1258</v>
      </c>
      <c r="C1138" s="1" t="s">
        <v>38</v>
      </c>
      <c r="D1138" s="1">
        <v>9103551026</v>
      </c>
      <c r="E1138" s="5">
        <v>41983</v>
      </c>
      <c r="F1138" s="1" t="s">
        <v>1011</v>
      </c>
      <c r="G1138" s="1" t="s">
        <v>40</v>
      </c>
      <c r="H1138" s="1" t="s">
        <v>41</v>
      </c>
      <c r="I1138" s="1" t="s">
        <v>2809</v>
      </c>
      <c r="J1138" s="1" t="s">
        <v>2690</v>
      </c>
      <c r="K1138" s="1">
        <v>29051700</v>
      </c>
      <c r="L1138" s="6">
        <v>6</v>
      </c>
      <c r="M1138" s="1" t="s">
        <v>70</v>
      </c>
      <c r="N1138" s="7" t="s">
        <v>44</v>
      </c>
      <c r="O1138" s="1" t="s">
        <v>53</v>
      </c>
      <c r="P1138" s="8">
        <v>1950</v>
      </c>
      <c r="Q1138" s="17">
        <f t="shared" si="97"/>
        <v>11700</v>
      </c>
      <c r="R1138" s="9">
        <f>1175/17.6*6</f>
        <v>400.56818181818176</v>
      </c>
      <c r="S1138" s="9">
        <f>4.5-2.83</f>
        <v>1.67</v>
      </c>
      <c r="T1138" s="9">
        <v>0</v>
      </c>
      <c r="U1138" s="10">
        <v>0</v>
      </c>
      <c r="V1138" s="1" t="s">
        <v>46</v>
      </c>
      <c r="W1138" s="1" t="s">
        <v>205</v>
      </c>
      <c r="X1138" s="1">
        <v>6491617</v>
      </c>
      <c r="Y1138" s="24">
        <v>41979</v>
      </c>
      <c r="Z1138" s="11"/>
      <c r="AA1138" s="9">
        <f t="shared" si="98"/>
        <v>11297.761818181818</v>
      </c>
      <c r="AB1138" s="12">
        <v>61.5</v>
      </c>
      <c r="AC1138" s="9">
        <f t="shared" si="99"/>
        <v>719550</v>
      </c>
      <c r="AD1138" s="9">
        <f t="shared" si="100"/>
        <v>694812.35181818181</v>
      </c>
      <c r="AE1138" s="1" t="s">
        <v>48</v>
      </c>
      <c r="AF1138" s="1" t="s">
        <v>53</v>
      </c>
      <c r="AG1138" s="4">
        <f t="shared" si="105"/>
        <v>11700</v>
      </c>
      <c r="AH1138" s="10">
        <v>11693</v>
      </c>
      <c r="AI1138" s="10">
        <v>473.67</v>
      </c>
      <c r="AJ1138" s="10">
        <v>1.67</v>
      </c>
      <c r="AK1138" s="10">
        <v>0</v>
      </c>
      <c r="AL1138" s="9">
        <f t="shared" si="106"/>
        <v>11217.66</v>
      </c>
      <c r="AM1138" s="1"/>
      <c r="AN1138" s="1"/>
      <c r="AO1138" s="12" t="e">
        <f>AB1138/#REF!</f>
        <v>#REF!</v>
      </c>
      <c r="AP1138" s="1"/>
      <c r="AQ1138" s="11">
        <v>42018</v>
      </c>
      <c r="AR1138" s="1" t="s">
        <v>3410</v>
      </c>
      <c r="AS1138" s="11">
        <v>42019</v>
      </c>
      <c r="AT1138" s="1" t="s">
        <v>49</v>
      </c>
      <c r="AU1138" s="1" t="s">
        <v>4171</v>
      </c>
    </row>
    <row r="1139" spans="1:47" ht="15" customHeight="1" x14ac:dyDescent="0.25">
      <c r="A1139" s="1">
        <v>1135</v>
      </c>
      <c r="B1139" s="1" t="s">
        <v>1258</v>
      </c>
      <c r="C1139" s="1" t="s">
        <v>38</v>
      </c>
      <c r="D1139" s="1">
        <v>9103551029</v>
      </c>
      <c r="E1139" s="5">
        <v>41983</v>
      </c>
      <c r="F1139" s="1" t="s">
        <v>1012</v>
      </c>
      <c r="G1139" s="1" t="s">
        <v>40</v>
      </c>
      <c r="H1139" s="1" t="s">
        <v>41</v>
      </c>
      <c r="I1139" s="1" t="s">
        <v>2809</v>
      </c>
      <c r="J1139" s="1" t="s">
        <v>386</v>
      </c>
      <c r="K1139" s="1">
        <v>38237090</v>
      </c>
      <c r="L1139" s="6">
        <v>75.14</v>
      </c>
      <c r="M1139" s="1" t="s">
        <v>70</v>
      </c>
      <c r="N1139" s="7" t="s">
        <v>52</v>
      </c>
      <c r="O1139" s="1" t="s">
        <v>53</v>
      </c>
      <c r="P1139" s="8">
        <v>1275</v>
      </c>
      <c r="Q1139" s="17">
        <f t="shared" si="97"/>
        <v>95803.5</v>
      </c>
      <c r="R1139" s="9">
        <v>3000</v>
      </c>
      <c r="S1139" s="9">
        <v>0</v>
      </c>
      <c r="T1139" s="9">
        <v>0</v>
      </c>
      <c r="U1139" s="10">
        <v>0</v>
      </c>
      <c r="V1139" s="1" t="s">
        <v>46</v>
      </c>
      <c r="W1139" s="1" t="s">
        <v>241</v>
      </c>
      <c r="X1139" s="1">
        <v>6506943</v>
      </c>
      <c r="Y1139" s="24">
        <v>41981</v>
      </c>
      <c r="Z1139" s="11"/>
      <c r="AA1139" s="9">
        <f t="shared" si="98"/>
        <v>92803.5</v>
      </c>
      <c r="AB1139" s="12">
        <v>61.5</v>
      </c>
      <c r="AC1139" s="9">
        <f t="shared" si="99"/>
        <v>5891915.25</v>
      </c>
      <c r="AD1139" s="9">
        <f t="shared" si="100"/>
        <v>5707415.25</v>
      </c>
      <c r="AE1139" s="1" t="s">
        <v>48</v>
      </c>
      <c r="AF1139" s="1" t="s">
        <v>53</v>
      </c>
      <c r="AG1139" s="4">
        <f t="shared" si="105"/>
        <v>95803.5</v>
      </c>
      <c r="AH1139" s="10">
        <v>95803.5</v>
      </c>
      <c r="AI1139" s="10">
        <v>2000</v>
      </c>
      <c r="AJ1139" s="10">
        <v>0</v>
      </c>
      <c r="AK1139" s="10">
        <v>0</v>
      </c>
      <c r="AL1139" s="9">
        <f t="shared" si="106"/>
        <v>93803.5</v>
      </c>
      <c r="AM1139" s="1"/>
      <c r="AN1139" s="1"/>
      <c r="AO1139" s="12" t="e">
        <f>AB1139/#REF!</f>
        <v>#REF!</v>
      </c>
      <c r="AP1139" s="1"/>
      <c r="AQ1139" s="11">
        <v>42055</v>
      </c>
      <c r="AR1139" s="1" t="s">
        <v>3411</v>
      </c>
      <c r="AS1139" s="11">
        <v>42056</v>
      </c>
      <c r="AT1139" s="1" t="s">
        <v>49</v>
      </c>
      <c r="AU1139" s="1" t="s">
        <v>4171</v>
      </c>
    </row>
    <row r="1140" spans="1:47" ht="15" customHeight="1" x14ac:dyDescent="0.25">
      <c r="A1140" s="1">
        <v>1136</v>
      </c>
      <c r="B1140" s="1" t="s">
        <v>1258</v>
      </c>
      <c r="C1140" s="1" t="s">
        <v>38</v>
      </c>
      <c r="D1140" s="1">
        <v>9103551029</v>
      </c>
      <c r="E1140" s="5">
        <v>41983</v>
      </c>
      <c r="F1140" s="1" t="s">
        <v>1014</v>
      </c>
      <c r="G1140" s="1" t="s">
        <v>40</v>
      </c>
      <c r="H1140" s="1" t="s">
        <v>41</v>
      </c>
      <c r="I1140" s="1" t="s">
        <v>2809</v>
      </c>
      <c r="J1140" s="1" t="s">
        <v>386</v>
      </c>
      <c r="K1140" s="1">
        <v>38237090</v>
      </c>
      <c r="L1140" s="6">
        <v>18.57</v>
      </c>
      <c r="M1140" s="1" t="s">
        <v>70</v>
      </c>
      <c r="N1140" s="7" t="s">
        <v>52</v>
      </c>
      <c r="O1140" s="1" t="s">
        <v>53</v>
      </c>
      <c r="P1140" s="8">
        <v>1275</v>
      </c>
      <c r="Q1140" s="17">
        <f t="shared" si="97"/>
        <v>23676.75</v>
      </c>
      <c r="R1140" s="9">
        <v>750</v>
      </c>
      <c r="S1140" s="9">
        <v>0</v>
      </c>
      <c r="T1140" s="9">
        <v>0</v>
      </c>
      <c r="U1140" s="10">
        <v>0</v>
      </c>
      <c r="V1140" s="1" t="s">
        <v>46</v>
      </c>
      <c r="W1140" s="1" t="s">
        <v>241</v>
      </c>
      <c r="X1140" s="1">
        <v>6511667</v>
      </c>
      <c r="Y1140" s="24">
        <v>41981</v>
      </c>
      <c r="Z1140" s="11"/>
      <c r="AA1140" s="9">
        <f t="shared" si="98"/>
        <v>22926.75</v>
      </c>
      <c r="AB1140" s="12">
        <v>61.5</v>
      </c>
      <c r="AC1140" s="9">
        <f t="shared" si="99"/>
        <v>1456120.125</v>
      </c>
      <c r="AD1140" s="9">
        <f t="shared" si="100"/>
        <v>1409995.125</v>
      </c>
      <c r="AE1140" s="1" t="s">
        <v>48</v>
      </c>
      <c r="AF1140" s="1" t="s">
        <v>53</v>
      </c>
      <c r="AG1140" s="4">
        <f t="shared" si="105"/>
        <v>23676.75</v>
      </c>
      <c r="AH1140" s="10">
        <v>23676.75</v>
      </c>
      <c r="AI1140" s="10">
        <v>500</v>
      </c>
      <c r="AJ1140" s="10">
        <v>0</v>
      </c>
      <c r="AK1140" s="10">
        <v>0</v>
      </c>
      <c r="AL1140" s="9">
        <f t="shared" si="106"/>
        <v>23176.75</v>
      </c>
      <c r="AM1140" s="1"/>
      <c r="AN1140" s="1"/>
      <c r="AO1140" s="12" t="e">
        <f>AB1140/#REF!</f>
        <v>#REF!</v>
      </c>
      <c r="AP1140" s="1"/>
      <c r="AQ1140" s="11">
        <v>42055</v>
      </c>
      <c r="AR1140" s="1" t="s">
        <v>3412</v>
      </c>
      <c r="AS1140" s="11">
        <v>42056</v>
      </c>
      <c r="AT1140" s="1" t="s">
        <v>49</v>
      </c>
      <c r="AU1140" s="1" t="s">
        <v>4171</v>
      </c>
    </row>
    <row r="1141" spans="1:47" ht="15" customHeight="1" x14ac:dyDescent="0.25">
      <c r="A1141" s="1">
        <v>1137</v>
      </c>
      <c r="B1141" s="1" t="s">
        <v>1258</v>
      </c>
      <c r="C1141" s="1" t="s">
        <v>38</v>
      </c>
      <c r="D1141" s="1">
        <v>9103550926</v>
      </c>
      <c r="E1141" s="5">
        <v>41991</v>
      </c>
      <c r="F1141" s="1" t="s">
        <v>1013</v>
      </c>
      <c r="G1141" s="1" t="s">
        <v>40</v>
      </c>
      <c r="H1141" s="1" t="s">
        <v>41</v>
      </c>
      <c r="I1141" s="1" t="s">
        <v>2809</v>
      </c>
      <c r="J1141" s="1" t="s">
        <v>386</v>
      </c>
      <c r="K1141" s="1">
        <v>38237090</v>
      </c>
      <c r="L1141" s="6">
        <v>192.05</v>
      </c>
      <c r="M1141" s="1" t="s">
        <v>70</v>
      </c>
      <c r="N1141" s="7" t="s">
        <v>52</v>
      </c>
      <c r="O1141" s="1" t="s">
        <v>53</v>
      </c>
      <c r="P1141" s="8">
        <v>1275</v>
      </c>
      <c r="Q1141" s="17">
        <f t="shared" si="97"/>
        <v>244863.75</v>
      </c>
      <c r="R1141" s="9">
        <v>7500</v>
      </c>
      <c r="S1141" s="9">
        <v>0</v>
      </c>
      <c r="T1141" s="9">
        <v>0</v>
      </c>
      <c r="U1141" s="10">
        <v>0</v>
      </c>
      <c r="V1141" s="1" t="s">
        <v>46</v>
      </c>
      <c r="W1141" s="1" t="s">
        <v>241</v>
      </c>
      <c r="X1141" s="1">
        <v>6511681</v>
      </c>
      <c r="Y1141" s="24">
        <v>41981</v>
      </c>
      <c r="Z1141" s="11"/>
      <c r="AA1141" s="9">
        <f t="shared" si="98"/>
        <v>237363.75</v>
      </c>
      <c r="AB1141" s="12">
        <v>61.5</v>
      </c>
      <c r="AC1141" s="9">
        <f t="shared" si="99"/>
        <v>15059120.625</v>
      </c>
      <c r="AD1141" s="9">
        <f t="shared" si="100"/>
        <v>14597870.625</v>
      </c>
      <c r="AE1141" s="1" t="s">
        <v>48</v>
      </c>
      <c r="AF1141" s="1" t="s">
        <v>53</v>
      </c>
      <c r="AG1141" s="4">
        <f t="shared" si="105"/>
        <v>244863.75</v>
      </c>
      <c r="AH1141" s="10">
        <v>244863.75</v>
      </c>
      <c r="AI1141" s="10">
        <v>8500</v>
      </c>
      <c r="AJ1141" s="10">
        <v>0</v>
      </c>
      <c r="AK1141" s="10">
        <v>0</v>
      </c>
      <c r="AL1141" s="9">
        <f t="shared" si="106"/>
        <v>236363.75</v>
      </c>
      <c r="AM1141" s="1"/>
      <c r="AN1141" s="1"/>
      <c r="AO1141" s="12" t="e">
        <f>AB1141/#REF!</f>
        <v>#REF!</v>
      </c>
      <c r="AP1141" s="1"/>
      <c r="AQ1141" s="11">
        <v>42055</v>
      </c>
      <c r="AR1141" s="94" t="s">
        <v>3413</v>
      </c>
      <c r="AS1141" s="11">
        <v>42056</v>
      </c>
      <c r="AT1141" s="1" t="s">
        <v>49</v>
      </c>
      <c r="AU1141" s="1" t="s">
        <v>4171</v>
      </c>
    </row>
    <row r="1142" spans="1:47" ht="15" customHeight="1" x14ac:dyDescent="0.25">
      <c r="A1142" s="1">
        <v>1138</v>
      </c>
      <c r="B1142" s="1" t="s">
        <v>1258</v>
      </c>
      <c r="C1142" s="1" t="s">
        <v>38</v>
      </c>
      <c r="D1142" s="1">
        <v>9103550927</v>
      </c>
      <c r="E1142" s="5">
        <v>41987</v>
      </c>
      <c r="F1142" s="1" t="s">
        <v>1015</v>
      </c>
      <c r="G1142" s="1" t="s">
        <v>40</v>
      </c>
      <c r="H1142" s="1" t="s">
        <v>41</v>
      </c>
      <c r="I1142" s="1" t="s">
        <v>2809</v>
      </c>
      <c r="J1142" s="1" t="s">
        <v>50</v>
      </c>
      <c r="K1142" s="1">
        <v>29051700</v>
      </c>
      <c r="L1142" s="6">
        <v>30</v>
      </c>
      <c r="M1142" s="1" t="s">
        <v>70</v>
      </c>
      <c r="N1142" s="7" t="s">
        <v>52</v>
      </c>
      <c r="O1142" s="1" t="s">
        <v>53</v>
      </c>
      <c r="P1142" s="8">
        <v>1640</v>
      </c>
      <c r="Q1142" s="17">
        <f t="shared" si="97"/>
        <v>49200</v>
      </c>
      <c r="R1142" s="9">
        <v>1400</v>
      </c>
      <c r="S1142" s="9">
        <v>0</v>
      </c>
      <c r="T1142" s="9">
        <v>0</v>
      </c>
      <c r="U1142" s="10">
        <v>0</v>
      </c>
      <c r="V1142" s="1" t="s">
        <v>46</v>
      </c>
      <c r="W1142" s="1" t="s">
        <v>2657</v>
      </c>
      <c r="X1142" s="1">
        <v>6514077</v>
      </c>
      <c r="Y1142" s="24">
        <v>41981</v>
      </c>
      <c r="Z1142" s="11"/>
      <c r="AA1142" s="9">
        <f t="shared" si="98"/>
        <v>47800</v>
      </c>
      <c r="AB1142" s="12">
        <v>61.5</v>
      </c>
      <c r="AC1142" s="9">
        <f t="shared" si="99"/>
        <v>3025800</v>
      </c>
      <c r="AD1142" s="9">
        <f t="shared" si="100"/>
        <v>2939700</v>
      </c>
      <c r="AE1142" s="1" t="s">
        <v>284</v>
      </c>
      <c r="AF1142" s="1" t="s">
        <v>53</v>
      </c>
      <c r="AG1142" s="4">
        <f t="shared" si="105"/>
        <v>49200</v>
      </c>
      <c r="AH1142" s="10">
        <v>49200</v>
      </c>
      <c r="AI1142" s="9">
        <v>1335</v>
      </c>
      <c r="AJ1142" s="9">
        <v>0</v>
      </c>
      <c r="AK1142" s="9">
        <v>0</v>
      </c>
      <c r="AL1142" s="9">
        <f t="shared" si="106"/>
        <v>47865</v>
      </c>
      <c r="AM1142" s="1"/>
      <c r="AN1142" s="1"/>
      <c r="AO1142" s="12" t="e">
        <f>AB1142/#REF!</f>
        <v>#REF!</v>
      </c>
      <c r="AP1142" s="1"/>
      <c r="AQ1142" s="11">
        <v>42055</v>
      </c>
      <c r="AR1142" s="1" t="s">
        <v>3644</v>
      </c>
      <c r="AS1142" s="11">
        <v>42055</v>
      </c>
      <c r="AT1142" s="1" t="s">
        <v>49</v>
      </c>
      <c r="AU1142" s="1" t="s">
        <v>4171</v>
      </c>
    </row>
    <row r="1143" spans="1:47" ht="15" customHeight="1" x14ac:dyDescent="0.25">
      <c r="A1143" s="1">
        <v>1139</v>
      </c>
      <c r="B1143" s="1" t="s">
        <v>1258</v>
      </c>
      <c r="C1143" s="1" t="s">
        <v>38</v>
      </c>
      <c r="D1143" s="1">
        <v>9103550928</v>
      </c>
      <c r="E1143" s="5">
        <v>41987</v>
      </c>
      <c r="F1143" s="1" t="s">
        <v>1016</v>
      </c>
      <c r="G1143" s="1" t="s">
        <v>40</v>
      </c>
      <c r="H1143" s="1" t="s">
        <v>41</v>
      </c>
      <c r="I1143" s="1" t="s">
        <v>2809</v>
      </c>
      <c r="J1143" s="1" t="s">
        <v>2751</v>
      </c>
      <c r="K1143" s="1">
        <v>29051700</v>
      </c>
      <c r="L1143" s="95">
        <v>14.975</v>
      </c>
      <c r="M1143" s="1" t="s">
        <v>70</v>
      </c>
      <c r="N1143" s="7" t="s">
        <v>52</v>
      </c>
      <c r="O1143" s="1" t="s">
        <v>53</v>
      </c>
      <c r="P1143" s="8">
        <v>1889</v>
      </c>
      <c r="Q1143" s="17">
        <f t="shared" si="97"/>
        <v>28287.774999999998</v>
      </c>
      <c r="R1143" s="9">
        <f>700/15*14.975</f>
        <v>698.83333333333326</v>
      </c>
      <c r="S1143" s="9">
        <v>0</v>
      </c>
      <c r="T1143" s="9">
        <v>0</v>
      </c>
      <c r="U1143" s="10">
        <v>0</v>
      </c>
      <c r="V1143" s="1" t="s">
        <v>46</v>
      </c>
      <c r="W1143" s="1" t="s">
        <v>2657</v>
      </c>
      <c r="X1143" s="1">
        <v>6517343</v>
      </c>
      <c r="Y1143" s="24">
        <v>41981</v>
      </c>
      <c r="Z1143" s="11"/>
      <c r="AA1143" s="9">
        <f t="shared" si="98"/>
        <v>27588.941666666666</v>
      </c>
      <c r="AB1143" s="12">
        <v>61.5</v>
      </c>
      <c r="AC1143" s="9">
        <f t="shared" si="99"/>
        <v>1739698.1624999999</v>
      </c>
      <c r="AD1143" s="9">
        <f t="shared" si="100"/>
        <v>1696719.9124999999</v>
      </c>
      <c r="AE1143" s="1" t="s">
        <v>48</v>
      </c>
      <c r="AF1143" s="1" t="s">
        <v>53</v>
      </c>
      <c r="AG1143" s="4">
        <f t="shared" si="105"/>
        <v>28287.774999999998</v>
      </c>
      <c r="AH1143" s="10">
        <v>28262</v>
      </c>
      <c r="AI1143" s="10">
        <v>683.86</v>
      </c>
      <c r="AJ1143" s="10">
        <v>0</v>
      </c>
      <c r="AK1143" s="10">
        <v>0</v>
      </c>
      <c r="AL1143" s="9">
        <f t="shared" si="106"/>
        <v>27578.14</v>
      </c>
      <c r="AM1143" s="1"/>
      <c r="AN1143" s="1"/>
      <c r="AO1143" s="12" t="e">
        <f>AB1143/#REF!</f>
        <v>#REF!</v>
      </c>
      <c r="AP1143" s="1" t="s">
        <v>2752</v>
      </c>
      <c r="AQ1143" s="11">
        <v>42007</v>
      </c>
      <c r="AR1143" s="1" t="s">
        <v>2753</v>
      </c>
      <c r="AS1143" s="11">
        <v>42009</v>
      </c>
      <c r="AT1143" s="1" t="s">
        <v>49</v>
      </c>
      <c r="AU1143" s="1" t="s">
        <v>4171</v>
      </c>
    </row>
    <row r="1144" spans="1:47" ht="15" customHeight="1" x14ac:dyDescent="0.25">
      <c r="A1144" s="1">
        <v>1140</v>
      </c>
      <c r="B1144" s="1" t="s">
        <v>1258</v>
      </c>
      <c r="C1144" s="1" t="s">
        <v>38</v>
      </c>
      <c r="D1144" s="1">
        <v>9103550928</v>
      </c>
      <c r="E1144" s="5">
        <v>41987</v>
      </c>
      <c r="F1144" s="1" t="s">
        <v>1016</v>
      </c>
      <c r="G1144" s="1" t="s">
        <v>40</v>
      </c>
      <c r="H1144" s="1" t="s">
        <v>41</v>
      </c>
      <c r="I1144" s="1" t="s">
        <v>2809</v>
      </c>
      <c r="J1144" s="1" t="s">
        <v>2751</v>
      </c>
      <c r="K1144" s="1">
        <v>38237090</v>
      </c>
      <c r="L1144" s="95">
        <v>2.5000000000000001E-2</v>
      </c>
      <c r="M1144" s="1" t="s">
        <v>70</v>
      </c>
      <c r="N1144" s="7" t="s">
        <v>52</v>
      </c>
      <c r="O1144" s="1" t="s">
        <v>53</v>
      </c>
      <c r="P1144" s="8">
        <v>1889</v>
      </c>
      <c r="Q1144" s="17">
        <f t="shared" si="97"/>
        <v>47.225000000000001</v>
      </c>
      <c r="R1144" s="9">
        <f>700/15*0.025</f>
        <v>1.1666666666666667</v>
      </c>
      <c r="S1144" s="9"/>
      <c r="T1144" s="9">
        <v>0</v>
      </c>
      <c r="U1144" s="10">
        <v>0</v>
      </c>
      <c r="V1144" s="1" t="s">
        <v>46</v>
      </c>
      <c r="W1144" s="1" t="s">
        <v>2657</v>
      </c>
      <c r="X1144" s="1">
        <v>6517343</v>
      </c>
      <c r="Y1144" s="24">
        <v>41981</v>
      </c>
      <c r="Z1144" s="11"/>
      <c r="AA1144" s="9">
        <f t="shared" si="98"/>
        <v>46.058333333333337</v>
      </c>
      <c r="AB1144" s="12">
        <v>61.5</v>
      </c>
      <c r="AC1144" s="9">
        <f t="shared" si="99"/>
        <v>2904.3375000000001</v>
      </c>
      <c r="AD1144" s="9">
        <f t="shared" si="100"/>
        <v>2832.5875000000001</v>
      </c>
      <c r="AE1144" s="1" t="s">
        <v>48</v>
      </c>
      <c r="AF1144" s="1" t="s">
        <v>53</v>
      </c>
      <c r="AG1144" s="4">
        <f t="shared" si="105"/>
        <v>47.225000000000001</v>
      </c>
      <c r="AH1144" s="10">
        <v>47.23</v>
      </c>
      <c r="AI1144" s="10">
        <v>1.1399999999999999</v>
      </c>
      <c r="AJ1144" s="10">
        <v>0</v>
      </c>
      <c r="AK1144" s="10">
        <v>0</v>
      </c>
      <c r="AL1144" s="9">
        <f t="shared" si="106"/>
        <v>46.089999999999996</v>
      </c>
      <c r="AM1144" s="1"/>
      <c r="AN1144" s="1"/>
      <c r="AO1144" s="12" t="e">
        <f>AB1144/#REF!</f>
        <v>#REF!</v>
      </c>
      <c r="AP1144" s="1"/>
      <c r="AQ1144" s="11">
        <v>42007</v>
      </c>
      <c r="AR1144" s="1" t="s">
        <v>2753</v>
      </c>
      <c r="AS1144" s="11">
        <v>42009</v>
      </c>
      <c r="AT1144" s="1" t="s">
        <v>49</v>
      </c>
      <c r="AU1144" s="1" t="s">
        <v>4171</v>
      </c>
    </row>
    <row r="1145" spans="1:47" ht="15" customHeight="1" x14ac:dyDescent="0.25">
      <c r="A1145" s="1">
        <v>1141</v>
      </c>
      <c r="B1145" s="1" t="s">
        <v>1258</v>
      </c>
      <c r="C1145" s="1" t="s">
        <v>38</v>
      </c>
      <c r="D1145" s="1">
        <v>9103550929</v>
      </c>
      <c r="E1145" s="5">
        <v>41985</v>
      </c>
      <c r="F1145" s="1" t="s">
        <v>1017</v>
      </c>
      <c r="G1145" s="1" t="s">
        <v>40</v>
      </c>
      <c r="H1145" s="1" t="s">
        <v>41</v>
      </c>
      <c r="I1145" s="1" t="s">
        <v>2810</v>
      </c>
      <c r="J1145" s="1" t="s">
        <v>1116</v>
      </c>
      <c r="K1145" s="1">
        <v>38237090</v>
      </c>
      <c r="L1145" s="6">
        <v>56.05</v>
      </c>
      <c r="M1145" s="1" t="s">
        <v>70</v>
      </c>
      <c r="N1145" s="7" t="s">
        <v>67</v>
      </c>
      <c r="O1145" s="1" t="s">
        <v>1117</v>
      </c>
      <c r="P1145" s="8">
        <v>82850</v>
      </c>
      <c r="Q1145" s="17">
        <f t="shared" si="97"/>
        <v>4643742.5</v>
      </c>
      <c r="R1145" s="9">
        <v>0</v>
      </c>
      <c r="S1145" s="9">
        <v>0</v>
      </c>
      <c r="T1145" s="9">
        <v>0</v>
      </c>
      <c r="U1145" s="10">
        <f>4500*L1145</f>
        <v>252225</v>
      </c>
      <c r="V1145" s="1" t="s">
        <v>46</v>
      </c>
      <c r="W1145" s="1" t="s">
        <v>361</v>
      </c>
      <c r="X1145" s="1">
        <v>6517348</v>
      </c>
      <c r="Y1145" s="24">
        <v>41981</v>
      </c>
      <c r="Z1145" s="11"/>
      <c r="AA1145" s="9">
        <f t="shared" si="98"/>
        <v>4643742.5</v>
      </c>
      <c r="AB1145" s="12">
        <v>1</v>
      </c>
      <c r="AC1145" s="9">
        <f t="shared" si="99"/>
        <v>4643742.5</v>
      </c>
      <c r="AD1145" s="9">
        <f t="shared" si="100"/>
        <v>4643742.5</v>
      </c>
      <c r="AE1145" s="1" t="s">
        <v>4162</v>
      </c>
      <c r="AF1145" s="1" t="s">
        <v>1117</v>
      </c>
      <c r="AG1145" s="4">
        <f t="shared" si="105"/>
        <v>4643742.5</v>
      </c>
      <c r="AH1145" s="10">
        <v>4643742.5</v>
      </c>
      <c r="AI1145" s="10"/>
      <c r="AJ1145" s="10"/>
      <c r="AK1145" s="10"/>
      <c r="AL1145" s="9">
        <f t="shared" si="106"/>
        <v>4643742.5</v>
      </c>
      <c r="AM1145" s="1"/>
      <c r="AN1145" s="1"/>
      <c r="AO1145" s="12"/>
      <c r="AP1145" s="1" t="s">
        <v>4053</v>
      </c>
      <c r="AQ1145" s="11" t="s">
        <v>4049</v>
      </c>
      <c r="AR1145" s="1" t="s">
        <v>4052</v>
      </c>
      <c r="AS1145" s="1" t="s">
        <v>3971</v>
      </c>
      <c r="AT1145" s="1" t="s">
        <v>49</v>
      </c>
      <c r="AU1145" s="1" t="s">
        <v>4171</v>
      </c>
    </row>
    <row r="1146" spans="1:47" ht="15" customHeight="1" x14ac:dyDescent="0.25">
      <c r="A1146" s="1">
        <v>1142</v>
      </c>
      <c r="B1146" s="1" t="s">
        <v>1258</v>
      </c>
      <c r="C1146" s="1" t="s">
        <v>38</v>
      </c>
      <c r="D1146" s="1">
        <v>9103550930</v>
      </c>
      <c r="E1146" s="5">
        <v>41985</v>
      </c>
      <c r="F1146" s="1" t="s">
        <v>1018</v>
      </c>
      <c r="G1146" s="1" t="s">
        <v>40</v>
      </c>
      <c r="H1146" s="1" t="s">
        <v>41</v>
      </c>
      <c r="I1146" s="1" t="s">
        <v>2809</v>
      </c>
      <c r="J1146" s="1" t="s">
        <v>187</v>
      </c>
      <c r="K1146" s="1">
        <v>38237090</v>
      </c>
      <c r="L1146" s="6">
        <v>18.14</v>
      </c>
      <c r="M1146" s="1" t="s">
        <v>70</v>
      </c>
      <c r="N1146" s="7" t="s">
        <v>44</v>
      </c>
      <c r="O1146" s="1" t="s">
        <v>53</v>
      </c>
      <c r="P1146" s="8">
        <v>1637</v>
      </c>
      <c r="Q1146" s="17">
        <f t="shared" si="97"/>
        <v>29695.18</v>
      </c>
      <c r="R1146" s="9">
        <v>2580</v>
      </c>
      <c r="S1146" s="9">
        <v>4.25</v>
      </c>
      <c r="T1146" s="9">
        <v>0</v>
      </c>
      <c r="U1146" s="10">
        <v>0</v>
      </c>
      <c r="V1146" s="1" t="s">
        <v>46</v>
      </c>
      <c r="W1146" s="1" t="s">
        <v>56</v>
      </c>
      <c r="X1146" s="1">
        <v>6532501</v>
      </c>
      <c r="Y1146" s="24">
        <v>41982</v>
      </c>
      <c r="Z1146" s="11"/>
      <c r="AA1146" s="9">
        <f t="shared" si="98"/>
        <v>27110.93</v>
      </c>
      <c r="AB1146" s="12">
        <v>61.5</v>
      </c>
      <c r="AC1146" s="9">
        <f t="shared" si="99"/>
        <v>1826253.57</v>
      </c>
      <c r="AD1146" s="9">
        <f t="shared" si="100"/>
        <v>1667322.1950000001</v>
      </c>
      <c r="AE1146" s="1" t="s">
        <v>48</v>
      </c>
      <c r="AF1146" s="1" t="s">
        <v>53</v>
      </c>
      <c r="AG1146" s="4">
        <f t="shared" si="105"/>
        <v>29695.18</v>
      </c>
      <c r="AH1146" s="10">
        <v>29695.18</v>
      </c>
      <c r="AI1146" s="10">
        <v>2580</v>
      </c>
      <c r="AJ1146" s="10">
        <v>4.25</v>
      </c>
      <c r="AK1146" s="10">
        <v>0</v>
      </c>
      <c r="AL1146" s="9">
        <f t="shared" si="106"/>
        <v>27110.93</v>
      </c>
      <c r="AM1146" s="1"/>
      <c r="AN1146" s="1"/>
      <c r="AO1146" s="12" t="e">
        <f>AB1146/#REF!</f>
        <v>#REF!</v>
      </c>
      <c r="AP1146" s="1"/>
      <c r="AQ1146" s="11">
        <v>42072</v>
      </c>
      <c r="AR1146" s="1" t="s">
        <v>3414</v>
      </c>
      <c r="AS1146" s="11">
        <v>42073</v>
      </c>
      <c r="AT1146" s="1" t="s">
        <v>49</v>
      </c>
      <c r="AU1146" s="1" t="s">
        <v>4171</v>
      </c>
    </row>
    <row r="1147" spans="1:47" ht="15" customHeight="1" x14ac:dyDescent="0.25">
      <c r="A1147" s="1">
        <v>1143</v>
      </c>
      <c r="B1147" s="1" t="s">
        <v>1258</v>
      </c>
      <c r="C1147" s="1" t="s">
        <v>38</v>
      </c>
      <c r="D1147" s="1">
        <v>9103550931</v>
      </c>
      <c r="E1147" s="5">
        <v>41987</v>
      </c>
      <c r="F1147" s="1" t="s">
        <v>1019</v>
      </c>
      <c r="G1147" s="1" t="s">
        <v>40</v>
      </c>
      <c r="H1147" s="1" t="s">
        <v>41</v>
      </c>
      <c r="I1147" s="1" t="s">
        <v>2809</v>
      </c>
      <c r="J1147" s="1" t="s">
        <v>2754</v>
      </c>
      <c r="K1147" s="1">
        <v>38237090</v>
      </c>
      <c r="L1147" s="6">
        <v>15</v>
      </c>
      <c r="M1147" s="1" t="s">
        <v>70</v>
      </c>
      <c r="N1147" s="7" t="s">
        <v>52</v>
      </c>
      <c r="O1147" s="1" t="s">
        <v>53</v>
      </c>
      <c r="P1147" s="8">
        <v>1560</v>
      </c>
      <c r="Q1147" s="17">
        <f t="shared" si="97"/>
        <v>23400</v>
      </c>
      <c r="R1147" s="9">
        <v>700</v>
      </c>
      <c r="S1147" s="9">
        <v>0</v>
      </c>
      <c r="T1147" s="9">
        <v>0</v>
      </c>
      <c r="U1147" s="10">
        <v>0</v>
      </c>
      <c r="V1147" s="1" t="s">
        <v>46</v>
      </c>
      <c r="W1147" s="1" t="s">
        <v>143</v>
      </c>
      <c r="X1147" s="1">
        <v>6549319</v>
      </c>
      <c r="Y1147" s="24">
        <v>41983</v>
      </c>
      <c r="Z1147" s="11"/>
      <c r="AA1147" s="9">
        <f>Q1147-R1147-S1147</f>
        <v>22700</v>
      </c>
      <c r="AB1147" s="12">
        <v>61.5</v>
      </c>
      <c r="AC1147" s="9">
        <f t="shared" si="99"/>
        <v>1439100</v>
      </c>
      <c r="AD1147" s="9">
        <f t="shared" si="100"/>
        <v>1396050</v>
      </c>
      <c r="AE1147" s="1" t="s">
        <v>48</v>
      </c>
      <c r="AF1147" s="1" t="s">
        <v>53</v>
      </c>
      <c r="AG1147" s="4">
        <f t="shared" si="105"/>
        <v>23400</v>
      </c>
      <c r="AH1147" s="10">
        <v>23290</v>
      </c>
      <c r="AI1147" s="10">
        <v>713</v>
      </c>
      <c r="AJ1147" s="10">
        <v>0</v>
      </c>
      <c r="AK1147" s="10">
        <v>0</v>
      </c>
      <c r="AL1147" s="9">
        <f t="shared" si="106"/>
        <v>22577</v>
      </c>
      <c r="AM1147" s="1"/>
      <c r="AN1147" s="1"/>
      <c r="AO1147" s="12" t="e">
        <f>AB1147/#REF!</f>
        <v>#REF!</v>
      </c>
      <c r="AP1147" s="1"/>
      <c r="AQ1147" s="11">
        <v>42012</v>
      </c>
      <c r="AR1147" s="1" t="s">
        <v>3415</v>
      </c>
      <c r="AS1147" s="11">
        <v>42014</v>
      </c>
      <c r="AT1147" s="1" t="s">
        <v>49</v>
      </c>
      <c r="AU1147" s="1" t="s">
        <v>4171</v>
      </c>
    </row>
    <row r="1148" spans="1:47" ht="15" customHeight="1" x14ac:dyDescent="0.25">
      <c r="A1148" s="1">
        <v>1144</v>
      </c>
      <c r="B1148" s="1" t="s">
        <v>1258</v>
      </c>
      <c r="C1148" s="1" t="s">
        <v>38</v>
      </c>
      <c r="D1148" s="1">
        <v>9103550932</v>
      </c>
      <c r="E1148" s="5">
        <v>41988</v>
      </c>
      <c r="F1148" s="1" t="s">
        <v>1020</v>
      </c>
      <c r="G1148" s="1" t="s">
        <v>40</v>
      </c>
      <c r="H1148" s="1" t="s">
        <v>41</v>
      </c>
      <c r="I1148" s="1" t="s">
        <v>2809</v>
      </c>
      <c r="J1148" s="1" t="s">
        <v>349</v>
      </c>
      <c r="K1148" s="1">
        <v>29051700</v>
      </c>
      <c r="L1148" s="6">
        <v>5.4</v>
      </c>
      <c r="M1148" s="1" t="s">
        <v>70</v>
      </c>
      <c r="N1148" s="7" t="s">
        <v>44</v>
      </c>
      <c r="O1148" s="1" t="s">
        <v>53</v>
      </c>
      <c r="P1148" s="8">
        <v>1895</v>
      </c>
      <c r="Q1148" s="17">
        <f t="shared" si="97"/>
        <v>10233</v>
      </c>
      <c r="R1148" s="9">
        <f>1157/12*5.4</f>
        <v>520.65000000000009</v>
      </c>
      <c r="S1148" s="9">
        <f>11256.3*0.013%</f>
        <v>1.4633189999999998</v>
      </c>
      <c r="T1148" s="9">
        <v>0</v>
      </c>
      <c r="U1148" s="10">
        <v>0</v>
      </c>
      <c r="V1148" s="1" t="s">
        <v>46</v>
      </c>
      <c r="W1148" s="1" t="s">
        <v>2755</v>
      </c>
      <c r="X1148" s="1">
        <v>6557184</v>
      </c>
      <c r="Y1148" s="24">
        <v>41983</v>
      </c>
      <c r="Z1148" s="11"/>
      <c r="AA1148" s="9">
        <f t="shared" si="98"/>
        <v>9710.886681</v>
      </c>
      <c r="AB1148" s="12">
        <v>61.5</v>
      </c>
      <c r="AC1148" s="9">
        <f t="shared" si="99"/>
        <v>629329.5</v>
      </c>
      <c r="AD1148" s="9">
        <f t="shared" si="100"/>
        <v>597219.53088149999</v>
      </c>
      <c r="AE1148" s="1" t="s">
        <v>48</v>
      </c>
      <c r="AF1148" s="1" t="s">
        <v>53</v>
      </c>
      <c r="AG1148" s="4">
        <f t="shared" si="105"/>
        <v>10233</v>
      </c>
      <c r="AH1148" s="10">
        <v>10224</v>
      </c>
      <c r="AI1148" s="10">
        <v>545.19000000000005</v>
      </c>
      <c r="AJ1148" s="10">
        <v>1.46</v>
      </c>
      <c r="AK1148" s="10">
        <v>0</v>
      </c>
      <c r="AL1148" s="9">
        <f t="shared" si="106"/>
        <v>9677.35</v>
      </c>
      <c r="AM1148" s="1"/>
      <c r="AN1148" s="1"/>
      <c r="AO1148" s="12" t="e">
        <f>AB1148/#REF!</f>
        <v>#REF!</v>
      </c>
      <c r="AP1148" s="1"/>
      <c r="AQ1148" s="11">
        <v>42051</v>
      </c>
      <c r="AR1148" s="1" t="s">
        <v>3416</v>
      </c>
      <c r="AS1148" s="11">
        <v>42053</v>
      </c>
      <c r="AT1148" s="1" t="s">
        <v>49</v>
      </c>
      <c r="AU1148" s="1" t="s">
        <v>4171</v>
      </c>
    </row>
    <row r="1149" spans="1:47" ht="15" customHeight="1" x14ac:dyDescent="0.25">
      <c r="A1149" s="1">
        <v>1145</v>
      </c>
      <c r="B1149" s="1" t="s">
        <v>1258</v>
      </c>
      <c r="C1149" s="1" t="s">
        <v>38</v>
      </c>
      <c r="D1149" s="1">
        <v>9103550932</v>
      </c>
      <c r="E1149" s="5">
        <v>41988</v>
      </c>
      <c r="F1149" s="1" t="s">
        <v>1020</v>
      </c>
      <c r="G1149" s="1" t="s">
        <v>40</v>
      </c>
      <c r="H1149" s="1" t="s">
        <v>41</v>
      </c>
      <c r="I1149" s="1" t="s">
        <v>2809</v>
      </c>
      <c r="J1149" s="1" t="s">
        <v>349</v>
      </c>
      <c r="K1149" s="1">
        <v>38237090</v>
      </c>
      <c r="L1149" s="6">
        <v>1.8</v>
      </c>
      <c r="M1149" s="1" t="s">
        <v>70</v>
      </c>
      <c r="N1149" s="7" t="s">
        <v>44</v>
      </c>
      <c r="O1149" s="1" t="s">
        <v>53</v>
      </c>
      <c r="P1149" s="8">
        <v>1695</v>
      </c>
      <c r="Q1149" s="17">
        <f t="shared" si="97"/>
        <v>3051</v>
      </c>
      <c r="R1149" s="9">
        <f>1157/12*1.8</f>
        <v>173.55</v>
      </c>
      <c r="S1149" s="9">
        <f>3356.1*0.013%</f>
        <v>0.43629299999999993</v>
      </c>
      <c r="T1149" s="9">
        <v>0</v>
      </c>
      <c r="U1149" s="10">
        <v>0</v>
      </c>
      <c r="V1149" s="1" t="s">
        <v>46</v>
      </c>
      <c r="W1149" s="1" t="s">
        <v>2755</v>
      </c>
      <c r="X1149" s="1">
        <v>6557184</v>
      </c>
      <c r="Y1149" s="24">
        <v>41983</v>
      </c>
      <c r="Z1149" s="11"/>
      <c r="AA1149" s="9">
        <f t="shared" si="98"/>
        <v>2877.0137069999996</v>
      </c>
      <c r="AB1149" s="12">
        <v>61.5</v>
      </c>
      <c r="AC1149" s="9">
        <f t="shared" si="99"/>
        <v>187636.5</v>
      </c>
      <c r="AD1149" s="9">
        <f t="shared" si="100"/>
        <v>176936.34298049999</v>
      </c>
      <c r="AE1149" s="1" t="s">
        <v>48</v>
      </c>
      <c r="AF1149" s="1" t="s">
        <v>53</v>
      </c>
      <c r="AG1149" s="4">
        <f t="shared" si="105"/>
        <v>3051</v>
      </c>
      <c r="AH1149" s="10">
        <v>3047</v>
      </c>
      <c r="AI1149" s="10">
        <v>162.47999999999999</v>
      </c>
      <c r="AJ1149" s="10">
        <v>0.44</v>
      </c>
      <c r="AK1149" s="10">
        <v>0</v>
      </c>
      <c r="AL1149" s="9">
        <f t="shared" si="106"/>
        <v>2884.08</v>
      </c>
      <c r="AM1149" s="1"/>
      <c r="AN1149" s="1"/>
      <c r="AO1149" s="12" t="e">
        <f>AB1149/#REF!</f>
        <v>#REF!</v>
      </c>
      <c r="AP1149" s="1"/>
      <c r="AQ1149" s="11">
        <v>42051</v>
      </c>
      <c r="AR1149" s="1" t="s">
        <v>3416</v>
      </c>
      <c r="AS1149" s="11">
        <v>42053</v>
      </c>
      <c r="AT1149" s="1" t="s">
        <v>49</v>
      </c>
      <c r="AU1149" s="1" t="s">
        <v>4171</v>
      </c>
    </row>
    <row r="1150" spans="1:47" ht="15" customHeight="1" x14ac:dyDescent="0.25">
      <c r="A1150" s="1">
        <v>1146</v>
      </c>
      <c r="B1150" s="1" t="s">
        <v>1258</v>
      </c>
      <c r="C1150" s="1" t="s">
        <v>38</v>
      </c>
      <c r="D1150" s="1">
        <v>9103550932</v>
      </c>
      <c r="E1150" s="5">
        <v>41988</v>
      </c>
      <c r="F1150" s="1" t="s">
        <v>1020</v>
      </c>
      <c r="G1150" s="1" t="s">
        <v>40</v>
      </c>
      <c r="H1150" s="1" t="s">
        <v>41</v>
      </c>
      <c r="I1150" s="1" t="s">
        <v>2809</v>
      </c>
      <c r="J1150" s="1" t="s">
        <v>349</v>
      </c>
      <c r="K1150" s="1">
        <v>29051700</v>
      </c>
      <c r="L1150" s="6">
        <v>4.8</v>
      </c>
      <c r="M1150" s="1" t="s">
        <v>70</v>
      </c>
      <c r="N1150" s="7" t="s">
        <v>44</v>
      </c>
      <c r="O1150" s="1" t="s">
        <v>53</v>
      </c>
      <c r="P1150" s="8">
        <v>1795</v>
      </c>
      <c r="Q1150" s="17">
        <f>+L1150*P1150</f>
        <v>8616</v>
      </c>
      <c r="R1150" s="9">
        <f>1157/12*4.8</f>
        <v>462.8</v>
      </c>
      <c r="S1150" s="9">
        <f>3.13-0.44-1.46</f>
        <v>1.23</v>
      </c>
      <c r="T1150" s="9">
        <v>0</v>
      </c>
      <c r="U1150" s="10">
        <v>0</v>
      </c>
      <c r="V1150" s="1" t="s">
        <v>46</v>
      </c>
      <c r="W1150" s="1" t="s">
        <v>2755</v>
      </c>
      <c r="X1150" s="1">
        <v>6557184</v>
      </c>
      <c r="Y1150" s="24">
        <v>41983</v>
      </c>
      <c r="Z1150" s="11"/>
      <c r="AA1150" s="9">
        <f t="shared" si="98"/>
        <v>8151.97</v>
      </c>
      <c r="AB1150" s="12">
        <v>61.5</v>
      </c>
      <c r="AC1150" s="9">
        <f t="shared" si="99"/>
        <v>529884</v>
      </c>
      <c r="AD1150" s="9">
        <f t="shared" si="100"/>
        <v>501346.15500000003</v>
      </c>
      <c r="AE1150" s="1" t="s">
        <v>48</v>
      </c>
      <c r="AF1150" s="1" t="s">
        <v>53</v>
      </c>
      <c r="AG1150" s="4">
        <f t="shared" si="105"/>
        <v>8616</v>
      </c>
      <c r="AH1150" s="10">
        <v>8614</v>
      </c>
      <c r="AI1150" s="10">
        <v>459.33</v>
      </c>
      <c r="AJ1150" s="10">
        <v>1.23</v>
      </c>
      <c r="AK1150" s="10">
        <v>0</v>
      </c>
      <c r="AL1150" s="9">
        <f t="shared" si="106"/>
        <v>8153.44</v>
      </c>
      <c r="AM1150" s="1"/>
      <c r="AN1150" s="1"/>
      <c r="AO1150" s="12" t="e">
        <f>AB1150/#REF!</f>
        <v>#REF!</v>
      </c>
      <c r="AP1150" s="1"/>
      <c r="AQ1150" s="11">
        <v>42051</v>
      </c>
      <c r="AR1150" s="1" t="s">
        <v>3416</v>
      </c>
      <c r="AS1150" s="11">
        <v>42053</v>
      </c>
      <c r="AT1150" s="1" t="s">
        <v>49</v>
      </c>
      <c r="AU1150" s="1" t="s">
        <v>4171</v>
      </c>
    </row>
    <row r="1151" spans="1:47" ht="15" customHeight="1" x14ac:dyDescent="0.25">
      <c r="A1151" s="1">
        <v>1147</v>
      </c>
      <c r="B1151" s="1" t="s">
        <v>1258</v>
      </c>
      <c r="C1151" s="1" t="s">
        <v>38</v>
      </c>
      <c r="D1151" s="1">
        <v>9103551031</v>
      </c>
      <c r="E1151" s="5">
        <v>41983</v>
      </c>
      <c r="F1151" s="1" t="s">
        <v>1023</v>
      </c>
      <c r="G1151" s="1" t="s">
        <v>40</v>
      </c>
      <c r="H1151" s="1" t="s">
        <v>41</v>
      </c>
      <c r="I1151" s="1" t="s">
        <v>2809</v>
      </c>
      <c r="J1151" s="1" t="s">
        <v>267</v>
      </c>
      <c r="K1151" s="1">
        <v>29051700</v>
      </c>
      <c r="L1151" s="6">
        <v>48</v>
      </c>
      <c r="M1151" s="1" t="s">
        <v>70</v>
      </c>
      <c r="N1151" s="7" t="s">
        <v>67</v>
      </c>
      <c r="O1151" s="1" t="s">
        <v>53</v>
      </c>
      <c r="P1151" s="8">
        <v>1580</v>
      </c>
      <c r="Q1151" s="17">
        <f t="shared" ref="Q1151:Q1156" si="107">+L1151*P1151</f>
        <v>75840</v>
      </c>
      <c r="R1151" s="9">
        <v>0</v>
      </c>
      <c r="S1151" s="9">
        <v>0</v>
      </c>
      <c r="T1151" s="9">
        <v>0</v>
      </c>
      <c r="U1151" s="10">
        <v>0</v>
      </c>
      <c r="V1151" s="1" t="s">
        <v>46</v>
      </c>
      <c r="W1151" s="1" t="s">
        <v>329</v>
      </c>
      <c r="X1151" s="1">
        <v>6562441</v>
      </c>
      <c r="Y1151" s="24">
        <v>41983</v>
      </c>
      <c r="Z1151" s="11"/>
      <c r="AA1151" s="9">
        <f t="shared" si="98"/>
        <v>75840</v>
      </c>
      <c r="AB1151" s="12">
        <v>61.5</v>
      </c>
      <c r="AC1151" s="9">
        <f t="shared" si="99"/>
        <v>4664160</v>
      </c>
      <c r="AD1151" s="9">
        <f t="shared" si="100"/>
        <v>4664160</v>
      </c>
      <c r="AE1151" s="1" t="s">
        <v>48</v>
      </c>
      <c r="AF1151" s="1" t="s">
        <v>53</v>
      </c>
      <c r="AG1151" s="4">
        <f t="shared" si="105"/>
        <v>75840</v>
      </c>
      <c r="AH1151" s="10">
        <v>75571</v>
      </c>
      <c r="AI1151" s="10">
        <v>0</v>
      </c>
      <c r="AJ1151" s="10">
        <v>0</v>
      </c>
      <c r="AK1151" s="10">
        <v>0</v>
      </c>
      <c r="AL1151" s="9">
        <f t="shared" si="106"/>
        <v>75571</v>
      </c>
      <c r="AM1151" s="1"/>
      <c r="AN1151" s="1"/>
      <c r="AO1151" s="12" t="e">
        <f>AB1151/#REF!</f>
        <v>#REF!</v>
      </c>
      <c r="AP1151" s="1"/>
      <c r="AQ1151" s="11">
        <v>42082</v>
      </c>
      <c r="AR1151" s="1" t="s">
        <v>3417</v>
      </c>
      <c r="AS1151" s="11">
        <v>42083</v>
      </c>
      <c r="AT1151" s="1" t="s">
        <v>49</v>
      </c>
      <c r="AU1151" s="1" t="s">
        <v>4171</v>
      </c>
    </row>
    <row r="1152" spans="1:47" ht="15" customHeight="1" x14ac:dyDescent="0.25">
      <c r="A1152" s="1">
        <v>1148</v>
      </c>
      <c r="B1152" s="1" t="s">
        <v>1258</v>
      </c>
      <c r="C1152" s="1" t="s">
        <v>38</v>
      </c>
      <c r="D1152" s="1">
        <v>9103550934</v>
      </c>
      <c r="E1152" s="5">
        <v>41987</v>
      </c>
      <c r="F1152" s="1" t="s">
        <v>1022</v>
      </c>
      <c r="G1152" s="1" t="s">
        <v>40</v>
      </c>
      <c r="H1152" s="1" t="s">
        <v>41</v>
      </c>
      <c r="I1152" s="1" t="s">
        <v>2809</v>
      </c>
      <c r="J1152" s="1" t="s">
        <v>837</v>
      </c>
      <c r="K1152" s="1">
        <v>38231900</v>
      </c>
      <c r="L1152" s="6">
        <v>19.95</v>
      </c>
      <c r="M1152" s="1" t="s">
        <v>70</v>
      </c>
      <c r="N1152" s="7" t="s">
        <v>44</v>
      </c>
      <c r="O1152" s="1" t="s">
        <v>53</v>
      </c>
      <c r="P1152" s="8">
        <v>3799.9</v>
      </c>
      <c r="Q1152" s="17">
        <f t="shared" si="107"/>
        <v>75808.005000000005</v>
      </c>
      <c r="R1152" s="9">
        <v>6150</v>
      </c>
      <c r="S1152" s="9">
        <v>10.84</v>
      </c>
      <c r="T1152" s="9">
        <v>0</v>
      </c>
      <c r="U1152" s="10">
        <v>0</v>
      </c>
      <c r="V1152" s="1" t="s">
        <v>46</v>
      </c>
      <c r="W1152" s="1" t="s">
        <v>56</v>
      </c>
      <c r="X1152" s="1">
        <v>6562442</v>
      </c>
      <c r="Y1152" s="24">
        <v>41983</v>
      </c>
      <c r="Z1152" s="11"/>
      <c r="AA1152" s="9">
        <f t="shared" si="98"/>
        <v>69647.165000000008</v>
      </c>
      <c r="AB1152" s="12">
        <v>61.5</v>
      </c>
      <c r="AC1152" s="9">
        <f t="shared" si="99"/>
        <v>4662192.3075000001</v>
      </c>
      <c r="AD1152" s="9">
        <f t="shared" si="100"/>
        <v>4283300.6475000009</v>
      </c>
      <c r="AE1152" s="1" t="s">
        <v>57</v>
      </c>
      <c r="AF1152" s="1" t="s">
        <v>53</v>
      </c>
      <c r="AG1152" s="4">
        <f t="shared" si="105"/>
        <v>75808.005000000005</v>
      </c>
      <c r="AH1152" s="10">
        <v>75778.009999999995</v>
      </c>
      <c r="AI1152" s="10">
        <v>6150</v>
      </c>
      <c r="AJ1152" s="10">
        <v>10.84</v>
      </c>
      <c r="AK1152" s="10">
        <v>0</v>
      </c>
      <c r="AL1152" s="9">
        <f t="shared" si="106"/>
        <v>69617.17</v>
      </c>
      <c r="AM1152" s="1"/>
      <c r="AN1152" s="1"/>
      <c r="AO1152" s="12" t="e">
        <f>AB1152/#REF!</f>
        <v>#REF!</v>
      </c>
      <c r="AP1152" s="1" t="s">
        <v>2756</v>
      </c>
      <c r="AQ1152" s="11">
        <v>42048</v>
      </c>
      <c r="AR1152" s="1" t="s">
        <v>2757</v>
      </c>
      <c r="AS1152" s="11">
        <v>42049</v>
      </c>
      <c r="AT1152" s="1" t="s">
        <v>49</v>
      </c>
      <c r="AU1152" s="1" t="s">
        <v>4171</v>
      </c>
    </row>
    <row r="1153" spans="1:47" ht="15" customHeight="1" x14ac:dyDescent="0.25">
      <c r="A1153" s="1">
        <v>1149</v>
      </c>
      <c r="B1153" s="1" t="s">
        <v>1258</v>
      </c>
      <c r="C1153" s="1" t="s">
        <v>38</v>
      </c>
      <c r="D1153" s="1">
        <v>9103550935</v>
      </c>
      <c r="E1153" s="5">
        <v>41988</v>
      </c>
      <c r="F1153" s="1" t="s">
        <v>1021</v>
      </c>
      <c r="G1153" s="1" t="s">
        <v>40</v>
      </c>
      <c r="H1153" s="1" t="s">
        <v>41</v>
      </c>
      <c r="I1153" s="1" t="s">
        <v>2809</v>
      </c>
      <c r="J1153" s="1" t="s">
        <v>187</v>
      </c>
      <c r="K1153" s="1">
        <v>38237090</v>
      </c>
      <c r="L1153" s="6">
        <v>18.27</v>
      </c>
      <c r="M1153" s="1" t="s">
        <v>70</v>
      </c>
      <c r="N1153" s="7" t="s">
        <v>44</v>
      </c>
      <c r="O1153" s="1" t="s">
        <v>53</v>
      </c>
      <c r="P1153" s="8">
        <v>1495</v>
      </c>
      <c r="Q1153" s="17">
        <f t="shared" si="107"/>
        <v>27313.649999999998</v>
      </c>
      <c r="R1153" s="9">
        <v>2800</v>
      </c>
      <c r="S1153" s="9">
        <v>3.91</v>
      </c>
      <c r="T1153" s="9">
        <v>0</v>
      </c>
      <c r="U1153" s="10">
        <v>0</v>
      </c>
      <c r="V1153" s="1" t="s">
        <v>46</v>
      </c>
      <c r="W1153" s="1" t="s">
        <v>56</v>
      </c>
      <c r="X1153" s="1">
        <v>6572217</v>
      </c>
      <c r="Y1153" s="24">
        <v>41984</v>
      </c>
      <c r="Z1153" s="11"/>
      <c r="AA1153" s="9">
        <f t="shared" si="98"/>
        <v>24509.739999999998</v>
      </c>
      <c r="AB1153" s="12">
        <v>61.5</v>
      </c>
      <c r="AC1153" s="9">
        <f t="shared" si="99"/>
        <v>1679789.4749999999</v>
      </c>
      <c r="AD1153" s="9">
        <f t="shared" si="100"/>
        <v>1507349.0099999998</v>
      </c>
      <c r="AE1153" s="1" t="s">
        <v>48</v>
      </c>
      <c r="AF1153" s="1" t="s">
        <v>53</v>
      </c>
      <c r="AG1153" s="4">
        <f t="shared" si="105"/>
        <v>27313.649999999998</v>
      </c>
      <c r="AH1153" s="10">
        <v>27313.65</v>
      </c>
      <c r="AI1153" s="10">
        <v>2800</v>
      </c>
      <c r="AJ1153" s="10">
        <v>3.91</v>
      </c>
      <c r="AK1153" s="10">
        <v>0</v>
      </c>
      <c r="AL1153" s="9">
        <f t="shared" si="106"/>
        <v>24509.74</v>
      </c>
      <c r="AM1153" s="1"/>
      <c r="AN1153" s="1"/>
      <c r="AO1153" s="12" t="e">
        <f>AB1153/#REF!</f>
        <v>#REF!</v>
      </c>
      <c r="AP1153" s="1"/>
      <c r="AQ1153" s="11">
        <v>42072</v>
      </c>
      <c r="AR1153" s="1" t="s">
        <v>3418</v>
      </c>
      <c r="AS1153" s="11">
        <v>42073</v>
      </c>
      <c r="AT1153" s="1" t="s">
        <v>49</v>
      </c>
      <c r="AU1153" s="1" t="s">
        <v>4171</v>
      </c>
    </row>
    <row r="1154" spans="1:47" ht="15" customHeight="1" x14ac:dyDescent="0.25">
      <c r="A1154" s="1">
        <v>1150</v>
      </c>
      <c r="B1154" s="1" t="s">
        <v>1258</v>
      </c>
      <c r="C1154" s="1" t="s">
        <v>38</v>
      </c>
      <c r="D1154" s="1">
        <v>9103550936</v>
      </c>
      <c r="E1154" s="5">
        <v>41988</v>
      </c>
      <c r="F1154" s="1" t="s">
        <v>1024</v>
      </c>
      <c r="G1154" s="1" t="s">
        <v>40</v>
      </c>
      <c r="H1154" s="1" t="s">
        <v>41</v>
      </c>
      <c r="I1154" s="1" t="s">
        <v>2809</v>
      </c>
      <c r="J1154" s="1" t="s">
        <v>50</v>
      </c>
      <c r="K1154" s="1">
        <v>38237090</v>
      </c>
      <c r="L1154" s="6">
        <v>73.12</v>
      </c>
      <c r="M1154" s="1" t="s">
        <v>70</v>
      </c>
      <c r="N1154" s="7" t="s">
        <v>52</v>
      </c>
      <c r="O1154" s="1" t="s">
        <v>45</v>
      </c>
      <c r="P1154" s="8">
        <v>1030</v>
      </c>
      <c r="Q1154" s="17">
        <f t="shared" si="107"/>
        <v>75313.600000000006</v>
      </c>
      <c r="R1154" s="9">
        <v>2611.81</v>
      </c>
      <c r="S1154" s="9">
        <v>0</v>
      </c>
      <c r="T1154" s="9">
        <v>0</v>
      </c>
      <c r="U1154" s="10">
        <v>0</v>
      </c>
      <c r="V1154" s="1" t="s">
        <v>46</v>
      </c>
      <c r="W1154" s="1" t="s">
        <v>2657</v>
      </c>
      <c r="X1154" s="1">
        <v>6579415</v>
      </c>
      <c r="Y1154" s="24">
        <v>41984</v>
      </c>
      <c r="Z1154" s="11"/>
      <c r="AA1154" s="9">
        <f t="shared" si="98"/>
        <v>72701.790000000008</v>
      </c>
      <c r="AB1154" s="12">
        <v>75.349999999999994</v>
      </c>
      <c r="AC1154" s="9">
        <f t="shared" si="99"/>
        <v>5674879.7599999998</v>
      </c>
      <c r="AD1154" s="9">
        <f t="shared" si="100"/>
        <v>5478079.8765000002</v>
      </c>
      <c r="AE1154" s="1" t="s">
        <v>51</v>
      </c>
      <c r="AF1154" s="1" t="s">
        <v>45</v>
      </c>
      <c r="AG1154" s="4">
        <f t="shared" si="105"/>
        <v>75313.600000000006</v>
      </c>
      <c r="AH1154" s="10">
        <v>75313</v>
      </c>
      <c r="AI1154" s="10">
        <v>2768.52</v>
      </c>
      <c r="AJ1154" s="10">
        <v>0</v>
      </c>
      <c r="AK1154" s="10">
        <v>0</v>
      </c>
      <c r="AL1154" s="9">
        <f t="shared" si="106"/>
        <v>72544.479999999996</v>
      </c>
      <c r="AM1154" s="1"/>
      <c r="AN1154" s="1"/>
      <c r="AO1154" s="12" t="e">
        <f>AB1154/#REF!</f>
        <v>#REF!</v>
      </c>
      <c r="AP1154" s="1"/>
      <c r="AQ1154" s="11">
        <v>42067</v>
      </c>
      <c r="AR1154" s="1" t="s">
        <v>3724</v>
      </c>
      <c r="AS1154" s="11">
        <v>42068</v>
      </c>
      <c r="AT1154" s="1" t="s">
        <v>49</v>
      </c>
      <c r="AU1154" s="1" t="s">
        <v>4171</v>
      </c>
    </row>
    <row r="1155" spans="1:47" ht="15" customHeight="1" x14ac:dyDescent="0.25">
      <c r="A1155" s="1">
        <v>1151</v>
      </c>
      <c r="B1155" s="1" t="s">
        <v>1258</v>
      </c>
      <c r="C1155" s="1" t="s">
        <v>38</v>
      </c>
      <c r="D1155" s="1">
        <v>9103550942</v>
      </c>
      <c r="E1155" s="5">
        <v>41997</v>
      </c>
      <c r="F1155" s="1" t="s">
        <v>1031</v>
      </c>
      <c r="G1155" s="1" t="s">
        <v>40</v>
      </c>
      <c r="H1155" s="1" t="s">
        <v>41</v>
      </c>
      <c r="I1155" s="1" t="s">
        <v>2809</v>
      </c>
      <c r="J1155" s="1" t="s">
        <v>2758</v>
      </c>
      <c r="K1155" s="1">
        <v>29051700</v>
      </c>
      <c r="L1155" s="6">
        <v>15</v>
      </c>
      <c r="M1155" s="1" t="s">
        <v>70</v>
      </c>
      <c r="N1155" s="7" t="s">
        <v>44</v>
      </c>
      <c r="O1155" s="1" t="s">
        <v>53</v>
      </c>
      <c r="P1155" s="8">
        <v>1640</v>
      </c>
      <c r="Q1155" s="17">
        <f t="shared" si="107"/>
        <v>24600</v>
      </c>
      <c r="R1155" s="9">
        <v>1000</v>
      </c>
      <c r="S1155" s="9">
        <v>3.52</v>
      </c>
      <c r="T1155" s="9">
        <v>459</v>
      </c>
      <c r="U1155" s="10">
        <v>0</v>
      </c>
      <c r="V1155" s="1" t="s">
        <v>46</v>
      </c>
      <c r="W1155" s="1" t="s">
        <v>90</v>
      </c>
      <c r="X1155" s="1">
        <v>6586416</v>
      </c>
      <c r="Y1155" s="24">
        <v>41984</v>
      </c>
      <c r="Z1155" s="11"/>
      <c r="AA1155" s="9">
        <f t="shared" si="98"/>
        <v>23596.48</v>
      </c>
      <c r="AB1155" s="12">
        <v>61.5</v>
      </c>
      <c r="AC1155" s="9">
        <f t="shared" si="99"/>
        <v>1512900</v>
      </c>
      <c r="AD1155" s="9">
        <f t="shared" si="100"/>
        <v>1451183.52</v>
      </c>
      <c r="AE1155" s="1" t="s">
        <v>48</v>
      </c>
      <c r="AF1155" s="1" t="s">
        <v>53</v>
      </c>
      <c r="AG1155" s="4">
        <f t="shared" si="105"/>
        <v>24600</v>
      </c>
      <c r="AH1155" s="10">
        <v>24553</v>
      </c>
      <c r="AI1155" s="9">
        <v>1001</v>
      </c>
      <c r="AJ1155" s="9">
        <v>3.52</v>
      </c>
      <c r="AK1155" s="9">
        <v>459</v>
      </c>
      <c r="AL1155" s="9">
        <f t="shared" si="106"/>
        <v>23089.48</v>
      </c>
      <c r="AM1155" s="1"/>
      <c r="AN1155" s="1"/>
      <c r="AO1155" s="12" t="e">
        <f>AB1155/#REF!</f>
        <v>#REF!</v>
      </c>
      <c r="AP1155" s="1"/>
      <c r="AQ1155" s="11">
        <v>42087</v>
      </c>
      <c r="AR1155" s="1" t="s">
        <v>3419</v>
      </c>
      <c r="AS1155" s="11">
        <v>42088</v>
      </c>
      <c r="AT1155" s="1" t="s">
        <v>49</v>
      </c>
      <c r="AU1155" s="1" t="s">
        <v>4171</v>
      </c>
    </row>
    <row r="1156" spans="1:47" ht="15" customHeight="1" x14ac:dyDescent="0.25">
      <c r="A1156" s="1">
        <v>1152</v>
      </c>
      <c r="B1156" s="1" t="s">
        <v>1258</v>
      </c>
      <c r="C1156" s="1" t="s">
        <v>38</v>
      </c>
      <c r="D1156" s="1">
        <v>9103550943</v>
      </c>
      <c r="E1156" s="5">
        <v>41988</v>
      </c>
      <c r="F1156" s="1" t="s">
        <v>1025</v>
      </c>
      <c r="G1156" s="1" t="s">
        <v>40</v>
      </c>
      <c r="H1156" s="1" t="s">
        <v>41</v>
      </c>
      <c r="I1156" s="1" t="s">
        <v>2809</v>
      </c>
      <c r="J1156" s="1" t="s">
        <v>50</v>
      </c>
      <c r="K1156" s="1">
        <v>38237090</v>
      </c>
      <c r="L1156" s="6">
        <v>15</v>
      </c>
      <c r="M1156" s="1" t="s">
        <v>70</v>
      </c>
      <c r="N1156" s="7" t="s">
        <v>52</v>
      </c>
      <c r="O1156" s="1" t="s">
        <v>53</v>
      </c>
      <c r="P1156" s="8">
        <v>3660</v>
      </c>
      <c r="Q1156" s="17">
        <f t="shared" si="107"/>
        <v>54900</v>
      </c>
      <c r="R1156" s="9">
        <v>700</v>
      </c>
      <c r="S1156" s="9">
        <v>0</v>
      </c>
      <c r="T1156" s="9">
        <v>0</v>
      </c>
      <c r="U1156" s="10">
        <v>0</v>
      </c>
      <c r="V1156" s="1" t="s">
        <v>46</v>
      </c>
      <c r="W1156" s="1" t="s">
        <v>2657</v>
      </c>
      <c r="X1156" s="1">
        <v>6585348</v>
      </c>
      <c r="Y1156" s="24">
        <v>41984</v>
      </c>
      <c r="Z1156" s="11"/>
      <c r="AA1156" s="9">
        <f t="shared" si="98"/>
        <v>54200</v>
      </c>
      <c r="AB1156" s="12">
        <v>61.5</v>
      </c>
      <c r="AC1156" s="9">
        <f t="shared" si="99"/>
        <v>3376350</v>
      </c>
      <c r="AD1156" s="9">
        <f t="shared" si="100"/>
        <v>3333300</v>
      </c>
      <c r="AE1156" s="1" t="s">
        <v>51</v>
      </c>
      <c r="AF1156" s="1" t="s">
        <v>53</v>
      </c>
      <c r="AG1156" s="4">
        <f t="shared" si="105"/>
        <v>54900</v>
      </c>
      <c r="AH1156" s="10">
        <v>54900</v>
      </c>
      <c r="AI1156" s="10">
        <v>685</v>
      </c>
      <c r="AJ1156" s="10">
        <v>0</v>
      </c>
      <c r="AK1156" s="10">
        <v>0</v>
      </c>
      <c r="AL1156" s="9">
        <f t="shared" si="106"/>
        <v>54215</v>
      </c>
      <c r="AM1156" s="1"/>
      <c r="AN1156" s="1"/>
      <c r="AO1156" s="12" t="e">
        <f>AB1156/#REF!</f>
        <v>#REF!</v>
      </c>
      <c r="AP1156" s="1"/>
      <c r="AQ1156" s="11">
        <v>42067</v>
      </c>
      <c r="AR1156" s="1" t="s">
        <v>3652</v>
      </c>
      <c r="AS1156" s="11">
        <v>42068</v>
      </c>
      <c r="AT1156" s="1" t="s">
        <v>49</v>
      </c>
      <c r="AU1156" s="1" t="s">
        <v>4171</v>
      </c>
    </row>
    <row r="1157" spans="1:47" ht="15" customHeight="1" x14ac:dyDescent="0.25">
      <c r="A1157" s="1">
        <v>1153</v>
      </c>
      <c r="B1157" s="1" t="s">
        <v>1258</v>
      </c>
      <c r="C1157" s="1" t="s">
        <v>38</v>
      </c>
      <c r="D1157" s="1">
        <v>9103550944</v>
      </c>
      <c r="E1157" s="5">
        <v>41988</v>
      </c>
      <c r="F1157" s="1" t="s">
        <v>1028</v>
      </c>
      <c r="G1157" s="1" t="s">
        <v>40</v>
      </c>
      <c r="H1157" s="1" t="s">
        <v>41</v>
      </c>
      <c r="I1157" s="1" t="s">
        <v>2809</v>
      </c>
      <c r="J1157" s="1" t="s">
        <v>2759</v>
      </c>
      <c r="K1157" s="1">
        <v>38237090</v>
      </c>
      <c r="L1157" s="6">
        <v>12</v>
      </c>
      <c r="M1157" s="1" t="s">
        <v>70</v>
      </c>
      <c r="N1157" s="7" t="s">
        <v>44</v>
      </c>
      <c r="O1157" s="1" t="s">
        <v>53</v>
      </c>
      <c r="P1157" s="8">
        <v>1460</v>
      </c>
      <c r="Q1157" s="17">
        <f t="shared" si="97"/>
        <v>17520</v>
      </c>
      <c r="R1157" s="9">
        <f>65/15*12</f>
        <v>52</v>
      </c>
      <c r="S1157" s="9">
        <f>19272*0.013%</f>
        <v>2.5053599999999996</v>
      </c>
      <c r="T1157" s="9">
        <v>0</v>
      </c>
      <c r="U1157" s="10">
        <v>0</v>
      </c>
      <c r="V1157" s="1" t="s">
        <v>46</v>
      </c>
      <c r="W1157" s="1" t="s">
        <v>72</v>
      </c>
      <c r="X1157" s="1">
        <v>6585369</v>
      </c>
      <c r="Y1157" s="24">
        <v>41984</v>
      </c>
      <c r="Z1157" s="11"/>
      <c r="AA1157" s="9">
        <f t="shared" si="98"/>
        <v>17465.494640000001</v>
      </c>
      <c r="AB1157" s="12">
        <v>61.5</v>
      </c>
      <c r="AC1157" s="9">
        <f t="shared" si="99"/>
        <v>1077480</v>
      </c>
      <c r="AD1157" s="9">
        <f t="shared" si="100"/>
        <v>1074127.9203600001</v>
      </c>
      <c r="AE1157" s="1" t="s">
        <v>48</v>
      </c>
      <c r="AF1157" s="1" t="s">
        <v>53</v>
      </c>
      <c r="AG1157" s="4">
        <f t="shared" si="105"/>
        <v>17520</v>
      </c>
      <c r="AH1157" s="10">
        <v>17490</v>
      </c>
      <c r="AI1157" s="10">
        <v>53</v>
      </c>
      <c r="AJ1157" s="10">
        <v>2.52</v>
      </c>
      <c r="AK1157" s="10">
        <v>0</v>
      </c>
      <c r="AL1157" s="9">
        <f t="shared" si="106"/>
        <v>17434.48</v>
      </c>
      <c r="AM1157" s="1"/>
      <c r="AN1157" s="1"/>
      <c r="AO1157" s="12" t="e">
        <f>AB1157/#REF!</f>
        <v>#REF!</v>
      </c>
      <c r="AP1157" s="1"/>
      <c r="AQ1157" s="11">
        <v>42087</v>
      </c>
      <c r="AR1157" s="1" t="s">
        <v>3420</v>
      </c>
      <c r="AS1157" s="11">
        <v>42088</v>
      </c>
      <c r="AT1157" s="1" t="s">
        <v>49</v>
      </c>
      <c r="AU1157" s="1" t="s">
        <v>4171</v>
      </c>
    </row>
    <row r="1158" spans="1:47" ht="15" customHeight="1" x14ac:dyDescent="0.25">
      <c r="A1158" s="1">
        <v>1154</v>
      </c>
      <c r="B1158" s="1" t="s">
        <v>1258</v>
      </c>
      <c r="C1158" s="1" t="s">
        <v>38</v>
      </c>
      <c r="D1158" s="1">
        <v>9103550944</v>
      </c>
      <c r="E1158" s="5">
        <v>41988</v>
      </c>
      <c r="F1158" s="1" t="s">
        <v>1028</v>
      </c>
      <c r="G1158" s="1" t="s">
        <v>40</v>
      </c>
      <c r="H1158" s="1" t="s">
        <v>41</v>
      </c>
      <c r="I1158" s="1" t="s">
        <v>2809</v>
      </c>
      <c r="J1158" s="1" t="s">
        <v>2759</v>
      </c>
      <c r="K1158" s="1">
        <v>29051700</v>
      </c>
      <c r="L1158" s="6">
        <v>3</v>
      </c>
      <c r="M1158" s="1" t="s">
        <v>70</v>
      </c>
      <c r="N1158" s="7" t="s">
        <v>44</v>
      </c>
      <c r="O1158" s="1" t="s">
        <v>53</v>
      </c>
      <c r="P1158" s="8">
        <v>1590</v>
      </c>
      <c r="Q1158" s="17">
        <f t="shared" si="97"/>
        <v>4770</v>
      </c>
      <c r="R1158" s="9">
        <f>65/15*3</f>
        <v>13</v>
      </c>
      <c r="S1158" s="9">
        <f>3.19-2.51</f>
        <v>0.68000000000000016</v>
      </c>
      <c r="T1158" s="9">
        <v>0</v>
      </c>
      <c r="U1158" s="10">
        <v>0</v>
      </c>
      <c r="V1158" s="1" t="s">
        <v>46</v>
      </c>
      <c r="W1158" s="1" t="s">
        <v>72</v>
      </c>
      <c r="X1158" s="1">
        <v>6585369</v>
      </c>
      <c r="Y1158" s="24">
        <v>41984</v>
      </c>
      <c r="Z1158" s="11"/>
      <c r="AA1158" s="9">
        <f t="shared" si="98"/>
        <v>4756.32</v>
      </c>
      <c r="AB1158" s="12">
        <v>61.5</v>
      </c>
      <c r="AC1158" s="9">
        <f t="shared" si="99"/>
        <v>293355</v>
      </c>
      <c r="AD1158" s="9">
        <f t="shared" si="100"/>
        <v>292513.68</v>
      </c>
      <c r="AE1158" s="1" t="s">
        <v>48</v>
      </c>
      <c r="AF1158" s="1" t="s">
        <v>53</v>
      </c>
      <c r="AG1158" s="4">
        <f t="shared" si="105"/>
        <v>4770</v>
      </c>
      <c r="AH1158" s="10">
        <v>4753</v>
      </c>
      <c r="AI1158" s="10">
        <v>5</v>
      </c>
      <c r="AJ1158" s="10">
        <v>0.67</v>
      </c>
      <c r="AK1158" s="10">
        <v>0</v>
      </c>
      <c r="AL1158" s="9">
        <f t="shared" si="106"/>
        <v>4747.33</v>
      </c>
      <c r="AM1158" s="1"/>
      <c r="AN1158" s="1"/>
      <c r="AO1158" s="12" t="e">
        <f>AB1158/#REF!</f>
        <v>#REF!</v>
      </c>
      <c r="AP1158" s="1"/>
      <c r="AQ1158" s="11">
        <v>42087</v>
      </c>
      <c r="AR1158" s="1" t="s">
        <v>3420</v>
      </c>
      <c r="AS1158" s="11">
        <v>42088</v>
      </c>
      <c r="AT1158" s="1" t="s">
        <v>49</v>
      </c>
      <c r="AU1158" s="1" t="s">
        <v>4171</v>
      </c>
    </row>
    <row r="1159" spans="1:47" ht="15" customHeight="1" x14ac:dyDescent="0.25">
      <c r="A1159" s="1">
        <v>1155</v>
      </c>
      <c r="B1159" s="1" t="s">
        <v>1258</v>
      </c>
      <c r="C1159" s="1" t="s">
        <v>38</v>
      </c>
      <c r="D1159" s="1">
        <v>9103550945</v>
      </c>
      <c r="E1159" s="5">
        <v>41991</v>
      </c>
      <c r="F1159" s="1" t="s">
        <v>1004</v>
      </c>
      <c r="G1159" s="1" t="s">
        <v>40</v>
      </c>
      <c r="H1159" s="1" t="s">
        <v>41</v>
      </c>
      <c r="I1159" s="1" t="s">
        <v>2809</v>
      </c>
      <c r="J1159" s="1" t="s">
        <v>360</v>
      </c>
      <c r="K1159" s="1">
        <v>38237090</v>
      </c>
      <c r="L1159" s="6">
        <v>5</v>
      </c>
      <c r="M1159" s="1" t="s">
        <v>70</v>
      </c>
      <c r="N1159" s="7" t="s">
        <v>67</v>
      </c>
      <c r="O1159" s="1" t="s">
        <v>53</v>
      </c>
      <c r="P1159" s="8">
        <v>1685</v>
      </c>
      <c r="Q1159" s="17">
        <f t="shared" si="97"/>
        <v>8425</v>
      </c>
      <c r="R1159" s="9">
        <v>0</v>
      </c>
      <c r="S1159" s="9">
        <v>0</v>
      </c>
      <c r="T1159" s="9">
        <v>0</v>
      </c>
      <c r="U1159" s="10">
        <v>0</v>
      </c>
      <c r="V1159" s="1" t="s">
        <v>46</v>
      </c>
      <c r="W1159" s="1" t="s">
        <v>2760</v>
      </c>
      <c r="X1159" s="1">
        <v>6524232</v>
      </c>
      <c r="Y1159" s="24">
        <v>41982</v>
      </c>
      <c r="Z1159" s="11"/>
      <c r="AA1159" s="9">
        <f t="shared" si="98"/>
        <v>8425</v>
      </c>
      <c r="AB1159" s="12">
        <v>61.5</v>
      </c>
      <c r="AC1159" s="9">
        <f t="shared" si="99"/>
        <v>518137.5</v>
      </c>
      <c r="AD1159" s="9">
        <f t="shared" si="100"/>
        <v>518137.5</v>
      </c>
      <c r="AE1159" s="1" t="s">
        <v>48</v>
      </c>
      <c r="AF1159" s="1" t="s">
        <v>53</v>
      </c>
      <c r="AG1159" s="4">
        <f t="shared" si="105"/>
        <v>8425</v>
      </c>
      <c r="AH1159" s="10">
        <v>8400</v>
      </c>
      <c r="AI1159" s="10"/>
      <c r="AJ1159" s="10"/>
      <c r="AK1159" s="10"/>
      <c r="AL1159" s="9">
        <f t="shared" si="106"/>
        <v>8400</v>
      </c>
      <c r="AM1159" s="1"/>
      <c r="AN1159" s="1"/>
      <c r="AO1159" s="12" t="e">
        <f>AB1159/#REF!</f>
        <v>#REF!</v>
      </c>
      <c r="AP1159" s="1" t="s">
        <v>2761</v>
      </c>
      <c r="AQ1159" s="11">
        <v>42039</v>
      </c>
      <c r="AR1159" s="1" t="s">
        <v>2762</v>
      </c>
      <c r="AS1159" s="11">
        <v>42040</v>
      </c>
      <c r="AT1159" s="1" t="s">
        <v>49</v>
      </c>
      <c r="AU1159" s="1" t="s">
        <v>4171</v>
      </c>
    </row>
    <row r="1160" spans="1:47" ht="15" customHeight="1" x14ac:dyDescent="0.25">
      <c r="A1160" s="1">
        <v>1156</v>
      </c>
      <c r="B1160" s="1" t="s">
        <v>1258</v>
      </c>
      <c r="C1160" s="1" t="s">
        <v>38</v>
      </c>
      <c r="D1160" s="1">
        <v>9103550946</v>
      </c>
      <c r="E1160" s="5">
        <v>41990</v>
      </c>
      <c r="F1160" s="1" t="s">
        <v>1032</v>
      </c>
      <c r="G1160" s="1" t="s">
        <v>40</v>
      </c>
      <c r="H1160" s="1" t="s">
        <v>41</v>
      </c>
      <c r="I1160" s="1" t="s">
        <v>2809</v>
      </c>
      <c r="J1160" s="1" t="s">
        <v>2763</v>
      </c>
      <c r="K1160" s="1">
        <v>38231200</v>
      </c>
      <c r="L1160" s="6">
        <v>19.440000000000001</v>
      </c>
      <c r="M1160" s="1" t="s">
        <v>70</v>
      </c>
      <c r="N1160" s="7" t="s">
        <v>44</v>
      </c>
      <c r="O1160" s="1" t="s">
        <v>1622</v>
      </c>
      <c r="P1160" s="8">
        <v>774</v>
      </c>
      <c r="Q1160" s="17">
        <f t="shared" si="97"/>
        <v>15046.560000000001</v>
      </c>
      <c r="R1160" s="9">
        <v>527.97</v>
      </c>
      <c r="S1160" s="9">
        <v>2.15</v>
      </c>
      <c r="T1160" s="9">
        <v>0</v>
      </c>
      <c r="U1160" s="10">
        <v>0</v>
      </c>
      <c r="V1160" s="1" t="s">
        <v>46</v>
      </c>
      <c r="W1160" s="1" t="s">
        <v>146</v>
      </c>
      <c r="X1160" s="1">
        <v>6604238</v>
      </c>
      <c r="Y1160" s="24">
        <v>41985</v>
      </c>
      <c r="Z1160" s="11"/>
      <c r="AA1160" s="9">
        <f t="shared" si="98"/>
        <v>14516.440000000002</v>
      </c>
      <c r="AB1160" s="12">
        <v>96.1</v>
      </c>
      <c r="AC1160" s="9">
        <f t="shared" si="99"/>
        <v>1445974.416</v>
      </c>
      <c r="AD1160" s="9">
        <f t="shared" si="100"/>
        <v>1395029.8840000001</v>
      </c>
      <c r="AE1160" s="1" t="s">
        <v>48</v>
      </c>
      <c r="AF1160" s="1" t="s">
        <v>1622</v>
      </c>
      <c r="AG1160" s="4">
        <f t="shared" si="105"/>
        <v>15046.560000000001</v>
      </c>
      <c r="AH1160" s="10">
        <v>14781.86</v>
      </c>
      <c r="AI1160" s="10"/>
      <c r="AJ1160" s="10"/>
      <c r="AK1160" s="10"/>
      <c r="AL1160" s="9">
        <f t="shared" si="106"/>
        <v>14781.86</v>
      </c>
      <c r="AM1160" s="1"/>
      <c r="AN1160" s="1"/>
      <c r="AO1160" s="12" t="e">
        <f>AB1160/#REF!</f>
        <v>#REF!</v>
      </c>
      <c r="AP1160" s="1" t="s">
        <v>4190</v>
      </c>
      <c r="AQ1160" s="11">
        <v>42179</v>
      </c>
      <c r="AR1160" s="1" t="s">
        <v>4191</v>
      </c>
      <c r="AS1160" s="11">
        <v>42180</v>
      </c>
      <c r="AT1160" s="1" t="s">
        <v>49</v>
      </c>
      <c r="AU1160" s="1" t="s">
        <v>4171</v>
      </c>
    </row>
    <row r="1161" spans="1:47" ht="15" customHeight="1" x14ac:dyDescent="0.25">
      <c r="A1161" s="1">
        <v>1157</v>
      </c>
      <c r="B1161" s="1" t="s">
        <v>1258</v>
      </c>
      <c r="C1161" s="1" t="s">
        <v>38</v>
      </c>
      <c r="D1161" s="1">
        <v>9103550947</v>
      </c>
      <c r="E1161" s="5">
        <v>41990</v>
      </c>
      <c r="F1161" s="1" t="s">
        <v>1033</v>
      </c>
      <c r="G1161" s="1" t="s">
        <v>40</v>
      </c>
      <c r="H1161" s="1" t="s">
        <v>41</v>
      </c>
      <c r="I1161" s="1" t="s">
        <v>2809</v>
      </c>
      <c r="J1161" s="1" t="s">
        <v>1092</v>
      </c>
      <c r="K1161" s="1">
        <v>38237090</v>
      </c>
      <c r="L1161" s="6">
        <v>15</v>
      </c>
      <c r="M1161" s="1" t="s">
        <v>70</v>
      </c>
      <c r="N1161" s="7" t="s">
        <v>44</v>
      </c>
      <c r="O1161" s="1" t="s">
        <v>53</v>
      </c>
      <c r="P1161" s="8">
        <v>1570</v>
      </c>
      <c r="Q1161" s="17">
        <f t="shared" si="97"/>
        <v>23550</v>
      </c>
      <c r="R1161" s="9">
        <v>681</v>
      </c>
      <c r="S1161" s="9">
        <v>3.37</v>
      </c>
      <c r="T1161" s="9">
        <v>0</v>
      </c>
      <c r="U1161" s="10">
        <v>0</v>
      </c>
      <c r="V1161" s="1" t="s">
        <v>46</v>
      </c>
      <c r="W1161" s="1" t="s">
        <v>143</v>
      </c>
      <c r="X1161" s="3">
        <v>6604230</v>
      </c>
      <c r="Y1161" s="24">
        <v>41985</v>
      </c>
      <c r="Z1161" s="11"/>
      <c r="AA1161" s="9">
        <f t="shared" si="98"/>
        <v>22865.63</v>
      </c>
      <c r="AB1161" s="12">
        <v>61.5</v>
      </c>
      <c r="AC1161" s="9">
        <f t="shared" si="99"/>
        <v>1448325</v>
      </c>
      <c r="AD1161" s="9">
        <f t="shared" si="100"/>
        <v>1406236.2450000001</v>
      </c>
      <c r="AE1161" s="1" t="s">
        <v>48</v>
      </c>
      <c r="AF1161" s="1" t="s">
        <v>53</v>
      </c>
      <c r="AG1161" s="4">
        <f t="shared" si="105"/>
        <v>23550</v>
      </c>
      <c r="AH1161" s="10">
        <v>23550</v>
      </c>
      <c r="AI1161" s="10">
        <v>326.5</v>
      </c>
      <c r="AJ1161" s="10">
        <v>1.68</v>
      </c>
      <c r="AK1161" s="10">
        <v>0</v>
      </c>
      <c r="AL1161" s="9">
        <f t="shared" si="106"/>
        <v>23221.82</v>
      </c>
      <c r="AM1161" s="1"/>
      <c r="AN1161" s="1"/>
      <c r="AO1161" s="12" t="e">
        <f>AB1161/#REF!</f>
        <v>#REF!</v>
      </c>
      <c r="AP1161" s="1"/>
      <c r="AQ1161" s="11">
        <v>42055</v>
      </c>
      <c r="AR1161" s="1" t="s">
        <v>3421</v>
      </c>
      <c r="AS1161" s="11">
        <v>42056</v>
      </c>
      <c r="AT1161" s="1" t="s">
        <v>49</v>
      </c>
      <c r="AU1161" s="1" t="s">
        <v>4171</v>
      </c>
    </row>
    <row r="1162" spans="1:47" ht="15" customHeight="1" x14ac:dyDescent="0.25">
      <c r="A1162" s="1">
        <v>1158</v>
      </c>
      <c r="B1162" s="1" t="s">
        <v>1258</v>
      </c>
      <c r="C1162" s="1" t="s">
        <v>38</v>
      </c>
      <c r="D1162" s="1">
        <v>9103550948</v>
      </c>
      <c r="E1162" s="5">
        <v>41990</v>
      </c>
      <c r="F1162" s="1" t="s">
        <v>1030</v>
      </c>
      <c r="G1162" s="1" t="s">
        <v>40</v>
      </c>
      <c r="H1162" s="1" t="s">
        <v>41</v>
      </c>
      <c r="I1162" s="1" t="s">
        <v>2809</v>
      </c>
      <c r="J1162" s="1" t="s">
        <v>2764</v>
      </c>
      <c r="K1162" s="1">
        <v>38237090</v>
      </c>
      <c r="L1162" s="6">
        <v>12</v>
      </c>
      <c r="M1162" s="1" t="s">
        <v>70</v>
      </c>
      <c r="N1162" s="7" t="s">
        <v>2765</v>
      </c>
      <c r="O1162" s="1" t="s">
        <v>53</v>
      </c>
      <c r="P1162" s="8">
        <v>1680</v>
      </c>
      <c r="Q1162" s="17">
        <f t="shared" si="97"/>
        <v>20160</v>
      </c>
      <c r="R1162" s="9">
        <v>0</v>
      </c>
      <c r="S1162" s="9">
        <v>0</v>
      </c>
      <c r="T1162" s="9">
        <v>0</v>
      </c>
      <c r="U1162" s="10">
        <v>0</v>
      </c>
      <c r="V1162" s="1" t="s">
        <v>46</v>
      </c>
      <c r="W1162" s="1" t="s">
        <v>143</v>
      </c>
      <c r="X1162" s="1">
        <v>6613857</v>
      </c>
      <c r="Y1162" s="11">
        <v>41986</v>
      </c>
      <c r="Z1162" s="11"/>
      <c r="AA1162" s="9">
        <f t="shared" si="98"/>
        <v>20160</v>
      </c>
      <c r="AB1162" s="12">
        <v>61.5</v>
      </c>
      <c r="AC1162" s="9">
        <f t="shared" si="99"/>
        <v>1239840</v>
      </c>
      <c r="AD1162" s="9">
        <f t="shared" si="100"/>
        <v>1239840</v>
      </c>
      <c r="AE1162" s="1" t="s">
        <v>48</v>
      </c>
      <c r="AF1162" s="1" t="s">
        <v>53</v>
      </c>
      <c r="AG1162" s="4">
        <f t="shared" si="105"/>
        <v>20160</v>
      </c>
      <c r="AH1162" s="10">
        <v>20140</v>
      </c>
      <c r="AI1162" s="10">
        <v>0</v>
      </c>
      <c r="AJ1162" s="10">
        <v>0</v>
      </c>
      <c r="AK1162" s="10">
        <v>0</v>
      </c>
      <c r="AL1162" s="9">
        <f t="shared" si="106"/>
        <v>20140</v>
      </c>
      <c r="AM1162" s="1"/>
      <c r="AN1162" s="1"/>
      <c r="AO1162" s="12" t="e">
        <f>AB1162/#REF!</f>
        <v>#REF!</v>
      </c>
      <c r="AP1162" s="1"/>
      <c r="AQ1162" s="11">
        <v>42066</v>
      </c>
      <c r="AR1162" s="1" t="s">
        <v>3422</v>
      </c>
      <c r="AS1162" s="11">
        <v>42067</v>
      </c>
      <c r="AT1162" s="1" t="s">
        <v>49</v>
      </c>
      <c r="AU1162" s="1" t="s">
        <v>4171</v>
      </c>
    </row>
    <row r="1163" spans="1:47" ht="15" customHeight="1" x14ac:dyDescent="0.25">
      <c r="A1163" s="1">
        <v>1159</v>
      </c>
      <c r="B1163" s="1" t="s">
        <v>1258</v>
      </c>
      <c r="C1163" s="1" t="s">
        <v>38</v>
      </c>
      <c r="D1163" s="1" t="s">
        <v>2766</v>
      </c>
      <c r="E1163" s="5">
        <v>41991</v>
      </c>
      <c r="F1163" s="1" t="s">
        <v>1026</v>
      </c>
      <c r="G1163" s="1" t="s">
        <v>40</v>
      </c>
      <c r="H1163" s="1" t="s">
        <v>41</v>
      </c>
      <c r="I1163" s="1" t="s">
        <v>2809</v>
      </c>
      <c r="J1163" s="1" t="s">
        <v>386</v>
      </c>
      <c r="K1163" s="1">
        <v>38237090</v>
      </c>
      <c r="L1163" s="6">
        <v>57.62</v>
      </c>
      <c r="M1163" s="1" t="s">
        <v>70</v>
      </c>
      <c r="N1163" s="7" t="s">
        <v>52</v>
      </c>
      <c r="O1163" s="1" t="s">
        <v>53</v>
      </c>
      <c r="P1163" s="8">
        <v>1275</v>
      </c>
      <c r="Q1163" s="17">
        <f t="shared" si="97"/>
        <v>73465.5</v>
      </c>
      <c r="R1163" s="9">
        <v>2250</v>
      </c>
      <c r="S1163" s="9">
        <v>0</v>
      </c>
      <c r="T1163" s="9">
        <v>0</v>
      </c>
      <c r="U1163" s="10">
        <v>0</v>
      </c>
      <c r="V1163" s="1" t="s">
        <v>46</v>
      </c>
      <c r="W1163" s="1" t="s">
        <v>241</v>
      </c>
      <c r="X1163" s="1">
        <v>6586657</v>
      </c>
      <c r="Y1163" s="24">
        <v>41984</v>
      </c>
      <c r="Z1163" s="11"/>
      <c r="AA1163" s="9">
        <f t="shared" si="98"/>
        <v>71215.5</v>
      </c>
      <c r="AB1163" s="12">
        <v>61.5</v>
      </c>
      <c r="AC1163" s="9">
        <f t="shared" si="99"/>
        <v>4518128.25</v>
      </c>
      <c r="AD1163" s="9">
        <f t="shared" si="100"/>
        <v>4379753.25</v>
      </c>
      <c r="AE1163" s="1" t="s">
        <v>48</v>
      </c>
      <c r="AF1163" s="1" t="s">
        <v>53</v>
      </c>
      <c r="AG1163" s="4">
        <f t="shared" si="105"/>
        <v>73465.5</v>
      </c>
      <c r="AH1163" s="10">
        <v>73465.5</v>
      </c>
      <c r="AI1163" s="10">
        <v>2250</v>
      </c>
      <c r="AJ1163" s="10">
        <v>0</v>
      </c>
      <c r="AK1163" s="10">
        <v>0</v>
      </c>
      <c r="AL1163" s="9">
        <f t="shared" si="106"/>
        <v>71215.5</v>
      </c>
      <c r="AM1163" s="1"/>
      <c r="AN1163" s="1"/>
      <c r="AO1163" s="12" t="e">
        <f>AB1163/#REF!</f>
        <v>#REF!</v>
      </c>
      <c r="AP1163" s="1"/>
      <c r="AQ1163" s="11">
        <v>42094</v>
      </c>
      <c r="AR1163" s="1" t="s">
        <v>3423</v>
      </c>
      <c r="AS1163" s="11">
        <v>42067</v>
      </c>
      <c r="AT1163" s="1" t="s">
        <v>49</v>
      </c>
      <c r="AU1163" s="1" t="s">
        <v>4171</v>
      </c>
    </row>
    <row r="1164" spans="1:47" ht="15" customHeight="1" x14ac:dyDescent="0.25">
      <c r="A1164" s="1">
        <v>1160</v>
      </c>
      <c r="B1164" s="1" t="s">
        <v>1258</v>
      </c>
      <c r="C1164" s="1" t="s">
        <v>38</v>
      </c>
      <c r="D1164" s="1" t="s">
        <v>2766</v>
      </c>
      <c r="E1164" s="5">
        <v>41991</v>
      </c>
      <c r="F1164" s="1" t="s">
        <v>1034</v>
      </c>
      <c r="G1164" s="1" t="s">
        <v>40</v>
      </c>
      <c r="H1164" s="1" t="s">
        <v>41</v>
      </c>
      <c r="I1164" s="1" t="s">
        <v>2809</v>
      </c>
      <c r="J1164" s="1" t="s">
        <v>386</v>
      </c>
      <c r="K1164" s="1">
        <v>38237090</v>
      </c>
      <c r="L1164" s="6">
        <v>117.49</v>
      </c>
      <c r="M1164" s="1" t="s">
        <v>70</v>
      </c>
      <c r="N1164" s="7" t="s">
        <v>52</v>
      </c>
      <c r="O1164" s="1" t="s">
        <v>53</v>
      </c>
      <c r="P1164" s="8">
        <v>1275</v>
      </c>
      <c r="Q1164" s="17">
        <f t="shared" si="97"/>
        <v>149799.75</v>
      </c>
      <c r="R1164" s="9">
        <v>4500</v>
      </c>
      <c r="S1164" s="9">
        <v>0</v>
      </c>
      <c r="T1164" s="9">
        <v>0</v>
      </c>
      <c r="U1164" s="10">
        <v>0</v>
      </c>
      <c r="V1164" s="1" t="s">
        <v>46</v>
      </c>
      <c r="W1164" s="1" t="s">
        <v>241</v>
      </c>
      <c r="X1164" s="1">
        <v>6604551</v>
      </c>
      <c r="Y1164" s="24">
        <v>41985</v>
      </c>
      <c r="Z1164" s="11"/>
      <c r="AA1164" s="9">
        <f t="shared" si="98"/>
        <v>145299.75</v>
      </c>
      <c r="AB1164" s="12">
        <v>61.5</v>
      </c>
      <c r="AC1164" s="9">
        <f t="shared" si="99"/>
        <v>9212684.625</v>
      </c>
      <c r="AD1164" s="9">
        <f t="shared" si="100"/>
        <v>8935934.625</v>
      </c>
      <c r="AE1164" s="1" t="s">
        <v>48</v>
      </c>
      <c r="AF1164" s="1" t="s">
        <v>53</v>
      </c>
      <c r="AG1164" s="4">
        <f t="shared" si="105"/>
        <v>149799.75</v>
      </c>
      <c r="AH1164" s="10">
        <v>149799.75</v>
      </c>
      <c r="AI1164" s="10">
        <v>4500</v>
      </c>
      <c r="AJ1164" s="10">
        <v>0</v>
      </c>
      <c r="AK1164" s="10">
        <v>0</v>
      </c>
      <c r="AL1164" s="9">
        <f t="shared" si="106"/>
        <v>145299.75</v>
      </c>
      <c r="AM1164" s="1"/>
      <c r="AN1164" s="1"/>
      <c r="AO1164" s="12" t="e">
        <f>AB1164/#REF!</f>
        <v>#REF!</v>
      </c>
      <c r="AP1164" s="1"/>
      <c r="AQ1164" s="11">
        <v>42094</v>
      </c>
      <c r="AR1164" s="1" t="s">
        <v>3424</v>
      </c>
      <c r="AS1164" s="11">
        <v>42098</v>
      </c>
      <c r="AT1164" s="1" t="s">
        <v>49</v>
      </c>
      <c r="AU1164" s="1" t="s">
        <v>4171</v>
      </c>
    </row>
    <row r="1165" spans="1:47" ht="15" customHeight="1" x14ac:dyDescent="0.25">
      <c r="A1165" s="1">
        <v>1161</v>
      </c>
      <c r="B1165" s="1" t="s">
        <v>1258</v>
      </c>
      <c r="C1165" s="1" t="s">
        <v>38</v>
      </c>
      <c r="D1165" s="1" t="s">
        <v>2766</v>
      </c>
      <c r="E1165" s="5">
        <v>41991</v>
      </c>
      <c r="F1165" s="1" t="s">
        <v>1035</v>
      </c>
      <c r="G1165" s="1" t="s">
        <v>40</v>
      </c>
      <c r="H1165" s="1" t="s">
        <v>41</v>
      </c>
      <c r="I1165" s="1" t="s">
        <v>2809</v>
      </c>
      <c r="J1165" s="1" t="s">
        <v>386</v>
      </c>
      <c r="K1165" s="1">
        <v>38237090</v>
      </c>
      <c r="L1165" s="6">
        <v>19.75</v>
      </c>
      <c r="M1165" s="1" t="s">
        <v>70</v>
      </c>
      <c r="N1165" s="7" t="s">
        <v>52</v>
      </c>
      <c r="O1165" s="1" t="s">
        <v>53</v>
      </c>
      <c r="P1165" s="8">
        <v>1275</v>
      </c>
      <c r="Q1165" s="17">
        <f t="shared" si="97"/>
        <v>25181.25</v>
      </c>
      <c r="R1165" s="9">
        <v>750</v>
      </c>
      <c r="S1165" s="9">
        <v>0</v>
      </c>
      <c r="T1165" s="9">
        <v>0</v>
      </c>
      <c r="U1165" s="10">
        <v>0</v>
      </c>
      <c r="V1165" s="1" t="s">
        <v>46</v>
      </c>
      <c r="W1165" s="1" t="s">
        <v>241</v>
      </c>
      <c r="X1165" s="1">
        <v>6607535</v>
      </c>
      <c r="Y1165" s="24">
        <v>41985</v>
      </c>
      <c r="Z1165" s="11"/>
      <c r="AA1165" s="9">
        <f t="shared" si="98"/>
        <v>24431.25</v>
      </c>
      <c r="AB1165" s="12">
        <v>61.5</v>
      </c>
      <c r="AC1165" s="9">
        <f t="shared" si="99"/>
        <v>1548646.875</v>
      </c>
      <c r="AD1165" s="9">
        <f t="shared" si="100"/>
        <v>1502521.875</v>
      </c>
      <c r="AE1165" s="1" t="s">
        <v>48</v>
      </c>
      <c r="AF1165" s="1" t="s">
        <v>53</v>
      </c>
      <c r="AG1165" s="4">
        <f t="shared" si="105"/>
        <v>25181.25</v>
      </c>
      <c r="AH1165" s="10">
        <v>25181.25</v>
      </c>
      <c r="AI1165" s="10">
        <v>750</v>
      </c>
      <c r="AJ1165" s="10">
        <v>0</v>
      </c>
      <c r="AK1165" s="10">
        <v>0</v>
      </c>
      <c r="AL1165" s="9">
        <f t="shared" si="106"/>
        <v>24431.25</v>
      </c>
      <c r="AM1165" s="1"/>
      <c r="AN1165" s="1"/>
      <c r="AO1165" s="12" t="e">
        <f>AB1165/#REF!</f>
        <v>#REF!</v>
      </c>
      <c r="AP1165" s="1"/>
      <c r="AQ1165" s="11">
        <v>42094</v>
      </c>
      <c r="AR1165" s="1" t="s">
        <v>3425</v>
      </c>
      <c r="AS1165" s="11">
        <v>42098</v>
      </c>
      <c r="AT1165" s="1" t="s">
        <v>49</v>
      </c>
      <c r="AU1165" s="1" t="s">
        <v>4171</v>
      </c>
    </row>
    <row r="1166" spans="1:47" ht="15" customHeight="1" x14ac:dyDescent="0.25">
      <c r="A1166" s="1">
        <v>1162</v>
      </c>
      <c r="B1166" s="1" t="s">
        <v>1258</v>
      </c>
      <c r="C1166" s="1" t="s">
        <v>38</v>
      </c>
      <c r="D1166" s="1" t="s">
        <v>2767</v>
      </c>
      <c r="E1166" s="5">
        <v>41990</v>
      </c>
      <c r="F1166" s="1" t="s">
        <v>1039</v>
      </c>
      <c r="G1166" s="1" t="s">
        <v>40</v>
      </c>
      <c r="H1166" s="1" t="s">
        <v>41</v>
      </c>
      <c r="I1166" s="1" t="s">
        <v>2809</v>
      </c>
      <c r="J1166" s="1" t="s">
        <v>2768</v>
      </c>
      <c r="K1166" s="1">
        <v>38237090</v>
      </c>
      <c r="L1166" s="6">
        <v>12</v>
      </c>
      <c r="M1166" s="1" t="s">
        <v>70</v>
      </c>
      <c r="N1166" s="7" t="s">
        <v>52</v>
      </c>
      <c r="O1166" s="1" t="s">
        <v>53</v>
      </c>
      <c r="P1166" s="8">
        <v>1420</v>
      </c>
      <c r="Q1166" s="17">
        <f t="shared" si="97"/>
        <v>17040</v>
      </c>
      <c r="R1166" s="9">
        <v>681</v>
      </c>
      <c r="S1166" s="9">
        <v>0</v>
      </c>
      <c r="T1166" s="9">
        <v>320.39999999999998</v>
      </c>
      <c r="U1166" s="10">
        <v>0</v>
      </c>
      <c r="V1166" s="1" t="s">
        <v>46</v>
      </c>
      <c r="W1166" s="1" t="s">
        <v>143</v>
      </c>
      <c r="X1166" s="1">
        <v>6609118</v>
      </c>
      <c r="Y1166" s="24">
        <v>41985</v>
      </c>
      <c r="Z1166" s="11"/>
      <c r="AA1166" s="9">
        <f t="shared" si="98"/>
        <v>16359</v>
      </c>
      <c r="AB1166" s="12">
        <v>61.5</v>
      </c>
      <c r="AC1166" s="9">
        <f t="shared" si="99"/>
        <v>1047960</v>
      </c>
      <c r="AD1166" s="9">
        <f t="shared" si="100"/>
        <v>1006078.5</v>
      </c>
      <c r="AE1166" s="1" t="s">
        <v>48</v>
      </c>
      <c r="AF1166" s="1" t="s">
        <v>53</v>
      </c>
      <c r="AG1166" s="4">
        <f t="shared" si="105"/>
        <v>17040</v>
      </c>
      <c r="AH1166" s="10">
        <v>17040</v>
      </c>
      <c r="AI1166" s="10">
        <v>653</v>
      </c>
      <c r="AJ1166" s="10">
        <v>0</v>
      </c>
      <c r="AK1166" s="10">
        <v>320.39999999999998</v>
      </c>
      <c r="AL1166" s="9">
        <f t="shared" si="106"/>
        <v>16066.6</v>
      </c>
      <c r="AM1166" s="1"/>
      <c r="AN1166" s="1"/>
      <c r="AO1166" s="12" t="e">
        <f>AB1166/#REF!</f>
        <v>#REF!</v>
      </c>
      <c r="AP1166" s="1"/>
      <c r="AQ1166" s="11">
        <v>42023</v>
      </c>
      <c r="AR1166" s="1" t="s">
        <v>3426</v>
      </c>
      <c r="AS1166" s="11">
        <v>42024</v>
      </c>
      <c r="AT1166" s="1" t="s">
        <v>49</v>
      </c>
      <c r="AU1166" s="1" t="s">
        <v>4171</v>
      </c>
    </row>
    <row r="1167" spans="1:47" ht="15" customHeight="1" x14ac:dyDescent="0.25">
      <c r="A1167" s="1">
        <v>1163</v>
      </c>
      <c r="B1167" s="1" t="s">
        <v>1258</v>
      </c>
      <c r="C1167" s="1" t="s">
        <v>38</v>
      </c>
      <c r="D1167" s="1" t="s">
        <v>2767</v>
      </c>
      <c r="E1167" s="5">
        <v>41990</v>
      </c>
      <c r="F1167" s="1" t="s">
        <v>1036</v>
      </c>
      <c r="G1167" s="1" t="s">
        <v>40</v>
      </c>
      <c r="H1167" s="1" t="s">
        <v>41</v>
      </c>
      <c r="I1167" s="1" t="s">
        <v>2809</v>
      </c>
      <c r="J1167" s="1" t="s">
        <v>2768</v>
      </c>
      <c r="K1167" s="1">
        <v>38237090</v>
      </c>
      <c r="L1167" s="6">
        <v>60</v>
      </c>
      <c r="M1167" s="1" t="s">
        <v>70</v>
      </c>
      <c r="N1167" s="7" t="s">
        <v>52</v>
      </c>
      <c r="O1167" s="1" t="s">
        <v>53</v>
      </c>
      <c r="P1167" s="8">
        <v>1420</v>
      </c>
      <c r="Q1167" s="17">
        <f t="shared" si="97"/>
        <v>85200</v>
      </c>
      <c r="R1167" s="9">
        <v>3405</v>
      </c>
      <c r="S1167" s="9">
        <v>0</v>
      </c>
      <c r="T1167" s="9">
        <v>1602</v>
      </c>
      <c r="U1167" s="10">
        <v>0</v>
      </c>
      <c r="V1167" s="1" t="s">
        <v>46</v>
      </c>
      <c r="W1167" s="1" t="s">
        <v>143</v>
      </c>
      <c r="X1167" s="1">
        <v>6615540</v>
      </c>
      <c r="Y1167" s="11">
        <v>41986</v>
      </c>
      <c r="Z1167" s="11"/>
      <c r="AA1167" s="9">
        <f t="shared" si="98"/>
        <v>81795</v>
      </c>
      <c r="AB1167" s="12">
        <v>61.5</v>
      </c>
      <c r="AC1167" s="9">
        <f t="shared" si="99"/>
        <v>5239800</v>
      </c>
      <c r="AD1167" s="9">
        <f t="shared" si="100"/>
        <v>5030392.5</v>
      </c>
      <c r="AE1167" s="1" t="s">
        <v>48</v>
      </c>
      <c r="AF1167" s="1" t="s">
        <v>53</v>
      </c>
      <c r="AG1167" s="4">
        <f t="shared" si="105"/>
        <v>85200</v>
      </c>
      <c r="AH1167" s="10">
        <v>85200</v>
      </c>
      <c r="AI1167" s="10">
        <v>3265</v>
      </c>
      <c r="AJ1167" s="10">
        <v>0</v>
      </c>
      <c r="AK1167" s="10">
        <v>1602</v>
      </c>
      <c r="AL1167" s="9">
        <f t="shared" si="106"/>
        <v>80333</v>
      </c>
      <c r="AM1167" s="1"/>
      <c r="AN1167" s="1"/>
      <c r="AO1167" s="12" t="e">
        <f>AB1167/#REF!</f>
        <v>#REF!</v>
      </c>
      <c r="AP1167" s="1"/>
      <c r="AQ1167" s="11">
        <v>42023</v>
      </c>
      <c r="AR1167" s="1" t="s">
        <v>3427</v>
      </c>
      <c r="AS1167" s="11">
        <v>42024</v>
      </c>
      <c r="AT1167" s="1" t="s">
        <v>49</v>
      </c>
      <c r="AU1167" s="1" t="s">
        <v>4171</v>
      </c>
    </row>
    <row r="1168" spans="1:47" ht="15" customHeight="1" x14ac:dyDescent="0.25">
      <c r="A1168" s="1">
        <v>1164</v>
      </c>
      <c r="B1168" s="1" t="s">
        <v>1258</v>
      </c>
      <c r="C1168" s="1" t="s">
        <v>38</v>
      </c>
      <c r="D1168" s="1">
        <v>9103550953</v>
      </c>
      <c r="E1168" s="5">
        <v>41992</v>
      </c>
      <c r="F1168" s="1" t="s">
        <v>1037</v>
      </c>
      <c r="G1168" s="1" t="s">
        <v>40</v>
      </c>
      <c r="H1168" s="1" t="s">
        <v>41</v>
      </c>
      <c r="I1168" s="1" t="s">
        <v>2809</v>
      </c>
      <c r="J1168" s="1" t="s">
        <v>187</v>
      </c>
      <c r="K1168" s="1">
        <v>38237090</v>
      </c>
      <c r="L1168" s="6">
        <v>36.28</v>
      </c>
      <c r="M1168" s="1" t="s">
        <v>70</v>
      </c>
      <c r="N1168" s="7" t="s">
        <v>44</v>
      </c>
      <c r="O1168" s="1" t="s">
        <v>53</v>
      </c>
      <c r="P1168" s="8">
        <v>1614</v>
      </c>
      <c r="Q1168" s="17">
        <f>+L1168*P1168</f>
        <v>58555.92</v>
      </c>
      <c r="R1168" s="9">
        <v>6820</v>
      </c>
      <c r="S1168" s="9">
        <v>8.3699999999999992</v>
      </c>
      <c r="T1168" s="9">
        <v>0</v>
      </c>
      <c r="U1168" s="10">
        <v>0</v>
      </c>
      <c r="V1168" s="1" t="s">
        <v>46</v>
      </c>
      <c r="W1168" s="1" t="s">
        <v>56</v>
      </c>
      <c r="X1168" s="1">
        <v>6617009</v>
      </c>
      <c r="Y1168" s="11">
        <v>41986</v>
      </c>
      <c r="Z1168" s="11"/>
      <c r="AA1168" s="9">
        <f t="shared" si="98"/>
        <v>51727.549999999996</v>
      </c>
      <c r="AB1168" s="12">
        <v>61.5</v>
      </c>
      <c r="AC1168" s="9">
        <f t="shared" si="99"/>
        <v>3601189.08</v>
      </c>
      <c r="AD1168" s="9">
        <f t="shared" si="100"/>
        <v>3181244.3249999997</v>
      </c>
      <c r="AE1168" s="1" t="s">
        <v>48</v>
      </c>
      <c r="AF1168" s="1" t="s">
        <v>53</v>
      </c>
      <c r="AG1168" s="4">
        <f t="shared" si="105"/>
        <v>58555.92</v>
      </c>
      <c r="AH1168" s="10">
        <v>58555.92</v>
      </c>
      <c r="AI1168" s="10">
        <v>6836</v>
      </c>
      <c r="AJ1168" s="10">
        <v>8.3699999999999992</v>
      </c>
      <c r="AK1168" s="10">
        <v>0</v>
      </c>
      <c r="AL1168" s="9">
        <f t="shared" si="106"/>
        <v>51711.549999999996</v>
      </c>
      <c r="AM1168" s="1"/>
      <c r="AN1168" s="1"/>
      <c r="AO1168" s="12" t="e">
        <f>AB1168/#REF!</f>
        <v>#REF!</v>
      </c>
      <c r="AP1168" s="1"/>
      <c r="AQ1168" s="11">
        <v>42072</v>
      </c>
      <c r="AR1168" s="1" t="s">
        <v>3428</v>
      </c>
      <c r="AS1168" s="11">
        <v>42073</v>
      </c>
      <c r="AT1168" s="1" t="s">
        <v>49</v>
      </c>
      <c r="AU1168" s="1" t="s">
        <v>4171</v>
      </c>
    </row>
    <row r="1169" spans="1:47" ht="15" customHeight="1" x14ac:dyDescent="0.25">
      <c r="A1169" s="1">
        <v>1165</v>
      </c>
      <c r="B1169" s="1" t="s">
        <v>1258</v>
      </c>
      <c r="C1169" s="1" t="s">
        <v>38</v>
      </c>
      <c r="D1169" s="1">
        <v>9103550954</v>
      </c>
      <c r="E1169" s="5">
        <v>41986</v>
      </c>
      <c r="F1169" s="1" t="s">
        <v>1040</v>
      </c>
      <c r="G1169" s="1" t="s">
        <v>40</v>
      </c>
      <c r="H1169" s="1" t="s">
        <v>41</v>
      </c>
      <c r="I1169" s="1" t="s">
        <v>2809</v>
      </c>
      <c r="J1169" s="1" t="s">
        <v>2769</v>
      </c>
      <c r="K1169" s="1">
        <v>38237090</v>
      </c>
      <c r="L1169" s="6">
        <v>15</v>
      </c>
      <c r="M1169" s="1" t="s">
        <v>70</v>
      </c>
      <c r="N1169" s="7" t="s">
        <v>44</v>
      </c>
      <c r="O1169" s="1" t="s">
        <v>53</v>
      </c>
      <c r="P1169" s="8">
        <v>1488</v>
      </c>
      <c r="Q1169" s="17">
        <f t="shared" si="97"/>
        <v>22320</v>
      </c>
      <c r="R1169" s="9">
        <v>850</v>
      </c>
      <c r="S1169" s="9">
        <v>3.19</v>
      </c>
      <c r="T1169" s="9">
        <v>0</v>
      </c>
      <c r="U1169" s="10">
        <v>0</v>
      </c>
      <c r="V1169" s="1" t="s">
        <v>46</v>
      </c>
      <c r="W1169" s="1" t="s">
        <v>205</v>
      </c>
      <c r="X1169" s="1">
        <v>6620102</v>
      </c>
      <c r="Y1169" s="11">
        <v>41986</v>
      </c>
      <c r="Z1169" s="11"/>
      <c r="AA1169" s="9">
        <f t="shared" si="98"/>
        <v>21466.81</v>
      </c>
      <c r="AB1169" s="12">
        <v>61.5</v>
      </c>
      <c r="AC1169" s="9">
        <f t="shared" si="99"/>
        <v>1372680</v>
      </c>
      <c r="AD1169" s="9">
        <f t="shared" si="100"/>
        <v>1320208.8150000002</v>
      </c>
      <c r="AE1169" s="1" t="s">
        <v>48</v>
      </c>
      <c r="AF1169" s="1" t="s">
        <v>53</v>
      </c>
      <c r="AG1169" s="4">
        <f t="shared" si="105"/>
        <v>22320</v>
      </c>
      <c r="AH1169" s="10">
        <v>22305</v>
      </c>
      <c r="AI1169" s="10">
        <v>857.23</v>
      </c>
      <c r="AJ1169" s="10">
        <v>3.19</v>
      </c>
      <c r="AK1169" s="10">
        <v>0</v>
      </c>
      <c r="AL1169" s="9">
        <f t="shared" si="106"/>
        <v>21444.58</v>
      </c>
      <c r="AM1169" s="1"/>
      <c r="AN1169" s="1"/>
      <c r="AO1169" s="12" t="e">
        <f>AB1169/#REF!</f>
        <v>#REF!</v>
      </c>
      <c r="AP1169" s="1"/>
      <c r="AQ1169" s="11">
        <v>42025</v>
      </c>
      <c r="AR1169" s="1" t="s">
        <v>3429</v>
      </c>
      <c r="AS1169" s="11">
        <v>42026</v>
      </c>
      <c r="AT1169" s="1" t="s">
        <v>49</v>
      </c>
      <c r="AU1169" s="1" t="s">
        <v>4171</v>
      </c>
    </row>
    <row r="1170" spans="1:47" ht="15" customHeight="1" x14ac:dyDescent="0.25">
      <c r="A1170" s="1">
        <v>1166</v>
      </c>
      <c r="B1170" s="1" t="s">
        <v>1258</v>
      </c>
      <c r="C1170" s="1" t="s">
        <v>38</v>
      </c>
      <c r="D1170" s="1" t="s">
        <v>2770</v>
      </c>
      <c r="E1170" s="5">
        <v>41990</v>
      </c>
      <c r="F1170" s="1" t="s">
        <v>1029</v>
      </c>
      <c r="G1170" s="1" t="s">
        <v>40</v>
      </c>
      <c r="H1170" s="1" t="s">
        <v>41</v>
      </c>
      <c r="I1170" s="1" t="s">
        <v>2809</v>
      </c>
      <c r="J1170" s="1" t="s">
        <v>50</v>
      </c>
      <c r="K1170" s="1">
        <v>38237090</v>
      </c>
      <c r="L1170" s="6">
        <v>18.61</v>
      </c>
      <c r="M1170" s="1" t="s">
        <v>70</v>
      </c>
      <c r="N1170" s="7" t="s">
        <v>52</v>
      </c>
      <c r="O1170" s="1" t="s">
        <v>45</v>
      </c>
      <c r="P1170" s="8">
        <v>1030</v>
      </c>
      <c r="Q1170" s="17">
        <f t="shared" si="97"/>
        <v>19168.3</v>
      </c>
      <c r="R1170" s="9">
        <v>652.95000000000005</v>
      </c>
      <c r="S1170" s="9">
        <v>0</v>
      </c>
      <c r="T1170" s="9">
        <v>0</v>
      </c>
      <c r="U1170" s="10">
        <v>0</v>
      </c>
      <c r="V1170" s="1" t="s">
        <v>46</v>
      </c>
      <c r="W1170" s="1" t="s">
        <v>2657</v>
      </c>
      <c r="X1170" s="1">
        <v>6586113</v>
      </c>
      <c r="Y1170" s="24">
        <v>41984</v>
      </c>
      <c r="Z1170" s="11"/>
      <c r="AA1170" s="9">
        <f t="shared" si="98"/>
        <v>18515.349999999999</v>
      </c>
      <c r="AB1170" s="12">
        <v>75.349999999999994</v>
      </c>
      <c r="AC1170" s="9">
        <f t="shared" si="99"/>
        <v>1444331.4049999998</v>
      </c>
      <c r="AD1170" s="9">
        <f t="shared" si="100"/>
        <v>1395131.6224999998</v>
      </c>
      <c r="AE1170" s="1" t="s">
        <v>51</v>
      </c>
      <c r="AF1170" s="1" t="s">
        <v>45</v>
      </c>
      <c r="AG1170" s="4">
        <f t="shared" si="105"/>
        <v>19168.3</v>
      </c>
      <c r="AH1170" s="10">
        <v>19168</v>
      </c>
      <c r="AI1170" s="10">
        <v>697.65</v>
      </c>
      <c r="AJ1170" s="10">
        <v>0</v>
      </c>
      <c r="AK1170" s="10">
        <v>0</v>
      </c>
      <c r="AL1170" s="9">
        <f t="shared" si="106"/>
        <v>18470.349999999999</v>
      </c>
      <c r="AM1170" s="1"/>
      <c r="AN1170" s="1"/>
      <c r="AO1170" s="12" t="e">
        <f>AB1170/#REF!</f>
        <v>#REF!</v>
      </c>
      <c r="AP1170" s="1"/>
      <c r="AQ1170" s="11">
        <v>42067</v>
      </c>
      <c r="AR1170" s="1" t="s">
        <v>3725</v>
      </c>
      <c r="AS1170" s="11">
        <v>42068</v>
      </c>
      <c r="AT1170" s="1" t="s">
        <v>49</v>
      </c>
      <c r="AU1170" s="1" t="s">
        <v>4171</v>
      </c>
    </row>
    <row r="1171" spans="1:47" ht="15" customHeight="1" x14ac:dyDescent="0.25">
      <c r="A1171" s="1">
        <v>1167</v>
      </c>
      <c r="B1171" s="1" t="s">
        <v>1258</v>
      </c>
      <c r="C1171" s="1" t="s">
        <v>38</v>
      </c>
      <c r="D1171" s="1" t="s">
        <v>2770</v>
      </c>
      <c r="E1171" s="5">
        <v>41990</v>
      </c>
      <c r="F1171" s="1" t="s">
        <v>1041</v>
      </c>
      <c r="G1171" s="1" t="s">
        <v>40</v>
      </c>
      <c r="H1171" s="1" t="s">
        <v>41</v>
      </c>
      <c r="I1171" s="1" t="s">
        <v>2809</v>
      </c>
      <c r="J1171" s="1" t="s">
        <v>50</v>
      </c>
      <c r="K1171" s="1">
        <v>38237090</v>
      </c>
      <c r="L1171" s="6">
        <v>73.069999999999993</v>
      </c>
      <c r="M1171" s="1" t="s">
        <v>70</v>
      </c>
      <c r="N1171" s="7" t="s">
        <v>52</v>
      </c>
      <c r="O1171" s="1" t="s">
        <v>45</v>
      </c>
      <c r="P1171" s="8">
        <v>1030</v>
      </c>
      <c r="Q1171" s="17">
        <f t="shared" si="97"/>
        <v>75262.099999999991</v>
      </c>
      <c r="R1171" s="9">
        <v>2611.81</v>
      </c>
      <c r="S1171" s="9">
        <v>0</v>
      </c>
      <c r="T1171" s="9">
        <v>0</v>
      </c>
      <c r="U1171" s="10">
        <v>0</v>
      </c>
      <c r="V1171" s="1" t="s">
        <v>46</v>
      </c>
      <c r="W1171" s="1" t="s">
        <v>2657</v>
      </c>
      <c r="X1171" s="1">
        <v>6621013</v>
      </c>
      <c r="Y1171" s="11">
        <v>41986</v>
      </c>
      <c r="Z1171" s="11"/>
      <c r="AA1171" s="9">
        <f t="shared" si="98"/>
        <v>72650.289999999994</v>
      </c>
      <c r="AB1171" s="12">
        <v>75.349999999999994</v>
      </c>
      <c r="AC1171" s="9">
        <f t="shared" si="99"/>
        <v>5670999.2349999985</v>
      </c>
      <c r="AD1171" s="9">
        <f t="shared" si="100"/>
        <v>5474199.3514999989</v>
      </c>
      <c r="AE1171" s="1" t="s">
        <v>51</v>
      </c>
      <c r="AF1171" s="1" t="s">
        <v>45</v>
      </c>
      <c r="AG1171" s="4">
        <f t="shared" si="105"/>
        <v>75262.099999999991</v>
      </c>
      <c r="AH1171" s="10">
        <v>75262</v>
      </c>
      <c r="AI1171" s="10">
        <v>2790.6</v>
      </c>
      <c r="AJ1171" s="10">
        <v>0</v>
      </c>
      <c r="AK1171" s="10">
        <v>0</v>
      </c>
      <c r="AL1171" s="9">
        <f t="shared" si="106"/>
        <v>72471.399999999994</v>
      </c>
      <c r="AM1171" s="1"/>
      <c r="AN1171" s="1"/>
      <c r="AO1171" s="12" t="e">
        <f>AB1171/#REF!</f>
        <v>#REF!</v>
      </c>
      <c r="AP1171" s="1"/>
      <c r="AQ1171" s="11">
        <v>42067</v>
      </c>
      <c r="AR1171" s="1" t="s">
        <v>3726</v>
      </c>
      <c r="AS1171" s="11">
        <v>42068</v>
      </c>
      <c r="AT1171" s="1" t="s">
        <v>49</v>
      </c>
      <c r="AU1171" s="1" t="s">
        <v>4171</v>
      </c>
    </row>
    <row r="1172" spans="1:47" ht="15" customHeight="1" x14ac:dyDescent="0.25">
      <c r="A1172" s="1">
        <v>1168</v>
      </c>
      <c r="B1172" s="1" t="s">
        <v>1258</v>
      </c>
      <c r="C1172" s="1" t="s">
        <v>38</v>
      </c>
      <c r="D1172" s="1" t="s">
        <v>2771</v>
      </c>
      <c r="E1172" s="5">
        <v>41991</v>
      </c>
      <c r="F1172" s="1" t="s">
        <v>1042</v>
      </c>
      <c r="G1172" s="1" t="s">
        <v>40</v>
      </c>
      <c r="H1172" s="1" t="s">
        <v>41</v>
      </c>
      <c r="I1172" s="1" t="s">
        <v>2809</v>
      </c>
      <c r="J1172" s="1" t="s">
        <v>386</v>
      </c>
      <c r="K1172" s="1">
        <v>38237090</v>
      </c>
      <c r="L1172" s="6">
        <v>76.680000000000007</v>
      </c>
      <c r="M1172" s="1" t="s">
        <v>70</v>
      </c>
      <c r="N1172" s="7" t="s">
        <v>52</v>
      </c>
      <c r="O1172" s="1" t="s">
        <v>53</v>
      </c>
      <c r="P1172" s="8">
        <v>1275</v>
      </c>
      <c r="Q1172" s="17">
        <f t="shared" si="97"/>
        <v>97767.000000000015</v>
      </c>
      <c r="R1172" s="9">
        <v>3000</v>
      </c>
      <c r="S1172" s="9">
        <v>0</v>
      </c>
      <c r="T1172" s="9">
        <v>0</v>
      </c>
      <c r="U1172" s="10">
        <v>0</v>
      </c>
      <c r="V1172" s="1" t="s">
        <v>46</v>
      </c>
      <c r="W1172" s="1" t="s">
        <v>241</v>
      </c>
      <c r="X1172" s="1">
        <v>6621598</v>
      </c>
      <c r="Y1172" s="11">
        <v>41986</v>
      </c>
      <c r="Z1172" s="11"/>
      <c r="AA1172" s="9">
        <f t="shared" si="98"/>
        <v>94767.000000000015</v>
      </c>
      <c r="AB1172" s="12">
        <v>61.5</v>
      </c>
      <c r="AC1172" s="9">
        <f t="shared" si="99"/>
        <v>6012670.5000000009</v>
      </c>
      <c r="AD1172" s="9">
        <f t="shared" si="100"/>
        <v>5828170.5000000009</v>
      </c>
      <c r="AE1172" s="1" t="s">
        <v>48</v>
      </c>
      <c r="AF1172" s="1" t="s">
        <v>53</v>
      </c>
      <c r="AG1172" s="4">
        <f t="shared" si="105"/>
        <v>97767.000000000015</v>
      </c>
      <c r="AH1172" s="10">
        <v>97767</v>
      </c>
      <c r="AI1172" s="10">
        <v>2400</v>
      </c>
      <c r="AJ1172" s="10">
        <v>0</v>
      </c>
      <c r="AK1172" s="10">
        <v>0</v>
      </c>
      <c r="AL1172" s="9">
        <f t="shared" si="106"/>
        <v>95367</v>
      </c>
      <c r="AM1172" s="1"/>
      <c r="AN1172" s="1"/>
      <c r="AO1172" s="12" t="e">
        <f>AB1172/#REF!</f>
        <v>#REF!</v>
      </c>
      <c r="AP1172" s="1"/>
      <c r="AQ1172" s="11">
        <v>42066</v>
      </c>
      <c r="AR1172" s="1" t="s">
        <v>3430</v>
      </c>
      <c r="AS1172" s="11">
        <v>42067</v>
      </c>
      <c r="AT1172" s="1" t="s">
        <v>49</v>
      </c>
      <c r="AU1172" s="1" t="s">
        <v>4171</v>
      </c>
    </row>
    <row r="1173" spans="1:47" ht="15" customHeight="1" x14ac:dyDescent="0.25">
      <c r="A1173" s="1">
        <v>1169</v>
      </c>
      <c r="B1173" s="1" t="s">
        <v>1258</v>
      </c>
      <c r="C1173" s="1" t="s">
        <v>38</v>
      </c>
      <c r="D1173" s="1" t="s">
        <v>2771</v>
      </c>
      <c r="E1173" s="5">
        <v>41991</v>
      </c>
      <c r="F1173" s="1" t="s">
        <v>1043</v>
      </c>
      <c r="G1173" s="1" t="s">
        <v>40</v>
      </c>
      <c r="H1173" s="1" t="s">
        <v>41</v>
      </c>
      <c r="I1173" s="1" t="s">
        <v>2809</v>
      </c>
      <c r="J1173" s="1" t="s">
        <v>386</v>
      </c>
      <c r="K1173" s="1">
        <v>38237090</v>
      </c>
      <c r="L1173" s="6">
        <v>18.690000000000001</v>
      </c>
      <c r="M1173" s="1" t="s">
        <v>70</v>
      </c>
      <c r="N1173" s="7" t="s">
        <v>52</v>
      </c>
      <c r="O1173" s="1" t="s">
        <v>53</v>
      </c>
      <c r="P1173" s="8">
        <v>1275</v>
      </c>
      <c r="Q1173" s="17">
        <f t="shared" si="97"/>
        <v>23829.75</v>
      </c>
      <c r="R1173" s="9">
        <v>750</v>
      </c>
      <c r="S1173" s="9">
        <v>0</v>
      </c>
      <c r="T1173" s="9">
        <v>0</v>
      </c>
      <c r="U1173" s="10">
        <v>0</v>
      </c>
      <c r="V1173" s="1" t="s">
        <v>46</v>
      </c>
      <c r="W1173" s="1" t="s">
        <v>241</v>
      </c>
      <c r="X1173" s="1">
        <v>6635014</v>
      </c>
      <c r="Y1173" s="24">
        <v>41988</v>
      </c>
      <c r="Z1173" s="11"/>
      <c r="AA1173" s="9">
        <f t="shared" si="98"/>
        <v>23079.75</v>
      </c>
      <c r="AB1173" s="12">
        <v>61.5</v>
      </c>
      <c r="AC1173" s="9">
        <f t="shared" si="99"/>
        <v>1465529.625</v>
      </c>
      <c r="AD1173" s="9">
        <f t="shared" si="100"/>
        <v>1419404.625</v>
      </c>
      <c r="AE1173" s="1" t="s">
        <v>48</v>
      </c>
      <c r="AF1173" s="1" t="s">
        <v>53</v>
      </c>
      <c r="AG1173" s="4">
        <f t="shared" si="105"/>
        <v>23829.75</v>
      </c>
      <c r="AH1173" s="10">
        <v>23829.75</v>
      </c>
      <c r="AI1173" s="10">
        <v>600</v>
      </c>
      <c r="AJ1173" s="10">
        <v>0</v>
      </c>
      <c r="AK1173" s="10">
        <v>0</v>
      </c>
      <c r="AL1173" s="9">
        <f t="shared" si="106"/>
        <v>23229.75</v>
      </c>
      <c r="AM1173" s="1"/>
      <c r="AN1173" s="1"/>
      <c r="AO1173" s="12" t="e">
        <f>AB1173/#REF!</f>
        <v>#REF!</v>
      </c>
      <c r="AP1173" s="1"/>
      <c r="AQ1173" s="11">
        <v>42066</v>
      </c>
      <c r="AR1173" s="1" t="s">
        <v>3431</v>
      </c>
      <c r="AS1173" s="11">
        <v>42067</v>
      </c>
      <c r="AT1173" s="1" t="s">
        <v>49</v>
      </c>
      <c r="AU1173" s="1" t="s">
        <v>4171</v>
      </c>
    </row>
    <row r="1174" spans="1:47" ht="15" customHeight="1" x14ac:dyDescent="0.25">
      <c r="A1174" s="1">
        <v>1170</v>
      </c>
      <c r="B1174" s="1" t="s">
        <v>1258</v>
      </c>
      <c r="C1174" s="1" t="s">
        <v>38</v>
      </c>
      <c r="D1174" s="1">
        <v>9103550960</v>
      </c>
      <c r="E1174" s="5">
        <v>41994</v>
      </c>
      <c r="F1174" s="1" t="s">
        <v>1044</v>
      </c>
      <c r="G1174" s="1" t="s">
        <v>40</v>
      </c>
      <c r="H1174" s="1" t="s">
        <v>41</v>
      </c>
      <c r="I1174" s="1" t="s">
        <v>2809</v>
      </c>
      <c r="J1174" s="1" t="s">
        <v>2716</v>
      </c>
      <c r="K1174" s="1">
        <v>38237090</v>
      </c>
      <c r="L1174" s="6">
        <v>12</v>
      </c>
      <c r="M1174" s="1" t="s">
        <v>70</v>
      </c>
      <c r="N1174" s="7" t="s">
        <v>44</v>
      </c>
      <c r="O1174" s="1" t="s">
        <v>53</v>
      </c>
      <c r="P1174" s="8">
        <v>1670</v>
      </c>
      <c r="Q1174" s="17">
        <f t="shared" si="97"/>
        <v>20040</v>
      </c>
      <c r="R1174" s="9">
        <v>731</v>
      </c>
      <c r="S1174" s="9">
        <v>2.87</v>
      </c>
      <c r="T1174" s="9">
        <v>0</v>
      </c>
      <c r="U1174" s="10">
        <v>0</v>
      </c>
      <c r="V1174" s="1" t="s">
        <v>46</v>
      </c>
      <c r="W1174" s="1" t="s">
        <v>47</v>
      </c>
      <c r="X1174" s="1">
        <v>6640222</v>
      </c>
      <c r="Y1174" s="24">
        <v>41988</v>
      </c>
      <c r="Z1174" s="11"/>
      <c r="AA1174" s="9">
        <f t="shared" si="98"/>
        <v>19306.13</v>
      </c>
      <c r="AB1174" s="12">
        <v>61.5</v>
      </c>
      <c r="AC1174" s="9">
        <f t="shared" si="99"/>
        <v>1232460</v>
      </c>
      <c r="AD1174" s="9">
        <f t="shared" si="100"/>
        <v>1187326.9950000001</v>
      </c>
      <c r="AE1174" s="1" t="s">
        <v>48</v>
      </c>
      <c r="AF1174" s="1" t="s">
        <v>53</v>
      </c>
      <c r="AG1174" s="4">
        <f t="shared" si="105"/>
        <v>20040</v>
      </c>
      <c r="AH1174" s="10">
        <v>20030</v>
      </c>
      <c r="AI1174" s="10">
        <v>731</v>
      </c>
      <c r="AJ1174" s="10">
        <v>2.87</v>
      </c>
      <c r="AK1174" s="10">
        <v>0</v>
      </c>
      <c r="AL1174" s="9">
        <f t="shared" si="106"/>
        <v>19296.13</v>
      </c>
      <c r="AM1174" s="1"/>
      <c r="AN1174" s="1"/>
      <c r="AO1174" s="12" t="e">
        <f>AB1174/#REF!</f>
        <v>#REF!</v>
      </c>
      <c r="AP1174" s="1"/>
      <c r="AQ1174" s="11">
        <v>42037</v>
      </c>
      <c r="AR1174" s="1" t="s">
        <v>3432</v>
      </c>
      <c r="AS1174" s="11">
        <v>42038</v>
      </c>
      <c r="AT1174" s="1" t="s">
        <v>49</v>
      </c>
      <c r="AU1174" s="1" t="s">
        <v>4171</v>
      </c>
    </row>
    <row r="1175" spans="1:47" ht="15" customHeight="1" x14ac:dyDescent="0.25">
      <c r="A1175" s="1">
        <v>1171</v>
      </c>
      <c r="B1175" s="1" t="s">
        <v>1258</v>
      </c>
      <c r="C1175" s="1" t="s">
        <v>38</v>
      </c>
      <c r="D1175" s="1">
        <v>9103550962</v>
      </c>
      <c r="E1175" s="5">
        <v>41994</v>
      </c>
      <c r="F1175" s="1" t="s">
        <v>1046</v>
      </c>
      <c r="G1175" s="1" t="s">
        <v>40</v>
      </c>
      <c r="H1175" s="1" t="s">
        <v>41</v>
      </c>
      <c r="I1175" s="1" t="s">
        <v>2809</v>
      </c>
      <c r="J1175" s="1" t="s">
        <v>1415</v>
      </c>
      <c r="K1175" s="1">
        <v>29051700</v>
      </c>
      <c r="L1175" s="6">
        <v>15</v>
      </c>
      <c r="M1175" s="1" t="s">
        <v>70</v>
      </c>
      <c r="N1175" s="7" t="s">
        <v>67</v>
      </c>
      <c r="O1175" s="1" t="s">
        <v>53</v>
      </c>
      <c r="P1175" s="8">
        <v>1670</v>
      </c>
      <c r="Q1175" s="17">
        <f t="shared" si="97"/>
        <v>25050</v>
      </c>
      <c r="R1175" s="9">
        <v>0</v>
      </c>
      <c r="S1175" s="9">
        <v>0</v>
      </c>
      <c r="T1175" s="9">
        <v>0</v>
      </c>
      <c r="U1175" s="10">
        <v>0</v>
      </c>
      <c r="V1175" s="1" t="s">
        <v>46</v>
      </c>
      <c r="W1175" s="1" t="s">
        <v>1120</v>
      </c>
      <c r="X1175" s="1">
        <v>6646420</v>
      </c>
      <c r="Y1175" s="24">
        <v>41988</v>
      </c>
      <c r="Z1175" s="11"/>
      <c r="AA1175" s="9">
        <f t="shared" si="98"/>
        <v>25050</v>
      </c>
      <c r="AB1175" s="12">
        <v>61.5</v>
      </c>
      <c r="AC1175" s="9">
        <f t="shared" si="99"/>
        <v>1540575</v>
      </c>
      <c r="AD1175" s="9">
        <f t="shared" si="100"/>
        <v>1540575</v>
      </c>
      <c r="AE1175" s="1" t="s">
        <v>48</v>
      </c>
      <c r="AF1175" s="1" t="s">
        <v>53</v>
      </c>
      <c r="AG1175" s="4">
        <f t="shared" si="105"/>
        <v>25050</v>
      </c>
      <c r="AH1175" s="10">
        <v>25030</v>
      </c>
      <c r="AI1175" s="10">
        <v>0</v>
      </c>
      <c r="AJ1175" s="10">
        <v>0</v>
      </c>
      <c r="AK1175" s="10">
        <v>0</v>
      </c>
      <c r="AL1175" s="9">
        <f t="shared" si="106"/>
        <v>25030</v>
      </c>
      <c r="AM1175" s="1"/>
      <c r="AN1175" s="1"/>
      <c r="AO1175" s="12" t="e">
        <f>AB1175/#REF!</f>
        <v>#REF!</v>
      </c>
      <c r="AP1175" s="1" t="s">
        <v>4212</v>
      </c>
      <c r="AQ1175" s="11">
        <v>42177</v>
      </c>
      <c r="AR1175" s="1" t="s">
        <v>4213</v>
      </c>
      <c r="AS1175" s="11">
        <v>42178</v>
      </c>
      <c r="AT1175" s="1" t="s">
        <v>49</v>
      </c>
      <c r="AU1175" s="1" t="s">
        <v>4171</v>
      </c>
    </row>
    <row r="1176" spans="1:47" ht="15" customHeight="1" x14ac:dyDescent="0.25">
      <c r="A1176" s="1">
        <v>1172</v>
      </c>
      <c r="B1176" s="1" t="s">
        <v>1258</v>
      </c>
      <c r="C1176" s="1" t="s">
        <v>38</v>
      </c>
      <c r="D1176" s="1">
        <v>9103550962</v>
      </c>
      <c r="E1176" s="5">
        <v>41994</v>
      </c>
      <c r="F1176" s="1" t="s">
        <v>1046</v>
      </c>
      <c r="G1176" s="1" t="s">
        <v>40</v>
      </c>
      <c r="H1176" s="1" t="s">
        <v>41</v>
      </c>
      <c r="I1176" s="1" t="s">
        <v>2809</v>
      </c>
      <c r="J1176" s="1" t="s">
        <v>1415</v>
      </c>
      <c r="K1176" s="1">
        <v>29051700</v>
      </c>
      <c r="L1176" s="6">
        <v>10</v>
      </c>
      <c r="M1176" s="1" t="s">
        <v>70</v>
      </c>
      <c r="N1176" s="7" t="s">
        <v>67</v>
      </c>
      <c r="O1176" s="1" t="s">
        <v>53</v>
      </c>
      <c r="P1176" s="8">
        <v>1700</v>
      </c>
      <c r="Q1176" s="17">
        <f t="shared" si="97"/>
        <v>17000</v>
      </c>
      <c r="R1176" s="9">
        <v>0</v>
      </c>
      <c r="S1176" s="9">
        <v>0</v>
      </c>
      <c r="T1176" s="9">
        <v>0</v>
      </c>
      <c r="U1176" s="10">
        <v>0</v>
      </c>
      <c r="V1176" s="1" t="s">
        <v>46</v>
      </c>
      <c r="W1176" s="1" t="s">
        <v>1120</v>
      </c>
      <c r="X1176" s="1">
        <v>6646420</v>
      </c>
      <c r="Y1176" s="24">
        <v>41988</v>
      </c>
      <c r="Z1176" s="11"/>
      <c r="AA1176" s="9">
        <f t="shared" si="98"/>
        <v>17000</v>
      </c>
      <c r="AB1176" s="12">
        <v>61.5</v>
      </c>
      <c r="AC1176" s="9">
        <f t="shared" si="99"/>
        <v>1045500</v>
      </c>
      <c r="AD1176" s="9">
        <f t="shared" si="100"/>
        <v>1045500</v>
      </c>
      <c r="AE1176" s="1" t="s">
        <v>48</v>
      </c>
      <c r="AF1176" s="1" t="s">
        <v>53</v>
      </c>
      <c r="AG1176" s="4">
        <f t="shared" si="105"/>
        <v>17000</v>
      </c>
      <c r="AH1176" s="10">
        <v>17000</v>
      </c>
      <c r="AI1176" s="10">
        <v>0</v>
      </c>
      <c r="AJ1176" s="10">
        <v>0</v>
      </c>
      <c r="AK1176" s="10">
        <v>0</v>
      </c>
      <c r="AL1176" s="9">
        <f t="shared" si="106"/>
        <v>17000</v>
      </c>
      <c r="AM1176" s="1"/>
      <c r="AN1176" s="1"/>
      <c r="AO1176" s="12" t="e">
        <f>AB1176/#REF!</f>
        <v>#REF!</v>
      </c>
      <c r="AP1176" s="1" t="s">
        <v>4212</v>
      </c>
      <c r="AQ1176" s="11">
        <v>42177</v>
      </c>
      <c r="AR1176" s="1" t="s">
        <v>4213</v>
      </c>
      <c r="AS1176" s="11">
        <v>42178</v>
      </c>
      <c r="AT1176" s="1" t="s">
        <v>49</v>
      </c>
      <c r="AU1176" s="1" t="s">
        <v>4171</v>
      </c>
    </row>
    <row r="1177" spans="1:47" ht="15" customHeight="1" x14ac:dyDescent="0.25">
      <c r="A1177" s="1">
        <v>1173</v>
      </c>
      <c r="B1177" s="1" t="s">
        <v>1258</v>
      </c>
      <c r="C1177" s="1" t="s">
        <v>38</v>
      </c>
      <c r="D1177" s="1">
        <v>9103550962</v>
      </c>
      <c r="E1177" s="5">
        <v>41994</v>
      </c>
      <c r="F1177" s="1" t="s">
        <v>1046</v>
      </c>
      <c r="G1177" s="1" t="s">
        <v>40</v>
      </c>
      <c r="H1177" s="1" t="s">
        <v>41</v>
      </c>
      <c r="I1177" s="1" t="s">
        <v>2809</v>
      </c>
      <c r="J1177" s="1" t="s">
        <v>1415</v>
      </c>
      <c r="K1177" s="1">
        <v>38237090</v>
      </c>
      <c r="L1177" s="6">
        <v>5</v>
      </c>
      <c r="M1177" s="1" t="s">
        <v>70</v>
      </c>
      <c r="N1177" s="7" t="s">
        <v>67</v>
      </c>
      <c r="O1177" s="1" t="s">
        <v>53</v>
      </c>
      <c r="P1177" s="8">
        <v>1580</v>
      </c>
      <c r="Q1177" s="17">
        <f t="shared" si="97"/>
        <v>7900</v>
      </c>
      <c r="R1177" s="9">
        <v>0</v>
      </c>
      <c r="S1177" s="9">
        <v>0</v>
      </c>
      <c r="T1177" s="9">
        <v>0</v>
      </c>
      <c r="U1177" s="10">
        <v>0</v>
      </c>
      <c r="V1177" s="1" t="s">
        <v>46</v>
      </c>
      <c r="W1177" s="1" t="s">
        <v>1120</v>
      </c>
      <c r="X1177" s="1">
        <v>6646420</v>
      </c>
      <c r="Y1177" s="24">
        <v>41988</v>
      </c>
      <c r="Z1177" s="11"/>
      <c r="AA1177" s="9">
        <f t="shared" si="98"/>
        <v>7900</v>
      </c>
      <c r="AB1177" s="12">
        <v>61.5</v>
      </c>
      <c r="AC1177" s="9">
        <f t="shared" si="99"/>
        <v>485850</v>
      </c>
      <c r="AD1177" s="9">
        <f t="shared" si="100"/>
        <v>485850</v>
      </c>
      <c r="AE1177" s="1" t="s">
        <v>48</v>
      </c>
      <c r="AF1177" s="1" t="s">
        <v>53</v>
      </c>
      <c r="AG1177" s="4">
        <f t="shared" si="105"/>
        <v>7900</v>
      </c>
      <c r="AH1177" s="10">
        <v>7900</v>
      </c>
      <c r="AI1177" s="10">
        <v>0</v>
      </c>
      <c r="AJ1177" s="10">
        <v>0</v>
      </c>
      <c r="AK1177" s="10">
        <v>0</v>
      </c>
      <c r="AL1177" s="9">
        <f t="shared" si="106"/>
        <v>7900</v>
      </c>
      <c r="AM1177" s="1"/>
      <c r="AN1177" s="1"/>
      <c r="AO1177" s="12" t="e">
        <f>AB1177/#REF!</f>
        <v>#REF!</v>
      </c>
      <c r="AP1177" s="1" t="s">
        <v>4212</v>
      </c>
      <c r="AQ1177" s="11">
        <v>42177</v>
      </c>
      <c r="AR1177" s="1" t="s">
        <v>4213</v>
      </c>
      <c r="AS1177" s="11">
        <v>42178</v>
      </c>
      <c r="AT1177" s="1" t="s">
        <v>49</v>
      </c>
      <c r="AU1177" s="1" t="s">
        <v>4171</v>
      </c>
    </row>
    <row r="1178" spans="1:47" ht="15" customHeight="1" x14ac:dyDescent="0.25">
      <c r="A1178" s="1">
        <v>1174</v>
      </c>
      <c r="B1178" s="1" t="s">
        <v>1258</v>
      </c>
      <c r="C1178" s="1" t="s">
        <v>38</v>
      </c>
      <c r="D1178" s="1">
        <v>9103550963</v>
      </c>
      <c r="E1178" s="5">
        <v>41995</v>
      </c>
      <c r="F1178" s="1" t="s">
        <v>1057</v>
      </c>
      <c r="G1178" s="1" t="s">
        <v>40</v>
      </c>
      <c r="H1178" s="1" t="s">
        <v>41</v>
      </c>
      <c r="I1178" s="1" t="s">
        <v>2809</v>
      </c>
      <c r="J1178" s="1" t="s">
        <v>187</v>
      </c>
      <c r="K1178" s="1">
        <v>38237090</v>
      </c>
      <c r="L1178" s="6">
        <v>17.510000000000002</v>
      </c>
      <c r="M1178" s="1" t="s">
        <v>70</v>
      </c>
      <c r="N1178" s="7" t="s">
        <v>44</v>
      </c>
      <c r="O1178" s="1" t="s">
        <v>53</v>
      </c>
      <c r="P1178" s="8">
        <v>1495</v>
      </c>
      <c r="Q1178" s="17">
        <f t="shared" si="97"/>
        <v>26177.45</v>
      </c>
      <c r="R1178" s="9">
        <v>2800</v>
      </c>
      <c r="S1178" s="9">
        <v>3.74</v>
      </c>
      <c r="T1178" s="9">
        <v>0</v>
      </c>
      <c r="U1178" s="10">
        <v>0</v>
      </c>
      <c r="V1178" s="1" t="s">
        <v>46</v>
      </c>
      <c r="W1178" s="1" t="s">
        <v>56</v>
      </c>
      <c r="X1178" s="1">
        <v>6671741</v>
      </c>
      <c r="Y1178" s="24">
        <v>41989</v>
      </c>
      <c r="Z1178" s="11"/>
      <c r="AA1178" s="9">
        <f t="shared" si="98"/>
        <v>23373.71</v>
      </c>
      <c r="AB1178" s="12">
        <v>61.5</v>
      </c>
      <c r="AC1178" s="9">
        <f t="shared" si="99"/>
        <v>1609913.175</v>
      </c>
      <c r="AD1178" s="9">
        <f t="shared" si="100"/>
        <v>1437483.165</v>
      </c>
      <c r="AE1178" s="1" t="s">
        <v>48</v>
      </c>
      <c r="AF1178" s="1" t="s">
        <v>53</v>
      </c>
      <c r="AG1178" s="4">
        <f t="shared" si="105"/>
        <v>26177.45</v>
      </c>
      <c r="AH1178" s="10">
        <v>26177.45</v>
      </c>
      <c r="AI1178" s="10">
        <v>2800</v>
      </c>
      <c r="AJ1178" s="10">
        <v>3.74</v>
      </c>
      <c r="AK1178" s="10">
        <v>0</v>
      </c>
      <c r="AL1178" s="9">
        <f t="shared" si="106"/>
        <v>23373.71</v>
      </c>
      <c r="AM1178" s="1"/>
      <c r="AN1178" s="1"/>
      <c r="AO1178" s="12" t="e">
        <f>AB1178/#REF!</f>
        <v>#REF!</v>
      </c>
      <c r="AP1178" s="1"/>
      <c r="AQ1178" s="11">
        <v>42072</v>
      </c>
      <c r="AR1178" s="1" t="s">
        <v>3433</v>
      </c>
      <c r="AS1178" s="11">
        <v>42073</v>
      </c>
      <c r="AT1178" s="1" t="s">
        <v>49</v>
      </c>
      <c r="AU1178" s="1" t="s">
        <v>4171</v>
      </c>
    </row>
    <row r="1179" spans="1:47" ht="15" customHeight="1" x14ac:dyDescent="0.25">
      <c r="A1179" s="1">
        <v>1175</v>
      </c>
      <c r="B1179" s="1" t="s">
        <v>1258</v>
      </c>
      <c r="C1179" s="1" t="s">
        <v>38</v>
      </c>
      <c r="D1179" s="1" t="s">
        <v>2772</v>
      </c>
      <c r="E1179" s="5">
        <v>41995</v>
      </c>
      <c r="F1179" s="1" t="s">
        <v>1038</v>
      </c>
      <c r="G1179" s="1" t="s">
        <v>40</v>
      </c>
      <c r="H1179" s="1" t="s">
        <v>41</v>
      </c>
      <c r="I1179" s="1" t="s">
        <v>2809</v>
      </c>
      <c r="J1179" s="1" t="s">
        <v>187</v>
      </c>
      <c r="K1179" s="1">
        <v>38237090</v>
      </c>
      <c r="L1179" s="6">
        <v>18.399999999999999</v>
      </c>
      <c r="M1179" s="1" t="s">
        <v>70</v>
      </c>
      <c r="N1179" s="7" t="s">
        <v>44</v>
      </c>
      <c r="O1179" s="1" t="s">
        <v>53</v>
      </c>
      <c r="P1179" s="8">
        <v>1603</v>
      </c>
      <c r="Q1179" s="17">
        <f t="shared" si="97"/>
        <v>29495.199999999997</v>
      </c>
      <c r="R1179" s="9">
        <v>4200</v>
      </c>
      <c r="S1179" s="9">
        <v>4.22</v>
      </c>
      <c r="T1179" s="9">
        <v>0</v>
      </c>
      <c r="U1179" s="10">
        <v>0</v>
      </c>
      <c r="V1179" s="1" t="s">
        <v>46</v>
      </c>
      <c r="W1179" s="1" t="s">
        <v>56</v>
      </c>
      <c r="X1179" s="1">
        <v>6618724</v>
      </c>
      <c r="Y1179" s="11">
        <v>41986</v>
      </c>
      <c r="Z1179" s="11"/>
      <c r="AA1179" s="9">
        <f t="shared" si="98"/>
        <v>25290.979999999996</v>
      </c>
      <c r="AB1179" s="12">
        <v>61.5</v>
      </c>
      <c r="AC1179" s="9">
        <f t="shared" si="99"/>
        <v>1813954.7999999998</v>
      </c>
      <c r="AD1179" s="9">
        <f t="shared" si="100"/>
        <v>1555395.2699999998</v>
      </c>
      <c r="AE1179" s="1" t="s">
        <v>48</v>
      </c>
      <c r="AF1179" s="1" t="s">
        <v>53</v>
      </c>
      <c r="AG1179" s="4">
        <f t="shared" si="105"/>
        <v>29495.199999999997</v>
      </c>
      <c r="AH1179" s="10">
        <v>29495.200000000001</v>
      </c>
      <c r="AI1179" s="10">
        <v>4325</v>
      </c>
      <c r="AJ1179" s="10">
        <v>4.22</v>
      </c>
      <c r="AK1179" s="10">
        <v>0</v>
      </c>
      <c r="AL1179" s="9">
        <f t="shared" si="106"/>
        <v>25165.98</v>
      </c>
      <c r="AM1179" s="1"/>
      <c r="AN1179" s="1"/>
      <c r="AO1179" s="12" t="e">
        <f>AB1179/#REF!</f>
        <v>#REF!</v>
      </c>
      <c r="AP1179" s="1"/>
      <c r="AQ1179" s="11">
        <v>42072</v>
      </c>
      <c r="AR1179" s="1" t="s">
        <v>3434</v>
      </c>
      <c r="AS1179" s="11">
        <v>42073</v>
      </c>
      <c r="AT1179" s="1" t="s">
        <v>49</v>
      </c>
      <c r="AU1179" s="1" t="s">
        <v>4171</v>
      </c>
    </row>
    <row r="1180" spans="1:47" ht="15" customHeight="1" x14ac:dyDescent="0.25">
      <c r="A1180" s="1">
        <v>1176</v>
      </c>
      <c r="B1180" s="1" t="s">
        <v>1258</v>
      </c>
      <c r="C1180" s="1" t="s">
        <v>38</v>
      </c>
      <c r="D1180" s="1" t="s">
        <v>2772</v>
      </c>
      <c r="E1180" s="5">
        <v>41995</v>
      </c>
      <c r="F1180" s="1" t="s">
        <v>1048</v>
      </c>
      <c r="G1180" s="1" t="s">
        <v>40</v>
      </c>
      <c r="H1180" s="1" t="s">
        <v>41</v>
      </c>
      <c r="I1180" s="1" t="s">
        <v>2809</v>
      </c>
      <c r="J1180" s="1" t="s">
        <v>187</v>
      </c>
      <c r="K1180" s="1">
        <v>38237090</v>
      </c>
      <c r="L1180" s="6">
        <v>18.23</v>
      </c>
      <c r="M1180" s="1" t="s">
        <v>70</v>
      </c>
      <c r="N1180" s="7" t="s">
        <v>44</v>
      </c>
      <c r="O1180" s="1" t="s">
        <v>53</v>
      </c>
      <c r="P1180" s="8">
        <v>1603</v>
      </c>
      <c r="Q1180" s="17">
        <f t="shared" si="97"/>
        <v>29222.690000000002</v>
      </c>
      <c r="R1180" s="9">
        <v>4200</v>
      </c>
      <c r="S1180" s="9">
        <v>4.18</v>
      </c>
      <c r="T1180" s="9">
        <v>0</v>
      </c>
      <c r="U1180" s="10">
        <v>0</v>
      </c>
      <c r="V1180" s="1" t="s">
        <v>46</v>
      </c>
      <c r="W1180" s="1" t="s">
        <v>56</v>
      </c>
      <c r="X1180" s="1">
        <v>6671895</v>
      </c>
      <c r="Y1180" s="24">
        <v>41989</v>
      </c>
      <c r="Z1180" s="11"/>
      <c r="AA1180" s="9">
        <f t="shared" si="98"/>
        <v>25018.510000000002</v>
      </c>
      <c r="AB1180" s="12">
        <v>61.5</v>
      </c>
      <c r="AC1180" s="9">
        <f t="shared" si="99"/>
        <v>1797195.4350000001</v>
      </c>
      <c r="AD1180" s="9">
        <f t="shared" si="100"/>
        <v>1538638.3650000002</v>
      </c>
      <c r="AE1180" s="1" t="s">
        <v>48</v>
      </c>
      <c r="AF1180" s="1" t="s">
        <v>53</v>
      </c>
      <c r="AG1180" s="4">
        <f t="shared" si="105"/>
        <v>29222.690000000002</v>
      </c>
      <c r="AH1180" s="10">
        <v>29222.69</v>
      </c>
      <c r="AI1180" s="10">
        <v>4325</v>
      </c>
      <c r="AJ1180" s="10">
        <v>4.18</v>
      </c>
      <c r="AK1180" s="10">
        <v>0</v>
      </c>
      <c r="AL1180" s="9">
        <f t="shared" si="106"/>
        <v>24893.51</v>
      </c>
      <c r="AM1180" s="1"/>
      <c r="AN1180" s="1"/>
      <c r="AO1180" s="12" t="e">
        <f>AB1180/#REF!</f>
        <v>#REF!</v>
      </c>
      <c r="AP1180" s="1"/>
      <c r="AQ1180" s="11">
        <v>42072</v>
      </c>
      <c r="AR1180" s="1" t="s">
        <v>3435</v>
      </c>
      <c r="AS1180" s="11">
        <v>42073</v>
      </c>
      <c r="AT1180" s="1" t="s">
        <v>49</v>
      </c>
      <c r="AU1180" s="1" t="s">
        <v>4171</v>
      </c>
    </row>
    <row r="1181" spans="1:47" ht="15" customHeight="1" x14ac:dyDescent="0.25">
      <c r="A1181" s="1">
        <v>1177</v>
      </c>
      <c r="B1181" s="1" t="s">
        <v>1258</v>
      </c>
      <c r="C1181" s="1" t="s">
        <v>38</v>
      </c>
      <c r="D1181" s="1">
        <v>9103550966</v>
      </c>
      <c r="E1181" s="5">
        <v>41992</v>
      </c>
      <c r="F1181" s="1" t="s">
        <v>1050</v>
      </c>
      <c r="G1181" s="1" t="s">
        <v>40</v>
      </c>
      <c r="H1181" s="1" t="s">
        <v>41</v>
      </c>
      <c r="I1181" s="1" t="s">
        <v>2809</v>
      </c>
      <c r="J1181" s="1" t="s">
        <v>2773</v>
      </c>
      <c r="K1181" s="1">
        <v>38231200</v>
      </c>
      <c r="L1181" s="6">
        <v>19.16</v>
      </c>
      <c r="M1181" s="1" t="s">
        <v>70</v>
      </c>
      <c r="N1181" s="7" t="s">
        <v>44</v>
      </c>
      <c r="O1181" s="1" t="s">
        <v>53</v>
      </c>
      <c r="P1181" s="8">
        <v>1115</v>
      </c>
      <c r="Q1181" s="17">
        <f t="shared" si="97"/>
        <v>21363.4</v>
      </c>
      <c r="R1181" s="9">
        <v>700</v>
      </c>
      <c r="S1181" s="9">
        <v>3.05</v>
      </c>
      <c r="T1181" s="9">
        <v>0</v>
      </c>
      <c r="U1181" s="10">
        <v>0</v>
      </c>
      <c r="V1181" s="1" t="s">
        <v>46</v>
      </c>
      <c r="W1181" s="1" t="s">
        <v>72</v>
      </c>
      <c r="X1181" s="1">
        <v>6680010</v>
      </c>
      <c r="Y1181" s="24">
        <v>41990</v>
      </c>
      <c r="Z1181" s="11"/>
      <c r="AA1181" s="9">
        <f t="shared" si="98"/>
        <v>20660.350000000002</v>
      </c>
      <c r="AB1181" s="12">
        <v>61.5</v>
      </c>
      <c r="AC1181" s="9">
        <f t="shared" si="99"/>
        <v>1313849.1000000001</v>
      </c>
      <c r="AD1181" s="9">
        <f t="shared" si="100"/>
        <v>1270611.5250000001</v>
      </c>
      <c r="AE1181" s="1" t="s">
        <v>48</v>
      </c>
      <c r="AF1181" s="1" t="s">
        <v>53</v>
      </c>
      <c r="AG1181" s="4">
        <f t="shared" si="105"/>
        <v>21363.4</v>
      </c>
      <c r="AH1181" s="10">
        <v>21093.4</v>
      </c>
      <c r="AI1181" s="10">
        <v>141</v>
      </c>
      <c r="AJ1181" s="10">
        <v>3.05</v>
      </c>
      <c r="AK1181" s="10">
        <v>0</v>
      </c>
      <c r="AL1181" s="9">
        <f t="shared" si="106"/>
        <v>20949.350000000002</v>
      </c>
      <c r="AM1181" s="1"/>
      <c r="AN1181" s="1"/>
      <c r="AO1181" s="12" t="e">
        <f>AB1181/#REF!</f>
        <v>#REF!</v>
      </c>
      <c r="AP1181" s="1" t="s">
        <v>2774</v>
      </c>
      <c r="AQ1181" s="11">
        <v>42009</v>
      </c>
      <c r="AR1181" s="1" t="s">
        <v>2775</v>
      </c>
      <c r="AS1181" s="11">
        <v>42010</v>
      </c>
      <c r="AT1181" s="1" t="s">
        <v>49</v>
      </c>
      <c r="AU1181" s="1" t="s">
        <v>4171</v>
      </c>
    </row>
    <row r="1182" spans="1:47" ht="15" customHeight="1" x14ac:dyDescent="0.25">
      <c r="A1182" s="1">
        <v>1178</v>
      </c>
      <c r="B1182" s="1" t="s">
        <v>1258</v>
      </c>
      <c r="C1182" s="1" t="s">
        <v>38</v>
      </c>
      <c r="D1182" s="1">
        <v>9103550967</v>
      </c>
      <c r="E1182" s="5">
        <v>41991</v>
      </c>
      <c r="F1182" s="1" t="s">
        <v>1027</v>
      </c>
      <c r="G1182" s="1" t="s">
        <v>40</v>
      </c>
      <c r="H1182" s="1" t="s">
        <v>41</v>
      </c>
      <c r="I1182" s="1" t="s">
        <v>2809</v>
      </c>
      <c r="J1182" s="1" t="s">
        <v>2776</v>
      </c>
      <c r="K1182" s="1">
        <v>38237090</v>
      </c>
      <c r="L1182" s="6">
        <v>0.1</v>
      </c>
      <c r="M1182" s="1" t="s">
        <v>70</v>
      </c>
      <c r="N1182" s="7" t="s">
        <v>44</v>
      </c>
      <c r="O1182" s="1" t="s">
        <v>53</v>
      </c>
      <c r="P1182" s="8">
        <v>7200</v>
      </c>
      <c r="Q1182" s="17">
        <f t="shared" si="97"/>
        <v>720</v>
      </c>
      <c r="R1182" s="9">
        <v>189.09</v>
      </c>
      <c r="S1182" s="9">
        <v>0.1</v>
      </c>
      <c r="T1182" s="9">
        <v>0</v>
      </c>
      <c r="U1182" s="10">
        <v>0</v>
      </c>
      <c r="V1182" s="1" t="s">
        <v>46</v>
      </c>
      <c r="W1182" s="1" t="s">
        <v>54</v>
      </c>
      <c r="X1182" s="1">
        <v>6671528</v>
      </c>
      <c r="Y1182" s="24">
        <v>41989</v>
      </c>
      <c r="Z1182" s="11"/>
      <c r="AA1182" s="9">
        <f t="shared" si="98"/>
        <v>530.80999999999995</v>
      </c>
      <c r="AB1182" s="12">
        <v>61.5</v>
      </c>
      <c r="AC1182" s="9">
        <f t="shared" si="99"/>
        <v>44280</v>
      </c>
      <c r="AD1182" s="9">
        <f t="shared" si="100"/>
        <v>32644.814999999995</v>
      </c>
      <c r="AE1182" s="1" t="s">
        <v>48</v>
      </c>
      <c r="AF1182" s="1" t="s">
        <v>53</v>
      </c>
      <c r="AG1182" s="4">
        <f t="shared" si="105"/>
        <v>720</v>
      </c>
      <c r="AH1182" s="10">
        <v>684</v>
      </c>
      <c r="AI1182" s="9">
        <v>189.09</v>
      </c>
      <c r="AJ1182" s="9">
        <v>0.1</v>
      </c>
      <c r="AK1182" s="9">
        <v>0</v>
      </c>
      <c r="AL1182" s="9">
        <f t="shared" si="106"/>
        <v>494.81</v>
      </c>
      <c r="AM1182" s="1"/>
      <c r="AN1182" s="1"/>
      <c r="AO1182" s="12" t="e">
        <f>AB1182/#REF!</f>
        <v>#REF!</v>
      </c>
      <c r="AP1182" s="1"/>
      <c r="AQ1182" s="11">
        <v>42026</v>
      </c>
      <c r="AR1182" s="1" t="s">
        <v>3436</v>
      </c>
      <c r="AS1182" s="11">
        <v>42027</v>
      </c>
      <c r="AT1182" s="1" t="s">
        <v>49</v>
      </c>
      <c r="AU1182" s="1" t="s">
        <v>4171</v>
      </c>
    </row>
    <row r="1183" spans="1:47" ht="15" customHeight="1" x14ac:dyDescent="0.25">
      <c r="A1183" s="1">
        <v>1179</v>
      </c>
      <c r="B1183" s="1" t="s">
        <v>1258</v>
      </c>
      <c r="C1183" s="1" t="s">
        <v>38</v>
      </c>
      <c r="D1183" s="1">
        <v>9103550968</v>
      </c>
      <c r="E1183" s="5">
        <v>41994</v>
      </c>
      <c r="F1183" s="1" t="s">
        <v>1054</v>
      </c>
      <c r="G1183" s="1" t="s">
        <v>40</v>
      </c>
      <c r="H1183" s="1" t="s">
        <v>41</v>
      </c>
      <c r="I1183" s="1" t="s">
        <v>2809</v>
      </c>
      <c r="J1183" s="1" t="s">
        <v>2695</v>
      </c>
      <c r="K1183" s="1">
        <v>38237090</v>
      </c>
      <c r="L1183" s="6">
        <v>60</v>
      </c>
      <c r="M1183" s="1" t="s">
        <v>70</v>
      </c>
      <c r="N1183" s="7" t="s">
        <v>67</v>
      </c>
      <c r="O1183" s="1" t="s">
        <v>45</v>
      </c>
      <c r="P1183" s="8">
        <v>1065</v>
      </c>
      <c r="Q1183" s="17">
        <f t="shared" si="97"/>
        <v>63900</v>
      </c>
      <c r="R1183" s="9">
        <v>0</v>
      </c>
      <c r="S1183" s="9">
        <v>0</v>
      </c>
      <c r="T1183" s="9">
        <v>0</v>
      </c>
      <c r="U1183" s="10">
        <v>0</v>
      </c>
      <c r="V1183" s="1" t="s">
        <v>46</v>
      </c>
      <c r="W1183" s="1" t="s">
        <v>2777</v>
      </c>
      <c r="X1183" s="1">
        <v>6691362</v>
      </c>
      <c r="Y1183" s="24">
        <v>41990</v>
      </c>
      <c r="Z1183" s="11"/>
      <c r="AA1183" s="9">
        <f t="shared" si="98"/>
        <v>63900</v>
      </c>
      <c r="AB1183" s="12">
        <v>75.349999999999994</v>
      </c>
      <c r="AC1183" s="9">
        <f t="shared" si="99"/>
        <v>4814865</v>
      </c>
      <c r="AD1183" s="9">
        <f t="shared" si="100"/>
        <v>4814865</v>
      </c>
      <c r="AE1183" s="1" t="s">
        <v>48</v>
      </c>
      <c r="AF1183" s="1" t="s">
        <v>45</v>
      </c>
      <c r="AG1183" s="4">
        <f t="shared" si="105"/>
        <v>63900</v>
      </c>
      <c r="AH1183" s="10">
        <v>63830</v>
      </c>
      <c r="AI1183" s="10">
        <v>0</v>
      </c>
      <c r="AJ1183" s="10">
        <v>0</v>
      </c>
      <c r="AK1183" s="10">
        <v>0</v>
      </c>
      <c r="AL1183" s="9">
        <f t="shared" si="106"/>
        <v>63830</v>
      </c>
      <c r="AM1183" s="1"/>
      <c r="AN1183" s="1"/>
      <c r="AO1183" s="12" t="e">
        <f>AB1183/#REF!</f>
        <v>#REF!</v>
      </c>
      <c r="AP1183" s="1"/>
      <c r="AQ1183" s="11">
        <v>42023</v>
      </c>
      <c r="AR1183" s="1" t="s">
        <v>3691</v>
      </c>
      <c r="AS1183" s="11">
        <v>42024</v>
      </c>
      <c r="AT1183" s="1" t="s">
        <v>49</v>
      </c>
      <c r="AU1183" s="1" t="s">
        <v>4171</v>
      </c>
    </row>
    <row r="1184" spans="1:47" ht="15" customHeight="1" x14ac:dyDescent="0.25">
      <c r="A1184" s="1">
        <v>1180</v>
      </c>
      <c r="B1184" s="1" t="s">
        <v>1258</v>
      </c>
      <c r="C1184" s="1" t="s">
        <v>38</v>
      </c>
      <c r="D1184" s="1" t="s">
        <v>2778</v>
      </c>
      <c r="E1184" s="5">
        <v>41994</v>
      </c>
      <c r="F1184" s="1" t="s">
        <v>1045</v>
      </c>
      <c r="G1184" s="1" t="s">
        <v>40</v>
      </c>
      <c r="H1184" s="1" t="s">
        <v>41</v>
      </c>
      <c r="I1184" s="1" t="s">
        <v>2809</v>
      </c>
      <c r="J1184" s="1" t="s">
        <v>169</v>
      </c>
      <c r="K1184" s="1">
        <v>38231200</v>
      </c>
      <c r="L1184" s="6">
        <v>57.6</v>
      </c>
      <c r="M1184" s="1" t="s">
        <v>70</v>
      </c>
      <c r="N1184" s="7" t="s">
        <v>67</v>
      </c>
      <c r="O1184" s="1" t="s">
        <v>53</v>
      </c>
      <c r="P1184" s="8">
        <v>1195</v>
      </c>
      <c r="Q1184" s="17">
        <f t="shared" si="97"/>
        <v>68832</v>
      </c>
      <c r="R1184" s="9">
        <v>0</v>
      </c>
      <c r="S1184" s="9">
        <v>0</v>
      </c>
      <c r="T1184" s="9">
        <v>0</v>
      </c>
      <c r="U1184" s="10">
        <v>0</v>
      </c>
      <c r="V1184" s="1" t="s">
        <v>46</v>
      </c>
      <c r="W1184" s="1" t="s">
        <v>178</v>
      </c>
      <c r="X1184" s="1">
        <v>6646915</v>
      </c>
      <c r="Y1184" s="24">
        <v>41988</v>
      </c>
      <c r="Z1184" s="11"/>
      <c r="AA1184" s="9">
        <f t="shared" si="98"/>
        <v>68832</v>
      </c>
      <c r="AB1184" s="12">
        <v>61.5</v>
      </c>
      <c r="AC1184" s="9">
        <f t="shared" si="99"/>
        <v>4233168</v>
      </c>
      <c r="AD1184" s="9">
        <f t="shared" si="100"/>
        <v>4233168</v>
      </c>
      <c r="AE1184" s="1" t="s">
        <v>48</v>
      </c>
      <c r="AF1184" s="1" t="s">
        <v>53</v>
      </c>
      <c r="AG1184" s="4">
        <f t="shared" si="105"/>
        <v>68832</v>
      </c>
      <c r="AH1184" s="10">
        <v>68832</v>
      </c>
      <c r="AI1184" s="10">
        <v>0</v>
      </c>
      <c r="AJ1184" s="10">
        <v>0</v>
      </c>
      <c r="AK1184" s="10">
        <v>0</v>
      </c>
      <c r="AL1184" s="9">
        <f t="shared" si="106"/>
        <v>68832</v>
      </c>
      <c r="AM1184" s="1"/>
      <c r="AN1184" s="1"/>
      <c r="AO1184" s="12" t="e">
        <f>AB1184/#REF!</f>
        <v>#REF!</v>
      </c>
      <c r="AP1184" s="1"/>
      <c r="AQ1184" s="11">
        <v>42088</v>
      </c>
      <c r="AR1184" s="1" t="s">
        <v>3437</v>
      </c>
      <c r="AS1184" s="11">
        <v>42090</v>
      </c>
      <c r="AT1184" s="1" t="s">
        <v>49</v>
      </c>
      <c r="AU1184" s="1" t="s">
        <v>4171</v>
      </c>
    </row>
    <row r="1185" spans="1:47" ht="15" customHeight="1" x14ac:dyDescent="0.25">
      <c r="A1185" s="1">
        <v>1181</v>
      </c>
      <c r="B1185" s="1" t="s">
        <v>1258</v>
      </c>
      <c r="C1185" s="1" t="s">
        <v>38</v>
      </c>
      <c r="D1185" s="1" t="s">
        <v>2778</v>
      </c>
      <c r="E1185" s="5">
        <v>41994</v>
      </c>
      <c r="F1185" s="1" t="s">
        <v>1047</v>
      </c>
      <c r="G1185" s="1" t="s">
        <v>40</v>
      </c>
      <c r="H1185" s="1" t="s">
        <v>41</v>
      </c>
      <c r="I1185" s="1" t="s">
        <v>2809</v>
      </c>
      <c r="J1185" s="1" t="s">
        <v>169</v>
      </c>
      <c r="K1185" s="1">
        <v>38231200</v>
      </c>
      <c r="L1185" s="6">
        <v>28.8</v>
      </c>
      <c r="M1185" s="1" t="s">
        <v>70</v>
      </c>
      <c r="N1185" s="7" t="s">
        <v>67</v>
      </c>
      <c r="O1185" s="1" t="s">
        <v>53</v>
      </c>
      <c r="P1185" s="8">
        <v>1195</v>
      </c>
      <c r="Q1185" s="17">
        <f t="shared" si="97"/>
        <v>34416</v>
      </c>
      <c r="R1185" s="9">
        <v>0</v>
      </c>
      <c r="S1185" s="9">
        <v>0</v>
      </c>
      <c r="T1185" s="9">
        <v>0</v>
      </c>
      <c r="U1185" s="10">
        <v>0</v>
      </c>
      <c r="V1185" s="1" t="s">
        <v>46</v>
      </c>
      <c r="W1185" s="1" t="s">
        <v>178</v>
      </c>
      <c r="X1185" s="1">
        <v>6666835</v>
      </c>
      <c r="Y1185" s="24">
        <v>41989</v>
      </c>
      <c r="Z1185" s="11"/>
      <c r="AA1185" s="9">
        <f t="shared" si="98"/>
        <v>34416</v>
      </c>
      <c r="AB1185" s="12">
        <v>61.5</v>
      </c>
      <c r="AC1185" s="9">
        <f t="shared" si="99"/>
        <v>2116584</v>
      </c>
      <c r="AD1185" s="9">
        <f t="shared" si="100"/>
        <v>2116584</v>
      </c>
      <c r="AE1185" s="1" t="s">
        <v>48</v>
      </c>
      <c r="AF1185" s="1" t="s">
        <v>53</v>
      </c>
      <c r="AG1185" s="4">
        <f t="shared" si="105"/>
        <v>34416</v>
      </c>
      <c r="AH1185" s="10">
        <v>34416</v>
      </c>
      <c r="AI1185" s="10">
        <v>0</v>
      </c>
      <c r="AJ1185" s="10">
        <v>0</v>
      </c>
      <c r="AK1185" s="10">
        <v>0</v>
      </c>
      <c r="AL1185" s="9">
        <f t="shared" si="106"/>
        <v>34416</v>
      </c>
      <c r="AM1185" s="1"/>
      <c r="AN1185" s="1"/>
      <c r="AO1185" s="12" t="e">
        <f>AB1185/#REF!</f>
        <v>#REF!</v>
      </c>
      <c r="AP1185" s="1"/>
      <c r="AQ1185" s="11">
        <v>42088</v>
      </c>
      <c r="AR1185" s="1" t="s">
        <v>3438</v>
      </c>
      <c r="AS1185" s="11">
        <v>42090</v>
      </c>
      <c r="AT1185" s="1" t="s">
        <v>49</v>
      </c>
      <c r="AU1185" s="1" t="s">
        <v>4171</v>
      </c>
    </row>
    <row r="1186" spans="1:47" ht="15" customHeight="1" x14ac:dyDescent="0.25">
      <c r="A1186" s="1">
        <v>1182</v>
      </c>
      <c r="B1186" s="1" t="s">
        <v>1258</v>
      </c>
      <c r="C1186" s="1" t="s">
        <v>38</v>
      </c>
      <c r="D1186" s="1" t="s">
        <v>2778</v>
      </c>
      <c r="E1186" s="5">
        <v>41994</v>
      </c>
      <c r="F1186" s="1" t="s">
        <v>1049</v>
      </c>
      <c r="G1186" s="1" t="s">
        <v>40</v>
      </c>
      <c r="H1186" s="1" t="s">
        <v>41</v>
      </c>
      <c r="I1186" s="1" t="s">
        <v>2809</v>
      </c>
      <c r="J1186" s="1" t="s">
        <v>169</v>
      </c>
      <c r="K1186" s="1">
        <v>38231200</v>
      </c>
      <c r="L1186" s="6">
        <v>14.4</v>
      </c>
      <c r="M1186" s="1" t="s">
        <v>70</v>
      </c>
      <c r="N1186" s="7" t="s">
        <v>67</v>
      </c>
      <c r="O1186" s="1" t="s">
        <v>53</v>
      </c>
      <c r="P1186" s="8">
        <v>1195</v>
      </c>
      <c r="Q1186" s="17">
        <f t="shared" si="97"/>
        <v>17208</v>
      </c>
      <c r="R1186" s="9">
        <v>0</v>
      </c>
      <c r="S1186" s="9">
        <v>0</v>
      </c>
      <c r="T1186" s="9">
        <v>0</v>
      </c>
      <c r="U1186" s="10">
        <v>0</v>
      </c>
      <c r="V1186" s="1" t="s">
        <v>46</v>
      </c>
      <c r="W1186" s="1" t="s">
        <v>178</v>
      </c>
      <c r="X1186" s="1">
        <v>6672689</v>
      </c>
      <c r="Y1186" s="24">
        <v>41989</v>
      </c>
      <c r="Z1186" s="11"/>
      <c r="AA1186" s="9">
        <f t="shared" si="98"/>
        <v>17208</v>
      </c>
      <c r="AB1186" s="12">
        <v>61.5</v>
      </c>
      <c r="AC1186" s="9">
        <f t="shared" si="99"/>
        <v>1058292</v>
      </c>
      <c r="AD1186" s="9">
        <f t="shared" si="100"/>
        <v>1058292</v>
      </c>
      <c r="AE1186" s="1" t="s">
        <v>48</v>
      </c>
      <c r="AF1186" s="1" t="s">
        <v>53</v>
      </c>
      <c r="AG1186" s="4">
        <f t="shared" si="105"/>
        <v>17208</v>
      </c>
      <c r="AH1186" s="10">
        <v>17208</v>
      </c>
      <c r="AI1186" s="10">
        <v>0</v>
      </c>
      <c r="AJ1186" s="10">
        <v>0</v>
      </c>
      <c r="AK1186" s="10">
        <v>0</v>
      </c>
      <c r="AL1186" s="9">
        <f t="shared" si="106"/>
        <v>17208</v>
      </c>
      <c r="AM1186" s="1"/>
      <c r="AN1186" s="1"/>
      <c r="AO1186" s="12" t="e">
        <f>AB1186/#REF!</f>
        <v>#REF!</v>
      </c>
      <c r="AP1186" s="1"/>
      <c r="AQ1186" s="11">
        <v>42088</v>
      </c>
      <c r="AR1186" s="1" t="s">
        <v>3439</v>
      </c>
      <c r="AS1186" s="11">
        <v>42090</v>
      </c>
      <c r="AT1186" s="1" t="s">
        <v>49</v>
      </c>
      <c r="AU1186" s="1" t="s">
        <v>4171</v>
      </c>
    </row>
    <row r="1187" spans="1:47" ht="15" customHeight="1" x14ac:dyDescent="0.25">
      <c r="A1187" s="1">
        <v>1183</v>
      </c>
      <c r="B1187" s="1" t="s">
        <v>1258</v>
      </c>
      <c r="C1187" s="1" t="s">
        <v>38</v>
      </c>
      <c r="D1187" s="1" t="s">
        <v>2778</v>
      </c>
      <c r="E1187" s="5">
        <v>41994</v>
      </c>
      <c r="F1187" s="1" t="s">
        <v>1058</v>
      </c>
      <c r="G1187" s="1" t="s">
        <v>40</v>
      </c>
      <c r="H1187" s="1" t="s">
        <v>41</v>
      </c>
      <c r="I1187" s="1" t="s">
        <v>2809</v>
      </c>
      <c r="J1187" s="1" t="s">
        <v>169</v>
      </c>
      <c r="K1187" s="1">
        <v>38231200</v>
      </c>
      <c r="L1187" s="6">
        <v>43.2</v>
      </c>
      <c r="M1187" s="1" t="s">
        <v>70</v>
      </c>
      <c r="N1187" s="7" t="s">
        <v>67</v>
      </c>
      <c r="O1187" s="1" t="s">
        <v>53</v>
      </c>
      <c r="P1187" s="8">
        <v>1195</v>
      </c>
      <c r="Q1187" s="17">
        <f t="shared" si="97"/>
        <v>51624</v>
      </c>
      <c r="R1187" s="9">
        <v>0</v>
      </c>
      <c r="S1187" s="9">
        <v>0</v>
      </c>
      <c r="T1187" s="9">
        <v>0</v>
      </c>
      <c r="U1187" s="10">
        <v>0</v>
      </c>
      <c r="V1187" s="1" t="s">
        <v>46</v>
      </c>
      <c r="W1187" s="1" t="s">
        <v>178</v>
      </c>
      <c r="X1187" s="1">
        <v>6694802</v>
      </c>
      <c r="Y1187" s="24">
        <v>41990</v>
      </c>
      <c r="Z1187" s="11"/>
      <c r="AA1187" s="9">
        <f t="shared" si="98"/>
        <v>51624</v>
      </c>
      <c r="AB1187" s="12">
        <v>61.5</v>
      </c>
      <c r="AC1187" s="9">
        <f t="shared" si="99"/>
        <v>3174876</v>
      </c>
      <c r="AD1187" s="9">
        <f t="shared" si="100"/>
        <v>3174876</v>
      </c>
      <c r="AE1187" s="1" t="s">
        <v>48</v>
      </c>
      <c r="AF1187" s="1" t="s">
        <v>53</v>
      </c>
      <c r="AG1187" s="4">
        <f t="shared" si="105"/>
        <v>51624</v>
      </c>
      <c r="AH1187" s="10">
        <v>51624</v>
      </c>
      <c r="AI1187" s="10">
        <v>0</v>
      </c>
      <c r="AJ1187" s="10">
        <v>0</v>
      </c>
      <c r="AK1187" s="10">
        <v>0</v>
      </c>
      <c r="AL1187" s="9">
        <f t="shared" si="106"/>
        <v>51624</v>
      </c>
      <c r="AM1187" s="1"/>
      <c r="AN1187" s="1"/>
      <c r="AO1187" s="12" t="e">
        <f>AB1187/#REF!</f>
        <v>#REF!</v>
      </c>
      <c r="AP1187" s="1"/>
      <c r="AQ1187" s="11">
        <v>42088</v>
      </c>
      <c r="AR1187" s="1" t="s">
        <v>3440</v>
      </c>
      <c r="AS1187" s="11">
        <v>42090</v>
      </c>
      <c r="AT1187" s="1" t="s">
        <v>49</v>
      </c>
      <c r="AU1187" s="1" t="s">
        <v>4171</v>
      </c>
    </row>
    <row r="1188" spans="1:47" ht="15" customHeight="1" x14ac:dyDescent="0.25">
      <c r="A1188" s="1">
        <v>1184</v>
      </c>
      <c r="B1188" s="1" t="s">
        <v>1258</v>
      </c>
      <c r="C1188" s="1" t="s">
        <v>38</v>
      </c>
      <c r="D1188" s="1">
        <v>9103550972</v>
      </c>
      <c r="E1188" s="5">
        <v>41998</v>
      </c>
      <c r="F1188" s="1" t="s">
        <v>1051</v>
      </c>
      <c r="G1188" s="1" t="s">
        <v>40</v>
      </c>
      <c r="H1188" s="1" t="s">
        <v>41</v>
      </c>
      <c r="I1188" s="1" t="s">
        <v>2809</v>
      </c>
      <c r="J1188" s="1" t="s">
        <v>2740</v>
      </c>
      <c r="K1188" s="1">
        <v>38237090</v>
      </c>
      <c r="L1188" s="6">
        <v>12</v>
      </c>
      <c r="M1188" s="1" t="s">
        <v>70</v>
      </c>
      <c r="N1188" s="7" t="s">
        <v>44</v>
      </c>
      <c r="O1188" s="1" t="s">
        <v>53</v>
      </c>
      <c r="P1188" s="8">
        <v>1500</v>
      </c>
      <c r="Q1188" s="17">
        <f t="shared" si="97"/>
        <v>18000</v>
      </c>
      <c r="R1188" s="9">
        <v>900</v>
      </c>
      <c r="S1188" s="9">
        <v>2.57</v>
      </c>
      <c r="T1188" s="9">
        <v>0</v>
      </c>
      <c r="U1188" s="10">
        <v>0</v>
      </c>
      <c r="V1188" s="1" t="s">
        <v>46</v>
      </c>
      <c r="W1188" s="1" t="s">
        <v>2777</v>
      </c>
      <c r="X1188" s="1">
        <v>6710096</v>
      </c>
      <c r="Y1188" s="11">
        <v>41991</v>
      </c>
      <c r="Z1188" s="11"/>
      <c r="AA1188" s="9">
        <f>Q1188-R1188-S1188</f>
        <v>17097.43</v>
      </c>
      <c r="AB1188" s="12">
        <v>62.8</v>
      </c>
      <c r="AC1188" s="9">
        <f t="shared" si="99"/>
        <v>1130400</v>
      </c>
      <c r="AD1188" s="9">
        <f t="shared" si="100"/>
        <v>1073718.6040000001</v>
      </c>
      <c r="AE1188" s="1" t="s">
        <v>284</v>
      </c>
      <c r="AF1188" s="1" t="s">
        <v>53</v>
      </c>
      <c r="AG1188" s="4">
        <f t="shared" si="105"/>
        <v>18000</v>
      </c>
      <c r="AH1188" s="10">
        <v>17987</v>
      </c>
      <c r="AI1188" s="10">
        <v>861.78</v>
      </c>
      <c r="AJ1188" s="10">
        <v>2.57</v>
      </c>
      <c r="AK1188" s="10">
        <v>0</v>
      </c>
      <c r="AL1188" s="9">
        <f t="shared" si="106"/>
        <v>17122.650000000001</v>
      </c>
      <c r="AM1188" s="1"/>
      <c r="AN1188" s="1"/>
      <c r="AO1188" s="12" t="e">
        <f>AB1188/#REF!</f>
        <v>#REF!</v>
      </c>
      <c r="AP1188" s="1" t="s">
        <v>2779</v>
      </c>
      <c r="AQ1188" s="11">
        <v>42025</v>
      </c>
      <c r="AR1188" s="1" t="s">
        <v>2780</v>
      </c>
      <c r="AS1188" s="11">
        <v>42025</v>
      </c>
      <c r="AT1188" s="1" t="s">
        <v>49</v>
      </c>
      <c r="AU1188" s="1" t="s">
        <v>4171</v>
      </c>
    </row>
    <row r="1189" spans="1:47" ht="15" customHeight="1" x14ac:dyDescent="0.25">
      <c r="A1189" s="1">
        <v>1185</v>
      </c>
      <c r="B1189" s="1" t="s">
        <v>1258</v>
      </c>
      <c r="C1189" s="1" t="s">
        <v>38</v>
      </c>
      <c r="D1189" s="1">
        <v>9103550973</v>
      </c>
      <c r="E1189" s="5">
        <v>41996</v>
      </c>
      <c r="F1189" s="1" t="s">
        <v>1055</v>
      </c>
      <c r="G1189" s="1" t="s">
        <v>40</v>
      </c>
      <c r="H1189" s="1" t="s">
        <v>41</v>
      </c>
      <c r="I1189" s="1" t="s">
        <v>2809</v>
      </c>
      <c r="J1189" s="1" t="s">
        <v>50</v>
      </c>
      <c r="K1189" s="1">
        <v>38237090</v>
      </c>
      <c r="L1189" s="6">
        <v>15</v>
      </c>
      <c r="M1189" s="1" t="s">
        <v>70</v>
      </c>
      <c r="N1189" s="7" t="s">
        <v>52</v>
      </c>
      <c r="O1189" s="1" t="s">
        <v>53</v>
      </c>
      <c r="P1189" s="8">
        <v>1518</v>
      </c>
      <c r="Q1189" s="17">
        <f t="shared" si="97"/>
        <v>22770</v>
      </c>
      <c r="R1189" s="9">
        <v>850</v>
      </c>
      <c r="S1189" s="9">
        <v>0</v>
      </c>
      <c r="T1189" s="9">
        <v>0</v>
      </c>
      <c r="U1189" s="10">
        <v>0</v>
      </c>
      <c r="V1189" s="1" t="s">
        <v>46</v>
      </c>
      <c r="W1189" s="1" t="s">
        <v>2781</v>
      </c>
      <c r="X1189" s="1">
        <v>6714651</v>
      </c>
      <c r="Y1189" s="11">
        <v>41991</v>
      </c>
      <c r="Z1189" s="11"/>
      <c r="AA1189" s="9">
        <f t="shared" si="98"/>
        <v>21920</v>
      </c>
      <c r="AB1189" s="12">
        <v>62.8</v>
      </c>
      <c r="AC1189" s="9">
        <f t="shared" si="99"/>
        <v>1429956</v>
      </c>
      <c r="AD1189" s="9">
        <f t="shared" si="100"/>
        <v>1376576</v>
      </c>
      <c r="AE1189" s="1" t="s">
        <v>51</v>
      </c>
      <c r="AF1189" s="1" t="s">
        <v>53</v>
      </c>
      <c r="AG1189" s="4">
        <f t="shared" si="105"/>
        <v>22770</v>
      </c>
      <c r="AH1189" s="10">
        <v>22770</v>
      </c>
      <c r="AI1189" s="10">
        <v>705</v>
      </c>
      <c r="AJ1189" s="10">
        <v>0</v>
      </c>
      <c r="AK1189" s="10">
        <v>0</v>
      </c>
      <c r="AL1189" s="9">
        <f t="shared" si="106"/>
        <v>22065</v>
      </c>
      <c r="AM1189" s="1"/>
      <c r="AN1189" s="1"/>
      <c r="AO1189" s="12" t="e">
        <f>AB1189/#REF!</f>
        <v>#REF!</v>
      </c>
      <c r="AP1189" s="1"/>
      <c r="AQ1189" s="11">
        <v>42073</v>
      </c>
      <c r="AR1189" s="1" t="s">
        <v>3653</v>
      </c>
      <c r="AS1189" s="11">
        <v>42073</v>
      </c>
      <c r="AT1189" s="1" t="s">
        <v>49</v>
      </c>
      <c r="AU1189" s="1" t="s">
        <v>4171</v>
      </c>
    </row>
    <row r="1190" spans="1:47" ht="15" customHeight="1" x14ac:dyDescent="0.25">
      <c r="A1190" s="1">
        <v>1186</v>
      </c>
      <c r="B1190" s="1" t="s">
        <v>1258</v>
      </c>
      <c r="C1190" s="1" t="s">
        <v>38</v>
      </c>
      <c r="D1190" s="1">
        <v>9103550974</v>
      </c>
      <c r="E1190" s="5">
        <v>41995</v>
      </c>
      <c r="F1190" s="1" t="s">
        <v>1056</v>
      </c>
      <c r="G1190" s="1" t="s">
        <v>40</v>
      </c>
      <c r="H1190" s="1" t="s">
        <v>41</v>
      </c>
      <c r="I1190" s="1" t="s">
        <v>2809</v>
      </c>
      <c r="J1190" s="1" t="s">
        <v>2782</v>
      </c>
      <c r="K1190" s="1">
        <v>38237090</v>
      </c>
      <c r="L1190" s="6">
        <v>38.78</v>
      </c>
      <c r="M1190" s="1" t="s">
        <v>70</v>
      </c>
      <c r="N1190" s="7" t="s">
        <v>67</v>
      </c>
      <c r="O1190" s="1" t="s">
        <v>45</v>
      </c>
      <c r="P1190" s="8">
        <v>1090</v>
      </c>
      <c r="Q1190" s="17">
        <f t="shared" si="97"/>
        <v>42270.200000000004</v>
      </c>
      <c r="R1190" s="9">
        <v>0</v>
      </c>
      <c r="S1190" s="9">
        <v>0</v>
      </c>
      <c r="T1190" s="9">
        <v>0</v>
      </c>
      <c r="U1190" s="10">
        <v>0</v>
      </c>
      <c r="V1190" s="1" t="s">
        <v>46</v>
      </c>
      <c r="W1190" s="1" t="s">
        <v>2676</v>
      </c>
      <c r="X1190" s="1">
        <v>6721067</v>
      </c>
      <c r="Y1190" s="11">
        <v>41991</v>
      </c>
      <c r="Z1190" s="11"/>
      <c r="AA1190" s="9">
        <f t="shared" si="98"/>
        <v>42270.200000000004</v>
      </c>
      <c r="AB1190" s="12">
        <v>77.25</v>
      </c>
      <c r="AC1190" s="9">
        <f t="shared" si="99"/>
        <v>3265372.95</v>
      </c>
      <c r="AD1190" s="9">
        <f t="shared" si="100"/>
        <v>3265372.95</v>
      </c>
      <c r="AE1190" s="1" t="s">
        <v>48</v>
      </c>
      <c r="AF1190" s="1" t="s">
        <v>45</v>
      </c>
      <c r="AG1190" s="4">
        <f t="shared" si="105"/>
        <v>42270.200000000004</v>
      </c>
      <c r="AH1190" s="10">
        <v>42270</v>
      </c>
      <c r="AI1190" s="10">
        <v>0</v>
      </c>
      <c r="AJ1190" s="10">
        <v>0</v>
      </c>
      <c r="AK1190" s="10">
        <v>0</v>
      </c>
      <c r="AL1190" s="9">
        <f t="shared" si="106"/>
        <v>42270</v>
      </c>
      <c r="AM1190" s="1"/>
      <c r="AN1190" s="1"/>
      <c r="AO1190" s="12" t="e">
        <f>AB1190/#REF!</f>
        <v>#REF!</v>
      </c>
      <c r="AP1190" s="1" t="s">
        <v>2783</v>
      </c>
      <c r="AQ1190" s="11">
        <v>42016</v>
      </c>
      <c r="AR1190" s="1" t="s">
        <v>2784</v>
      </c>
      <c r="AS1190" s="11">
        <v>42016</v>
      </c>
      <c r="AT1190" s="1" t="s">
        <v>49</v>
      </c>
      <c r="AU1190" s="1" t="s">
        <v>4171</v>
      </c>
    </row>
    <row r="1191" spans="1:47" ht="15" customHeight="1" x14ac:dyDescent="0.25">
      <c r="A1191" s="1">
        <v>1187</v>
      </c>
      <c r="B1191" s="1" t="s">
        <v>1258</v>
      </c>
      <c r="C1191" s="1" t="s">
        <v>38</v>
      </c>
      <c r="D1191" s="1">
        <v>9103550975</v>
      </c>
      <c r="E1191" s="5">
        <v>41998</v>
      </c>
      <c r="F1191" s="1" t="s">
        <v>1059</v>
      </c>
      <c r="G1191" s="1" t="s">
        <v>40</v>
      </c>
      <c r="H1191" s="1" t="s">
        <v>41</v>
      </c>
      <c r="I1191" s="1" t="s">
        <v>2809</v>
      </c>
      <c r="J1191" s="1" t="s">
        <v>386</v>
      </c>
      <c r="K1191" s="1">
        <v>38237090</v>
      </c>
      <c r="L1191" s="6">
        <v>152.07</v>
      </c>
      <c r="M1191" s="1" t="s">
        <v>70</v>
      </c>
      <c r="N1191" s="7" t="s">
        <v>52</v>
      </c>
      <c r="O1191" s="1" t="s">
        <v>53</v>
      </c>
      <c r="P1191" s="8">
        <v>1275</v>
      </c>
      <c r="Q1191" s="17">
        <f t="shared" si="97"/>
        <v>193889.25</v>
      </c>
      <c r="R1191" s="9">
        <v>6000</v>
      </c>
      <c r="S1191" s="9">
        <v>0</v>
      </c>
      <c r="T1191" s="9">
        <v>0</v>
      </c>
      <c r="U1191" s="10">
        <v>0</v>
      </c>
      <c r="V1191" s="1" t="s">
        <v>46</v>
      </c>
      <c r="W1191" s="1" t="s">
        <v>241</v>
      </c>
      <c r="X1191" s="1">
        <v>6721169</v>
      </c>
      <c r="Y1191" s="11">
        <v>41991</v>
      </c>
      <c r="Z1191" s="11"/>
      <c r="AA1191" s="9">
        <f t="shared" si="98"/>
        <v>187889.25</v>
      </c>
      <c r="AB1191" s="12">
        <v>62.8</v>
      </c>
      <c r="AC1191" s="9">
        <f t="shared" si="99"/>
        <v>12176244.9</v>
      </c>
      <c r="AD1191" s="9">
        <f t="shared" si="100"/>
        <v>11799444.9</v>
      </c>
      <c r="AE1191" s="1" t="s">
        <v>48</v>
      </c>
      <c r="AF1191" s="1" t="s">
        <v>53</v>
      </c>
      <c r="AG1191" s="4">
        <f t="shared" si="105"/>
        <v>193889.25</v>
      </c>
      <c r="AH1191" s="10">
        <v>193889.25</v>
      </c>
      <c r="AI1191" s="10">
        <v>4800</v>
      </c>
      <c r="AJ1191" s="10">
        <v>0</v>
      </c>
      <c r="AK1191" s="10">
        <v>0</v>
      </c>
      <c r="AL1191" s="9">
        <f t="shared" si="106"/>
        <v>189089.25</v>
      </c>
      <c r="AM1191" s="1"/>
      <c r="AN1191" s="1"/>
      <c r="AO1191" s="12" t="e">
        <f>AB1191/#REF!</f>
        <v>#REF!</v>
      </c>
      <c r="AP1191" s="1"/>
      <c r="AQ1191" s="11">
        <v>42066</v>
      </c>
      <c r="AR1191" s="1" t="s">
        <v>3441</v>
      </c>
      <c r="AS1191" s="11">
        <v>42067</v>
      </c>
      <c r="AT1191" s="1" t="s">
        <v>49</v>
      </c>
      <c r="AU1191" s="1" t="s">
        <v>4171</v>
      </c>
    </row>
    <row r="1192" spans="1:47" ht="15" customHeight="1" x14ac:dyDescent="0.25">
      <c r="A1192" s="1">
        <v>1188</v>
      </c>
      <c r="B1192" s="1" t="s">
        <v>1258</v>
      </c>
      <c r="C1192" s="1" t="s">
        <v>38</v>
      </c>
      <c r="D1192" s="1">
        <v>9103550975</v>
      </c>
      <c r="E1192" s="5">
        <v>41998</v>
      </c>
      <c r="F1192" s="1" t="s">
        <v>1053</v>
      </c>
      <c r="G1192" s="1" t="s">
        <v>40</v>
      </c>
      <c r="H1192" s="1" t="s">
        <v>41</v>
      </c>
      <c r="I1192" s="1" t="s">
        <v>2809</v>
      </c>
      <c r="J1192" s="1" t="s">
        <v>386</v>
      </c>
      <c r="K1192" s="1">
        <v>38237090</v>
      </c>
      <c r="L1192" s="6">
        <v>37.409999999999997</v>
      </c>
      <c r="M1192" s="1" t="s">
        <v>70</v>
      </c>
      <c r="N1192" s="7" t="s">
        <v>52</v>
      </c>
      <c r="O1192" s="1" t="s">
        <v>53</v>
      </c>
      <c r="P1192" s="8">
        <v>1275</v>
      </c>
      <c r="Q1192" s="17">
        <f t="shared" si="97"/>
        <v>47697.749999999993</v>
      </c>
      <c r="R1192" s="9">
        <v>1500</v>
      </c>
      <c r="S1192" s="9">
        <v>0</v>
      </c>
      <c r="T1192" s="9">
        <v>0</v>
      </c>
      <c r="U1192" s="10">
        <v>0</v>
      </c>
      <c r="V1192" s="1" t="s">
        <v>46</v>
      </c>
      <c r="W1192" s="1" t="s">
        <v>241</v>
      </c>
      <c r="X1192" s="1">
        <v>6721171</v>
      </c>
      <c r="Y1192" s="11">
        <v>41991</v>
      </c>
      <c r="Z1192" s="11"/>
      <c r="AA1192" s="9">
        <f t="shared" si="98"/>
        <v>46197.749999999993</v>
      </c>
      <c r="AB1192" s="12">
        <v>62.8</v>
      </c>
      <c r="AC1192" s="9">
        <f t="shared" si="99"/>
        <v>2995418.6999999993</v>
      </c>
      <c r="AD1192" s="9">
        <f t="shared" si="100"/>
        <v>2901218.6999999993</v>
      </c>
      <c r="AE1192" s="1" t="s">
        <v>48</v>
      </c>
      <c r="AF1192" s="1" t="s">
        <v>53</v>
      </c>
      <c r="AG1192" s="4">
        <f t="shared" si="105"/>
        <v>47697.749999999993</v>
      </c>
      <c r="AH1192" s="10">
        <v>47697.75</v>
      </c>
      <c r="AI1192" s="10">
        <v>1200</v>
      </c>
      <c r="AJ1192" s="10">
        <v>0</v>
      </c>
      <c r="AK1192" s="10">
        <v>0</v>
      </c>
      <c r="AL1192" s="9">
        <f t="shared" si="106"/>
        <v>46497.75</v>
      </c>
      <c r="AM1192" s="1"/>
      <c r="AN1192" s="1"/>
      <c r="AO1192" s="12" t="e">
        <f>AB1192/#REF!</f>
        <v>#REF!</v>
      </c>
      <c r="AP1192" s="1"/>
      <c r="AQ1192" s="11">
        <v>42066</v>
      </c>
      <c r="AR1192" s="1" t="s">
        <v>3442</v>
      </c>
      <c r="AS1192" s="11">
        <v>42067</v>
      </c>
      <c r="AT1192" s="1" t="s">
        <v>49</v>
      </c>
      <c r="AU1192" s="1" t="s">
        <v>4171</v>
      </c>
    </row>
    <row r="1193" spans="1:47" ht="15" customHeight="1" x14ac:dyDescent="0.25">
      <c r="A1193" s="1">
        <v>1189</v>
      </c>
      <c r="B1193" s="1" t="s">
        <v>1258</v>
      </c>
      <c r="C1193" s="1" t="s">
        <v>38</v>
      </c>
      <c r="D1193" s="1" t="s">
        <v>2785</v>
      </c>
      <c r="E1193" s="5">
        <v>41997</v>
      </c>
      <c r="F1193" s="1" t="s">
        <v>1052</v>
      </c>
      <c r="G1193" s="1" t="s">
        <v>40</v>
      </c>
      <c r="H1193" s="1" t="s">
        <v>41</v>
      </c>
      <c r="I1193" s="1" t="s">
        <v>2809</v>
      </c>
      <c r="J1193" s="1" t="s">
        <v>129</v>
      </c>
      <c r="K1193" s="1">
        <v>29159090</v>
      </c>
      <c r="L1193" s="6">
        <v>19.68</v>
      </c>
      <c r="M1193" s="1" t="s">
        <v>70</v>
      </c>
      <c r="N1193" s="7" t="s">
        <v>2786</v>
      </c>
      <c r="O1193" s="1" t="s">
        <v>45</v>
      </c>
      <c r="P1193" s="8">
        <v>2093</v>
      </c>
      <c r="Q1193" s="17">
        <f t="shared" si="97"/>
        <v>41190.239999999998</v>
      </c>
      <c r="R1193" s="9">
        <v>3183.15</v>
      </c>
      <c r="S1193" s="9">
        <v>5.89</v>
      </c>
      <c r="T1193" s="9">
        <v>742.33</v>
      </c>
      <c r="U1193" s="10">
        <v>0</v>
      </c>
      <c r="V1193" s="1" t="s">
        <v>46</v>
      </c>
      <c r="W1193" s="1" t="s">
        <v>130</v>
      </c>
      <c r="X1193" s="1">
        <v>6718517</v>
      </c>
      <c r="Y1193" s="11">
        <v>41991</v>
      </c>
      <c r="Z1193" s="11"/>
      <c r="AA1193" s="9">
        <f t="shared" si="98"/>
        <v>38001.199999999997</v>
      </c>
      <c r="AB1193" s="12">
        <v>77.25</v>
      </c>
      <c r="AC1193" s="9">
        <f t="shared" si="99"/>
        <v>3181946.04</v>
      </c>
      <c r="AD1193" s="9">
        <f t="shared" si="100"/>
        <v>2935592.6999999997</v>
      </c>
      <c r="AE1193" s="1" t="s">
        <v>48</v>
      </c>
      <c r="AF1193" s="1" t="s">
        <v>45</v>
      </c>
      <c r="AG1193" s="4">
        <f t="shared" si="105"/>
        <v>41190.239999999998</v>
      </c>
      <c r="AH1193" s="10">
        <v>41190.239999999998</v>
      </c>
      <c r="AI1193" s="9">
        <v>3283.85</v>
      </c>
      <c r="AJ1193" s="9">
        <v>5.89</v>
      </c>
      <c r="AK1193" s="9">
        <v>760</v>
      </c>
      <c r="AL1193" s="9">
        <f t="shared" si="106"/>
        <v>37140.5</v>
      </c>
      <c r="AM1193" s="1"/>
      <c r="AN1193" s="1"/>
      <c r="AO1193" s="12" t="e">
        <f>AB1193/#REF!</f>
        <v>#REF!</v>
      </c>
      <c r="AP1193" s="1"/>
      <c r="AQ1193" s="11">
        <v>42111</v>
      </c>
      <c r="AR1193" s="1" t="s">
        <v>3692</v>
      </c>
      <c r="AS1193" s="11">
        <v>42112</v>
      </c>
      <c r="AT1193" s="1" t="s">
        <v>49</v>
      </c>
      <c r="AU1193" s="1" t="s">
        <v>4171</v>
      </c>
    </row>
    <row r="1194" spans="1:47" ht="15" customHeight="1" x14ac:dyDescent="0.25">
      <c r="A1194" s="1">
        <v>1190</v>
      </c>
      <c r="B1194" s="1" t="s">
        <v>1258</v>
      </c>
      <c r="C1194" s="1" t="s">
        <v>38</v>
      </c>
      <c r="D1194" s="1" t="s">
        <v>2785</v>
      </c>
      <c r="E1194" s="5">
        <v>41997</v>
      </c>
      <c r="F1194" s="1" t="s">
        <v>1067</v>
      </c>
      <c r="G1194" s="1" t="s">
        <v>40</v>
      </c>
      <c r="H1194" s="1" t="s">
        <v>41</v>
      </c>
      <c r="I1194" s="1" t="s">
        <v>2809</v>
      </c>
      <c r="J1194" s="1" t="s">
        <v>129</v>
      </c>
      <c r="K1194" s="1">
        <v>29159090</v>
      </c>
      <c r="L1194" s="6">
        <v>59.31</v>
      </c>
      <c r="M1194" s="1" t="s">
        <v>70</v>
      </c>
      <c r="N1194" s="7" t="s">
        <v>333</v>
      </c>
      <c r="O1194" s="1" t="s">
        <v>45</v>
      </c>
      <c r="P1194" s="8">
        <v>2093</v>
      </c>
      <c r="Q1194" s="17">
        <f t="shared" si="97"/>
        <v>124135.83</v>
      </c>
      <c r="R1194" s="9">
        <v>9511.4599999999991</v>
      </c>
      <c r="S1194" s="9">
        <v>17.75</v>
      </c>
      <c r="T1194" s="9">
        <v>2237.17</v>
      </c>
      <c r="U1194" s="10">
        <v>0</v>
      </c>
      <c r="V1194" s="1" t="s">
        <v>46</v>
      </c>
      <c r="W1194" s="1" t="s">
        <v>130</v>
      </c>
      <c r="X1194" s="1">
        <v>6732984</v>
      </c>
      <c r="Y1194" s="11">
        <v>41992</v>
      </c>
      <c r="Z1194" s="11"/>
      <c r="AA1194" s="9">
        <f t="shared" si="98"/>
        <v>114606.62</v>
      </c>
      <c r="AB1194" s="12">
        <v>77.25</v>
      </c>
      <c r="AC1194" s="9">
        <f t="shared" si="99"/>
        <v>9589492.8674999997</v>
      </c>
      <c r="AD1194" s="9">
        <f t="shared" si="100"/>
        <v>8853361.3949999996</v>
      </c>
      <c r="AE1194" s="1" t="s">
        <v>48</v>
      </c>
      <c r="AF1194" s="1" t="s">
        <v>45</v>
      </c>
      <c r="AG1194" s="4">
        <f t="shared" si="105"/>
        <v>124135.83</v>
      </c>
      <c r="AH1194" s="10">
        <v>124135.43</v>
      </c>
      <c r="AI1194" s="9">
        <v>9701</v>
      </c>
      <c r="AJ1194" s="9">
        <v>17.75</v>
      </c>
      <c r="AK1194" s="9">
        <v>2546.52</v>
      </c>
      <c r="AL1194" s="9">
        <f t="shared" si="106"/>
        <v>111870.15999999999</v>
      </c>
      <c r="AM1194" s="1"/>
      <c r="AN1194" s="1"/>
      <c r="AO1194" s="12" t="e">
        <f>AB1194/#REF!</f>
        <v>#REF!</v>
      </c>
      <c r="AP1194" s="1"/>
      <c r="AQ1194" s="11">
        <v>42111</v>
      </c>
      <c r="AR1194" s="1" t="s">
        <v>3693</v>
      </c>
      <c r="AS1194" s="11">
        <v>42112</v>
      </c>
      <c r="AT1194" s="1" t="s">
        <v>49</v>
      </c>
      <c r="AU1194" s="1" t="s">
        <v>4171</v>
      </c>
    </row>
    <row r="1195" spans="1:47" ht="15" customHeight="1" x14ac:dyDescent="0.25">
      <c r="A1195" s="1">
        <v>1191</v>
      </c>
      <c r="B1195" s="1" t="s">
        <v>1258</v>
      </c>
      <c r="C1195" s="1" t="s">
        <v>38</v>
      </c>
      <c r="D1195" s="1">
        <v>9103550978</v>
      </c>
      <c r="E1195" s="5">
        <v>41999</v>
      </c>
      <c r="F1195" s="1" t="s">
        <v>1061</v>
      </c>
      <c r="G1195" s="1" t="s">
        <v>40</v>
      </c>
      <c r="H1195" s="1" t="s">
        <v>41</v>
      </c>
      <c r="I1195" s="1" t="s">
        <v>2809</v>
      </c>
      <c r="J1195" s="1" t="s">
        <v>2787</v>
      </c>
      <c r="K1195" s="1">
        <v>38237090</v>
      </c>
      <c r="L1195" s="6">
        <v>30</v>
      </c>
      <c r="M1195" s="1" t="s">
        <v>70</v>
      </c>
      <c r="N1195" s="7" t="s">
        <v>52</v>
      </c>
      <c r="O1195" s="1" t="s">
        <v>53</v>
      </c>
      <c r="P1195" s="8">
        <v>1560</v>
      </c>
      <c r="Q1195" s="17">
        <f>+L1195*P1195</f>
        <v>46800</v>
      </c>
      <c r="R1195" s="9">
        <v>3312</v>
      </c>
      <c r="S1195" s="9">
        <v>0</v>
      </c>
      <c r="T1195" s="9">
        <v>0</v>
      </c>
      <c r="U1195" s="10">
        <v>0</v>
      </c>
      <c r="V1195" s="1" t="s">
        <v>46</v>
      </c>
      <c r="W1195" s="1" t="s">
        <v>178</v>
      </c>
      <c r="X1195" s="1">
        <v>6757797</v>
      </c>
      <c r="Y1195" s="11">
        <v>41993</v>
      </c>
      <c r="Z1195" s="11"/>
      <c r="AA1195" s="9">
        <f t="shared" si="98"/>
        <v>43488</v>
      </c>
      <c r="AB1195" s="12">
        <v>62.8</v>
      </c>
      <c r="AC1195" s="9">
        <f t="shared" si="99"/>
        <v>2939040</v>
      </c>
      <c r="AD1195" s="9">
        <f t="shared" si="100"/>
        <v>2731046.4</v>
      </c>
      <c r="AE1195" s="1" t="s">
        <v>48</v>
      </c>
      <c r="AF1195" s="1" t="s">
        <v>53</v>
      </c>
      <c r="AG1195" s="4">
        <f t="shared" si="105"/>
        <v>46800</v>
      </c>
      <c r="AH1195" s="10">
        <v>46800</v>
      </c>
      <c r="AI1195" s="10">
        <v>3298</v>
      </c>
      <c r="AJ1195" s="10">
        <v>0</v>
      </c>
      <c r="AK1195" s="10">
        <v>0</v>
      </c>
      <c r="AL1195" s="9">
        <f t="shared" si="106"/>
        <v>43502</v>
      </c>
      <c r="AM1195" s="1"/>
      <c r="AN1195" s="1"/>
      <c r="AO1195" s="12" t="e">
        <f>AB1195/#REF!</f>
        <v>#REF!</v>
      </c>
      <c r="AP1195" s="1"/>
      <c r="AQ1195" s="11">
        <v>42087</v>
      </c>
      <c r="AR1195" s="1" t="s">
        <v>3443</v>
      </c>
      <c r="AS1195" s="11">
        <v>42088</v>
      </c>
      <c r="AT1195" s="1" t="s">
        <v>49</v>
      </c>
      <c r="AU1195" s="1" t="s">
        <v>4171</v>
      </c>
    </row>
    <row r="1196" spans="1:47" ht="15" customHeight="1" x14ac:dyDescent="0.25">
      <c r="A1196" s="1">
        <v>1192</v>
      </c>
      <c r="B1196" s="1" t="s">
        <v>1258</v>
      </c>
      <c r="C1196" s="1" t="s">
        <v>38</v>
      </c>
      <c r="D1196" s="1" t="s">
        <v>2788</v>
      </c>
      <c r="E1196" s="5">
        <v>41997</v>
      </c>
      <c r="F1196" s="1" t="s">
        <v>1060</v>
      </c>
      <c r="G1196" s="1" t="s">
        <v>40</v>
      </c>
      <c r="H1196" s="1" t="s">
        <v>41</v>
      </c>
      <c r="I1196" s="1" t="s">
        <v>2809</v>
      </c>
      <c r="J1196" s="1" t="s">
        <v>2768</v>
      </c>
      <c r="K1196" s="1">
        <v>38237090</v>
      </c>
      <c r="L1196" s="6">
        <v>36</v>
      </c>
      <c r="M1196" s="1" t="s">
        <v>70</v>
      </c>
      <c r="N1196" s="7" t="s">
        <v>52</v>
      </c>
      <c r="O1196" s="1" t="s">
        <v>53</v>
      </c>
      <c r="P1196" s="8">
        <v>1420</v>
      </c>
      <c r="Q1196" s="17">
        <f t="shared" si="97"/>
        <v>51120</v>
      </c>
      <c r="R1196" s="9">
        <v>2064</v>
      </c>
      <c r="S1196" s="9">
        <v>0</v>
      </c>
      <c r="T1196" s="9">
        <v>961.2</v>
      </c>
      <c r="U1196" s="10">
        <v>0</v>
      </c>
      <c r="V1196" s="1" t="s">
        <v>46</v>
      </c>
      <c r="W1196" s="1" t="s">
        <v>143</v>
      </c>
      <c r="X1196" s="1">
        <v>6736754</v>
      </c>
      <c r="Y1196" s="11">
        <v>41992</v>
      </c>
      <c r="Z1196" s="11"/>
      <c r="AA1196" s="9">
        <f>Q1196-R1196-S1196</f>
        <v>49056</v>
      </c>
      <c r="AB1196" s="12">
        <v>62.8</v>
      </c>
      <c r="AC1196" s="9">
        <f t="shared" si="99"/>
        <v>3210336</v>
      </c>
      <c r="AD1196" s="9">
        <f t="shared" si="100"/>
        <v>3080716.8</v>
      </c>
      <c r="AE1196" s="1" t="s">
        <v>48</v>
      </c>
      <c r="AF1196" s="1" t="s">
        <v>53</v>
      </c>
      <c r="AG1196" s="4">
        <f t="shared" ref="AG1196:AG1259" si="108">Q1196</f>
        <v>51120</v>
      </c>
      <c r="AH1196" s="10">
        <v>51120</v>
      </c>
      <c r="AI1196" s="10">
        <v>1959</v>
      </c>
      <c r="AJ1196" s="10">
        <v>0</v>
      </c>
      <c r="AK1196" s="10">
        <v>961.2</v>
      </c>
      <c r="AL1196" s="9">
        <f t="shared" ref="AL1196:AL1259" si="109">AH1196-(AI1196+AJ1196+AK1196)</f>
        <v>48199.8</v>
      </c>
      <c r="AM1196" s="1"/>
      <c r="AN1196" s="1"/>
      <c r="AO1196" s="12" t="e">
        <f>AB1196/#REF!</f>
        <v>#REF!</v>
      </c>
      <c r="AP1196" s="1"/>
      <c r="AQ1196" s="11">
        <v>42023</v>
      </c>
      <c r="AR1196" s="1" t="s">
        <v>3444</v>
      </c>
      <c r="AS1196" s="11">
        <v>42024</v>
      </c>
      <c r="AT1196" s="1" t="s">
        <v>49</v>
      </c>
      <c r="AU1196" s="1" t="s">
        <v>4171</v>
      </c>
    </row>
    <row r="1197" spans="1:47" ht="15" customHeight="1" x14ac:dyDescent="0.25">
      <c r="A1197" s="1">
        <v>1193</v>
      </c>
      <c r="B1197" s="1" t="s">
        <v>1258</v>
      </c>
      <c r="C1197" s="1" t="s">
        <v>38</v>
      </c>
      <c r="D1197" s="1" t="s">
        <v>2788</v>
      </c>
      <c r="E1197" s="5">
        <v>41997</v>
      </c>
      <c r="F1197" s="1" t="s">
        <v>1064</v>
      </c>
      <c r="G1197" s="1" t="s">
        <v>40</v>
      </c>
      <c r="H1197" s="1" t="s">
        <v>41</v>
      </c>
      <c r="I1197" s="1" t="s">
        <v>2809</v>
      </c>
      <c r="J1197" s="1" t="s">
        <v>2768</v>
      </c>
      <c r="K1197" s="1">
        <v>38237090</v>
      </c>
      <c r="L1197" s="6">
        <v>60</v>
      </c>
      <c r="M1197" s="1" t="s">
        <v>70</v>
      </c>
      <c r="N1197" s="7" t="s">
        <v>52</v>
      </c>
      <c r="O1197" s="1" t="s">
        <v>53</v>
      </c>
      <c r="P1197" s="8">
        <v>1420</v>
      </c>
      <c r="Q1197" s="17">
        <f t="shared" si="97"/>
        <v>85200</v>
      </c>
      <c r="R1197" s="9">
        <v>3440</v>
      </c>
      <c r="S1197" s="9">
        <v>0</v>
      </c>
      <c r="T1197" s="9">
        <v>1602</v>
      </c>
      <c r="U1197" s="10">
        <v>0</v>
      </c>
      <c r="V1197" s="1" t="s">
        <v>46</v>
      </c>
      <c r="W1197" s="1" t="s">
        <v>143</v>
      </c>
      <c r="X1197" s="1">
        <v>6758809</v>
      </c>
      <c r="Y1197" s="11">
        <v>41993</v>
      </c>
      <c r="Z1197" s="11"/>
      <c r="AA1197" s="9">
        <f t="shared" si="98"/>
        <v>81760</v>
      </c>
      <c r="AB1197" s="12">
        <v>62.8</v>
      </c>
      <c r="AC1197" s="9">
        <f t="shared" si="99"/>
        <v>5350560</v>
      </c>
      <c r="AD1197" s="9">
        <f t="shared" si="100"/>
        <v>5134528</v>
      </c>
      <c r="AE1197" s="1" t="s">
        <v>48</v>
      </c>
      <c r="AF1197" s="1" t="s">
        <v>53</v>
      </c>
      <c r="AG1197" s="4">
        <f t="shared" si="108"/>
        <v>85200</v>
      </c>
      <c r="AH1197" s="10">
        <v>85200</v>
      </c>
      <c r="AI1197" s="10">
        <v>3265</v>
      </c>
      <c r="AJ1197" s="10">
        <v>0</v>
      </c>
      <c r="AK1197" s="10">
        <v>1602</v>
      </c>
      <c r="AL1197" s="9">
        <f t="shared" si="109"/>
        <v>80333</v>
      </c>
      <c r="AM1197" s="1"/>
      <c r="AN1197" s="1"/>
      <c r="AO1197" s="12" t="e">
        <f>AB1197/#REF!</f>
        <v>#REF!</v>
      </c>
      <c r="AP1197" s="1"/>
      <c r="AQ1197" s="11">
        <v>42023</v>
      </c>
      <c r="AR1197" s="1" t="s">
        <v>3445</v>
      </c>
      <c r="AS1197" s="11">
        <v>42024</v>
      </c>
      <c r="AT1197" s="1" t="s">
        <v>49</v>
      </c>
      <c r="AU1197" s="1" t="s">
        <v>4171</v>
      </c>
    </row>
    <row r="1198" spans="1:47" ht="15" customHeight="1" x14ac:dyDescent="0.25">
      <c r="A1198" s="1">
        <v>1194</v>
      </c>
      <c r="B1198" s="1" t="s">
        <v>1258</v>
      </c>
      <c r="C1198" s="1" t="s">
        <v>38</v>
      </c>
      <c r="D1198" s="1">
        <v>9103550981</v>
      </c>
      <c r="E1198" s="5">
        <v>42004</v>
      </c>
      <c r="F1198" s="1" t="s">
        <v>1068</v>
      </c>
      <c r="G1198" s="1" t="s">
        <v>40</v>
      </c>
      <c r="H1198" s="1" t="s">
        <v>41</v>
      </c>
      <c r="I1198" s="1" t="s">
        <v>2809</v>
      </c>
      <c r="J1198" s="1" t="s">
        <v>386</v>
      </c>
      <c r="K1198" s="1">
        <v>38237090</v>
      </c>
      <c r="L1198" s="6">
        <v>187.03</v>
      </c>
      <c r="M1198" s="1" t="s">
        <v>70</v>
      </c>
      <c r="N1198" s="7" t="s">
        <v>52</v>
      </c>
      <c r="O1198" s="1" t="s">
        <v>53</v>
      </c>
      <c r="P1198" s="8">
        <v>1275</v>
      </c>
      <c r="Q1198" s="17">
        <f t="shared" si="97"/>
        <v>238463.25</v>
      </c>
      <c r="R1198" s="9">
        <v>7500</v>
      </c>
      <c r="S1198" s="9">
        <v>0</v>
      </c>
      <c r="T1198" s="9">
        <v>0</v>
      </c>
      <c r="U1198" s="10">
        <v>0</v>
      </c>
      <c r="V1198" s="1" t="s">
        <v>46</v>
      </c>
      <c r="W1198" s="1" t="s">
        <v>241</v>
      </c>
      <c r="X1198" s="1">
        <v>6759904</v>
      </c>
      <c r="Y1198" s="11">
        <v>41993</v>
      </c>
      <c r="Z1198" s="11"/>
      <c r="AA1198" s="9">
        <f>Q1198-R1198-S1198</f>
        <v>230963.25</v>
      </c>
      <c r="AB1198" s="12">
        <v>62.8</v>
      </c>
      <c r="AC1198" s="9">
        <f t="shared" si="99"/>
        <v>14975492.1</v>
      </c>
      <c r="AD1198" s="9">
        <f t="shared" si="100"/>
        <v>14504492.1</v>
      </c>
      <c r="AE1198" s="1" t="s">
        <v>48</v>
      </c>
      <c r="AF1198" s="1" t="s">
        <v>53</v>
      </c>
      <c r="AG1198" s="4">
        <f t="shared" si="108"/>
        <v>238463.25</v>
      </c>
      <c r="AH1198" s="10">
        <v>238442.25</v>
      </c>
      <c r="AI1198" s="10">
        <v>8500</v>
      </c>
      <c r="AJ1198" s="10">
        <v>0</v>
      </c>
      <c r="AK1198" s="10">
        <v>0</v>
      </c>
      <c r="AL1198" s="9">
        <f t="shared" si="109"/>
        <v>229942.25</v>
      </c>
      <c r="AM1198" s="1"/>
      <c r="AN1198" s="1"/>
      <c r="AO1198" s="12" t="e">
        <f>AB1198/#REF!</f>
        <v>#REF!</v>
      </c>
      <c r="AP1198" s="1"/>
      <c r="AQ1198" s="11">
        <v>42066</v>
      </c>
      <c r="AR1198" s="1" t="s">
        <v>3446</v>
      </c>
      <c r="AS1198" s="11">
        <v>42067</v>
      </c>
      <c r="AT1198" s="1" t="s">
        <v>49</v>
      </c>
      <c r="AU1198" s="1" t="s">
        <v>4171</v>
      </c>
    </row>
    <row r="1199" spans="1:47" ht="15" customHeight="1" x14ac:dyDescent="0.25">
      <c r="A1199" s="1">
        <v>1195</v>
      </c>
      <c r="B1199" s="1" t="s">
        <v>1258</v>
      </c>
      <c r="C1199" s="1" t="s">
        <v>38</v>
      </c>
      <c r="D1199" s="1">
        <v>9103550982</v>
      </c>
      <c r="E1199" s="5">
        <v>42001</v>
      </c>
      <c r="F1199" s="1" t="s">
        <v>1062</v>
      </c>
      <c r="G1199" s="1" t="s">
        <v>40</v>
      </c>
      <c r="H1199" s="1" t="s">
        <v>41</v>
      </c>
      <c r="I1199" s="1" t="s">
        <v>2809</v>
      </c>
      <c r="J1199" s="1" t="s">
        <v>187</v>
      </c>
      <c r="K1199" s="1">
        <v>29051700</v>
      </c>
      <c r="L1199" s="6">
        <v>54.42</v>
      </c>
      <c r="M1199" s="1" t="s">
        <v>70</v>
      </c>
      <c r="N1199" s="7" t="s">
        <v>44</v>
      </c>
      <c r="O1199" s="1" t="s">
        <v>53</v>
      </c>
      <c r="P1199" s="8">
        <v>1725</v>
      </c>
      <c r="Q1199" s="17">
        <f t="shared" si="97"/>
        <v>93874.5</v>
      </c>
      <c r="R1199" s="9">
        <v>9000</v>
      </c>
      <c r="S1199" s="9">
        <v>13.42</v>
      </c>
      <c r="T1199" s="9">
        <v>0</v>
      </c>
      <c r="U1199" s="10">
        <v>0</v>
      </c>
      <c r="V1199" s="1" t="s">
        <v>46</v>
      </c>
      <c r="W1199" s="1" t="s">
        <v>188</v>
      </c>
      <c r="X1199" s="1">
        <v>6781068</v>
      </c>
      <c r="Y1199" s="11">
        <v>41995</v>
      </c>
      <c r="Z1199" s="11"/>
      <c r="AA1199" s="9">
        <f t="shared" si="98"/>
        <v>84861.08</v>
      </c>
      <c r="AB1199" s="12">
        <v>62.8</v>
      </c>
      <c r="AC1199" s="9">
        <f t="shared" si="99"/>
        <v>5895318.5999999996</v>
      </c>
      <c r="AD1199" s="9">
        <f t="shared" si="100"/>
        <v>5329275.824</v>
      </c>
      <c r="AE1199" s="1" t="s">
        <v>48</v>
      </c>
      <c r="AF1199" s="1" t="s">
        <v>53</v>
      </c>
      <c r="AG1199" s="4">
        <f t="shared" si="108"/>
        <v>93874.5</v>
      </c>
      <c r="AH1199" s="10">
        <v>93874.5</v>
      </c>
      <c r="AI1199" s="10">
        <v>9132</v>
      </c>
      <c r="AJ1199" s="10">
        <v>13.42</v>
      </c>
      <c r="AK1199" s="10">
        <v>0</v>
      </c>
      <c r="AL1199" s="9">
        <f t="shared" si="109"/>
        <v>84729.08</v>
      </c>
      <c r="AM1199" s="1"/>
      <c r="AN1199" s="1"/>
      <c r="AO1199" s="12" t="e">
        <f>AB1199/#REF!</f>
        <v>#REF!</v>
      </c>
      <c r="AP1199" s="1"/>
      <c r="AQ1199" s="11">
        <v>42072</v>
      </c>
      <c r="AR1199" s="1" t="s">
        <v>3447</v>
      </c>
      <c r="AS1199" s="11">
        <v>42073</v>
      </c>
      <c r="AT1199" s="1" t="s">
        <v>49</v>
      </c>
      <c r="AU1199" s="1" t="s">
        <v>4171</v>
      </c>
    </row>
    <row r="1200" spans="1:47" ht="15" customHeight="1" x14ac:dyDescent="0.25">
      <c r="A1200" s="1">
        <v>1196</v>
      </c>
      <c r="B1200" s="1" t="s">
        <v>1258</v>
      </c>
      <c r="C1200" s="1" t="s">
        <v>38</v>
      </c>
      <c r="D1200" s="1">
        <v>9103550983</v>
      </c>
      <c r="E1200" s="5">
        <v>42001</v>
      </c>
      <c r="F1200" s="1" t="s">
        <v>1063</v>
      </c>
      <c r="G1200" s="1" t="s">
        <v>40</v>
      </c>
      <c r="H1200" s="1" t="s">
        <v>41</v>
      </c>
      <c r="I1200" s="1" t="s">
        <v>2809</v>
      </c>
      <c r="J1200" s="1" t="s">
        <v>187</v>
      </c>
      <c r="K1200" s="1">
        <v>29051700</v>
      </c>
      <c r="L1200" s="6">
        <v>18.489999999999998</v>
      </c>
      <c r="M1200" s="1" t="s">
        <v>70</v>
      </c>
      <c r="N1200" s="7" t="s">
        <v>44</v>
      </c>
      <c r="O1200" s="1" t="s">
        <v>53</v>
      </c>
      <c r="P1200" s="8">
        <v>2343</v>
      </c>
      <c r="Q1200" s="17">
        <f t="shared" si="97"/>
        <v>43322.07</v>
      </c>
      <c r="R1200" s="9">
        <v>4200</v>
      </c>
      <c r="S1200" s="9">
        <v>6.2</v>
      </c>
      <c r="T1200" s="9">
        <v>0</v>
      </c>
      <c r="U1200" s="10">
        <v>0</v>
      </c>
      <c r="V1200" s="1" t="s">
        <v>46</v>
      </c>
      <c r="W1200" s="1" t="s">
        <v>56</v>
      </c>
      <c r="X1200" s="1">
        <v>6783946</v>
      </c>
      <c r="Y1200" s="11">
        <v>41995</v>
      </c>
      <c r="Z1200" s="11"/>
      <c r="AA1200" s="9">
        <f t="shared" si="98"/>
        <v>39115.870000000003</v>
      </c>
      <c r="AB1200" s="12">
        <v>62.8</v>
      </c>
      <c r="AC1200" s="9">
        <f t="shared" si="99"/>
        <v>2720625.9959999998</v>
      </c>
      <c r="AD1200" s="9">
        <f t="shared" si="100"/>
        <v>2456476.6359999999</v>
      </c>
      <c r="AE1200" s="1" t="s">
        <v>48</v>
      </c>
      <c r="AF1200" s="1" t="s">
        <v>53</v>
      </c>
      <c r="AG1200" s="4">
        <f t="shared" si="108"/>
        <v>43322.07</v>
      </c>
      <c r="AH1200" s="10">
        <v>43287.07</v>
      </c>
      <c r="AI1200" s="10">
        <v>4325</v>
      </c>
      <c r="AJ1200" s="10">
        <v>6.2</v>
      </c>
      <c r="AK1200" s="10">
        <v>0</v>
      </c>
      <c r="AL1200" s="9">
        <f t="shared" si="109"/>
        <v>38955.870000000003</v>
      </c>
      <c r="AM1200" s="1"/>
      <c r="AN1200" s="1"/>
      <c r="AO1200" s="12" t="e">
        <f>AB1200/#REF!</f>
        <v>#REF!</v>
      </c>
      <c r="AP1200" s="1"/>
      <c r="AQ1200" s="11">
        <v>42072</v>
      </c>
      <c r="AR1200" s="1" t="s">
        <v>3448</v>
      </c>
      <c r="AS1200" s="11">
        <v>42073</v>
      </c>
      <c r="AT1200" s="1" t="s">
        <v>49</v>
      </c>
      <c r="AU1200" s="1" t="s">
        <v>4171</v>
      </c>
    </row>
    <row r="1201" spans="1:47" ht="15" customHeight="1" x14ac:dyDescent="0.25">
      <c r="A1201" s="1">
        <v>1197</v>
      </c>
      <c r="B1201" s="1" t="s">
        <v>1258</v>
      </c>
      <c r="C1201" s="1" t="s">
        <v>38</v>
      </c>
      <c r="D1201" s="1">
        <v>9103550986</v>
      </c>
      <c r="E1201" s="5">
        <v>42010</v>
      </c>
      <c r="F1201" s="1" t="s">
        <v>1066</v>
      </c>
      <c r="G1201" s="1" t="s">
        <v>40</v>
      </c>
      <c r="H1201" s="1" t="s">
        <v>41</v>
      </c>
      <c r="I1201" s="1" t="s">
        <v>2809</v>
      </c>
      <c r="J1201" s="1" t="s">
        <v>50</v>
      </c>
      <c r="K1201" s="1">
        <v>38237090</v>
      </c>
      <c r="L1201" s="6">
        <v>19.010000000000002</v>
      </c>
      <c r="M1201" s="1" t="s">
        <v>70</v>
      </c>
      <c r="N1201" s="7" t="s">
        <v>52</v>
      </c>
      <c r="O1201" s="1" t="s">
        <v>45</v>
      </c>
      <c r="P1201" s="8">
        <v>1003</v>
      </c>
      <c r="Q1201" s="17">
        <f t="shared" si="97"/>
        <v>19067.030000000002</v>
      </c>
      <c r="R1201" s="9">
        <v>691</v>
      </c>
      <c r="S1201" s="9">
        <v>0</v>
      </c>
      <c r="T1201" s="9">
        <v>0</v>
      </c>
      <c r="U1201" s="10">
        <v>0</v>
      </c>
      <c r="V1201" s="1" t="s">
        <v>46</v>
      </c>
      <c r="W1201" s="1" t="s">
        <v>2657</v>
      </c>
      <c r="X1201" s="1">
        <v>6809988</v>
      </c>
      <c r="Y1201" s="11">
        <v>41996</v>
      </c>
      <c r="Z1201" s="11"/>
      <c r="AA1201" s="9">
        <f>Q1201-R1201-S1201</f>
        <v>18376.030000000002</v>
      </c>
      <c r="AB1201" s="12">
        <v>77.25</v>
      </c>
      <c r="AC1201" s="9">
        <f t="shared" si="99"/>
        <v>1472928.0675000001</v>
      </c>
      <c r="AD1201" s="9">
        <f t="shared" si="100"/>
        <v>1419548.3175000001</v>
      </c>
      <c r="AE1201" s="1" t="s">
        <v>51</v>
      </c>
      <c r="AF1201" s="1" t="s">
        <v>45</v>
      </c>
      <c r="AG1201" s="4">
        <f t="shared" si="108"/>
        <v>19067.030000000002</v>
      </c>
      <c r="AH1201" s="10">
        <v>19067</v>
      </c>
      <c r="AI1201" s="10">
        <v>703.09</v>
      </c>
      <c r="AJ1201" s="10">
        <v>0</v>
      </c>
      <c r="AK1201" s="10">
        <v>0</v>
      </c>
      <c r="AL1201" s="9">
        <f t="shared" si="109"/>
        <v>18363.91</v>
      </c>
      <c r="AM1201" s="1"/>
      <c r="AN1201" s="1"/>
      <c r="AO1201" s="12" t="e">
        <f>AB1201/#REF!</f>
        <v>#REF!</v>
      </c>
      <c r="AP1201" s="1"/>
      <c r="AQ1201" s="11">
        <v>42081</v>
      </c>
      <c r="AR1201" s="1" t="s">
        <v>3727</v>
      </c>
      <c r="AS1201" s="11">
        <v>42081</v>
      </c>
      <c r="AT1201" s="1" t="s">
        <v>49</v>
      </c>
      <c r="AU1201" s="1" t="s">
        <v>4171</v>
      </c>
    </row>
    <row r="1202" spans="1:47" ht="15" customHeight="1" x14ac:dyDescent="0.25">
      <c r="A1202" s="1">
        <v>1198</v>
      </c>
      <c r="B1202" s="1" t="s">
        <v>1258</v>
      </c>
      <c r="C1202" s="1" t="s">
        <v>38</v>
      </c>
      <c r="D1202" s="1">
        <v>9103550986</v>
      </c>
      <c r="E1202" s="5">
        <v>42010</v>
      </c>
      <c r="F1202" s="1" t="s">
        <v>1070</v>
      </c>
      <c r="G1202" s="1" t="s">
        <v>40</v>
      </c>
      <c r="H1202" s="1" t="s">
        <v>41</v>
      </c>
      <c r="I1202" s="1" t="s">
        <v>2809</v>
      </c>
      <c r="J1202" s="1" t="s">
        <v>50</v>
      </c>
      <c r="K1202" s="1">
        <v>38237090</v>
      </c>
      <c r="L1202" s="6">
        <v>18.95</v>
      </c>
      <c r="M1202" s="1" t="s">
        <v>70</v>
      </c>
      <c r="N1202" s="7" t="s">
        <v>52</v>
      </c>
      <c r="O1202" s="1" t="s">
        <v>45</v>
      </c>
      <c r="P1202" s="8">
        <v>1003</v>
      </c>
      <c r="Q1202" s="17">
        <f t="shared" si="97"/>
        <v>19006.849999999999</v>
      </c>
      <c r="R1202" s="9">
        <v>691</v>
      </c>
      <c r="S1202" s="9">
        <v>0</v>
      </c>
      <c r="T1202" s="9">
        <v>0</v>
      </c>
      <c r="U1202" s="10">
        <v>0</v>
      </c>
      <c r="V1202" s="1" t="s">
        <v>46</v>
      </c>
      <c r="W1202" s="1" t="s">
        <v>2657</v>
      </c>
      <c r="X1202" s="1">
        <v>6811521</v>
      </c>
      <c r="Y1202" s="11">
        <v>41996</v>
      </c>
      <c r="Z1202" s="11"/>
      <c r="AA1202" s="9">
        <f t="shared" si="98"/>
        <v>18315.849999999999</v>
      </c>
      <c r="AB1202" s="12">
        <v>77.25</v>
      </c>
      <c r="AC1202" s="9">
        <f t="shared" si="99"/>
        <v>1468279.1624999999</v>
      </c>
      <c r="AD1202" s="9">
        <f t="shared" si="100"/>
        <v>1414899.4124999999</v>
      </c>
      <c r="AE1202" s="1" t="s">
        <v>51</v>
      </c>
      <c r="AF1202" s="1" t="s">
        <v>45</v>
      </c>
      <c r="AG1202" s="4">
        <f t="shared" si="108"/>
        <v>19006.849999999999</v>
      </c>
      <c r="AH1202" s="10">
        <v>19007</v>
      </c>
      <c r="AI1202" s="10">
        <v>703.09</v>
      </c>
      <c r="AJ1202" s="10">
        <v>0</v>
      </c>
      <c r="AK1202" s="10">
        <v>0</v>
      </c>
      <c r="AL1202" s="9">
        <f t="shared" si="109"/>
        <v>18303.91</v>
      </c>
      <c r="AM1202" s="1"/>
      <c r="AN1202" s="1"/>
      <c r="AO1202" s="12" t="e">
        <f>AB1202/#REF!</f>
        <v>#REF!</v>
      </c>
      <c r="AP1202" s="1"/>
      <c r="AQ1202" s="11">
        <v>42081</v>
      </c>
      <c r="AR1202" s="1" t="s">
        <v>3728</v>
      </c>
      <c r="AS1202" s="11">
        <v>42081</v>
      </c>
      <c r="AT1202" s="1" t="s">
        <v>49</v>
      </c>
      <c r="AU1202" s="1" t="s">
        <v>4171</v>
      </c>
    </row>
    <row r="1203" spans="1:47" ht="15" customHeight="1" x14ac:dyDescent="0.25">
      <c r="A1203" s="1">
        <v>1199</v>
      </c>
      <c r="B1203" s="1" t="s">
        <v>1258</v>
      </c>
      <c r="C1203" s="1" t="s">
        <v>38</v>
      </c>
      <c r="D1203" s="1">
        <v>9103550987</v>
      </c>
      <c r="E1203" s="5">
        <v>42010</v>
      </c>
      <c r="F1203" s="1" t="s">
        <v>1069</v>
      </c>
      <c r="G1203" s="1" t="s">
        <v>40</v>
      </c>
      <c r="H1203" s="1" t="s">
        <v>41</v>
      </c>
      <c r="I1203" s="1" t="s">
        <v>2809</v>
      </c>
      <c r="J1203" s="1" t="s">
        <v>50</v>
      </c>
      <c r="K1203" s="1">
        <v>38237090</v>
      </c>
      <c r="L1203" s="6">
        <v>75.31</v>
      </c>
      <c r="M1203" s="1" t="s">
        <v>70</v>
      </c>
      <c r="N1203" s="7" t="s">
        <v>52</v>
      </c>
      <c r="O1203" s="1" t="s">
        <v>45</v>
      </c>
      <c r="P1203" s="8">
        <v>1003</v>
      </c>
      <c r="Q1203" s="17">
        <f t="shared" si="97"/>
        <v>75535.930000000008</v>
      </c>
      <c r="R1203" s="9">
        <v>2764.01</v>
      </c>
      <c r="S1203" s="9">
        <v>0</v>
      </c>
      <c r="T1203" s="9">
        <v>0</v>
      </c>
      <c r="U1203" s="10">
        <v>0</v>
      </c>
      <c r="V1203" s="1" t="s">
        <v>46</v>
      </c>
      <c r="W1203" s="1" t="s">
        <v>2657</v>
      </c>
      <c r="X1203" s="1">
        <v>6808435</v>
      </c>
      <c r="Y1203" s="11">
        <v>41996</v>
      </c>
      <c r="Z1203" s="11"/>
      <c r="AA1203" s="9">
        <f t="shared" si="98"/>
        <v>72771.920000000013</v>
      </c>
      <c r="AB1203" s="12">
        <v>77.25</v>
      </c>
      <c r="AC1203" s="9">
        <f t="shared" si="99"/>
        <v>5835150.5925000003</v>
      </c>
      <c r="AD1203" s="9">
        <f t="shared" si="100"/>
        <v>5621630.8200000012</v>
      </c>
      <c r="AE1203" s="1" t="s">
        <v>51</v>
      </c>
      <c r="AF1203" s="1" t="s">
        <v>45</v>
      </c>
      <c r="AG1203" s="4">
        <f t="shared" si="108"/>
        <v>75535.930000000008</v>
      </c>
      <c r="AH1203" s="10">
        <v>75535</v>
      </c>
      <c r="AI1203" s="10">
        <v>2971.71</v>
      </c>
      <c r="AJ1203" s="10">
        <v>0</v>
      </c>
      <c r="AK1203" s="10">
        <v>0</v>
      </c>
      <c r="AL1203" s="9">
        <f t="shared" si="109"/>
        <v>72563.289999999994</v>
      </c>
      <c r="AM1203" s="1"/>
      <c r="AN1203" s="1"/>
      <c r="AO1203" s="12" t="e">
        <f>AB1203/#REF!</f>
        <v>#REF!</v>
      </c>
      <c r="AP1203" s="1"/>
      <c r="AQ1203" s="11">
        <v>42083</v>
      </c>
      <c r="AR1203" s="1" t="s">
        <v>3729</v>
      </c>
      <c r="AS1203" s="11">
        <v>42098</v>
      </c>
      <c r="AT1203" s="1" t="s">
        <v>49</v>
      </c>
      <c r="AU1203" s="1" t="s">
        <v>4171</v>
      </c>
    </row>
    <row r="1204" spans="1:47" ht="15" customHeight="1" x14ac:dyDescent="0.25">
      <c r="A1204" s="1">
        <v>1200</v>
      </c>
      <c r="B1204" s="1" t="s">
        <v>1258</v>
      </c>
      <c r="C1204" s="1" t="s">
        <v>38</v>
      </c>
      <c r="D1204" s="1">
        <v>9103550988</v>
      </c>
      <c r="E1204" s="5">
        <v>42010</v>
      </c>
      <c r="F1204" s="1" t="s">
        <v>1065</v>
      </c>
      <c r="G1204" s="1" t="s">
        <v>40</v>
      </c>
      <c r="H1204" s="1" t="s">
        <v>41</v>
      </c>
      <c r="I1204" s="1" t="s">
        <v>2809</v>
      </c>
      <c r="J1204" s="1" t="s">
        <v>50</v>
      </c>
      <c r="K1204" s="1">
        <v>38237090</v>
      </c>
      <c r="L1204" s="6">
        <v>151.24</v>
      </c>
      <c r="M1204" s="1" t="s">
        <v>70</v>
      </c>
      <c r="N1204" s="7" t="s">
        <v>52</v>
      </c>
      <c r="O1204" s="1" t="s">
        <v>45</v>
      </c>
      <c r="P1204" s="8">
        <v>1003</v>
      </c>
      <c r="Q1204" s="17">
        <f t="shared" si="97"/>
        <v>151693.72</v>
      </c>
      <c r="R1204" s="9">
        <v>5528.03</v>
      </c>
      <c r="S1204" s="9">
        <v>0</v>
      </c>
      <c r="T1204" s="9">
        <v>0</v>
      </c>
      <c r="U1204" s="10">
        <v>0</v>
      </c>
      <c r="V1204" s="1" t="s">
        <v>46</v>
      </c>
      <c r="W1204" s="1" t="s">
        <v>2657</v>
      </c>
      <c r="X1204" s="1">
        <v>6807385</v>
      </c>
      <c r="Y1204" s="11">
        <v>41996</v>
      </c>
      <c r="Z1204" s="11"/>
      <c r="AA1204" s="9">
        <f t="shared" si="98"/>
        <v>146165.69</v>
      </c>
      <c r="AB1204" s="12">
        <v>77.25</v>
      </c>
      <c r="AC1204" s="9">
        <f t="shared" si="99"/>
        <v>11718339.869999999</v>
      </c>
      <c r="AD1204" s="9">
        <f t="shared" si="100"/>
        <v>11291299.5525</v>
      </c>
      <c r="AE1204" s="1" t="s">
        <v>51</v>
      </c>
      <c r="AF1204" s="1" t="s">
        <v>45</v>
      </c>
      <c r="AG1204" s="4">
        <f t="shared" si="108"/>
        <v>151693.72</v>
      </c>
      <c r="AH1204" s="10">
        <v>151693</v>
      </c>
      <c r="AI1204" s="10">
        <v>5943.43</v>
      </c>
      <c r="AJ1204" s="10">
        <v>0</v>
      </c>
      <c r="AK1204" s="10">
        <v>0</v>
      </c>
      <c r="AL1204" s="9">
        <f t="shared" si="109"/>
        <v>145749.57</v>
      </c>
      <c r="AM1204" s="1"/>
      <c r="AN1204" s="1"/>
      <c r="AO1204" s="12" t="e">
        <f>AB1204/#REF!</f>
        <v>#REF!</v>
      </c>
      <c r="AP1204" s="1"/>
      <c r="AQ1204" s="11">
        <v>42083</v>
      </c>
      <c r="AR1204" s="1" t="s">
        <v>3730</v>
      </c>
      <c r="AS1204" s="11">
        <v>42098</v>
      </c>
      <c r="AT1204" s="1" t="s">
        <v>49</v>
      </c>
      <c r="AU1204" s="1" t="s">
        <v>4171</v>
      </c>
    </row>
    <row r="1205" spans="1:47" ht="15" customHeight="1" x14ac:dyDescent="0.25">
      <c r="A1205" s="1">
        <v>1201</v>
      </c>
      <c r="B1205" s="1" t="s">
        <v>1258</v>
      </c>
      <c r="C1205" s="1" t="s">
        <v>38</v>
      </c>
      <c r="D1205" s="1">
        <v>9103550989</v>
      </c>
      <c r="E1205" s="5">
        <v>42005</v>
      </c>
      <c r="F1205" s="1" t="s">
        <v>1072</v>
      </c>
      <c r="G1205" s="1" t="s">
        <v>40</v>
      </c>
      <c r="H1205" s="1" t="s">
        <v>41</v>
      </c>
      <c r="I1205" s="1" t="s">
        <v>2809</v>
      </c>
      <c r="J1205" s="1" t="s">
        <v>76</v>
      </c>
      <c r="K1205" s="1">
        <v>38237090</v>
      </c>
      <c r="L1205" s="6">
        <v>15</v>
      </c>
      <c r="M1205" s="1" t="s">
        <v>70</v>
      </c>
      <c r="N1205" s="7" t="s">
        <v>67</v>
      </c>
      <c r="O1205" s="1" t="s">
        <v>53</v>
      </c>
      <c r="P1205" s="8">
        <v>1425</v>
      </c>
      <c r="Q1205" s="17">
        <f t="shared" si="97"/>
        <v>21375</v>
      </c>
      <c r="R1205" s="9">
        <v>0</v>
      </c>
      <c r="S1205" s="9">
        <v>0</v>
      </c>
      <c r="T1205" s="9">
        <v>0</v>
      </c>
      <c r="U1205" s="10">
        <v>0</v>
      </c>
      <c r="V1205" s="1" t="s">
        <v>46</v>
      </c>
      <c r="W1205" s="1" t="s">
        <v>143</v>
      </c>
      <c r="X1205" s="1">
        <v>6834499</v>
      </c>
      <c r="Y1205" s="11">
        <v>41997</v>
      </c>
      <c r="Z1205" s="11"/>
      <c r="AA1205" s="9">
        <f t="shared" si="98"/>
        <v>21375</v>
      </c>
      <c r="AB1205" s="12">
        <v>62.8</v>
      </c>
      <c r="AC1205" s="9">
        <f t="shared" si="99"/>
        <v>1342350</v>
      </c>
      <c r="AD1205" s="9">
        <f t="shared" si="100"/>
        <v>1342350</v>
      </c>
      <c r="AE1205" s="1"/>
      <c r="AF1205" s="1"/>
      <c r="AG1205" s="4">
        <f t="shared" si="108"/>
        <v>21375</v>
      </c>
      <c r="AH1205" s="10">
        <v>21375</v>
      </c>
      <c r="AI1205" s="10">
        <v>0</v>
      </c>
      <c r="AJ1205" s="10">
        <v>0</v>
      </c>
      <c r="AK1205" s="10">
        <v>0</v>
      </c>
      <c r="AL1205" s="9">
        <f t="shared" si="109"/>
        <v>21375</v>
      </c>
      <c r="AM1205" s="1"/>
      <c r="AN1205" s="1"/>
      <c r="AO1205" s="12" t="e">
        <f>AB1205/#REF!</f>
        <v>#REF!</v>
      </c>
      <c r="AP1205" s="1" t="s">
        <v>4210</v>
      </c>
      <c r="AQ1205" s="11">
        <v>42138</v>
      </c>
      <c r="AR1205" s="1" t="s">
        <v>4211</v>
      </c>
      <c r="AS1205" s="11">
        <v>42139</v>
      </c>
      <c r="AT1205" s="1" t="s">
        <v>49</v>
      </c>
      <c r="AU1205" s="1" t="s">
        <v>4171</v>
      </c>
    </row>
    <row r="1206" spans="1:47" ht="15" customHeight="1" x14ac:dyDescent="0.25">
      <c r="A1206" s="1">
        <v>1202</v>
      </c>
      <c r="B1206" s="1" t="s">
        <v>1258</v>
      </c>
      <c r="C1206" s="1" t="s">
        <v>38</v>
      </c>
      <c r="D1206" s="1">
        <v>9103550990</v>
      </c>
      <c r="E1206" s="5">
        <v>42000</v>
      </c>
      <c r="F1206" s="1" t="s">
        <v>1073</v>
      </c>
      <c r="G1206" s="1" t="s">
        <v>40</v>
      </c>
      <c r="H1206" s="1" t="s">
        <v>41</v>
      </c>
      <c r="I1206" s="1" t="s">
        <v>2809</v>
      </c>
      <c r="J1206" s="1" t="s">
        <v>63</v>
      </c>
      <c r="K1206" s="1">
        <v>29054500</v>
      </c>
      <c r="L1206" s="6">
        <v>20</v>
      </c>
      <c r="M1206" s="1" t="s">
        <v>70</v>
      </c>
      <c r="N1206" s="7" t="s">
        <v>52</v>
      </c>
      <c r="O1206" s="1" t="s">
        <v>53</v>
      </c>
      <c r="P1206" s="8">
        <v>1025</v>
      </c>
      <c r="Q1206" s="17">
        <f t="shared" si="97"/>
        <v>20500</v>
      </c>
      <c r="R1206" s="9">
        <v>100</v>
      </c>
      <c r="S1206" s="9">
        <v>0</v>
      </c>
      <c r="T1206" s="9">
        <v>0</v>
      </c>
      <c r="U1206" s="10">
        <v>0</v>
      </c>
      <c r="V1206" s="1" t="s">
        <v>46</v>
      </c>
      <c r="W1206" s="1" t="s">
        <v>2682</v>
      </c>
      <c r="X1206" s="1">
        <v>6834978</v>
      </c>
      <c r="Y1206" s="11">
        <v>41997</v>
      </c>
      <c r="Z1206" s="11"/>
      <c r="AA1206" s="9">
        <f t="shared" si="98"/>
        <v>20400</v>
      </c>
      <c r="AB1206" s="12">
        <v>62.8</v>
      </c>
      <c r="AC1206" s="9">
        <f t="shared" si="99"/>
        <v>1287400</v>
      </c>
      <c r="AD1206" s="9">
        <f t="shared" si="100"/>
        <v>1281120</v>
      </c>
      <c r="AE1206" s="1" t="s">
        <v>51</v>
      </c>
      <c r="AF1206" s="1" t="s">
        <v>53</v>
      </c>
      <c r="AG1206" s="4">
        <f t="shared" si="108"/>
        <v>20500</v>
      </c>
      <c r="AH1206" s="10">
        <v>20463</v>
      </c>
      <c r="AI1206" s="10">
        <v>125</v>
      </c>
      <c r="AJ1206" s="10">
        <v>0</v>
      </c>
      <c r="AK1206" s="10">
        <v>0</v>
      </c>
      <c r="AL1206" s="9">
        <f t="shared" si="109"/>
        <v>20338</v>
      </c>
      <c r="AM1206" s="1"/>
      <c r="AN1206" s="1"/>
      <c r="AO1206" s="12" t="e">
        <f>AB1206/#REF!</f>
        <v>#REF!</v>
      </c>
      <c r="AP1206" s="1" t="s">
        <v>2789</v>
      </c>
      <c r="AQ1206" s="11">
        <v>42032</v>
      </c>
      <c r="AR1206" s="1" t="s">
        <v>2790</v>
      </c>
      <c r="AS1206" s="11">
        <v>42032</v>
      </c>
      <c r="AT1206" s="1" t="s">
        <v>49</v>
      </c>
      <c r="AU1206" s="1" t="s">
        <v>4171</v>
      </c>
    </row>
    <row r="1207" spans="1:47" ht="15" customHeight="1" x14ac:dyDescent="0.25">
      <c r="A1207" s="1">
        <v>1203</v>
      </c>
      <c r="B1207" s="1" t="s">
        <v>1258</v>
      </c>
      <c r="C1207" s="1" t="s">
        <v>38</v>
      </c>
      <c r="D1207" s="1">
        <v>9103550991</v>
      </c>
      <c r="E1207" s="5">
        <v>42004</v>
      </c>
      <c r="F1207" s="1" t="s">
        <v>1075</v>
      </c>
      <c r="G1207" s="1" t="s">
        <v>40</v>
      </c>
      <c r="H1207" s="1" t="s">
        <v>41</v>
      </c>
      <c r="I1207" s="1" t="s">
        <v>2809</v>
      </c>
      <c r="J1207" s="1" t="s">
        <v>386</v>
      </c>
      <c r="K1207" s="1">
        <v>38237090</v>
      </c>
      <c r="L1207" s="6">
        <v>94.87</v>
      </c>
      <c r="M1207" s="1" t="s">
        <v>70</v>
      </c>
      <c r="N1207" s="7" t="s">
        <v>52</v>
      </c>
      <c r="O1207" s="1" t="s">
        <v>53</v>
      </c>
      <c r="P1207" s="8">
        <v>1275</v>
      </c>
      <c r="Q1207" s="17">
        <f>+L1207*P1207</f>
        <v>120959.25</v>
      </c>
      <c r="R1207" s="9">
        <v>3750</v>
      </c>
      <c r="S1207" s="9">
        <v>0</v>
      </c>
      <c r="T1207" s="9">
        <v>0</v>
      </c>
      <c r="U1207" s="10">
        <v>0</v>
      </c>
      <c r="V1207" s="1" t="s">
        <v>46</v>
      </c>
      <c r="W1207" s="1" t="s">
        <v>241</v>
      </c>
      <c r="X1207" s="1">
        <v>6848237</v>
      </c>
      <c r="Y1207" s="11">
        <v>41999</v>
      </c>
      <c r="Z1207" s="11"/>
      <c r="AA1207" s="9">
        <f t="shared" si="98"/>
        <v>117209.25</v>
      </c>
      <c r="AB1207" s="12">
        <v>62.8</v>
      </c>
      <c r="AC1207" s="9">
        <f t="shared" si="99"/>
        <v>7596240.8999999994</v>
      </c>
      <c r="AD1207" s="9">
        <f t="shared" si="100"/>
        <v>7360740.8999999994</v>
      </c>
      <c r="AE1207" s="1" t="s">
        <v>48</v>
      </c>
      <c r="AF1207" s="1" t="s">
        <v>53</v>
      </c>
      <c r="AG1207" s="4">
        <f t="shared" si="108"/>
        <v>120959.25</v>
      </c>
      <c r="AH1207" s="10">
        <v>120959.25</v>
      </c>
      <c r="AI1207" s="10">
        <v>3000</v>
      </c>
      <c r="AJ1207" s="10">
        <v>0</v>
      </c>
      <c r="AK1207" s="10">
        <v>0</v>
      </c>
      <c r="AL1207" s="9">
        <f t="shared" si="109"/>
        <v>117959.25</v>
      </c>
      <c r="AM1207" s="1"/>
      <c r="AN1207" s="1"/>
      <c r="AO1207" s="12" t="e">
        <f>AB1207/#REF!</f>
        <v>#REF!</v>
      </c>
      <c r="AP1207" s="1"/>
      <c r="AQ1207" s="11">
        <v>42040</v>
      </c>
      <c r="AR1207" s="1" t="s">
        <v>3449</v>
      </c>
      <c r="AS1207" s="11">
        <v>42041</v>
      </c>
      <c r="AT1207" s="1" t="s">
        <v>49</v>
      </c>
      <c r="AU1207" s="1" t="s">
        <v>4171</v>
      </c>
    </row>
    <row r="1208" spans="1:47" ht="15" customHeight="1" x14ac:dyDescent="0.25">
      <c r="A1208" s="1">
        <v>1204</v>
      </c>
      <c r="B1208" s="1" t="s">
        <v>1258</v>
      </c>
      <c r="C1208" s="1" t="s">
        <v>38</v>
      </c>
      <c r="D1208" s="1">
        <v>9103550992</v>
      </c>
      <c r="E1208" s="5">
        <v>42000</v>
      </c>
      <c r="F1208" s="1" t="s">
        <v>1071</v>
      </c>
      <c r="G1208" s="1" t="s">
        <v>40</v>
      </c>
      <c r="H1208" s="1" t="s">
        <v>41</v>
      </c>
      <c r="I1208" s="1" t="s">
        <v>2809</v>
      </c>
      <c r="J1208" s="1" t="s">
        <v>386</v>
      </c>
      <c r="K1208" s="1">
        <v>38237090</v>
      </c>
      <c r="L1208" s="6">
        <v>132.72</v>
      </c>
      <c r="M1208" s="1" t="s">
        <v>70</v>
      </c>
      <c r="N1208" s="7" t="s">
        <v>52</v>
      </c>
      <c r="O1208" s="1" t="s">
        <v>53</v>
      </c>
      <c r="P1208" s="8">
        <v>1275</v>
      </c>
      <c r="Q1208" s="17">
        <f t="shared" si="97"/>
        <v>169218</v>
      </c>
      <c r="R1208" s="9">
        <v>5250</v>
      </c>
      <c r="S1208" s="9">
        <v>0</v>
      </c>
      <c r="T1208" s="9">
        <v>0</v>
      </c>
      <c r="U1208" s="10">
        <v>0</v>
      </c>
      <c r="V1208" s="1" t="s">
        <v>46</v>
      </c>
      <c r="W1208" s="1" t="s">
        <v>241</v>
      </c>
      <c r="X1208" s="1">
        <v>6835154</v>
      </c>
      <c r="Y1208" s="11">
        <v>41997</v>
      </c>
      <c r="Z1208" s="11"/>
      <c r="AA1208" s="9">
        <f>Q1208-R1208-S1208</f>
        <v>163968</v>
      </c>
      <c r="AB1208" s="12">
        <v>62.8</v>
      </c>
      <c r="AC1208" s="9">
        <f t="shared" si="99"/>
        <v>10626890.4</v>
      </c>
      <c r="AD1208" s="9">
        <f t="shared" si="100"/>
        <v>10297190.4</v>
      </c>
      <c r="AE1208" s="1" t="s">
        <v>48</v>
      </c>
      <c r="AF1208" s="1" t="s">
        <v>53</v>
      </c>
      <c r="AG1208" s="4">
        <f t="shared" si="108"/>
        <v>169218</v>
      </c>
      <c r="AH1208" s="10">
        <v>169218</v>
      </c>
      <c r="AI1208" s="10">
        <v>5250</v>
      </c>
      <c r="AJ1208" s="10">
        <v>0</v>
      </c>
      <c r="AK1208" s="10">
        <v>0</v>
      </c>
      <c r="AL1208" s="9">
        <f t="shared" si="109"/>
        <v>163968</v>
      </c>
      <c r="AM1208" s="1"/>
      <c r="AN1208" s="1"/>
      <c r="AO1208" s="12" t="e">
        <f>AB1208/#REF!</f>
        <v>#REF!</v>
      </c>
      <c r="AP1208" s="1"/>
      <c r="AQ1208" s="11">
        <v>42087</v>
      </c>
      <c r="AR1208" s="1" t="s">
        <v>3450</v>
      </c>
      <c r="AS1208" s="11">
        <v>42088</v>
      </c>
      <c r="AT1208" s="1" t="s">
        <v>49</v>
      </c>
      <c r="AU1208" s="1" t="s">
        <v>4171</v>
      </c>
    </row>
    <row r="1209" spans="1:47" ht="15" customHeight="1" x14ac:dyDescent="0.25">
      <c r="A1209" s="1">
        <v>1205</v>
      </c>
      <c r="B1209" s="1" t="s">
        <v>1258</v>
      </c>
      <c r="C1209" s="1" t="s">
        <v>38</v>
      </c>
      <c r="D1209" s="1">
        <v>9103550993</v>
      </c>
      <c r="E1209" s="5">
        <v>41999</v>
      </c>
      <c r="F1209" s="1" t="s">
        <v>1096</v>
      </c>
      <c r="G1209" s="1" t="s">
        <v>40</v>
      </c>
      <c r="H1209" s="1" t="s">
        <v>41</v>
      </c>
      <c r="I1209" s="1" t="s">
        <v>2809</v>
      </c>
      <c r="J1209" s="1" t="s">
        <v>2660</v>
      </c>
      <c r="K1209" s="1">
        <v>29051700</v>
      </c>
      <c r="L1209" s="6">
        <v>11</v>
      </c>
      <c r="M1209" s="1" t="s">
        <v>70</v>
      </c>
      <c r="N1209" s="7" t="s">
        <v>52</v>
      </c>
      <c r="O1209" s="1" t="s">
        <v>53</v>
      </c>
      <c r="P1209" s="8">
        <v>1570</v>
      </c>
      <c r="Q1209" s="17">
        <f t="shared" si="97"/>
        <v>17270</v>
      </c>
      <c r="R1209" s="9">
        <v>100</v>
      </c>
      <c r="S1209" s="9">
        <v>0</v>
      </c>
      <c r="T1209" s="9">
        <v>0</v>
      </c>
      <c r="U1209" s="10">
        <v>0</v>
      </c>
      <c r="V1209" s="1" t="s">
        <v>46</v>
      </c>
      <c r="W1209" s="1" t="s">
        <v>75</v>
      </c>
      <c r="X1209" s="1">
        <v>6860150</v>
      </c>
      <c r="Y1209" s="11">
        <v>41999</v>
      </c>
      <c r="Z1209" s="11"/>
      <c r="AA1209" s="9">
        <f>Q1209-R1209-S1209</f>
        <v>17170</v>
      </c>
      <c r="AB1209" s="12">
        <v>62.8</v>
      </c>
      <c r="AC1209" s="9">
        <f t="shared" si="99"/>
        <v>1084556</v>
      </c>
      <c r="AD1209" s="9">
        <f t="shared" si="100"/>
        <v>1078276</v>
      </c>
      <c r="AE1209" s="1" t="s">
        <v>48</v>
      </c>
      <c r="AF1209" s="1" t="s">
        <v>53</v>
      </c>
      <c r="AG1209" s="4">
        <f t="shared" si="108"/>
        <v>17270</v>
      </c>
      <c r="AH1209" s="10">
        <v>17270</v>
      </c>
      <c r="AI1209" s="10">
        <v>181</v>
      </c>
      <c r="AJ1209" s="10">
        <v>0</v>
      </c>
      <c r="AK1209" s="10">
        <v>0</v>
      </c>
      <c r="AL1209" s="9">
        <f t="shared" si="109"/>
        <v>17089</v>
      </c>
      <c r="AM1209" s="1"/>
      <c r="AN1209" s="1"/>
      <c r="AO1209" s="12" t="e">
        <f>AB1209/#REF!</f>
        <v>#REF!</v>
      </c>
      <c r="AP1209" s="1"/>
      <c r="AQ1209" s="11">
        <v>42037</v>
      </c>
      <c r="AR1209" s="1" t="s">
        <v>3451</v>
      </c>
      <c r="AS1209" s="11">
        <v>42038</v>
      </c>
      <c r="AT1209" s="1" t="s">
        <v>49</v>
      </c>
      <c r="AU1209" s="1" t="s">
        <v>4171</v>
      </c>
    </row>
    <row r="1210" spans="1:47" ht="15" customHeight="1" x14ac:dyDescent="0.25">
      <c r="A1210" s="1">
        <v>1206</v>
      </c>
      <c r="B1210" s="1" t="s">
        <v>1258</v>
      </c>
      <c r="C1210" s="1" t="s">
        <v>38</v>
      </c>
      <c r="D1210" s="1">
        <v>9103550994</v>
      </c>
      <c r="E1210" s="5">
        <v>42005</v>
      </c>
      <c r="F1210" s="1" t="s">
        <v>1081</v>
      </c>
      <c r="G1210" s="1" t="s">
        <v>40</v>
      </c>
      <c r="H1210" s="1" t="s">
        <v>41</v>
      </c>
      <c r="I1210" s="1" t="s">
        <v>2809</v>
      </c>
      <c r="J1210" s="1" t="s">
        <v>2791</v>
      </c>
      <c r="K1210" s="1">
        <v>38237090</v>
      </c>
      <c r="L1210" s="6">
        <v>15</v>
      </c>
      <c r="M1210" s="1" t="s">
        <v>70</v>
      </c>
      <c r="N1210" s="7" t="s">
        <v>44</v>
      </c>
      <c r="O1210" s="1" t="s">
        <v>53</v>
      </c>
      <c r="P1210" s="8">
        <v>1470</v>
      </c>
      <c r="Q1210" s="17">
        <f t="shared" si="97"/>
        <v>22050</v>
      </c>
      <c r="R1210" s="9">
        <v>656</v>
      </c>
      <c r="S1210" s="9">
        <v>3.15</v>
      </c>
      <c r="T1210" s="9">
        <v>0</v>
      </c>
      <c r="U1210" s="10">
        <v>0</v>
      </c>
      <c r="V1210" s="1" t="s">
        <v>46</v>
      </c>
      <c r="W1210" s="1" t="s">
        <v>143</v>
      </c>
      <c r="X1210" s="1">
        <v>6862495</v>
      </c>
      <c r="Y1210" s="11">
        <v>41999</v>
      </c>
      <c r="Z1210" s="11"/>
      <c r="AA1210" s="9">
        <f t="shared" si="98"/>
        <v>21390.85</v>
      </c>
      <c r="AB1210" s="12">
        <v>62.8</v>
      </c>
      <c r="AC1210" s="9">
        <f t="shared" si="99"/>
        <v>1384740</v>
      </c>
      <c r="AD1210" s="9">
        <f t="shared" si="100"/>
        <v>1343345.38</v>
      </c>
      <c r="AE1210" s="1" t="s">
        <v>48</v>
      </c>
      <c r="AF1210" s="1" t="s">
        <v>53</v>
      </c>
      <c r="AG1210" s="4">
        <f t="shared" si="108"/>
        <v>22050</v>
      </c>
      <c r="AH1210" s="10">
        <v>21940</v>
      </c>
      <c r="AI1210" s="10">
        <v>653</v>
      </c>
      <c r="AJ1210" s="10">
        <v>3.15</v>
      </c>
      <c r="AK1210" s="10">
        <v>0</v>
      </c>
      <c r="AL1210" s="9">
        <f t="shared" si="109"/>
        <v>21283.85</v>
      </c>
      <c r="AM1210" s="1"/>
      <c r="AN1210" s="1"/>
      <c r="AO1210" s="12" t="e">
        <f>AB1210/#REF!</f>
        <v>#REF!</v>
      </c>
      <c r="AP1210" s="1"/>
      <c r="AQ1210" s="11">
        <v>42026</v>
      </c>
      <c r="AR1210" s="1" t="s">
        <v>3452</v>
      </c>
      <c r="AS1210" s="11">
        <v>42027</v>
      </c>
      <c r="AT1210" s="1" t="s">
        <v>49</v>
      </c>
      <c r="AU1210" s="1" t="s">
        <v>4171</v>
      </c>
    </row>
    <row r="1211" spans="1:47" ht="15" customHeight="1" x14ac:dyDescent="0.25">
      <c r="A1211" s="1">
        <v>1207</v>
      </c>
      <c r="B1211" s="1" t="s">
        <v>1258</v>
      </c>
      <c r="C1211" s="1" t="s">
        <v>38</v>
      </c>
      <c r="D1211" s="1">
        <v>9103550995</v>
      </c>
      <c r="E1211" s="5">
        <v>42004</v>
      </c>
      <c r="F1211" s="1" t="s">
        <v>1074</v>
      </c>
      <c r="G1211" s="1" t="s">
        <v>40</v>
      </c>
      <c r="H1211" s="1" t="s">
        <v>41</v>
      </c>
      <c r="I1211" s="1" t="s">
        <v>2809</v>
      </c>
      <c r="J1211" s="1" t="s">
        <v>386</v>
      </c>
      <c r="K1211" s="1">
        <v>38237090</v>
      </c>
      <c r="L1211" s="6">
        <v>56.93</v>
      </c>
      <c r="M1211" s="1" t="s">
        <v>70</v>
      </c>
      <c r="N1211" s="7" t="s">
        <v>52</v>
      </c>
      <c r="O1211" s="1" t="s">
        <v>53</v>
      </c>
      <c r="P1211" s="8">
        <v>1275</v>
      </c>
      <c r="Q1211" s="17">
        <f t="shared" si="97"/>
        <v>72585.75</v>
      </c>
      <c r="R1211" s="9">
        <v>2250</v>
      </c>
      <c r="S1211" s="9">
        <v>0</v>
      </c>
      <c r="T1211" s="9">
        <v>0</v>
      </c>
      <c r="U1211" s="10">
        <v>0</v>
      </c>
      <c r="V1211" s="1" t="s">
        <v>46</v>
      </c>
      <c r="W1211" s="1" t="s">
        <v>241</v>
      </c>
      <c r="X1211" s="1">
        <v>6855157</v>
      </c>
      <c r="Y1211" s="11">
        <v>41999</v>
      </c>
      <c r="Z1211" s="11"/>
      <c r="AA1211" s="9">
        <f t="shared" si="98"/>
        <v>70335.75</v>
      </c>
      <c r="AB1211" s="12">
        <v>62.8</v>
      </c>
      <c r="AC1211" s="9">
        <f t="shared" si="99"/>
        <v>4558385.0999999996</v>
      </c>
      <c r="AD1211" s="9">
        <f t="shared" si="100"/>
        <v>4417085.0999999996</v>
      </c>
      <c r="AE1211" s="1" t="s">
        <v>48</v>
      </c>
      <c r="AF1211" s="1" t="s">
        <v>53</v>
      </c>
      <c r="AG1211" s="4">
        <f t="shared" si="108"/>
        <v>72585.75</v>
      </c>
      <c r="AH1211" s="10">
        <v>72585.75</v>
      </c>
      <c r="AI1211" s="10">
        <v>2500</v>
      </c>
      <c r="AJ1211" s="10">
        <v>0</v>
      </c>
      <c r="AK1211" s="10">
        <v>0</v>
      </c>
      <c r="AL1211" s="9">
        <f t="shared" si="109"/>
        <v>70085.75</v>
      </c>
      <c r="AM1211" s="1"/>
      <c r="AN1211" s="1"/>
      <c r="AO1211" s="12" t="e">
        <f>AB1211/#REF!</f>
        <v>#REF!</v>
      </c>
      <c r="AP1211" s="1"/>
      <c r="AQ1211" s="11">
        <v>42040</v>
      </c>
      <c r="AR1211" s="1" t="s">
        <v>3453</v>
      </c>
      <c r="AS1211" s="11">
        <v>42041</v>
      </c>
      <c r="AT1211" s="1" t="s">
        <v>49</v>
      </c>
      <c r="AU1211" s="1" t="s">
        <v>4171</v>
      </c>
    </row>
    <row r="1212" spans="1:47" ht="15" customHeight="1" x14ac:dyDescent="0.25">
      <c r="A1212" s="1">
        <v>1208</v>
      </c>
      <c r="B1212" s="1" t="s">
        <v>1258</v>
      </c>
      <c r="C1212" s="1" t="s">
        <v>38</v>
      </c>
      <c r="D1212" s="1">
        <v>9103550995</v>
      </c>
      <c r="E1212" s="5">
        <v>42004</v>
      </c>
      <c r="F1212" s="1" t="s">
        <v>1084</v>
      </c>
      <c r="G1212" s="1" t="s">
        <v>40</v>
      </c>
      <c r="H1212" s="1" t="s">
        <v>41</v>
      </c>
      <c r="I1212" s="1" t="s">
        <v>2809</v>
      </c>
      <c r="J1212" s="1" t="s">
        <v>386</v>
      </c>
      <c r="K1212" s="1">
        <v>38237090</v>
      </c>
      <c r="L1212" s="6">
        <v>39.68</v>
      </c>
      <c r="M1212" s="1" t="s">
        <v>70</v>
      </c>
      <c r="N1212" s="7" t="s">
        <v>52</v>
      </c>
      <c r="O1212" s="1" t="s">
        <v>53</v>
      </c>
      <c r="P1212" s="8">
        <v>1275</v>
      </c>
      <c r="Q1212" s="17">
        <f t="shared" si="97"/>
        <v>50592</v>
      </c>
      <c r="R1212" s="9">
        <v>1500</v>
      </c>
      <c r="S1212" s="9">
        <v>0</v>
      </c>
      <c r="T1212" s="9">
        <v>0</v>
      </c>
      <c r="U1212" s="10">
        <v>0</v>
      </c>
      <c r="V1212" s="1" t="s">
        <v>46</v>
      </c>
      <c r="W1212" s="1" t="s">
        <v>241</v>
      </c>
      <c r="X1212" s="1">
        <v>6862525</v>
      </c>
      <c r="Y1212" s="11">
        <v>41999</v>
      </c>
      <c r="Z1212" s="11"/>
      <c r="AA1212" s="9">
        <f t="shared" si="98"/>
        <v>49092</v>
      </c>
      <c r="AB1212" s="12">
        <v>62.8</v>
      </c>
      <c r="AC1212" s="9">
        <f t="shared" si="99"/>
        <v>3177177.5999999996</v>
      </c>
      <c r="AD1212" s="9">
        <f t="shared" si="100"/>
        <v>3082977.6</v>
      </c>
      <c r="AE1212" s="1" t="s">
        <v>48</v>
      </c>
      <c r="AF1212" s="1" t="s">
        <v>53</v>
      </c>
      <c r="AG1212" s="4">
        <f t="shared" si="108"/>
        <v>50592</v>
      </c>
      <c r="AH1212" s="10">
        <v>50592</v>
      </c>
      <c r="AI1212" s="10">
        <v>1700</v>
      </c>
      <c r="AJ1212" s="10">
        <v>0</v>
      </c>
      <c r="AK1212" s="10">
        <v>0</v>
      </c>
      <c r="AL1212" s="9">
        <f t="shared" si="109"/>
        <v>48892</v>
      </c>
      <c r="AM1212" s="1"/>
      <c r="AN1212" s="1"/>
      <c r="AO1212" s="12" t="e">
        <f>AB1212/#REF!</f>
        <v>#REF!</v>
      </c>
      <c r="AP1212" s="1"/>
      <c r="AQ1212" s="11">
        <v>42040</v>
      </c>
      <c r="AR1212" s="1" t="s">
        <v>3454</v>
      </c>
      <c r="AS1212" s="11">
        <v>42041</v>
      </c>
      <c r="AT1212" s="1" t="s">
        <v>49</v>
      </c>
      <c r="AU1212" s="1" t="s">
        <v>4171</v>
      </c>
    </row>
    <row r="1213" spans="1:47" ht="15" customHeight="1" x14ac:dyDescent="0.25">
      <c r="A1213" s="1">
        <v>1209</v>
      </c>
      <c r="B1213" s="1" t="s">
        <v>1258</v>
      </c>
      <c r="C1213" s="1" t="s">
        <v>38</v>
      </c>
      <c r="D1213" s="1">
        <v>9103550996</v>
      </c>
      <c r="E1213" s="5">
        <v>42006</v>
      </c>
      <c r="F1213" s="1" t="s">
        <v>1077</v>
      </c>
      <c r="G1213" s="1" t="s">
        <v>40</v>
      </c>
      <c r="H1213" s="1" t="s">
        <v>41</v>
      </c>
      <c r="I1213" s="1" t="s">
        <v>2809</v>
      </c>
      <c r="J1213" s="1" t="s">
        <v>187</v>
      </c>
      <c r="K1213" s="1">
        <v>29051700</v>
      </c>
      <c r="L1213" s="6">
        <v>18.14</v>
      </c>
      <c r="M1213" s="1" t="s">
        <v>70</v>
      </c>
      <c r="N1213" s="7" t="s">
        <v>44</v>
      </c>
      <c r="O1213" s="1" t="s">
        <v>53</v>
      </c>
      <c r="P1213" s="8">
        <v>1812</v>
      </c>
      <c r="Q1213" s="17">
        <f t="shared" si="97"/>
        <v>32869.68</v>
      </c>
      <c r="R1213" s="9">
        <v>3410</v>
      </c>
      <c r="S1213" s="9">
        <v>4.7</v>
      </c>
      <c r="T1213" s="9">
        <v>0</v>
      </c>
      <c r="U1213" s="10">
        <v>0</v>
      </c>
      <c r="V1213" s="1" t="s">
        <v>46</v>
      </c>
      <c r="W1213" s="1" t="s">
        <v>56</v>
      </c>
      <c r="X1213" s="1">
        <v>6894164</v>
      </c>
      <c r="Y1213" s="11">
        <v>42002</v>
      </c>
      <c r="Z1213" s="11"/>
      <c r="AA1213" s="9">
        <f>Q1213-R1213-S1213</f>
        <v>29454.98</v>
      </c>
      <c r="AB1213" s="12">
        <v>62.8</v>
      </c>
      <c r="AC1213" s="9">
        <f t="shared" si="99"/>
        <v>2064215.9039999999</v>
      </c>
      <c r="AD1213" s="9">
        <f t="shared" si="100"/>
        <v>1849772.7439999999</v>
      </c>
      <c r="AE1213" s="1" t="s">
        <v>48</v>
      </c>
      <c r="AF1213" s="1" t="s">
        <v>53</v>
      </c>
      <c r="AG1213" s="4">
        <f t="shared" si="108"/>
        <v>32869.68</v>
      </c>
      <c r="AH1213" s="10">
        <v>32869.68</v>
      </c>
      <c r="AI1213" s="10">
        <v>3433</v>
      </c>
      <c r="AJ1213" s="10">
        <v>4.7</v>
      </c>
      <c r="AK1213" s="10">
        <v>0</v>
      </c>
      <c r="AL1213" s="9">
        <f t="shared" si="109"/>
        <v>29431.98</v>
      </c>
      <c r="AM1213" s="1"/>
      <c r="AN1213" s="1"/>
      <c r="AO1213" s="12" t="e">
        <f>AB1213/#REF!</f>
        <v>#REF!</v>
      </c>
      <c r="AP1213" s="1"/>
      <c r="AQ1213" s="11">
        <v>42090</v>
      </c>
      <c r="AR1213" s="1" t="s">
        <v>3455</v>
      </c>
      <c r="AS1213" s="11">
        <v>42093</v>
      </c>
      <c r="AT1213" s="1" t="s">
        <v>49</v>
      </c>
      <c r="AU1213" s="1" t="s">
        <v>4171</v>
      </c>
    </row>
    <row r="1214" spans="1:47" ht="15" customHeight="1" x14ac:dyDescent="0.25">
      <c r="A1214" s="1">
        <v>1210</v>
      </c>
      <c r="B1214" s="1" t="s">
        <v>1258</v>
      </c>
      <c r="C1214" s="1" t="s">
        <v>38</v>
      </c>
      <c r="D1214" s="1" t="s">
        <v>2792</v>
      </c>
      <c r="E1214" s="5">
        <v>42004</v>
      </c>
      <c r="F1214" s="1" t="s">
        <v>1076</v>
      </c>
      <c r="G1214" s="1" t="s">
        <v>40</v>
      </c>
      <c r="H1214" s="1" t="s">
        <v>41</v>
      </c>
      <c r="I1214" s="1" t="s">
        <v>2809</v>
      </c>
      <c r="J1214" s="1" t="s">
        <v>386</v>
      </c>
      <c r="K1214" s="1">
        <v>38237090</v>
      </c>
      <c r="L1214" s="6">
        <v>118.01</v>
      </c>
      <c r="M1214" s="1" t="s">
        <v>70</v>
      </c>
      <c r="N1214" s="7" t="s">
        <v>52</v>
      </c>
      <c r="O1214" s="1" t="s">
        <v>53</v>
      </c>
      <c r="P1214" s="8">
        <v>1275</v>
      </c>
      <c r="Q1214" s="17">
        <f t="shared" si="97"/>
        <v>150462.75</v>
      </c>
      <c r="R1214" s="9">
        <v>4500</v>
      </c>
      <c r="S1214" s="9">
        <v>0</v>
      </c>
      <c r="T1214" s="9">
        <v>0</v>
      </c>
      <c r="U1214" s="10">
        <v>0</v>
      </c>
      <c r="V1214" s="1" t="s">
        <v>46</v>
      </c>
      <c r="W1214" s="1" t="s">
        <v>241</v>
      </c>
      <c r="X1214" s="1">
        <v>6851995</v>
      </c>
      <c r="Y1214" s="11">
        <v>41999</v>
      </c>
      <c r="Z1214" s="11"/>
      <c r="AA1214" s="9">
        <f t="shared" si="98"/>
        <v>145962.75</v>
      </c>
      <c r="AB1214" s="12">
        <v>62.8</v>
      </c>
      <c r="AC1214" s="9">
        <f t="shared" si="99"/>
        <v>9449060.6999999993</v>
      </c>
      <c r="AD1214" s="9">
        <f t="shared" si="100"/>
        <v>9166460.6999999993</v>
      </c>
      <c r="AE1214" s="1" t="s">
        <v>48</v>
      </c>
      <c r="AF1214" s="1" t="s">
        <v>53</v>
      </c>
      <c r="AG1214" s="4">
        <f t="shared" si="108"/>
        <v>150462.75</v>
      </c>
      <c r="AH1214" s="10">
        <v>150462.75</v>
      </c>
      <c r="AI1214" s="10">
        <v>4500</v>
      </c>
      <c r="AJ1214" s="10">
        <v>0</v>
      </c>
      <c r="AK1214" s="10">
        <v>0</v>
      </c>
      <c r="AL1214" s="9">
        <f t="shared" si="109"/>
        <v>145962.75</v>
      </c>
      <c r="AM1214" s="1"/>
      <c r="AN1214" s="1"/>
      <c r="AO1214" s="12" t="e">
        <f>AB1214/#REF!</f>
        <v>#REF!</v>
      </c>
      <c r="AP1214" s="1"/>
      <c r="AQ1214" s="11">
        <v>42040</v>
      </c>
      <c r="AR1214" s="1" t="s">
        <v>3456</v>
      </c>
      <c r="AS1214" s="11">
        <v>42041</v>
      </c>
      <c r="AT1214" s="1" t="s">
        <v>49</v>
      </c>
      <c r="AU1214" s="1" t="s">
        <v>4171</v>
      </c>
    </row>
    <row r="1215" spans="1:47" ht="15" customHeight="1" x14ac:dyDescent="0.25">
      <c r="A1215" s="1">
        <v>1211</v>
      </c>
      <c r="B1215" s="1" t="s">
        <v>1258</v>
      </c>
      <c r="C1215" s="1" t="s">
        <v>38</v>
      </c>
      <c r="D1215" s="1" t="s">
        <v>2792</v>
      </c>
      <c r="E1215" s="5">
        <v>42004</v>
      </c>
      <c r="F1215" s="1" t="s">
        <v>1078</v>
      </c>
      <c r="G1215" s="1" t="s">
        <v>40</v>
      </c>
      <c r="H1215" s="1" t="s">
        <v>41</v>
      </c>
      <c r="I1215" s="1" t="s">
        <v>2809</v>
      </c>
      <c r="J1215" s="1" t="s">
        <v>386</v>
      </c>
      <c r="K1215" s="1">
        <v>38237090</v>
      </c>
      <c r="L1215" s="6">
        <v>19.45</v>
      </c>
      <c r="M1215" s="1" t="s">
        <v>70</v>
      </c>
      <c r="N1215" s="7" t="s">
        <v>52</v>
      </c>
      <c r="O1215" s="1" t="s">
        <v>53</v>
      </c>
      <c r="P1215" s="8">
        <v>1275</v>
      </c>
      <c r="Q1215" s="17">
        <f t="shared" si="97"/>
        <v>24798.75</v>
      </c>
      <c r="R1215" s="9">
        <v>750</v>
      </c>
      <c r="S1215" s="9">
        <v>0</v>
      </c>
      <c r="T1215" s="9">
        <v>0</v>
      </c>
      <c r="U1215" s="10">
        <v>0</v>
      </c>
      <c r="V1215" s="1" t="s">
        <v>46</v>
      </c>
      <c r="W1215" s="1" t="s">
        <v>241</v>
      </c>
      <c r="X1215" s="1">
        <v>6864108</v>
      </c>
      <c r="Y1215" s="11">
        <v>41999</v>
      </c>
      <c r="Z1215" s="11"/>
      <c r="AA1215" s="9">
        <f>Q1215-R1215-S1215</f>
        <v>24048.75</v>
      </c>
      <c r="AB1215" s="12">
        <v>62.8</v>
      </c>
      <c r="AC1215" s="9">
        <f t="shared" si="99"/>
        <v>1557361.5</v>
      </c>
      <c r="AD1215" s="9">
        <f t="shared" si="100"/>
        <v>1510261.5</v>
      </c>
      <c r="AE1215" s="1" t="s">
        <v>48</v>
      </c>
      <c r="AF1215" s="1" t="s">
        <v>53</v>
      </c>
      <c r="AG1215" s="4">
        <f t="shared" si="108"/>
        <v>24798.75</v>
      </c>
      <c r="AH1215" s="10">
        <v>24798.75</v>
      </c>
      <c r="AI1215" s="10">
        <v>750</v>
      </c>
      <c r="AJ1215" s="10">
        <v>0</v>
      </c>
      <c r="AK1215" s="10">
        <v>0</v>
      </c>
      <c r="AL1215" s="9">
        <f t="shared" si="109"/>
        <v>24048.75</v>
      </c>
      <c r="AM1215" s="1"/>
      <c r="AN1215" s="1"/>
      <c r="AO1215" s="12" t="e">
        <f>AB1215/#REF!</f>
        <v>#REF!</v>
      </c>
      <c r="AP1215" s="1"/>
      <c r="AQ1215" s="11">
        <v>42040</v>
      </c>
      <c r="AR1215" s="1" t="s">
        <v>3457</v>
      </c>
      <c r="AS1215" s="11">
        <v>42041</v>
      </c>
      <c r="AT1215" s="1" t="s">
        <v>49</v>
      </c>
      <c r="AU1215" s="1" t="s">
        <v>4171</v>
      </c>
    </row>
    <row r="1216" spans="1:47" ht="15" customHeight="1" x14ac:dyDescent="0.25">
      <c r="A1216" s="1">
        <v>1212</v>
      </c>
      <c r="B1216" s="1" t="s">
        <v>1258</v>
      </c>
      <c r="C1216" s="1" t="s">
        <v>38</v>
      </c>
      <c r="D1216" s="1" t="s">
        <v>2792</v>
      </c>
      <c r="E1216" s="5">
        <v>42004</v>
      </c>
      <c r="F1216" s="1" t="s">
        <v>1079</v>
      </c>
      <c r="G1216" s="1" t="s">
        <v>40</v>
      </c>
      <c r="H1216" s="1" t="s">
        <v>41</v>
      </c>
      <c r="I1216" s="1" t="s">
        <v>2809</v>
      </c>
      <c r="J1216" s="1" t="s">
        <v>386</v>
      </c>
      <c r="K1216" s="1">
        <v>38237090</v>
      </c>
      <c r="L1216" s="6">
        <v>58.42</v>
      </c>
      <c r="M1216" s="1" t="s">
        <v>70</v>
      </c>
      <c r="N1216" s="7" t="s">
        <v>52</v>
      </c>
      <c r="O1216" s="1" t="s">
        <v>53</v>
      </c>
      <c r="P1216" s="8">
        <v>1275</v>
      </c>
      <c r="Q1216" s="17">
        <f t="shared" si="97"/>
        <v>74485.5</v>
      </c>
      <c r="R1216" s="9">
        <v>2250</v>
      </c>
      <c r="S1216" s="9">
        <v>0</v>
      </c>
      <c r="T1216" s="9">
        <v>0</v>
      </c>
      <c r="U1216" s="10">
        <v>0</v>
      </c>
      <c r="V1216" s="1" t="s">
        <v>46</v>
      </c>
      <c r="W1216" s="1" t="s">
        <v>241</v>
      </c>
      <c r="X1216" s="1">
        <v>6878470</v>
      </c>
      <c r="Y1216" s="11">
        <v>42000</v>
      </c>
      <c r="Z1216" s="11"/>
      <c r="AA1216" s="9">
        <f t="shared" si="98"/>
        <v>72235.5</v>
      </c>
      <c r="AB1216" s="12">
        <v>62.8</v>
      </c>
      <c r="AC1216" s="9">
        <f t="shared" si="99"/>
        <v>4677689.3999999994</v>
      </c>
      <c r="AD1216" s="9">
        <f t="shared" si="100"/>
        <v>4536389.3999999994</v>
      </c>
      <c r="AE1216" s="1" t="s">
        <v>48</v>
      </c>
      <c r="AF1216" s="1" t="s">
        <v>53</v>
      </c>
      <c r="AG1216" s="4">
        <f t="shared" si="108"/>
        <v>74485.5</v>
      </c>
      <c r="AH1216" s="10">
        <v>74485.5</v>
      </c>
      <c r="AI1216" s="10">
        <v>2250</v>
      </c>
      <c r="AJ1216" s="10">
        <v>0</v>
      </c>
      <c r="AK1216" s="10">
        <v>0</v>
      </c>
      <c r="AL1216" s="9">
        <f t="shared" si="109"/>
        <v>72235.5</v>
      </c>
      <c r="AM1216" s="1"/>
      <c r="AN1216" s="1"/>
      <c r="AO1216" s="12" t="e">
        <f>AB1216/#REF!</f>
        <v>#REF!</v>
      </c>
      <c r="AP1216" s="1"/>
      <c r="AQ1216" s="11">
        <v>42040</v>
      </c>
      <c r="AR1216" s="1" t="s">
        <v>3458</v>
      </c>
      <c r="AS1216" s="11">
        <v>42041</v>
      </c>
      <c r="AT1216" s="1" t="s">
        <v>49</v>
      </c>
      <c r="AU1216" s="1" t="s">
        <v>4171</v>
      </c>
    </row>
    <row r="1217" spans="1:47" ht="15" customHeight="1" x14ac:dyDescent="0.25">
      <c r="A1217" s="1">
        <v>1213</v>
      </c>
      <c r="B1217" s="1" t="s">
        <v>1258</v>
      </c>
      <c r="C1217" s="1" t="s">
        <v>38</v>
      </c>
      <c r="D1217" s="1">
        <v>9103550999</v>
      </c>
      <c r="E1217" s="5">
        <v>42007</v>
      </c>
      <c r="F1217" s="1" t="s">
        <v>1080</v>
      </c>
      <c r="G1217" s="1" t="s">
        <v>40</v>
      </c>
      <c r="H1217" s="1" t="s">
        <v>41</v>
      </c>
      <c r="I1217" s="1" t="s">
        <v>2809</v>
      </c>
      <c r="J1217" s="1" t="s">
        <v>187</v>
      </c>
      <c r="K1217" s="1">
        <v>38237090</v>
      </c>
      <c r="L1217" s="6">
        <v>18.29</v>
      </c>
      <c r="M1217" s="1" t="s">
        <v>70</v>
      </c>
      <c r="N1217" s="7" t="s">
        <v>44</v>
      </c>
      <c r="O1217" s="1" t="s">
        <v>53</v>
      </c>
      <c r="P1217" s="8">
        <v>1495</v>
      </c>
      <c r="Q1217" s="17">
        <f t="shared" si="97"/>
        <v>27343.55</v>
      </c>
      <c r="R1217" s="9">
        <v>2800</v>
      </c>
      <c r="S1217" s="9">
        <v>3.91</v>
      </c>
      <c r="T1217" s="9">
        <v>0</v>
      </c>
      <c r="U1217" s="10">
        <v>0</v>
      </c>
      <c r="V1217" s="1" t="s">
        <v>46</v>
      </c>
      <c r="W1217" s="1" t="s">
        <v>56</v>
      </c>
      <c r="X1217" s="1">
        <v>6884709</v>
      </c>
      <c r="Y1217" s="11">
        <v>42000</v>
      </c>
      <c r="Z1217" s="11"/>
      <c r="AA1217" s="9">
        <f t="shared" si="98"/>
        <v>24539.64</v>
      </c>
      <c r="AB1217" s="12">
        <v>62.8</v>
      </c>
      <c r="AC1217" s="9">
        <f t="shared" si="99"/>
        <v>1717174.94</v>
      </c>
      <c r="AD1217" s="9">
        <f t="shared" si="100"/>
        <v>1541089.392</v>
      </c>
      <c r="AE1217" s="1" t="s">
        <v>48</v>
      </c>
      <c r="AF1217" s="1" t="s">
        <v>53</v>
      </c>
      <c r="AG1217" s="4">
        <f t="shared" si="108"/>
        <v>27343.55</v>
      </c>
      <c r="AH1217" s="10">
        <v>27343.55</v>
      </c>
      <c r="AI1217" s="10">
        <v>2775</v>
      </c>
      <c r="AJ1217" s="10">
        <v>3.91</v>
      </c>
      <c r="AK1217" s="10">
        <v>0</v>
      </c>
      <c r="AL1217" s="9">
        <f t="shared" si="109"/>
        <v>24564.639999999999</v>
      </c>
      <c r="AM1217" s="1"/>
      <c r="AN1217" s="1"/>
      <c r="AO1217" s="12" t="e">
        <f>AB1217/#REF!</f>
        <v>#REF!</v>
      </c>
      <c r="AP1217" s="1"/>
      <c r="AQ1217" s="11">
        <v>42090</v>
      </c>
      <c r="AR1217" s="1" t="s">
        <v>3459</v>
      </c>
      <c r="AS1217" s="11">
        <v>42093</v>
      </c>
      <c r="AT1217" s="1" t="s">
        <v>49</v>
      </c>
      <c r="AU1217" s="1" t="s">
        <v>4171</v>
      </c>
    </row>
    <row r="1218" spans="1:47" ht="15" customHeight="1" x14ac:dyDescent="0.25">
      <c r="A1218" s="1">
        <v>1214</v>
      </c>
      <c r="B1218" s="1" t="s">
        <v>1258</v>
      </c>
      <c r="C1218" s="1" t="s">
        <v>38</v>
      </c>
      <c r="D1218" s="1">
        <v>9103551000</v>
      </c>
      <c r="E1218" s="5">
        <v>42004</v>
      </c>
      <c r="F1218" s="1" t="s">
        <v>1099</v>
      </c>
      <c r="G1218" s="1" t="s">
        <v>40</v>
      </c>
      <c r="H1218" s="1" t="s">
        <v>41</v>
      </c>
      <c r="I1218" s="1" t="s">
        <v>2809</v>
      </c>
      <c r="J1218" s="1" t="s">
        <v>2690</v>
      </c>
      <c r="K1218" s="1">
        <v>38237090</v>
      </c>
      <c r="L1218" s="6">
        <v>11.6</v>
      </c>
      <c r="M1218" s="1" t="s">
        <v>70</v>
      </c>
      <c r="N1218" s="7" t="s">
        <v>44</v>
      </c>
      <c r="O1218" s="1" t="s">
        <v>53</v>
      </c>
      <c r="P1218" s="8">
        <v>1705</v>
      </c>
      <c r="Q1218" s="17">
        <f t="shared" si="97"/>
        <v>19778</v>
      </c>
      <c r="R1218" s="9">
        <f>1200/17.6*11.6</f>
        <v>790.90909090909076</v>
      </c>
      <c r="S1218" s="9">
        <f>21755.8*0.013%</f>
        <v>2.8282539999999998</v>
      </c>
      <c r="T1218" s="9">
        <v>0</v>
      </c>
      <c r="U1218" s="10">
        <v>0</v>
      </c>
      <c r="V1218" s="1" t="s">
        <v>46</v>
      </c>
      <c r="W1218" s="1" t="s">
        <v>205</v>
      </c>
      <c r="X1218" s="1">
        <v>6882310</v>
      </c>
      <c r="Y1218" s="11">
        <v>42000</v>
      </c>
      <c r="Z1218" s="11"/>
      <c r="AA1218" s="9">
        <f>Q1218-R1218-S1218</f>
        <v>18984.262655090908</v>
      </c>
      <c r="AB1218" s="12">
        <v>62.8</v>
      </c>
      <c r="AC1218" s="9">
        <f t="shared" si="99"/>
        <v>1242058.3999999999</v>
      </c>
      <c r="AD1218" s="9">
        <f t="shared" si="100"/>
        <v>1192211.6947397089</v>
      </c>
      <c r="AE1218" s="1" t="s">
        <v>48</v>
      </c>
      <c r="AF1218" s="1" t="s">
        <v>53</v>
      </c>
      <c r="AG1218" s="4">
        <f t="shared" si="108"/>
        <v>19778</v>
      </c>
      <c r="AH1218" s="10">
        <v>19770</v>
      </c>
      <c r="AI1218" s="10">
        <v>728.72</v>
      </c>
      <c r="AJ1218" s="10">
        <v>2.83</v>
      </c>
      <c r="AK1218" s="10">
        <v>0</v>
      </c>
      <c r="AL1218" s="9">
        <f t="shared" si="109"/>
        <v>19038.45</v>
      </c>
      <c r="AM1218" s="1"/>
      <c r="AN1218" s="1"/>
      <c r="AO1218" s="12" t="e">
        <f>AB1218/#REF!</f>
        <v>#REF!</v>
      </c>
      <c r="AP1218" s="1" t="s">
        <v>2793</v>
      </c>
      <c r="AQ1218" s="11">
        <v>42031</v>
      </c>
      <c r="AR1218" s="1" t="s">
        <v>2794</v>
      </c>
      <c r="AS1218" s="11">
        <v>42038</v>
      </c>
      <c r="AT1218" s="1" t="s">
        <v>49</v>
      </c>
      <c r="AU1218" s="1" t="s">
        <v>4171</v>
      </c>
    </row>
    <row r="1219" spans="1:47" ht="15" customHeight="1" x14ac:dyDescent="0.25">
      <c r="A1219" s="1">
        <v>1215</v>
      </c>
      <c r="B1219" s="1" t="s">
        <v>1258</v>
      </c>
      <c r="C1219" s="1" t="s">
        <v>38</v>
      </c>
      <c r="D1219" s="1">
        <v>9103551000</v>
      </c>
      <c r="E1219" s="5">
        <v>42004</v>
      </c>
      <c r="F1219" s="1" t="s">
        <v>1099</v>
      </c>
      <c r="G1219" s="1" t="s">
        <v>40</v>
      </c>
      <c r="H1219" s="1" t="s">
        <v>41</v>
      </c>
      <c r="I1219" s="1" t="s">
        <v>2809</v>
      </c>
      <c r="J1219" s="1" t="s">
        <v>2690</v>
      </c>
      <c r="K1219" s="1">
        <v>29051700</v>
      </c>
      <c r="L1219" s="6">
        <v>6</v>
      </c>
      <c r="M1219" s="1" t="s">
        <v>70</v>
      </c>
      <c r="N1219" s="7" t="s">
        <v>44</v>
      </c>
      <c r="O1219" s="1" t="s">
        <v>53</v>
      </c>
      <c r="P1219" s="8">
        <v>1950</v>
      </c>
      <c r="Q1219" s="17">
        <f t="shared" si="97"/>
        <v>11700</v>
      </c>
      <c r="R1219" s="9">
        <f>1200/17.6*6</f>
        <v>409.09090909090901</v>
      </c>
      <c r="S1219" s="9">
        <f>4.5-2.83</f>
        <v>1.67</v>
      </c>
      <c r="T1219" s="9">
        <v>0</v>
      </c>
      <c r="U1219" s="10">
        <v>0</v>
      </c>
      <c r="V1219" s="1" t="s">
        <v>46</v>
      </c>
      <c r="W1219" s="1" t="s">
        <v>205</v>
      </c>
      <c r="X1219" s="1">
        <v>6882310</v>
      </c>
      <c r="Y1219" s="11">
        <v>42000</v>
      </c>
      <c r="Z1219" s="11"/>
      <c r="AA1219" s="9">
        <f t="shared" si="98"/>
        <v>11289.239090909092</v>
      </c>
      <c r="AB1219" s="12">
        <v>62.8</v>
      </c>
      <c r="AC1219" s="9">
        <f t="shared" si="99"/>
        <v>734760</v>
      </c>
      <c r="AD1219" s="9">
        <f t="shared" si="100"/>
        <v>708964.21490909089</v>
      </c>
      <c r="AE1219" s="1" t="s">
        <v>48</v>
      </c>
      <c r="AF1219" s="1" t="s">
        <v>53</v>
      </c>
      <c r="AG1219" s="4">
        <f t="shared" si="108"/>
        <v>11700</v>
      </c>
      <c r="AH1219" s="10">
        <v>11693</v>
      </c>
      <c r="AI1219" s="10">
        <v>431</v>
      </c>
      <c r="AJ1219" s="10">
        <v>1.67</v>
      </c>
      <c r="AK1219" s="10"/>
      <c r="AL1219" s="9">
        <f t="shared" si="109"/>
        <v>11260.33</v>
      </c>
      <c r="AM1219" s="1"/>
      <c r="AN1219" s="1"/>
      <c r="AO1219" s="12" t="e">
        <f>AB1219/#REF!</f>
        <v>#REF!</v>
      </c>
      <c r="AP1219" s="1"/>
      <c r="AQ1219" s="11">
        <v>42031</v>
      </c>
      <c r="AR1219" s="1" t="s">
        <v>2794</v>
      </c>
      <c r="AS1219" s="11">
        <v>42038</v>
      </c>
      <c r="AT1219" s="1" t="s">
        <v>49</v>
      </c>
      <c r="AU1219" s="1" t="s">
        <v>4171</v>
      </c>
    </row>
    <row r="1220" spans="1:47" ht="15" customHeight="1" x14ac:dyDescent="0.25">
      <c r="A1220" s="1">
        <v>1216</v>
      </c>
      <c r="B1220" s="1" t="s">
        <v>1258</v>
      </c>
      <c r="C1220" s="1" t="s">
        <v>38</v>
      </c>
      <c r="D1220" s="1">
        <v>9103551001</v>
      </c>
      <c r="E1220" s="5">
        <v>42006</v>
      </c>
      <c r="F1220" s="1" t="s">
        <v>1083</v>
      </c>
      <c r="G1220" s="1" t="s">
        <v>40</v>
      </c>
      <c r="H1220" s="1" t="s">
        <v>41</v>
      </c>
      <c r="I1220" s="1" t="s">
        <v>2809</v>
      </c>
      <c r="J1220" s="1" t="s">
        <v>187</v>
      </c>
      <c r="K1220" s="1">
        <v>38237090</v>
      </c>
      <c r="L1220" s="6">
        <v>36.29</v>
      </c>
      <c r="M1220" s="1" t="s">
        <v>70</v>
      </c>
      <c r="N1220" s="7" t="s">
        <v>44</v>
      </c>
      <c r="O1220" s="1" t="s">
        <v>53</v>
      </c>
      <c r="P1220" s="8">
        <v>1674</v>
      </c>
      <c r="Q1220" s="17">
        <f t="shared" si="97"/>
        <v>60749.46</v>
      </c>
      <c r="R1220" s="9">
        <v>6620</v>
      </c>
      <c r="S1220" s="9">
        <v>8.69</v>
      </c>
      <c r="T1220" s="9">
        <v>0</v>
      </c>
      <c r="U1220" s="10">
        <v>0</v>
      </c>
      <c r="V1220" s="1" t="s">
        <v>46</v>
      </c>
      <c r="W1220" s="1" t="s">
        <v>56</v>
      </c>
      <c r="X1220" s="1">
        <v>6884072</v>
      </c>
      <c r="Y1220" s="11">
        <v>42000</v>
      </c>
      <c r="Z1220" s="11">
        <v>42002</v>
      </c>
      <c r="AA1220" s="9">
        <f t="shared" si="98"/>
        <v>54120.77</v>
      </c>
      <c r="AB1220" s="12">
        <v>62.8</v>
      </c>
      <c r="AC1220" s="9">
        <f t="shared" si="99"/>
        <v>3815066.088</v>
      </c>
      <c r="AD1220" s="9">
        <f t="shared" si="100"/>
        <v>3398784.3559999997</v>
      </c>
      <c r="AE1220" s="1" t="s">
        <v>48</v>
      </c>
      <c r="AF1220" s="1" t="s">
        <v>53</v>
      </c>
      <c r="AG1220" s="4">
        <f t="shared" si="108"/>
        <v>60749.46</v>
      </c>
      <c r="AH1220" s="10">
        <v>60749.46</v>
      </c>
      <c r="AI1220" s="10">
        <v>6578</v>
      </c>
      <c r="AJ1220" s="10">
        <v>8.69</v>
      </c>
      <c r="AK1220" s="10">
        <v>0</v>
      </c>
      <c r="AL1220" s="9">
        <f t="shared" si="109"/>
        <v>54162.77</v>
      </c>
      <c r="AM1220" s="1"/>
      <c r="AN1220" s="1"/>
      <c r="AO1220" s="12" t="e">
        <f>AB1220/#REF!</f>
        <v>#REF!</v>
      </c>
      <c r="AP1220" s="1"/>
      <c r="AQ1220" s="11">
        <v>42090</v>
      </c>
      <c r="AR1220" s="1" t="s">
        <v>3460</v>
      </c>
      <c r="AS1220" s="11">
        <v>42093</v>
      </c>
      <c r="AT1220" s="1" t="s">
        <v>49</v>
      </c>
      <c r="AU1220" s="1" t="s">
        <v>4171</v>
      </c>
    </row>
    <row r="1221" spans="1:47" ht="15" customHeight="1" x14ac:dyDescent="0.25">
      <c r="A1221" s="1">
        <v>1217</v>
      </c>
      <c r="B1221" s="1" t="s">
        <v>1258</v>
      </c>
      <c r="C1221" s="1" t="s">
        <v>38</v>
      </c>
      <c r="D1221" s="1">
        <v>9103551002</v>
      </c>
      <c r="E1221" s="5">
        <v>42004</v>
      </c>
      <c r="F1221" s="1" t="s">
        <v>1082</v>
      </c>
      <c r="G1221" s="1" t="s">
        <v>40</v>
      </c>
      <c r="H1221" s="1" t="s">
        <v>41</v>
      </c>
      <c r="I1221" s="1" t="s">
        <v>2809</v>
      </c>
      <c r="J1221" s="1" t="s">
        <v>386</v>
      </c>
      <c r="K1221" s="1">
        <v>38237090</v>
      </c>
      <c r="L1221" s="6">
        <v>190.19</v>
      </c>
      <c r="M1221" s="1" t="s">
        <v>70</v>
      </c>
      <c r="N1221" s="7" t="s">
        <v>52</v>
      </c>
      <c r="O1221" s="1" t="s">
        <v>53</v>
      </c>
      <c r="P1221" s="8">
        <v>1275</v>
      </c>
      <c r="Q1221" s="17">
        <f t="shared" si="97"/>
        <v>242492.25</v>
      </c>
      <c r="R1221" s="9">
        <v>7500</v>
      </c>
      <c r="S1221" s="9">
        <v>0</v>
      </c>
      <c r="T1221" s="9">
        <v>0</v>
      </c>
      <c r="U1221" s="10">
        <v>0</v>
      </c>
      <c r="V1221" s="1" t="s">
        <v>46</v>
      </c>
      <c r="W1221" s="1" t="s">
        <v>241</v>
      </c>
      <c r="X1221" s="1">
        <v>6887167</v>
      </c>
      <c r="Y1221" s="11">
        <v>42000</v>
      </c>
      <c r="Z1221" s="11"/>
      <c r="AA1221" s="9">
        <f>Q1221-R1221-S1221</f>
        <v>234992.25</v>
      </c>
      <c r="AB1221" s="12">
        <v>62.8</v>
      </c>
      <c r="AC1221" s="9">
        <f t="shared" si="99"/>
        <v>15228513.299999999</v>
      </c>
      <c r="AD1221" s="9">
        <f t="shared" si="100"/>
        <v>14757513.299999999</v>
      </c>
      <c r="AE1221" s="1" t="s">
        <v>48</v>
      </c>
      <c r="AF1221" s="1" t="s">
        <v>53</v>
      </c>
      <c r="AG1221" s="4">
        <f t="shared" si="108"/>
        <v>242492.25</v>
      </c>
      <c r="AH1221" s="10">
        <v>242471.25</v>
      </c>
      <c r="AI1221" s="10">
        <v>7500</v>
      </c>
      <c r="AJ1221" s="10">
        <v>0</v>
      </c>
      <c r="AK1221" s="10">
        <v>0</v>
      </c>
      <c r="AL1221" s="9">
        <f t="shared" si="109"/>
        <v>234971.25</v>
      </c>
      <c r="AM1221" s="1"/>
      <c r="AN1221" s="1"/>
      <c r="AO1221" s="12" t="e">
        <f>AB1221/#REF!</f>
        <v>#REF!</v>
      </c>
      <c r="AP1221" s="1"/>
      <c r="AQ1221" s="11">
        <v>42087</v>
      </c>
      <c r="AR1221" s="1" t="s">
        <v>3461</v>
      </c>
      <c r="AS1221" s="11">
        <v>42088</v>
      </c>
      <c r="AT1221" s="1" t="s">
        <v>49</v>
      </c>
      <c r="AU1221" s="1" t="s">
        <v>4171</v>
      </c>
    </row>
    <row r="1222" spans="1:47" x14ac:dyDescent="0.25">
      <c r="A1222" s="1">
        <v>1218</v>
      </c>
      <c r="B1222" s="1" t="s">
        <v>1258</v>
      </c>
      <c r="C1222" s="1" t="s">
        <v>38</v>
      </c>
      <c r="D1222" s="1">
        <v>9103551003</v>
      </c>
      <c r="E1222" s="5"/>
      <c r="F1222" s="1" t="s">
        <v>997</v>
      </c>
      <c r="G1222" s="1" t="s">
        <v>40</v>
      </c>
      <c r="H1222" s="1" t="s">
        <v>41</v>
      </c>
      <c r="I1222" s="1" t="s">
        <v>2809</v>
      </c>
      <c r="J1222" s="1" t="s">
        <v>2795</v>
      </c>
      <c r="K1222" s="1">
        <v>38231190</v>
      </c>
      <c r="L1222" s="6">
        <v>2</v>
      </c>
      <c r="M1222" s="1" t="s">
        <v>70</v>
      </c>
      <c r="N1222" s="7" t="s">
        <v>302</v>
      </c>
      <c r="O1222" s="1" t="s">
        <v>1117</v>
      </c>
      <c r="P1222" s="8">
        <v>60000</v>
      </c>
      <c r="Q1222" s="17">
        <f t="shared" si="97"/>
        <v>120000</v>
      </c>
      <c r="R1222" s="9">
        <v>0</v>
      </c>
      <c r="S1222" s="9">
        <v>0</v>
      </c>
      <c r="T1222" s="9">
        <v>0</v>
      </c>
      <c r="U1222" s="10">
        <v>0</v>
      </c>
      <c r="V1222" s="1" t="s">
        <v>46</v>
      </c>
      <c r="W1222" s="1" t="s">
        <v>2796</v>
      </c>
      <c r="X1222" s="1" t="s">
        <v>2649</v>
      </c>
      <c r="Y1222" s="11" t="s">
        <v>2649</v>
      </c>
      <c r="Z1222" s="11"/>
      <c r="AA1222" s="9">
        <f t="shared" si="98"/>
        <v>120000</v>
      </c>
      <c r="AB1222" s="12">
        <v>1</v>
      </c>
      <c r="AC1222" s="9">
        <f t="shared" si="99"/>
        <v>120000</v>
      </c>
      <c r="AD1222" s="9">
        <f t="shared" si="100"/>
        <v>120000</v>
      </c>
      <c r="AE1222" s="1"/>
      <c r="AF1222" s="1"/>
      <c r="AG1222" s="4">
        <f t="shared" si="108"/>
        <v>120000</v>
      </c>
      <c r="AH1222" s="10">
        <v>120000</v>
      </c>
      <c r="AI1222" s="10"/>
      <c r="AJ1222" s="10"/>
      <c r="AK1222" s="10"/>
      <c r="AL1222" s="9">
        <f t="shared" si="109"/>
        <v>120000</v>
      </c>
      <c r="AM1222" s="1"/>
      <c r="AN1222" s="1"/>
      <c r="AO1222" s="12" t="e">
        <f>AB1222/#REF!</f>
        <v>#REF!</v>
      </c>
      <c r="AP1222" s="1"/>
      <c r="AQ1222" s="11">
        <v>41967</v>
      </c>
      <c r="AR1222" s="1"/>
      <c r="AS1222" s="1"/>
      <c r="AT1222" s="1" t="s">
        <v>49</v>
      </c>
      <c r="AU1222" s="1" t="s">
        <v>4321</v>
      </c>
    </row>
    <row r="1223" spans="1:47" ht="15" customHeight="1" x14ac:dyDescent="0.25">
      <c r="A1223" s="1">
        <v>1219</v>
      </c>
      <c r="B1223" s="1" t="s">
        <v>1258</v>
      </c>
      <c r="C1223" s="1" t="s">
        <v>38</v>
      </c>
      <c r="D1223" s="1">
        <v>9103551004</v>
      </c>
      <c r="E1223" s="5">
        <v>42007</v>
      </c>
      <c r="F1223" s="1" t="s">
        <v>1085</v>
      </c>
      <c r="G1223" s="1" t="s">
        <v>40</v>
      </c>
      <c r="H1223" s="1" t="s">
        <v>41</v>
      </c>
      <c r="I1223" s="1" t="s">
        <v>2809</v>
      </c>
      <c r="J1223" s="1" t="s">
        <v>2797</v>
      </c>
      <c r="K1223" s="1">
        <v>38237090</v>
      </c>
      <c r="L1223" s="6">
        <v>15</v>
      </c>
      <c r="M1223" s="1" t="s">
        <v>70</v>
      </c>
      <c r="N1223" s="7" t="s">
        <v>44</v>
      </c>
      <c r="O1223" s="1" t="s">
        <v>53</v>
      </c>
      <c r="P1223" s="8">
        <v>1325</v>
      </c>
      <c r="Q1223" s="17">
        <f t="shared" si="97"/>
        <v>19875</v>
      </c>
      <c r="R1223" s="9">
        <v>210</v>
      </c>
      <c r="S1223" s="9">
        <v>2.84</v>
      </c>
      <c r="T1223" s="9">
        <v>0</v>
      </c>
      <c r="U1223" s="10">
        <v>0</v>
      </c>
      <c r="V1223" s="1" t="s">
        <v>46</v>
      </c>
      <c r="W1223" s="1" t="s">
        <v>81</v>
      </c>
      <c r="X1223" s="1">
        <v>6931331</v>
      </c>
      <c r="Y1223" s="11">
        <v>42003</v>
      </c>
      <c r="Z1223" s="11"/>
      <c r="AA1223" s="9">
        <f t="shared" ref="AA1223:AA1232" si="110">Q1223-R1223-S1223</f>
        <v>19662.16</v>
      </c>
      <c r="AB1223" s="12">
        <v>62.8</v>
      </c>
      <c r="AC1223" s="9">
        <f t="shared" si="99"/>
        <v>1248150</v>
      </c>
      <c r="AD1223" s="9">
        <f t="shared" si="100"/>
        <v>1234783.648</v>
      </c>
      <c r="AE1223" s="1" t="s">
        <v>48</v>
      </c>
      <c r="AF1223" s="1" t="s">
        <v>53</v>
      </c>
      <c r="AG1223" s="4">
        <f t="shared" si="108"/>
        <v>19875</v>
      </c>
      <c r="AH1223" s="10">
        <v>19835</v>
      </c>
      <c r="AI1223" s="10">
        <v>220</v>
      </c>
      <c r="AJ1223" s="10">
        <v>2.84</v>
      </c>
      <c r="AK1223" s="10">
        <v>0</v>
      </c>
      <c r="AL1223" s="9">
        <f t="shared" si="109"/>
        <v>19612.16</v>
      </c>
      <c r="AM1223" s="1"/>
      <c r="AN1223" s="1"/>
      <c r="AO1223" s="12" t="e">
        <f>AB1223/#REF!</f>
        <v>#REF!</v>
      </c>
      <c r="AP1223" s="1"/>
      <c r="AQ1223" s="11">
        <v>42087</v>
      </c>
      <c r="AR1223" s="1" t="s">
        <v>3462</v>
      </c>
      <c r="AS1223" s="11">
        <v>42088</v>
      </c>
      <c r="AT1223" s="1" t="s">
        <v>49</v>
      </c>
      <c r="AU1223" s="1" t="s">
        <v>4171</v>
      </c>
    </row>
    <row r="1224" spans="1:47" ht="15" customHeight="1" x14ac:dyDescent="0.25">
      <c r="A1224" s="1">
        <v>1220</v>
      </c>
      <c r="B1224" s="1" t="s">
        <v>1258</v>
      </c>
      <c r="C1224" s="1" t="s">
        <v>38</v>
      </c>
      <c r="D1224" s="1">
        <v>9103551005</v>
      </c>
      <c r="E1224" s="5">
        <v>42005</v>
      </c>
      <c r="F1224" s="1" t="s">
        <v>1101</v>
      </c>
      <c r="G1224" s="1" t="s">
        <v>40</v>
      </c>
      <c r="H1224" s="1" t="s">
        <v>41</v>
      </c>
      <c r="I1224" s="1" t="s">
        <v>2809</v>
      </c>
      <c r="J1224" s="1" t="s">
        <v>2641</v>
      </c>
      <c r="K1224" s="1">
        <v>38237090</v>
      </c>
      <c r="L1224" s="6">
        <v>48</v>
      </c>
      <c r="M1224" s="1" t="s">
        <v>70</v>
      </c>
      <c r="N1224" s="7" t="s">
        <v>44</v>
      </c>
      <c r="O1224" s="1" t="s">
        <v>53</v>
      </c>
      <c r="P1224" s="8">
        <v>3915</v>
      </c>
      <c r="Q1224" s="17">
        <f t="shared" si="97"/>
        <v>187920</v>
      </c>
      <c r="R1224" s="9">
        <v>200</v>
      </c>
      <c r="S1224" s="9">
        <v>26.87</v>
      </c>
      <c r="T1224" s="9">
        <v>0</v>
      </c>
      <c r="U1224" s="10">
        <v>0</v>
      </c>
      <c r="V1224" s="1" t="s">
        <v>46</v>
      </c>
      <c r="W1224" s="1" t="s">
        <v>54</v>
      </c>
      <c r="X1224" s="1">
        <v>6939038</v>
      </c>
      <c r="Y1224" s="11">
        <v>42003</v>
      </c>
      <c r="Z1224" s="11"/>
      <c r="AA1224" s="9">
        <f t="shared" si="110"/>
        <v>187693.13</v>
      </c>
      <c r="AB1224" s="12">
        <v>62.8</v>
      </c>
      <c r="AC1224" s="9">
        <f t="shared" si="99"/>
        <v>11801376</v>
      </c>
      <c r="AD1224" s="9">
        <f t="shared" si="100"/>
        <v>11787128.563999999</v>
      </c>
      <c r="AE1224" s="1" t="s">
        <v>48</v>
      </c>
      <c r="AF1224" s="1" t="s">
        <v>53</v>
      </c>
      <c r="AG1224" s="4">
        <f t="shared" si="108"/>
        <v>187920</v>
      </c>
      <c r="AH1224" s="10">
        <v>187770</v>
      </c>
      <c r="AI1224" s="10">
        <v>270</v>
      </c>
      <c r="AJ1224" s="10">
        <v>26.87</v>
      </c>
      <c r="AK1224" s="10">
        <v>0</v>
      </c>
      <c r="AL1224" s="9">
        <f t="shared" si="109"/>
        <v>187473.13</v>
      </c>
      <c r="AM1224" s="1"/>
      <c r="AN1224" s="1"/>
      <c r="AO1224" s="12" t="e">
        <f>AB1224/#REF!</f>
        <v>#REF!</v>
      </c>
      <c r="AP1224" s="1"/>
      <c r="AQ1224" s="11">
        <v>42102</v>
      </c>
      <c r="AR1224" s="1" t="s">
        <v>3463</v>
      </c>
      <c r="AS1224" s="11">
        <v>42103</v>
      </c>
      <c r="AT1224" s="1" t="s">
        <v>49</v>
      </c>
      <c r="AU1224" s="1" t="s">
        <v>4171</v>
      </c>
    </row>
    <row r="1225" spans="1:47" ht="15" customHeight="1" x14ac:dyDescent="0.25">
      <c r="A1225" s="1">
        <v>1221</v>
      </c>
      <c r="B1225" s="1" t="s">
        <v>1258</v>
      </c>
      <c r="C1225" s="1" t="s">
        <v>38</v>
      </c>
      <c r="D1225" s="1" t="s">
        <v>2798</v>
      </c>
      <c r="E1225" s="5">
        <v>42006</v>
      </c>
      <c r="F1225" s="1" t="s">
        <v>1100</v>
      </c>
      <c r="G1225" s="1" t="s">
        <v>40</v>
      </c>
      <c r="H1225" s="1" t="s">
        <v>41</v>
      </c>
      <c r="I1225" s="1" t="s">
        <v>2809</v>
      </c>
      <c r="J1225" s="1" t="s">
        <v>187</v>
      </c>
      <c r="K1225" s="1">
        <v>38237090</v>
      </c>
      <c r="L1225" s="6">
        <v>18.14</v>
      </c>
      <c r="M1225" s="1" t="s">
        <v>70</v>
      </c>
      <c r="N1225" s="7" t="s">
        <v>44</v>
      </c>
      <c r="O1225" s="1" t="s">
        <v>53</v>
      </c>
      <c r="P1225" s="8">
        <v>1567</v>
      </c>
      <c r="Q1225" s="17">
        <f t="shared" si="97"/>
        <v>28425.38</v>
      </c>
      <c r="R1225" s="9">
        <v>2880</v>
      </c>
      <c r="S1225" s="9">
        <v>4.0599999999999996</v>
      </c>
      <c r="T1225" s="9">
        <v>0</v>
      </c>
      <c r="U1225" s="10">
        <v>0</v>
      </c>
      <c r="V1225" s="1" t="s">
        <v>46</v>
      </c>
      <c r="W1225" s="1" t="s">
        <v>56</v>
      </c>
      <c r="X1225" s="1">
        <v>6909196</v>
      </c>
      <c r="Y1225" s="11">
        <v>42002</v>
      </c>
      <c r="Z1225" s="11"/>
      <c r="AA1225" s="9">
        <f t="shared" si="110"/>
        <v>25541.32</v>
      </c>
      <c r="AB1225" s="12">
        <v>62.8</v>
      </c>
      <c r="AC1225" s="9">
        <f t="shared" si="99"/>
        <v>1785113.8640000001</v>
      </c>
      <c r="AD1225" s="9">
        <f t="shared" si="100"/>
        <v>1603994.8959999999</v>
      </c>
      <c r="AE1225" s="1" t="s">
        <v>48</v>
      </c>
      <c r="AF1225" s="1" t="s">
        <v>53</v>
      </c>
      <c r="AG1225" s="4">
        <f t="shared" si="108"/>
        <v>28425.38</v>
      </c>
      <c r="AH1225" s="10">
        <v>28425.38</v>
      </c>
      <c r="AI1225" s="10">
        <v>2645</v>
      </c>
      <c r="AJ1225" s="10">
        <v>4.08</v>
      </c>
      <c r="AK1225" s="10">
        <v>0</v>
      </c>
      <c r="AL1225" s="9">
        <f t="shared" si="109"/>
        <v>25776.300000000003</v>
      </c>
      <c r="AM1225" s="1"/>
      <c r="AN1225" s="1"/>
      <c r="AO1225" s="12" t="e">
        <f>AB1225/#REF!</f>
        <v>#REF!</v>
      </c>
      <c r="AP1225" s="1"/>
      <c r="AQ1225" s="11">
        <v>42090</v>
      </c>
      <c r="AR1225" s="1" t="s">
        <v>3464</v>
      </c>
      <c r="AS1225" s="11">
        <v>42093</v>
      </c>
      <c r="AT1225" s="1" t="s">
        <v>49</v>
      </c>
      <c r="AU1225" s="1" t="s">
        <v>4171</v>
      </c>
    </row>
    <row r="1226" spans="1:47" ht="15" customHeight="1" x14ac:dyDescent="0.25">
      <c r="A1226" s="1">
        <v>1222</v>
      </c>
      <c r="B1226" s="1" t="s">
        <v>1258</v>
      </c>
      <c r="C1226" s="1" t="s">
        <v>38</v>
      </c>
      <c r="D1226" s="1" t="s">
        <v>2798</v>
      </c>
      <c r="E1226" s="5">
        <v>42006</v>
      </c>
      <c r="F1226" s="1" t="s">
        <v>1086</v>
      </c>
      <c r="G1226" s="1" t="s">
        <v>40</v>
      </c>
      <c r="H1226" s="1" t="s">
        <v>41</v>
      </c>
      <c r="I1226" s="1" t="s">
        <v>2809</v>
      </c>
      <c r="J1226" s="1" t="s">
        <v>187</v>
      </c>
      <c r="K1226" s="1">
        <v>38237090</v>
      </c>
      <c r="L1226" s="6">
        <v>18.14</v>
      </c>
      <c r="M1226" s="1" t="s">
        <v>70</v>
      </c>
      <c r="N1226" s="7" t="s">
        <v>44</v>
      </c>
      <c r="O1226" s="1" t="s">
        <v>53</v>
      </c>
      <c r="P1226" s="8">
        <v>1567</v>
      </c>
      <c r="Q1226" s="17">
        <f t="shared" si="97"/>
        <v>28425.38</v>
      </c>
      <c r="R1226" s="9">
        <v>2880</v>
      </c>
      <c r="S1226" s="9">
        <v>4.0599999999999996</v>
      </c>
      <c r="T1226" s="9">
        <v>0</v>
      </c>
      <c r="U1226" s="10">
        <v>0</v>
      </c>
      <c r="V1226" s="1" t="s">
        <v>46</v>
      </c>
      <c r="W1226" s="1" t="s">
        <v>56</v>
      </c>
      <c r="X1226" s="1">
        <v>6938152</v>
      </c>
      <c r="Y1226" s="11">
        <v>42003</v>
      </c>
      <c r="Z1226" s="11"/>
      <c r="AA1226" s="9">
        <f t="shared" si="110"/>
        <v>25541.32</v>
      </c>
      <c r="AB1226" s="12">
        <v>62.8</v>
      </c>
      <c r="AC1226" s="9">
        <f t="shared" si="99"/>
        <v>1785113.8640000001</v>
      </c>
      <c r="AD1226" s="9">
        <f t="shared" si="100"/>
        <v>1603994.8959999999</v>
      </c>
      <c r="AE1226" s="1" t="s">
        <v>48</v>
      </c>
      <c r="AF1226" s="1" t="s">
        <v>53</v>
      </c>
      <c r="AG1226" s="4">
        <f t="shared" si="108"/>
        <v>28425.38</v>
      </c>
      <c r="AH1226" s="10">
        <v>28425.38</v>
      </c>
      <c r="AI1226" s="10">
        <v>2645</v>
      </c>
      <c r="AJ1226" s="10">
        <v>4.0599999999999996</v>
      </c>
      <c r="AK1226" s="10">
        <v>0</v>
      </c>
      <c r="AL1226" s="9">
        <f t="shared" si="109"/>
        <v>25776.32</v>
      </c>
      <c r="AM1226" s="1"/>
      <c r="AN1226" s="1"/>
      <c r="AO1226" s="12" t="e">
        <f>AB1226/#REF!</f>
        <v>#REF!</v>
      </c>
      <c r="AP1226" s="1"/>
      <c r="AQ1226" s="11">
        <v>42090</v>
      </c>
      <c r="AR1226" s="1" t="s">
        <v>3465</v>
      </c>
      <c r="AS1226" s="11">
        <v>42093</v>
      </c>
      <c r="AT1226" s="1" t="s">
        <v>49</v>
      </c>
      <c r="AU1226" s="1" t="s">
        <v>4171</v>
      </c>
    </row>
    <row r="1227" spans="1:47" ht="15" customHeight="1" x14ac:dyDescent="0.25">
      <c r="A1227" s="1">
        <v>1223</v>
      </c>
      <c r="B1227" s="1" t="s">
        <v>1258</v>
      </c>
      <c r="C1227" s="1" t="s">
        <v>38</v>
      </c>
      <c r="D1227" s="1">
        <v>9103551008</v>
      </c>
      <c r="E1227" s="5">
        <v>42006</v>
      </c>
      <c r="F1227" s="1" t="s">
        <v>1087</v>
      </c>
      <c r="G1227" s="1" t="s">
        <v>40</v>
      </c>
      <c r="H1227" s="1" t="s">
        <v>41</v>
      </c>
      <c r="I1227" s="1" t="s">
        <v>2809</v>
      </c>
      <c r="J1227" s="1" t="s">
        <v>187</v>
      </c>
      <c r="K1227" s="1">
        <v>29051700</v>
      </c>
      <c r="L1227" s="6">
        <v>18.14</v>
      </c>
      <c r="M1227" s="1" t="s">
        <v>70</v>
      </c>
      <c r="N1227" s="7" t="s">
        <v>44</v>
      </c>
      <c r="O1227" s="1" t="s">
        <v>53</v>
      </c>
      <c r="P1227" s="8">
        <v>1672</v>
      </c>
      <c r="Q1227" s="17">
        <f t="shared" si="97"/>
        <v>30330.080000000002</v>
      </c>
      <c r="R1227" s="9">
        <v>2880</v>
      </c>
      <c r="S1227" s="9">
        <v>4.34</v>
      </c>
      <c r="T1227" s="9">
        <v>0</v>
      </c>
      <c r="U1227" s="10">
        <v>0</v>
      </c>
      <c r="V1227" s="1" t="s">
        <v>46</v>
      </c>
      <c r="W1227" s="1" t="s">
        <v>56</v>
      </c>
      <c r="X1227" s="1">
        <v>6938710</v>
      </c>
      <c r="Y1227" s="11">
        <v>42003</v>
      </c>
      <c r="Z1227" s="11"/>
      <c r="AA1227" s="9">
        <f t="shared" si="110"/>
        <v>27445.74</v>
      </c>
      <c r="AB1227" s="12">
        <v>62.8</v>
      </c>
      <c r="AC1227" s="9">
        <f t="shared" si="99"/>
        <v>1904729.024</v>
      </c>
      <c r="AD1227" s="9">
        <f t="shared" si="100"/>
        <v>1723592.4720000001</v>
      </c>
      <c r="AE1227" s="1" t="s">
        <v>48</v>
      </c>
      <c r="AF1227" s="1" t="s">
        <v>53</v>
      </c>
      <c r="AG1227" s="4">
        <f t="shared" si="108"/>
        <v>30330.080000000002</v>
      </c>
      <c r="AH1227" s="10">
        <v>30330.080000000002</v>
      </c>
      <c r="AI1227" s="10">
        <v>3645</v>
      </c>
      <c r="AJ1227" s="10">
        <v>4.34</v>
      </c>
      <c r="AK1227" s="10">
        <v>0</v>
      </c>
      <c r="AL1227" s="9">
        <f t="shared" si="109"/>
        <v>26680.74</v>
      </c>
      <c r="AM1227" s="1"/>
      <c r="AN1227" s="1"/>
      <c r="AO1227" s="12" t="e">
        <f>AB1227/#REF!</f>
        <v>#REF!</v>
      </c>
      <c r="AP1227" s="1"/>
      <c r="AQ1227" s="11">
        <v>42090</v>
      </c>
      <c r="AR1227" s="1" t="s">
        <v>3466</v>
      </c>
      <c r="AS1227" s="11">
        <v>42093</v>
      </c>
      <c r="AT1227" s="1" t="s">
        <v>49</v>
      </c>
      <c r="AU1227" s="1" t="s">
        <v>4171</v>
      </c>
    </row>
    <row r="1228" spans="1:47" ht="15" customHeight="1" x14ac:dyDescent="0.25">
      <c r="A1228" s="1">
        <v>1224</v>
      </c>
      <c r="B1228" s="1" t="s">
        <v>1258</v>
      </c>
      <c r="C1228" s="1" t="s">
        <v>38</v>
      </c>
      <c r="D1228" s="1">
        <v>9103551009</v>
      </c>
      <c r="E1228" s="5">
        <v>42011</v>
      </c>
      <c r="F1228" s="1" t="s">
        <v>1088</v>
      </c>
      <c r="G1228" s="1" t="s">
        <v>40</v>
      </c>
      <c r="H1228" s="1" t="s">
        <v>41</v>
      </c>
      <c r="I1228" s="1" t="s">
        <v>2809</v>
      </c>
      <c r="J1228" s="1" t="s">
        <v>187</v>
      </c>
      <c r="K1228" s="1">
        <v>29051700</v>
      </c>
      <c r="L1228" s="6">
        <v>14.51</v>
      </c>
      <c r="M1228" s="1" t="s">
        <v>70</v>
      </c>
      <c r="N1228" s="7" t="s">
        <v>44</v>
      </c>
      <c r="O1228" s="1" t="s">
        <v>53</v>
      </c>
      <c r="P1228" s="8">
        <v>1751</v>
      </c>
      <c r="Q1228" s="17">
        <f t="shared" si="97"/>
        <v>25407.01</v>
      </c>
      <c r="R1228" s="9">
        <f>2066/18.13*14.51</f>
        <v>1653.4837286265858</v>
      </c>
      <c r="S1228" s="9">
        <v>3.63</v>
      </c>
      <c r="T1228" s="9">
        <v>0</v>
      </c>
      <c r="U1228" s="10">
        <v>0</v>
      </c>
      <c r="V1228" s="1" t="s">
        <v>46</v>
      </c>
      <c r="W1228" s="1" t="s">
        <v>56</v>
      </c>
      <c r="X1228" s="1">
        <v>6959447</v>
      </c>
      <c r="Y1228" s="11">
        <v>42004</v>
      </c>
      <c r="Z1228" s="11"/>
      <c r="AA1228" s="9">
        <f t="shared" si="110"/>
        <v>23749.896271373411</v>
      </c>
      <c r="AB1228" s="12">
        <v>62.8</v>
      </c>
      <c r="AC1228" s="9">
        <f t="shared" si="99"/>
        <v>1595560.2279999999</v>
      </c>
      <c r="AD1228" s="9">
        <f t="shared" si="100"/>
        <v>1491493.4858422501</v>
      </c>
      <c r="AE1228" s="1" t="s">
        <v>48</v>
      </c>
      <c r="AF1228" s="1" t="s">
        <v>53</v>
      </c>
      <c r="AG1228" s="4">
        <f t="shared" si="108"/>
        <v>25407.01</v>
      </c>
      <c r="AH1228" s="10">
        <v>25377.01</v>
      </c>
      <c r="AI1228" s="10">
        <v>1675.08</v>
      </c>
      <c r="AJ1228" s="10">
        <v>3.63</v>
      </c>
      <c r="AK1228" s="10">
        <v>0</v>
      </c>
      <c r="AL1228" s="9">
        <f t="shared" si="109"/>
        <v>23698.3</v>
      </c>
      <c r="AM1228" s="1"/>
      <c r="AN1228" s="1"/>
      <c r="AO1228" s="12" t="e">
        <f>AB1228/#REF!</f>
        <v>#REF!</v>
      </c>
      <c r="AP1228" s="1"/>
      <c r="AQ1228" s="11">
        <v>42090</v>
      </c>
      <c r="AR1228" s="1" t="s">
        <v>3467</v>
      </c>
      <c r="AS1228" s="11">
        <v>42093</v>
      </c>
      <c r="AT1228" s="1" t="s">
        <v>49</v>
      </c>
      <c r="AU1228" s="1" t="s">
        <v>4171</v>
      </c>
    </row>
    <row r="1229" spans="1:47" ht="15" customHeight="1" x14ac:dyDescent="0.25">
      <c r="A1229" s="1">
        <v>1225</v>
      </c>
      <c r="B1229" s="1" t="s">
        <v>1258</v>
      </c>
      <c r="C1229" s="1" t="s">
        <v>38</v>
      </c>
      <c r="D1229" s="1">
        <v>9103551009</v>
      </c>
      <c r="E1229" s="5">
        <v>42011</v>
      </c>
      <c r="F1229" s="1" t="s">
        <v>1088</v>
      </c>
      <c r="G1229" s="1" t="s">
        <v>40</v>
      </c>
      <c r="H1229" s="1" t="s">
        <v>41</v>
      </c>
      <c r="I1229" s="1" t="s">
        <v>2809</v>
      </c>
      <c r="J1229" s="1" t="s">
        <v>187</v>
      </c>
      <c r="K1229" s="1">
        <v>29051700</v>
      </c>
      <c r="L1229" s="6">
        <v>3.62</v>
      </c>
      <c r="M1229" s="1" t="s">
        <v>70</v>
      </c>
      <c r="N1229" s="7" t="s">
        <v>44</v>
      </c>
      <c r="O1229" s="1" t="s">
        <v>53</v>
      </c>
      <c r="P1229" s="8">
        <v>1788</v>
      </c>
      <c r="Q1229" s="17">
        <f t="shared" si="97"/>
        <v>6472.56</v>
      </c>
      <c r="R1229" s="9">
        <f>2066/18.13*3.62</f>
        <v>412.51627137341427</v>
      </c>
      <c r="S1229" s="9">
        <f>4.56-3.63</f>
        <v>0.92999999999999972</v>
      </c>
      <c r="T1229" s="9">
        <v>0</v>
      </c>
      <c r="U1229" s="10">
        <v>0</v>
      </c>
      <c r="V1229" s="1" t="s">
        <v>46</v>
      </c>
      <c r="W1229" s="1" t="s">
        <v>56</v>
      </c>
      <c r="X1229" s="1">
        <v>6959447</v>
      </c>
      <c r="Y1229" s="11">
        <v>42004</v>
      </c>
      <c r="Z1229" s="11"/>
      <c r="AA1229" s="9">
        <f t="shared" si="110"/>
        <v>6059.1137286265857</v>
      </c>
      <c r="AB1229" s="12">
        <v>62.8</v>
      </c>
      <c r="AC1229" s="9">
        <f t="shared" si="99"/>
        <v>406476.76799999998</v>
      </c>
      <c r="AD1229" s="9">
        <f t="shared" si="100"/>
        <v>380512.34215774958</v>
      </c>
      <c r="AE1229" s="1" t="s">
        <v>48</v>
      </c>
      <c r="AF1229" s="1" t="s">
        <v>53</v>
      </c>
      <c r="AG1229" s="4">
        <f t="shared" si="108"/>
        <v>6472.56</v>
      </c>
      <c r="AH1229" s="10">
        <v>6467.56</v>
      </c>
      <c r="AI1229" s="10">
        <v>426.92</v>
      </c>
      <c r="AJ1229" s="10">
        <v>0.93</v>
      </c>
      <c r="AK1229" s="10">
        <v>0</v>
      </c>
      <c r="AL1229" s="9">
        <f t="shared" si="109"/>
        <v>6039.71</v>
      </c>
      <c r="AM1229" s="1"/>
      <c r="AN1229" s="1"/>
      <c r="AO1229" s="12" t="e">
        <f>AB1229/#REF!</f>
        <v>#REF!</v>
      </c>
      <c r="AP1229" s="1"/>
      <c r="AQ1229" s="11">
        <v>42090</v>
      </c>
      <c r="AR1229" s="1" t="s">
        <v>3467</v>
      </c>
      <c r="AS1229" s="11">
        <v>42093</v>
      </c>
      <c r="AT1229" s="1" t="s">
        <v>49</v>
      </c>
      <c r="AU1229" s="1" t="s">
        <v>4171</v>
      </c>
    </row>
    <row r="1230" spans="1:47" ht="15" customHeight="1" x14ac:dyDescent="0.25">
      <c r="A1230" s="1">
        <v>1226</v>
      </c>
      <c r="B1230" s="1" t="s">
        <v>1258</v>
      </c>
      <c r="C1230" s="1" t="s">
        <v>38</v>
      </c>
      <c r="D1230" s="1">
        <v>9103551010</v>
      </c>
      <c r="E1230" s="5">
        <v>42012</v>
      </c>
      <c r="F1230" s="1" t="s">
        <v>1089</v>
      </c>
      <c r="G1230" s="1" t="s">
        <v>40</v>
      </c>
      <c r="H1230" s="1" t="s">
        <v>41</v>
      </c>
      <c r="I1230" s="1" t="s">
        <v>2809</v>
      </c>
      <c r="J1230" s="1" t="s">
        <v>2804</v>
      </c>
      <c r="K1230" s="1">
        <v>38237090</v>
      </c>
      <c r="L1230" s="6">
        <v>10</v>
      </c>
      <c r="M1230" s="1" t="s">
        <v>70</v>
      </c>
      <c r="N1230" s="7" t="s">
        <v>52</v>
      </c>
      <c r="O1230" s="1" t="s">
        <v>53</v>
      </c>
      <c r="P1230" s="8">
        <v>1735</v>
      </c>
      <c r="Q1230" s="17">
        <f t="shared" si="97"/>
        <v>17350</v>
      </c>
      <c r="R1230" s="9">
        <v>1450</v>
      </c>
      <c r="S1230" s="9">
        <v>0</v>
      </c>
      <c r="T1230" s="9">
        <v>0</v>
      </c>
      <c r="U1230" s="10">
        <v>0</v>
      </c>
      <c r="V1230" s="1" t="s">
        <v>46</v>
      </c>
      <c r="W1230" s="1" t="s">
        <v>2799</v>
      </c>
      <c r="X1230" s="1">
        <v>6998009</v>
      </c>
      <c r="Y1230" s="24">
        <v>42006</v>
      </c>
      <c r="Z1230" s="11"/>
      <c r="AA1230" s="9">
        <f t="shared" si="110"/>
        <v>15900</v>
      </c>
      <c r="AB1230" s="12">
        <v>62.75</v>
      </c>
      <c r="AC1230" s="9">
        <f t="shared" si="99"/>
        <v>1088712.5</v>
      </c>
      <c r="AD1230" s="9">
        <f t="shared" si="100"/>
        <v>997725</v>
      </c>
      <c r="AE1230" s="1" t="s">
        <v>48</v>
      </c>
      <c r="AF1230" s="1" t="s">
        <v>53</v>
      </c>
      <c r="AG1230" s="4">
        <f t="shared" si="108"/>
        <v>17350</v>
      </c>
      <c r="AH1230" s="10">
        <v>17266.400000000001</v>
      </c>
      <c r="AI1230" s="10">
        <v>1468</v>
      </c>
      <c r="AJ1230" s="10">
        <v>0</v>
      </c>
      <c r="AK1230" s="10">
        <v>0</v>
      </c>
      <c r="AL1230" s="9">
        <f t="shared" si="109"/>
        <v>15798.400000000001</v>
      </c>
      <c r="AM1230" s="1"/>
      <c r="AN1230" s="1"/>
      <c r="AO1230" s="12" t="e">
        <f>AB1230/#REF!</f>
        <v>#REF!</v>
      </c>
      <c r="AP1230" s="1"/>
      <c r="AQ1230" s="11">
        <v>42037</v>
      </c>
      <c r="AR1230" s="1" t="s">
        <v>3468</v>
      </c>
      <c r="AS1230" s="11">
        <v>42038</v>
      </c>
      <c r="AT1230" s="1" t="s">
        <v>49</v>
      </c>
      <c r="AU1230" s="1" t="s">
        <v>4171</v>
      </c>
    </row>
    <row r="1231" spans="1:47" ht="15" customHeight="1" x14ac:dyDescent="0.25">
      <c r="A1231" s="1">
        <v>1227</v>
      </c>
      <c r="B1231" s="1" t="s">
        <v>1258</v>
      </c>
      <c r="C1231" s="1" t="s">
        <v>38</v>
      </c>
      <c r="D1231" s="1">
        <v>9103551011</v>
      </c>
      <c r="E1231" s="5">
        <v>42011</v>
      </c>
      <c r="F1231" s="1" t="s">
        <v>1090</v>
      </c>
      <c r="G1231" s="1" t="s">
        <v>40</v>
      </c>
      <c r="H1231" s="1" t="s">
        <v>41</v>
      </c>
      <c r="I1231" s="1" t="s">
        <v>2809</v>
      </c>
      <c r="J1231" s="1" t="s">
        <v>917</v>
      </c>
      <c r="K1231" s="1">
        <v>38237090</v>
      </c>
      <c r="L1231" s="6">
        <v>24</v>
      </c>
      <c r="M1231" s="1" t="s">
        <v>70</v>
      </c>
      <c r="N1231" s="7" t="s">
        <v>44</v>
      </c>
      <c r="O1231" s="1" t="s">
        <v>53</v>
      </c>
      <c r="P1231" s="8">
        <v>1585</v>
      </c>
      <c r="Q1231" s="17">
        <f t="shared" si="97"/>
        <v>38040</v>
      </c>
      <c r="R1231" s="9">
        <v>1810</v>
      </c>
      <c r="S1231" s="9">
        <v>5.44</v>
      </c>
      <c r="T1231" s="9">
        <v>703.2</v>
      </c>
      <c r="U1231" s="10">
        <v>0</v>
      </c>
      <c r="V1231" s="1" t="s">
        <v>46</v>
      </c>
      <c r="W1231" s="1" t="s">
        <v>90</v>
      </c>
      <c r="X1231" s="1">
        <v>6997743</v>
      </c>
      <c r="Y1231" s="24">
        <v>42006</v>
      </c>
      <c r="Z1231" s="11"/>
      <c r="AA1231" s="9">
        <f t="shared" si="110"/>
        <v>36224.559999999998</v>
      </c>
      <c r="AB1231" s="12">
        <v>62.75</v>
      </c>
      <c r="AC1231" s="9">
        <f t="shared" si="99"/>
        <v>2387010</v>
      </c>
      <c r="AD1231" s="9">
        <f t="shared" si="100"/>
        <v>2273091.1399999997</v>
      </c>
      <c r="AE1231" s="1" t="s">
        <v>48</v>
      </c>
      <c r="AF1231" s="1" t="s">
        <v>53</v>
      </c>
      <c r="AG1231" s="4">
        <f t="shared" si="108"/>
        <v>38040</v>
      </c>
      <c r="AH1231" s="10">
        <v>37920</v>
      </c>
      <c r="AI1231" s="10">
        <v>1810</v>
      </c>
      <c r="AJ1231" s="10">
        <v>5.44</v>
      </c>
      <c r="AK1231" s="10">
        <v>703.2</v>
      </c>
      <c r="AL1231" s="9">
        <f t="shared" si="109"/>
        <v>35401.360000000001</v>
      </c>
      <c r="AM1231" s="1"/>
      <c r="AN1231" s="1"/>
      <c r="AO1231" s="12" t="e">
        <f>AB1231/#REF!</f>
        <v>#REF!</v>
      </c>
      <c r="AP1231" s="1"/>
      <c r="AQ1231" s="11">
        <v>42074</v>
      </c>
      <c r="AR1231" s="1" t="s">
        <v>3469</v>
      </c>
      <c r="AS1231" s="11">
        <v>42075</v>
      </c>
      <c r="AT1231" s="1" t="s">
        <v>49</v>
      </c>
      <c r="AU1231" s="1" t="s">
        <v>4171</v>
      </c>
    </row>
    <row r="1232" spans="1:47" ht="15" customHeight="1" x14ac:dyDescent="0.25">
      <c r="A1232" s="1">
        <v>1228</v>
      </c>
      <c r="B1232" s="1" t="s">
        <v>1258</v>
      </c>
      <c r="C1232" s="1" t="s">
        <v>38</v>
      </c>
      <c r="D1232" s="1">
        <v>9103551014</v>
      </c>
      <c r="E1232" s="5">
        <v>42013</v>
      </c>
      <c r="F1232" s="1" t="s">
        <v>1091</v>
      </c>
      <c r="G1232" s="1" t="s">
        <v>40</v>
      </c>
      <c r="H1232" s="1" t="s">
        <v>41</v>
      </c>
      <c r="I1232" s="1" t="s">
        <v>2809</v>
      </c>
      <c r="J1232" s="1" t="s">
        <v>924</v>
      </c>
      <c r="K1232" s="1">
        <v>38237090</v>
      </c>
      <c r="L1232" s="6">
        <v>24</v>
      </c>
      <c r="M1232" s="1" t="s">
        <v>70</v>
      </c>
      <c r="N1232" s="7" t="s">
        <v>67</v>
      </c>
      <c r="O1232" s="1" t="s">
        <v>53</v>
      </c>
      <c r="P1232" s="8">
        <v>1520</v>
      </c>
      <c r="Q1232" s="17">
        <f t="shared" si="97"/>
        <v>36480</v>
      </c>
      <c r="R1232" s="9">
        <v>0</v>
      </c>
      <c r="S1232" s="9">
        <v>0</v>
      </c>
      <c r="T1232" s="9">
        <v>0</v>
      </c>
      <c r="U1232" s="10">
        <v>0</v>
      </c>
      <c r="V1232" s="1" t="s">
        <v>46</v>
      </c>
      <c r="W1232" s="1" t="s">
        <v>123</v>
      </c>
      <c r="X1232" s="1">
        <v>7012175</v>
      </c>
      <c r="Y1232" s="24">
        <v>42006</v>
      </c>
      <c r="Z1232" s="11"/>
      <c r="AA1232" s="9">
        <f t="shared" si="110"/>
        <v>36480</v>
      </c>
      <c r="AB1232" s="12">
        <v>62.75</v>
      </c>
      <c r="AC1232" s="9">
        <f t="shared" si="99"/>
        <v>2289120</v>
      </c>
      <c r="AD1232" s="9">
        <f t="shared" si="100"/>
        <v>2289120</v>
      </c>
      <c r="AE1232" s="1" t="s">
        <v>48</v>
      </c>
      <c r="AF1232" s="1" t="s">
        <v>53</v>
      </c>
      <c r="AG1232" s="4">
        <f t="shared" si="108"/>
        <v>36480</v>
      </c>
      <c r="AH1232" s="10">
        <v>36480</v>
      </c>
      <c r="AI1232" s="10">
        <v>0</v>
      </c>
      <c r="AJ1232" s="10">
        <v>0</v>
      </c>
      <c r="AK1232" s="10">
        <v>729.6</v>
      </c>
      <c r="AL1232" s="9">
        <f t="shared" si="109"/>
        <v>35750.400000000001</v>
      </c>
      <c r="AM1232" s="1"/>
      <c r="AN1232" s="1"/>
      <c r="AO1232" s="12" t="e">
        <f>AB1232/#REF!</f>
        <v>#REF!</v>
      </c>
      <c r="AP1232" s="1"/>
      <c r="AQ1232" s="11">
        <v>42087</v>
      </c>
      <c r="AR1232" s="1" t="s">
        <v>3470</v>
      </c>
      <c r="AS1232" s="11">
        <v>42088</v>
      </c>
      <c r="AT1232" s="1" t="s">
        <v>49</v>
      </c>
      <c r="AU1232" s="1" t="s">
        <v>4171</v>
      </c>
    </row>
    <row r="1233" spans="1:47" ht="15" customHeight="1" x14ac:dyDescent="0.25">
      <c r="A1233" s="1">
        <v>1229</v>
      </c>
      <c r="B1233" s="1" t="s">
        <v>1258</v>
      </c>
      <c r="C1233" s="1" t="s">
        <v>38</v>
      </c>
      <c r="D1233" s="1">
        <v>9103551015</v>
      </c>
      <c r="E1233" s="5">
        <v>42011</v>
      </c>
      <c r="F1233" s="1" t="s">
        <v>1098</v>
      </c>
      <c r="G1233" s="1" t="s">
        <v>40</v>
      </c>
      <c r="H1233" s="1" t="s">
        <v>41</v>
      </c>
      <c r="I1233" s="1" t="s">
        <v>2809</v>
      </c>
      <c r="J1233" s="1" t="s">
        <v>2800</v>
      </c>
      <c r="K1233" s="1">
        <v>38237090</v>
      </c>
      <c r="L1233" s="6">
        <v>19.5</v>
      </c>
      <c r="M1233" s="1" t="s">
        <v>70</v>
      </c>
      <c r="N1233" s="7" t="s">
        <v>44</v>
      </c>
      <c r="O1233" s="1" t="s">
        <v>53</v>
      </c>
      <c r="P1233" s="8">
        <v>1415</v>
      </c>
      <c r="Q1233" s="17">
        <f t="shared" si="97"/>
        <v>27592.5</v>
      </c>
      <c r="R1233" s="9">
        <v>1750</v>
      </c>
      <c r="S1233" s="9">
        <v>3.95</v>
      </c>
      <c r="T1233" s="9">
        <v>518.70000000000005</v>
      </c>
      <c r="U1233" s="10">
        <v>0</v>
      </c>
      <c r="V1233" s="1" t="s">
        <v>46</v>
      </c>
      <c r="W1233" s="1" t="s">
        <v>90</v>
      </c>
      <c r="X1233" s="3">
        <v>7015118</v>
      </c>
      <c r="Y1233" s="24">
        <v>42007</v>
      </c>
      <c r="Z1233" s="11"/>
      <c r="AA1233" s="9">
        <f t="shared" ref="AA1233:AA1272" si="111">Q1233-R1233-S1233</f>
        <v>25838.55</v>
      </c>
      <c r="AB1233" s="12">
        <v>62.75</v>
      </c>
      <c r="AC1233" s="9">
        <f t="shared" si="99"/>
        <v>1731429.375</v>
      </c>
      <c r="AD1233" s="9">
        <f t="shared" si="100"/>
        <v>1621369.0125</v>
      </c>
      <c r="AE1233" s="1" t="s">
        <v>48</v>
      </c>
      <c r="AF1233" s="1" t="s">
        <v>53</v>
      </c>
      <c r="AG1233" s="4">
        <f t="shared" si="108"/>
        <v>27592.5</v>
      </c>
      <c r="AH1233" s="10">
        <v>27507.5</v>
      </c>
      <c r="AI1233" s="10">
        <v>910</v>
      </c>
      <c r="AJ1233" s="10">
        <v>3.95</v>
      </c>
      <c r="AK1233" s="10">
        <v>518.70000000000005</v>
      </c>
      <c r="AL1233" s="9">
        <f t="shared" si="109"/>
        <v>26074.85</v>
      </c>
      <c r="AM1233" s="1"/>
      <c r="AN1233" s="1"/>
      <c r="AO1233" s="12" t="e">
        <f>AB1233/#REF!</f>
        <v>#REF!</v>
      </c>
      <c r="AP1233" s="1"/>
      <c r="AQ1233" s="11">
        <v>42025</v>
      </c>
      <c r="AR1233" s="1" t="s">
        <v>3471</v>
      </c>
      <c r="AS1233" s="11">
        <v>42025</v>
      </c>
      <c r="AT1233" s="1" t="s">
        <v>49</v>
      </c>
      <c r="AU1233" s="1" t="s">
        <v>4171</v>
      </c>
    </row>
    <row r="1234" spans="1:47" ht="15" customHeight="1" x14ac:dyDescent="0.25">
      <c r="A1234" s="1">
        <v>1230</v>
      </c>
      <c r="B1234" s="1" t="s">
        <v>1258</v>
      </c>
      <c r="C1234" s="1" t="s">
        <v>38</v>
      </c>
      <c r="D1234" s="1">
        <v>9103551016</v>
      </c>
      <c r="E1234" s="5">
        <v>42019</v>
      </c>
      <c r="F1234" s="1" t="s">
        <v>1094</v>
      </c>
      <c r="G1234" s="1" t="s">
        <v>40</v>
      </c>
      <c r="H1234" s="1" t="s">
        <v>41</v>
      </c>
      <c r="I1234" s="1" t="s">
        <v>2809</v>
      </c>
      <c r="J1234" s="1" t="s">
        <v>2801</v>
      </c>
      <c r="K1234" s="1">
        <v>38237090</v>
      </c>
      <c r="L1234" s="6">
        <v>18.62</v>
      </c>
      <c r="M1234" s="1" t="s">
        <v>70</v>
      </c>
      <c r="N1234" s="7" t="s">
        <v>44</v>
      </c>
      <c r="O1234" s="1" t="s">
        <v>53</v>
      </c>
      <c r="P1234" s="8">
        <v>1475</v>
      </c>
      <c r="Q1234" s="17">
        <f t="shared" si="97"/>
        <v>27464.5</v>
      </c>
      <c r="R1234" s="9">
        <v>2750</v>
      </c>
      <c r="S1234" s="9">
        <v>3.93</v>
      </c>
      <c r="T1234" s="9">
        <v>0</v>
      </c>
      <c r="U1234" s="10">
        <v>0</v>
      </c>
      <c r="V1234" s="1" t="s">
        <v>46</v>
      </c>
      <c r="W1234" s="1" t="s">
        <v>123</v>
      </c>
      <c r="X1234" s="1">
        <v>7028938</v>
      </c>
      <c r="Y1234" s="24">
        <v>42009</v>
      </c>
      <c r="Z1234" s="11"/>
      <c r="AA1234" s="9">
        <f t="shared" si="111"/>
        <v>24710.57</v>
      </c>
      <c r="AB1234" s="12">
        <v>62.75</v>
      </c>
      <c r="AC1234" s="9">
        <f t="shared" si="99"/>
        <v>1723397.375</v>
      </c>
      <c r="AD1234" s="9">
        <f t="shared" si="100"/>
        <v>1550588.2675000001</v>
      </c>
      <c r="AE1234" s="1" t="s">
        <v>48</v>
      </c>
      <c r="AF1234" s="1" t="s">
        <v>53</v>
      </c>
      <c r="AG1234" s="4">
        <f t="shared" si="108"/>
        <v>27464.5</v>
      </c>
      <c r="AH1234" s="10">
        <v>27375.5</v>
      </c>
      <c r="AI1234" s="10">
        <f>2328.32+446.68</f>
        <v>2775</v>
      </c>
      <c r="AJ1234" s="10">
        <f>3.29+0.64</f>
        <v>3.93</v>
      </c>
      <c r="AK1234" s="10">
        <v>0</v>
      </c>
      <c r="AL1234" s="9">
        <f t="shared" si="109"/>
        <v>24596.57</v>
      </c>
      <c r="AM1234" s="1"/>
      <c r="AN1234" s="1"/>
      <c r="AO1234" s="12" t="e">
        <f>AB1234/#REF!</f>
        <v>#REF!</v>
      </c>
      <c r="AP1234" s="1"/>
      <c r="AQ1234" s="11">
        <v>42088</v>
      </c>
      <c r="AR1234" s="1" t="s">
        <v>3472</v>
      </c>
      <c r="AS1234" s="11">
        <v>42090</v>
      </c>
      <c r="AT1234" s="1" t="s">
        <v>49</v>
      </c>
      <c r="AU1234" s="1" t="s">
        <v>4171</v>
      </c>
    </row>
    <row r="1235" spans="1:47" ht="15" customHeight="1" x14ac:dyDescent="0.25">
      <c r="A1235" s="1">
        <v>1231</v>
      </c>
      <c r="B1235" s="1" t="s">
        <v>1258</v>
      </c>
      <c r="C1235" s="1" t="s">
        <v>38</v>
      </c>
      <c r="D1235" s="1">
        <v>9103551017</v>
      </c>
      <c r="E1235" s="5">
        <v>42014</v>
      </c>
      <c r="F1235" s="1" t="s">
        <v>1095</v>
      </c>
      <c r="G1235" s="1" t="s">
        <v>40</v>
      </c>
      <c r="H1235" s="1" t="s">
        <v>41</v>
      </c>
      <c r="I1235" s="1" t="s">
        <v>2809</v>
      </c>
      <c r="J1235" s="1" t="s">
        <v>386</v>
      </c>
      <c r="K1235" s="1">
        <v>38237090</v>
      </c>
      <c r="L1235" s="6">
        <v>75.52</v>
      </c>
      <c r="M1235" s="1" t="s">
        <v>70</v>
      </c>
      <c r="N1235" s="7" t="s">
        <v>52</v>
      </c>
      <c r="O1235" s="1" t="s">
        <v>53</v>
      </c>
      <c r="P1235" s="8">
        <v>1275</v>
      </c>
      <c r="Q1235" s="17">
        <f t="shared" si="97"/>
        <v>96288</v>
      </c>
      <c r="R1235" s="9">
        <v>3400</v>
      </c>
      <c r="S1235" s="9">
        <v>0</v>
      </c>
      <c r="T1235" s="9">
        <v>0</v>
      </c>
      <c r="U1235" s="10">
        <v>0</v>
      </c>
      <c r="V1235" s="1" t="s">
        <v>46</v>
      </c>
      <c r="W1235" s="1" t="s">
        <v>241</v>
      </c>
      <c r="X1235" s="1">
        <v>7029000</v>
      </c>
      <c r="Y1235" s="24">
        <v>42009</v>
      </c>
      <c r="Z1235" s="11"/>
      <c r="AA1235" s="9">
        <f>Q1235-R1235-S1235</f>
        <v>92888</v>
      </c>
      <c r="AB1235" s="12">
        <v>62.75</v>
      </c>
      <c r="AC1235" s="9">
        <f t="shared" ref="AC1235:AC1298" si="112">+Q1235*AB1235</f>
        <v>6042072</v>
      </c>
      <c r="AD1235" s="9">
        <f t="shared" ref="AD1235:AD1298" si="113">+AA1235*AB1235</f>
        <v>5828722</v>
      </c>
      <c r="AE1235" s="1" t="s">
        <v>48</v>
      </c>
      <c r="AF1235" s="1" t="s">
        <v>53</v>
      </c>
      <c r="AG1235" s="4">
        <f t="shared" si="108"/>
        <v>96288</v>
      </c>
      <c r="AH1235" s="10">
        <v>96288</v>
      </c>
      <c r="AI1235" s="10">
        <v>3400</v>
      </c>
      <c r="AJ1235" s="10">
        <v>0</v>
      </c>
      <c r="AK1235" s="10">
        <v>0</v>
      </c>
      <c r="AL1235" s="9">
        <f t="shared" si="109"/>
        <v>92888</v>
      </c>
      <c r="AM1235" s="1"/>
      <c r="AN1235" s="1"/>
      <c r="AO1235" s="12" t="e">
        <f>AB1235/#REF!</f>
        <v>#REF!</v>
      </c>
      <c r="AP1235" s="1"/>
      <c r="AQ1235" s="11">
        <v>42103</v>
      </c>
      <c r="AR1235" s="1" t="s">
        <v>3473</v>
      </c>
      <c r="AS1235" s="11">
        <v>42105</v>
      </c>
      <c r="AT1235" s="1" t="s">
        <v>49</v>
      </c>
      <c r="AU1235" s="1" t="s">
        <v>4171</v>
      </c>
    </row>
    <row r="1236" spans="1:47" ht="15" customHeight="1" x14ac:dyDescent="0.25">
      <c r="A1236" s="1">
        <v>1232</v>
      </c>
      <c r="B1236" s="1" t="s">
        <v>1258</v>
      </c>
      <c r="C1236" s="1" t="s">
        <v>38</v>
      </c>
      <c r="D1236" s="1">
        <v>9103551018</v>
      </c>
      <c r="E1236" s="5">
        <v>42015</v>
      </c>
      <c r="F1236" s="1" t="s">
        <v>1102</v>
      </c>
      <c r="G1236" s="1" t="s">
        <v>40</v>
      </c>
      <c r="H1236" s="1" t="s">
        <v>41</v>
      </c>
      <c r="I1236" s="1" t="s">
        <v>2809</v>
      </c>
      <c r="J1236" s="1" t="s">
        <v>386</v>
      </c>
      <c r="K1236" s="1">
        <v>38237090</v>
      </c>
      <c r="L1236" s="6">
        <v>134.21</v>
      </c>
      <c r="M1236" s="1" t="s">
        <v>70</v>
      </c>
      <c r="N1236" s="7" t="s">
        <v>52</v>
      </c>
      <c r="O1236" s="1" t="s">
        <v>53</v>
      </c>
      <c r="P1236" s="8">
        <v>1275</v>
      </c>
      <c r="Q1236" s="17">
        <f t="shared" si="97"/>
        <v>171117.75</v>
      </c>
      <c r="R1236" s="9">
        <v>5950</v>
      </c>
      <c r="S1236" s="9">
        <v>0</v>
      </c>
      <c r="T1236" s="9">
        <v>0</v>
      </c>
      <c r="U1236" s="10">
        <v>0</v>
      </c>
      <c r="V1236" s="1" t="s">
        <v>46</v>
      </c>
      <c r="W1236" s="1" t="s">
        <v>241</v>
      </c>
      <c r="X1236" s="1">
        <v>7030656</v>
      </c>
      <c r="Y1236" s="24">
        <v>42009</v>
      </c>
      <c r="Z1236" s="11"/>
      <c r="AA1236" s="9">
        <f>Q1236-R1236-S1236</f>
        <v>165167.75</v>
      </c>
      <c r="AB1236" s="12">
        <v>62.75</v>
      </c>
      <c r="AC1236" s="9">
        <f t="shared" si="112"/>
        <v>10737638.8125</v>
      </c>
      <c r="AD1236" s="9">
        <f t="shared" si="113"/>
        <v>10364276.3125</v>
      </c>
      <c r="AE1236" s="1" t="s">
        <v>48</v>
      </c>
      <c r="AF1236" s="1" t="s">
        <v>53</v>
      </c>
      <c r="AG1236" s="4">
        <f t="shared" si="108"/>
        <v>171117.75</v>
      </c>
      <c r="AH1236" s="10">
        <v>171117.75</v>
      </c>
      <c r="AI1236" s="10">
        <v>5075</v>
      </c>
      <c r="AJ1236" s="10">
        <v>0</v>
      </c>
      <c r="AK1236" s="10">
        <v>0</v>
      </c>
      <c r="AL1236" s="9">
        <f t="shared" si="109"/>
        <v>166042.75</v>
      </c>
      <c r="AM1236" s="1"/>
      <c r="AN1236" s="1"/>
      <c r="AO1236" s="12" t="e">
        <f>AB1236/#REF!</f>
        <v>#REF!</v>
      </c>
      <c r="AP1236" s="1"/>
      <c r="AQ1236" s="11">
        <v>42103</v>
      </c>
      <c r="AR1236" s="1" t="s">
        <v>3474</v>
      </c>
      <c r="AS1236" s="11">
        <v>42105</v>
      </c>
      <c r="AT1236" s="1" t="s">
        <v>49</v>
      </c>
      <c r="AU1236" s="1" t="s">
        <v>4171</v>
      </c>
    </row>
    <row r="1237" spans="1:47" ht="15" customHeight="1" x14ac:dyDescent="0.25">
      <c r="A1237" s="1">
        <v>1233</v>
      </c>
      <c r="B1237" s="1" t="s">
        <v>1258</v>
      </c>
      <c r="C1237" s="1" t="s">
        <v>38</v>
      </c>
      <c r="D1237" s="1">
        <v>9103551028</v>
      </c>
      <c r="E1237" s="5">
        <v>42009</v>
      </c>
      <c r="F1237" s="1" t="s">
        <v>1103</v>
      </c>
      <c r="G1237" s="1" t="s">
        <v>40</v>
      </c>
      <c r="H1237" s="1" t="s">
        <v>41</v>
      </c>
      <c r="I1237" s="1" t="s">
        <v>2809</v>
      </c>
      <c r="J1237" s="1" t="s">
        <v>2660</v>
      </c>
      <c r="K1237" s="1">
        <v>38237090</v>
      </c>
      <c r="L1237" s="6">
        <v>57.16</v>
      </c>
      <c r="M1237" s="1" t="s">
        <v>70</v>
      </c>
      <c r="N1237" s="7" t="s">
        <v>52</v>
      </c>
      <c r="O1237" s="1" t="s">
        <v>53</v>
      </c>
      <c r="P1237" s="8">
        <v>1235</v>
      </c>
      <c r="Q1237" s="17">
        <f t="shared" si="97"/>
        <v>70592.599999999991</v>
      </c>
      <c r="R1237" s="9">
        <v>2550</v>
      </c>
      <c r="S1237" s="9">
        <v>0</v>
      </c>
      <c r="T1237" s="9">
        <v>0</v>
      </c>
      <c r="U1237" s="10">
        <v>0</v>
      </c>
      <c r="V1237" s="1" t="s">
        <v>46</v>
      </c>
      <c r="W1237" s="1" t="s">
        <v>64</v>
      </c>
      <c r="X1237" s="1">
        <v>7034687</v>
      </c>
      <c r="Y1237" s="24">
        <v>42009</v>
      </c>
      <c r="Z1237" s="11"/>
      <c r="AA1237" s="9">
        <f>Q1237-R1237-S1237</f>
        <v>68042.599999999991</v>
      </c>
      <c r="AB1237" s="12">
        <v>62.75</v>
      </c>
      <c r="AC1237" s="9">
        <f t="shared" si="112"/>
        <v>4429685.6499999994</v>
      </c>
      <c r="AD1237" s="9">
        <f t="shared" si="113"/>
        <v>4269673.1499999994</v>
      </c>
      <c r="AE1237" s="1" t="s">
        <v>48</v>
      </c>
      <c r="AF1237" s="1" t="s">
        <v>53</v>
      </c>
      <c r="AG1237" s="4">
        <f t="shared" si="108"/>
        <v>70592.599999999991</v>
      </c>
      <c r="AH1237" s="10">
        <v>70592.600000000006</v>
      </c>
      <c r="AI1237" s="10">
        <v>2280</v>
      </c>
      <c r="AJ1237" s="10">
        <v>0</v>
      </c>
      <c r="AK1237" s="10">
        <v>0</v>
      </c>
      <c r="AL1237" s="9">
        <f t="shared" si="109"/>
        <v>68312.600000000006</v>
      </c>
      <c r="AM1237" s="1"/>
      <c r="AN1237" s="1"/>
      <c r="AO1237" s="12" t="e">
        <f>AB1237/#REF!</f>
        <v>#REF!</v>
      </c>
      <c r="AP1237" s="1" t="s">
        <v>2802</v>
      </c>
      <c r="AQ1237" s="11">
        <v>42044</v>
      </c>
      <c r="AR1237" s="1" t="s">
        <v>2803</v>
      </c>
      <c r="AS1237" s="11">
        <v>42046</v>
      </c>
      <c r="AT1237" s="1" t="s">
        <v>49</v>
      </c>
      <c r="AU1237" s="1" t="s">
        <v>4171</v>
      </c>
    </row>
    <row r="1238" spans="1:47" ht="15" customHeight="1" x14ac:dyDescent="0.25">
      <c r="A1238" s="1">
        <v>1234</v>
      </c>
      <c r="B1238" s="1" t="s">
        <v>1258</v>
      </c>
      <c r="C1238" s="1" t="s">
        <v>38</v>
      </c>
      <c r="D1238" s="1">
        <v>9103551042</v>
      </c>
      <c r="E1238" s="5"/>
      <c r="F1238" s="1" t="s">
        <v>1107</v>
      </c>
      <c r="G1238" s="1" t="s">
        <v>40</v>
      </c>
      <c r="H1238" s="1" t="s">
        <v>41</v>
      </c>
      <c r="I1238" s="1" t="s">
        <v>2809</v>
      </c>
      <c r="J1238" s="1" t="s">
        <v>187</v>
      </c>
      <c r="K1238" s="1">
        <v>29051700</v>
      </c>
      <c r="L1238" s="6">
        <v>18.43</v>
      </c>
      <c r="M1238" s="1" t="s">
        <v>70</v>
      </c>
      <c r="N1238" s="7" t="s">
        <v>44</v>
      </c>
      <c r="O1238" s="1" t="s">
        <v>53</v>
      </c>
      <c r="P1238" s="8">
        <v>2343</v>
      </c>
      <c r="Q1238" s="17">
        <f t="shared" si="97"/>
        <v>43181.49</v>
      </c>
      <c r="R1238" s="9">
        <v>4200</v>
      </c>
      <c r="S1238" s="9">
        <v>6.17</v>
      </c>
      <c r="T1238" s="9">
        <v>0</v>
      </c>
      <c r="U1238" s="10">
        <v>0</v>
      </c>
      <c r="V1238" s="1" t="s">
        <v>46</v>
      </c>
      <c r="W1238" s="1" t="s">
        <v>56</v>
      </c>
      <c r="X1238" s="1">
        <v>7040729</v>
      </c>
      <c r="Y1238" s="24">
        <v>42009</v>
      </c>
      <c r="Z1238" s="11"/>
      <c r="AA1238" s="9">
        <f>Q1238-R1238-S1238</f>
        <v>38975.32</v>
      </c>
      <c r="AB1238" s="12">
        <v>62.75</v>
      </c>
      <c r="AC1238" s="9">
        <f t="shared" si="112"/>
        <v>2709638.4975000001</v>
      </c>
      <c r="AD1238" s="9">
        <f t="shared" si="113"/>
        <v>2445701.33</v>
      </c>
      <c r="AE1238" s="1" t="s">
        <v>48</v>
      </c>
      <c r="AF1238" s="1" t="s">
        <v>53</v>
      </c>
      <c r="AG1238" s="4">
        <f t="shared" si="108"/>
        <v>43181.49</v>
      </c>
      <c r="AH1238" s="10">
        <v>43181.49</v>
      </c>
      <c r="AI1238" s="9">
        <v>4325</v>
      </c>
      <c r="AJ1238" s="9">
        <v>6.17</v>
      </c>
      <c r="AK1238" s="9">
        <v>0</v>
      </c>
      <c r="AL1238" s="9">
        <f t="shared" si="109"/>
        <v>38850.32</v>
      </c>
      <c r="AM1238" s="1"/>
      <c r="AN1238" s="1"/>
      <c r="AO1238" s="12" t="e">
        <f>AB1238/#REF!</f>
        <v>#REF!</v>
      </c>
      <c r="AP1238" s="1"/>
      <c r="AQ1238" s="11">
        <v>42102</v>
      </c>
      <c r="AR1238" s="1" t="s">
        <v>3475</v>
      </c>
      <c r="AS1238" s="11">
        <v>42103</v>
      </c>
      <c r="AT1238" s="1" t="s">
        <v>49</v>
      </c>
      <c r="AU1238" s="1" t="s">
        <v>4171</v>
      </c>
    </row>
    <row r="1239" spans="1:47" ht="15" customHeight="1" x14ac:dyDescent="0.25">
      <c r="A1239" s="1">
        <v>1235</v>
      </c>
      <c r="B1239" s="1" t="s">
        <v>1258</v>
      </c>
      <c r="C1239" s="1" t="s">
        <v>38</v>
      </c>
      <c r="D1239" s="1">
        <v>9103551043</v>
      </c>
      <c r="E1239" s="5">
        <v>42013</v>
      </c>
      <c r="F1239" s="1" t="s">
        <v>1093</v>
      </c>
      <c r="G1239" s="1" t="s">
        <v>40</v>
      </c>
      <c r="H1239" s="1" t="s">
        <v>41</v>
      </c>
      <c r="I1239" s="1" t="s">
        <v>2809</v>
      </c>
      <c r="J1239" s="1" t="s">
        <v>187</v>
      </c>
      <c r="K1239" s="1">
        <v>29051700</v>
      </c>
      <c r="L1239" s="6">
        <v>18.14</v>
      </c>
      <c r="M1239" s="1" t="s">
        <v>70</v>
      </c>
      <c r="N1239" s="7" t="s">
        <v>44</v>
      </c>
      <c r="O1239" s="1" t="s">
        <v>53</v>
      </c>
      <c r="P1239" s="8">
        <v>1672</v>
      </c>
      <c r="Q1239" s="17">
        <f t="shared" si="97"/>
        <v>30330.080000000002</v>
      </c>
      <c r="R1239" s="9">
        <v>2580</v>
      </c>
      <c r="S1239" s="9">
        <v>4.34</v>
      </c>
      <c r="T1239" s="9">
        <v>0</v>
      </c>
      <c r="U1239" s="10">
        <v>0</v>
      </c>
      <c r="V1239" s="1" t="s">
        <v>46</v>
      </c>
      <c r="W1239" s="1" t="s">
        <v>56</v>
      </c>
      <c r="X1239" s="1">
        <v>7013550</v>
      </c>
      <c r="Y1239" s="24">
        <v>42009</v>
      </c>
      <c r="Z1239" s="11"/>
      <c r="AA1239" s="9">
        <f t="shared" si="111"/>
        <v>27745.74</v>
      </c>
      <c r="AB1239" s="12">
        <v>62.75</v>
      </c>
      <c r="AC1239" s="9">
        <f t="shared" si="112"/>
        <v>1903212.52</v>
      </c>
      <c r="AD1239" s="9">
        <f t="shared" si="113"/>
        <v>1741045.1850000001</v>
      </c>
      <c r="AE1239" s="1" t="s">
        <v>48</v>
      </c>
      <c r="AF1239" s="1" t="s">
        <v>53</v>
      </c>
      <c r="AG1239" s="4">
        <f t="shared" si="108"/>
        <v>30330.080000000002</v>
      </c>
      <c r="AH1239" s="10">
        <v>30330.080000000002</v>
      </c>
      <c r="AI1239" s="9">
        <v>2645</v>
      </c>
      <c r="AJ1239" s="9">
        <v>4.34</v>
      </c>
      <c r="AK1239" s="9">
        <v>0</v>
      </c>
      <c r="AL1239" s="9">
        <f t="shared" si="109"/>
        <v>27680.74</v>
      </c>
      <c r="AM1239" s="1"/>
      <c r="AN1239" s="1"/>
      <c r="AO1239" s="12" t="e">
        <f>AB1239/#REF!</f>
        <v>#REF!</v>
      </c>
      <c r="AP1239" s="1"/>
      <c r="AQ1239" s="11">
        <v>42102</v>
      </c>
      <c r="AR1239" s="1" t="s">
        <v>3476</v>
      </c>
      <c r="AS1239" s="11">
        <v>42103</v>
      </c>
      <c r="AT1239" s="1" t="s">
        <v>49</v>
      </c>
      <c r="AU1239" s="1" t="s">
        <v>4171</v>
      </c>
    </row>
    <row r="1240" spans="1:47" ht="15" customHeight="1" x14ac:dyDescent="0.25">
      <c r="A1240" s="1">
        <v>1236</v>
      </c>
      <c r="B1240" s="1" t="s">
        <v>1258</v>
      </c>
      <c r="C1240" s="1" t="s">
        <v>38</v>
      </c>
      <c r="D1240" s="1">
        <v>9103551044</v>
      </c>
      <c r="E1240" s="5">
        <v>42013</v>
      </c>
      <c r="F1240" s="1" t="s">
        <v>1097</v>
      </c>
      <c r="G1240" s="1" t="s">
        <v>40</v>
      </c>
      <c r="H1240" s="1" t="s">
        <v>41</v>
      </c>
      <c r="I1240" s="1" t="s">
        <v>2809</v>
      </c>
      <c r="J1240" s="1" t="s">
        <v>2468</v>
      </c>
      <c r="K1240" s="1">
        <v>38237090</v>
      </c>
      <c r="L1240" s="6">
        <v>23</v>
      </c>
      <c r="M1240" s="1" t="s">
        <v>70</v>
      </c>
      <c r="N1240" s="7" t="s">
        <v>52</v>
      </c>
      <c r="O1240" s="1" t="s">
        <v>45</v>
      </c>
      <c r="P1240" s="8">
        <v>1351</v>
      </c>
      <c r="Q1240" s="17">
        <f t="shared" si="97"/>
        <v>31073</v>
      </c>
      <c r="R1240" s="9">
        <f>1472.32*23/24</f>
        <v>1410.9733333333334</v>
      </c>
      <c r="S1240" s="9">
        <v>0</v>
      </c>
      <c r="T1240" s="9">
        <v>0</v>
      </c>
      <c r="U1240" s="10">
        <v>0</v>
      </c>
      <c r="V1240" s="1" t="s">
        <v>46</v>
      </c>
      <c r="W1240" s="1" t="s">
        <v>123</v>
      </c>
      <c r="X1240" s="1">
        <v>7054090</v>
      </c>
      <c r="Y1240" s="24">
        <v>42010</v>
      </c>
      <c r="Z1240" s="11"/>
      <c r="AA1240" s="9">
        <f t="shared" si="111"/>
        <v>29662.026666666665</v>
      </c>
      <c r="AB1240" s="12">
        <v>75.650000000000006</v>
      </c>
      <c r="AC1240" s="9">
        <f t="shared" si="112"/>
        <v>2350672.4500000002</v>
      </c>
      <c r="AD1240" s="9">
        <f t="shared" si="113"/>
        <v>2243932.3173333332</v>
      </c>
      <c r="AE1240" s="1" t="s">
        <v>48</v>
      </c>
      <c r="AF1240" s="1" t="s">
        <v>45</v>
      </c>
      <c r="AG1240" s="4">
        <f t="shared" si="108"/>
        <v>31073</v>
      </c>
      <c r="AH1240" s="10">
        <v>31073</v>
      </c>
      <c r="AI1240" s="10">
        <v>1464.42</v>
      </c>
      <c r="AJ1240" s="10">
        <v>0</v>
      </c>
      <c r="AK1240" s="10">
        <v>0</v>
      </c>
      <c r="AL1240" s="9">
        <f t="shared" si="109"/>
        <v>29608.58</v>
      </c>
      <c r="AM1240" s="1"/>
      <c r="AN1240" s="1"/>
      <c r="AO1240" s="12" t="e">
        <f>AB1240/#REF!</f>
        <v>#REF!</v>
      </c>
      <c r="AP1240" s="1"/>
      <c r="AQ1240" s="11">
        <v>42062</v>
      </c>
      <c r="AR1240" s="1" t="s">
        <v>3694</v>
      </c>
      <c r="AS1240" s="11">
        <v>42063</v>
      </c>
      <c r="AT1240" s="1" t="s">
        <v>49</v>
      </c>
      <c r="AU1240" s="1" t="s">
        <v>4171</v>
      </c>
    </row>
    <row r="1241" spans="1:47" ht="15" customHeight="1" x14ac:dyDescent="0.25">
      <c r="A1241" s="1">
        <v>1237</v>
      </c>
      <c r="B1241" s="1" t="s">
        <v>1258</v>
      </c>
      <c r="C1241" s="1" t="s">
        <v>38</v>
      </c>
      <c r="D1241" s="1">
        <v>9103551044</v>
      </c>
      <c r="E1241" s="5">
        <v>42013</v>
      </c>
      <c r="F1241" s="1" t="s">
        <v>1097</v>
      </c>
      <c r="G1241" s="1" t="s">
        <v>40</v>
      </c>
      <c r="H1241" s="1" t="s">
        <v>41</v>
      </c>
      <c r="I1241" s="1" t="s">
        <v>2809</v>
      </c>
      <c r="J1241" s="1" t="s">
        <v>2468</v>
      </c>
      <c r="K1241" s="1">
        <v>29051700</v>
      </c>
      <c r="L1241" s="6">
        <v>1</v>
      </c>
      <c r="M1241" s="1" t="s">
        <v>70</v>
      </c>
      <c r="N1241" s="7" t="s">
        <v>52</v>
      </c>
      <c r="O1241" s="1" t="s">
        <v>45</v>
      </c>
      <c r="P1241" s="8">
        <v>1462</v>
      </c>
      <c r="Q1241" s="17">
        <f t="shared" si="97"/>
        <v>1462</v>
      </c>
      <c r="R1241" s="9">
        <f>1472.32*1/24</f>
        <v>61.346666666666664</v>
      </c>
      <c r="S1241" s="9">
        <v>0</v>
      </c>
      <c r="T1241" s="9">
        <v>0</v>
      </c>
      <c r="U1241" s="10">
        <v>0</v>
      </c>
      <c r="V1241" s="1" t="s">
        <v>46</v>
      </c>
      <c r="W1241" s="1" t="s">
        <v>123</v>
      </c>
      <c r="X1241" s="1">
        <v>7054090</v>
      </c>
      <c r="Y1241" s="24">
        <v>42010</v>
      </c>
      <c r="Z1241" s="11"/>
      <c r="AA1241" s="9">
        <f t="shared" si="111"/>
        <v>1400.6533333333334</v>
      </c>
      <c r="AB1241" s="12">
        <v>75.650000000000006</v>
      </c>
      <c r="AC1241" s="9">
        <f t="shared" si="112"/>
        <v>110600.3</v>
      </c>
      <c r="AD1241" s="9">
        <f t="shared" si="113"/>
        <v>105959.42466666669</v>
      </c>
      <c r="AE1241" s="1" t="s">
        <v>48</v>
      </c>
      <c r="AF1241" s="1" t="s">
        <v>45</v>
      </c>
      <c r="AG1241" s="4">
        <f t="shared" si="108"/>
        <v>1462</v>
      </c>
      <c r="AH1241" s="10">
        <v>1462</v>
      </c>
      <c r="AI1241" s="10">
        <v>68.900000000000006</v>
      </c>
      <c r="AJ1241" s="10"/>
      <c r="AK1241" s="10">
        <v>0</v>
      </c>
      <c r="AL1241" s="9">
        <f t="shared" si="109"/>
        <v>1393.1</v>
      </c>
      <c r="AM1241" s="1"/>
      <c r="AN1241" s="1"/>
      <c r="AO1241" s="12" t="e">
        <f>AB1241/#REF!</f>
        <v>#REF!</v>
      </c>
      <c r="AP1241" s="1"/>
      <c r="AQ1241" s="11">
        <v>42062</v>
      </c>
      <c r="AR1241" s="1" t="s">
        <v>3694</v>
      </c>
      <c r="AS1241" s="11">
        <v>42063</v>
      </c>
      <c r="AT1241" s="1" t="s">
        <v>49</v>
      </c>
      <c r="AU1241" s="1" t="s">
        <v>4171</v>
      </c>
    </row>
    <row r="1242" spans="1:47" ht="15" customHeight="1" x14ac:dyDescent="0.25">
      <c r="A1242" s="1">
        <v>1238</v>
      </c>
      <c r="B1242" s="1" t="s">
        <v>1258</v>
      </c>
      <c r="C1242" s="1" t="s">
        <v>38</v>
      </c>
      <c r="D1242" s="1">
        <v>9103551046</v>
      </c>
      <c r="E1242" s="5">
        <v>42013</v>
      </c>
      <c r="F1242" s="1" t="s">
        <v>1105</v>
      </c>
      <c r="G1242" s="1" t="s">
        <v>40</v>
      </c>
      <c r="H1242" s="1" t="s">
        <v>41</v>
      </c>
      <c r="I1242" s="1" t="s">
        <v>2809</v>
      </c>
      <c r="J1242" s="1" t="s">
        <v>2468</v>
      </c>
      <c r="K1242" s="1">
        <v>38237090</v>
      </c>
      <c r="L1242" s="6">
        <v>23</v>
      </c>
      <c r="M1242" s="1" t="s">
        <v>70</v>
      </c>
      <c r="N1242" s="7" t="s">
        <v>52</v>
      </c>
      <c r="O1242" s="1" t="s">
        <v>45</v>
      </c>
      <c r="P1242" s="8">
        <v>1351</v>
      </c>
      <c r="Q1242" s="17">
        <f t="shared" si="97"/>
        <v>31073</v>
      </c>
      <c r="R1242" s="9">
        <f>1472.32*23/24</f>
        <v>1410.9733333333334</v>
      </c>
      <c r="S1242" s="9">
        <v>0</v>
      </c>
      <c r="T1242" s="9">
        <v>0</v>
      </c>
      <c r="U1242" s="10">
        <v>0</v>
      </c>
      <c r="V1242" s="1" t="s">
        <v>46</v>
      </c>
      <c r="W1242" s="1" t="s">
        <v>123</v>
      </c>
      <c r="X1242" s="1">
        <v>7074935</v>
      </c>
      <c r="Y1242" s="24">
        <v>42011</v>
      </c>
      <c r="Z1242" s="11"/>
      <c r="AA1242" s="9">
        <f t="shared" si="111"/>
        <v>29662.026666666665</v>
      </c>
      <c r="AB1242" s="12">
        <v>75.650000000000006</v>
      </c>
      <c r="AC1242" s="9">
        <f t="shared" si="112"/>
        <v>2350672.4500000002</v>
      </c>
      <c r="AD1242" s="9">
        <f t="shared" si="113"/>
        <v>2243932.3173333332</v>
      </c>
      <c r="AE1242" s="1" t="s">
        <v>48</v>
      </c>
      <c r="AF1242" s="1" t="s">
        <v>45</v>
      </c>
      <c r="AG1242" s="4">
        <f t="shared" si="108"/>
        <v>31073</v>
      </c>
      <c r="AH1242" s="10">
        <v>31025</v>
      </c>
      <c r="AI1242" s="10">
        <v>1467.11</v>
      </c>
      <c r="AJ1242" s="10">
        <v>0</v>
      </c>
      <c r="AK1242" s="10">
        <v>0</v>
      </c>
      <c r="AL1242" s="9">
        <f t="shared" si="109"/>
        <v>29557.89</v>
      </c>
      <c r="AM1242" s="1"/>
      <c r="AN1242" s="1"/>
      <c r="AO1242" s="12" t="e">
        <f>AB1242/#REF!</f>
        <v>#REF!</v>
      </c>
      <c r="AP1242" s="1"/>
      <c r="AQ1242" s="11">
        <v>42062</v>
      </c>
      <c r="AR1242" s="1" t="s">
        <v>3695</v>
      </c>
      <c r="AS1242" s="11">
        <v>42063</v>
      </c>
      <c r="AT1242" s="1" t="s">
        <v>49</v>
      </c>
      <c r="AU1242" s="1" t="s">
        <v>4171</v>
      </c>
    </row>
    <row r="1243" spans="1:47" ht="15" customHeight="1" x14ac:dyDescent="0.25">
      <c r="A1243" s="1">
        <v>1239</v>
      </c>
      <c r="B1243" s="1" t="s">
        <v>1258</v>
      </c>
      <c r="C1243" s="1" t="s">
        <v>38</v>
      </c>
      <c r="D1243" s="1">
        <v>9103551046</v>
      </c>
      <c r="E1243" s="5">
        <v>42013</v>
      </c>
      <c r="F1243" s="1" t="s">
        <v>1105</v>
      </c>
      <c r="G1243" s="1" t="s">
        <v>40</v>
      </c>
      <c r="H1243" s="1" t="s">
        <v>41</v>
      </c>
      <c r="I1243" s="1" t="s">
        <v>2809</v>
      </c>
      <c r="J1243" s="1" t="s">
        <v>2468</v>
      </c>
      <c r="K1243" s="1">
        <v>29051700</v>
      </c>
      <c r="L1243" s="6">
        <v>1</v>
      </c>
      <c r="M1243" s="1" t="s">
        <v>70</v>
      </c>
      <c r="N1243" s="7" t="s">
        <v>52</v>
      </c>
      <c r="O1243" s="1" t="s">
        <v>45</v>
      </c>
      <c r="P1243" s="8">
        <v>1462</v>
      </c>
      <c r="Q1243" s="17">
        <f>+L1243*P1243</f>
        <v>1462</v>
      </c>
      <c r="R1243" s="9">
        <f>1472.32*1/24</f>
        <v>61.346666666666664</v>
      </c>
      <c r="S1243" s="9">
        <v>0</v>
      </c>
      <c r="T1243" s="9">
        <v>0</v>
      </c>
      <c r="U1243" s="10">
        <v>0</v>
      </c>
      <c r="V1243" s="1" t="s">
        <v>46</v>
      </c>
      <c r="W1243" s="1" t="s">
        <v>123</v>
      </c>
      <c r="X1243" s="1">
        <v>7074935</v>
      </c>
      <c r="Y1243" s="24">
        <v>42011</v>
      </c>
      <c r="Z1243" s="11"/>
      <c r="AA1243" s="9">
        <f t="shared" si="111"/>
        <v>1400.6533333333334</v>
      </c>
      <c r="AB1243" s="12">
        <v>75.650000000000006</v>
      </c>
      <c r="AC1243" s="9">
        <f t="shared" si="112"/>
        <v>110600.3</v>
      </c>
      <c r="AD1243" s="9">
        <f t="shared" si="113"/>
        <v>105959.42466666669</v>
      </c>
      <c r="AE1243" s="1" t="s">
        <v>48</v>
      </c>
      <c r="AF1243" s="1" t="s">
        <v>45</v>
      </c>
      <c r="AG1243" s="4">
        <f t="shared" si="108"/>
        <v>1462</v>
      </c>
      <c r="AH1243" s="10">
        <v>1400</v>
      </c>
      <c r="AI1243" s="10">
        <v>66.210000000000036</v>
      </c>
      <c r="AJ1243" s="10">
        <v>0</v>
      </c>
      <c r="AK1243" s="10">
        <v>0</v>
      </c>
      <c r="AL1243" s="9">
        <f t="shared" si="109"/>
        <v>1333.79</v>
      </c>
      <c r="AM1243" s="1"/>
      <c r="AN1243" s="1"/>
      <c r="AO1243" s="12" t="e">
        <f>AB1243/#REF!</f>
        <v>#REF!</v>
      </c>
      <c r="AP1243" s="1"/>
      <c r="AQ1243" s="11">
        <v>42062</v>
      </c>
      <c r="AR1243" s="1" t="s">
        <v>3695</v>
      </c>
      <c r="AS1243" s="11">
        <v>42063</v>
      </c>
      <c r="AT1243" s="1" t="s">
        <v>49</v>
      </c>
      <c r="AU1243" s="1" t="s">
        <v>4171</v>
      </c>
    </row>
    <row r="1244" spans="1:47" ht="15" customHeight="1" x14ac:dyDescent="0.25">
      <c r="A1244" s="1">
        <v>1240</v>
      </c>
      <c r="B1244" s="1" t="s">
        <v>1258</v>
      </c>
      <c r="C1244" s="1" t="s">
        <v>38</v>
      </c>
      <c r="D1244" s="1">
        <v>9103551047</v>
      </c>
      <c r="E1244" s="5">
        <v>42015</v>
      </c>
      <c r="F1244" s="1" t="s">
        <v>1111</v>
      </c>
      <c r="G1244" s="1" t="s">
        <v>40</v>
      </c>
      <c r="H1244" s="1" t="s">
        <v>41</v>
      </c>
      <c r="I1244" s="1" t="s">
        <v>2809</v>
      </c>
      <c r="J1244" s="1" t="s">
        <v>386</v>
      </c>
      <c r="K1244" s="1">
        <v>38237090</v>
      </c>
      <c r="L1244" s="6">
        <v>116.96</v>
      </c>
      <c r="M1244" s="1" t="s">
        <v>70</v>
      </c>
      <c r="N1244" s="7" t="s">
        <v>52</v>
      </c>
      <c r="O1244" s="1" t="s">
        <v>53</v>
      </c>
      <c r="P1244" s="8">
        <v>1275</v>
      </c>
      <c r="Q1244" s="17">
        <f t="shared" ref="Q1244:Q1307" si="114">+L1244*P1244</f>
        <v>149124</v>
      </c>
      <c r="R1244" s="9">
        <v>5100</v>
      </c>
      <c r="S1244" s="9">
        <v>0</v>
      </c>
      <c r="T1244" s="9">
        <v>0</v>
      </c>
      <c r="U1244" s="10">
        <v>0</v>
      </c>
      <c r="V1244" s="1" t="s">
        <v>46</v>
      </c>
      <c r="W1244" s="1" t="s">
        <v>241</v>
      </c>
      <c r="X1244" s="1">
        <v>7079689</v>
      </c>
      <c r="Y1244" s="24">
        <v>42011</v>
      </c>
      <c r="Z1244" s="11"/>
      <c r="AA1244" s="9">
        <f t="shared" si="111"/>
        <v>144024</v>
      </c>
      <c r="AB1244" s="12">
        <v>62.75</v>
      </c>
      <c r="AC1244" s="9">
        <f t="shared" si="112"/>
        <v>9357531</v>
      </c>
      <c r="AD1244" s="9">
        <f t="shared" si="113"/>
        <v>9037506</v>
      </c>
      <c r="AE1244" s="1" t="s">
        <v>48</v>
      </c>
      <c r="AF1244" s="1" t="s">
        <v>53</v>
      </c>
      <c r="AG1244" s="4">
        <f t="shared" si="108"/>
        <v>149124</v>
      </c>
      <c r="AH1244" s="10">
        <v>149103</v>
      </c>
      <c r="AI1244" s="10">
        <v>4500</v>
      </c>
      <c r="AJ1244" s="10">
        <v>0</v>
      </c>
      <c r="AK1244" s="10">
        <v>0</v>
      </c>
      <c r="AL1244" s="9">
        <f t="shared" si="109"/>
        <v>144603</v>
      </c>
      <c r="AM1244" s="1"/>
      <c r="AN1244" s="1"/>
      <c r="AO1244" s="12" t="e">
        <f>AB1244/#REF!</f>
        <v>#REF!</v>
      </c>
      <c r="AP1244" s="1"/>
      <c r="AQ1244" s="11">
        <v>42040</v>
      </c>
      <c r="AR1244" s="1" t="s">
        <v>3477</v>
      </c>
      <c r="AS1244" s="11">
        <v>42041</v>
      </c>
      <c r="AT1244" s="1" t="s">
        <v>49</v>
      </c>
      <c r="AU1244" s="1" t="s">
        <v>4171</v>
      </c>
    </row>
    <row r="1245" spans="1:47" ht="15" customHeight="1" x14ac:dyDescent="0.25">
      <c r="A1245" s="1">
        <v>1241</v>
      </c>
      <c r="B1245" s="1" t="s">
        <v>1258</v>
      </c>
      <c r="C1245" s="1" t="s">
        <v>38</v>
      </c>
      <c r="D1245" s="1">
        <v>9103551048</v>
      </c>
      <c r="E1245" s="5">
        <v>42015</v>
      </c>
      <c r="F1245" s="1" t="s">
        <v>1104</v>
      </c>
      <c r="G1245" s="1" t="s">
        <v>40</v>
      </c>
      <c r="H1245" s="1" t="s">
        <v>41</v>
      </c>
      <c r="I1245" s="1" t="s">
        <v>2809</v>
      </c>
      <c r="J1245" s="1" t="s">
        <v>386</v>
      </c>
      <c r="K1245" s="1">
        <v>38237090</v>
      </c>
      <c r="L1245" s="6">
        <v>116.77</v>
      </c>
      <c r="M1245" s="1" t="s">
        <v>70</v>
      </c>
      <c r="N1245" s="7" t="s">
        <v>52</v>
      </c>
      <c r="O1245" s="1" t="s">
        <v>53</v>
      </c>
      <c r="P1245" s="8">
        <v>1275</v>
      </c>
      <c r="Q1245" s="17">
        <f t="shared" si="114"/>
        <v>148881.75</v>
      </c>
      <c r="R1245" s="9">
        <v>5100</v>
      </c>
      <c r="S1245" s="9">
        <v>0</v>
      </c>
      <c r="T1245" s="9">
        <v>0</v>
      </c>
      <c r="U1245" s="10">
        <v>0</v>
      </c>
      <c r="V1245" s="1" t="s">
        <v>46</v>
      </c>
      <c r="W1245" s="1" t="s">
        <v>241</v>
      </c>
      <c r="X1245" s="1">
        <v>7081906</v>
      </c>
      <c r="Y1245" s="24">
        <v>42011</v>
      </c>
      <c r="Z1245" s="11"/>
      <c r="AA1245" s="9">
        <f t="shared" si="111"/>
        <v>143781.75</v>
      </c>
      <c r="AB1245" s="12">
        <v>62.75</v>
      </c>
      <c r="AC1245" s="9">
        <f t="shared" si="112"/>
        <v>9342329.8125</v>
      </c>
      <c r="AD1245" s="9">
        <f t="shared" si="113"/>
        <v>9022304.8125</v>
      </c>
      <c r="AE1245" s="1" t="s">
        <v>48</v>
      </c>
      <c r="AF1245" s="1" t="s">
        <v>53</v>
      </c>
      <c r="AG1245" s="4">
        <f t="shared" si="108"/>
        <v>148881.75</v>
      </c>
      <c r="AH1245" s="10">
        <v>148881.75</v>
      </c>
      <c r="AI1245" s="10">
        <v>4500</v>
      </c>
      <c r="AJ1245" s="10">
        <v>0</v>
      </c>
      <c r="AK1245" s="10">
        <v>0</v>
      </c>
      <c r="AL1245" s="9">
        <f t="shared" si="109"/>
        <v>144381.75</v>
      </c>
      <c r="AM1245" s="1"/>
      <c r="AN1245" s="1"/>
      <c r="AO1245" s="12" t="e">
        <f>AB1245/#REF!</f>
        <v>#REF!</v>
      </c>
      <c r="AP1245" s="1"/>
      <c r="AQ1245" s="11">
        <v>42103</v>
      </c>
      <c r="AR1245" s="1" t="s">
        <v>3478</v>
      </c>
      <c r="AS1245" s="11">
        <v>42105</v>
      </c>
      <c r="AT1245" s="1" t="s">
        <v>49</v>
      </c>
      <c r="AU1245" s="1" t="s">
        <v>4171</v>
      </c>
    </row>
    <row r="1246" spans="1:47" ht="15" customHeight="1" x14ac:dyDescent="0.25">
      <c r="A1246" s="1">
        <v>1242</v>
      </c>
      <c r="B1246" s="1" t="s">
        <v>1258</v>
      </c>
      <c r="C1246" s="1" t="s">
        <v>38</v>
      </c>
      <c r="D1246" s="1">
        <v>9103551049</v>
      </c>
      <c r="E1246" s="5">
        <v>42019</v>
      </c>
      <c r="F1246" s="1" t="s">
        <v>1108</v>
      </c>
      <c r="G1246" s="1" t="s">
        <v>40</v>
      </c>
      <c r="H1246" s="1" t="s">
        <v>41</v>
      </c>
      <c r="I1246" s="1" t="s">
        <v>2809</v>
      </c>
      <c r="J1246" s="1" t="s">
        <v>2804</v>
      </c>
      <c r="K1246" s="1">
        <v>38237090</v>
      </c>
      <c r="L1246" s="6">
        <v>10</v>
      </c>
      <c r="M1246" s="1" t="s">
        <v>70</v>
      </c>
      <c r="N1246" s="7" t="s">
        <v>52</v>
      </c>
      <c r="O1246" s="1" t="s">
        <v>53</v>
      </c>
      <c r="P1246" s="8">
        <v>1735</v>
      </c>
      <c r="Q1246" s="17">
        <f t="shared" si="114"/>
        <v>17350</v>
      </c>
      <c r="R1246" s="9">
        <v>1400</v>
      </c>
      <c r="S1246" s="9">
        <v>0</v>
      </c>
      <c r="T1246" s="9">
        <v>0</v>
      </c>
      <c r="U1246" s="10">
        <v>0</v>
      </c>
      <c r="V1246" s="1" t="s">
        <v>46</v>
      </c>
      <c r="W1246" s="1" t="s">
        <v>2799</v>
      </c>
      <c r="X1246" s="1">
        <v>7100503</v>
      </c>
      <c r="Y1246" s="24">
        <v>42012</v>
      </c>
      <c r="Z1246" s="11"/>
      <c r="AA1246" s="9">
        <f t="shared" si="111"/>
        <v>15950</v>
      </c>
      <c r="AB1246" s="12">
        <v>62.75</v>
      </c>
      <c r="AC1246" s="9">
        <f t="shared" si="112"/>
        <v>1088712.5</v>
      </c>
      <c r="AD1246" s="9">
        <f t="shared" si="113"/>
        <v>1000862.5</v>
      </c>
      <c r="AE1246" s="1" t="s">
        <v>48</v>
      </c>
      <c r="AF1246" s="1" t="s">
        <v>53</v>
      </c>
      <c r="AG1246" s="4">
        <f t="shared" si="108"/>
        <v>17350</v>
      </c>
      <c r="AH1246" s="10">
        <v>17266.419999999998</v>
      </c>
      <c r="AI1246" s="10">
        <v>1425</v>
      </c>
      <c r="AJ1246" s="10">
        <v>0</v>
      </c>
      <c r="AK1246" s="10">
        <v>0</v>
      </c>
      <c r="AL1246" s="9">
        <f t="shared" si="109"/>
        <v>15841.419999999998</v>
      </c>
      <c r="AM1246" s="1"/>
      <c r="AN1246" s="1"/>
      <c r="AO1246" s="12" t="e">
        <f>AB1246/#REF!</f>
        <v>#REF!</v>
      </c>
      <c r="AP1246" s="1"/>
      <c r="AQ1246" s="11">
        <v>42039</v>
      </c>
      <c r="AR1246" s="1" t="s">
        <v>3479</v>
      </c>
      <c r="AS1246" s="11">
        <v>42040</v>
      </c>
      <c r="AT1246" s="1" t="s">
        <v>49</v>
      </c>
      <c r="AU1246" s="1" t="s">
        <v>4171</v>
      </c>
    </row>
    <row r="1247" spans="1:47" ht="15" customHeight="1" x14ac:dyDescent="0.25">
      <c r="A1247" s="1">
        <v>1243</v>
      </c>
      <c r="B1247" s="1" t="s">
        <v>1258</v>
      </c>
      <c r="C1247" s="1" t="s">
        <v>38</v>
      </c>
      <c r="D1247" s="1">
        <v>9103551050</v>
      </c>
      <c r="E1247" s="5"/>
      <c r="F1247" s="1" t="s">
        <v>1109</v>
      </c>
      <c r="G1247" s="1" t="s">
        <v>40</v>
      </c>
      <c r="H1247" s="1" t="s">
        <v>41</v>
      </c>
      <c r="I1247" s="1" t="s">
        <v>2809</v>
      </c>
      <c r="J1247" s="1" t="s">
        <v>187</v>
      </c>
      <c r="K1247" s="1">
        <v>38237090</v>
      </c>
      <c r="L1247" s="6">
        <v>18.38</v>
      </c>
      <c r="M1247" s="1" t="s">
        <v>70</v>
      </c>
      <c r="N1247" s="7" t="s">
        <v>44</v>
      </c>
      <c r="O1247" s="1" t="s">
        <v>53</v>
      </c>
      <c r="P1247" s="8">
        <v>1563</v>
      </c>
      <c r="Q1247" s="17">
        <f t="shared" si="114"/>
        <v>28727.94</v>
      </c>
      <c r="R1247" s="9">
        <v>4300</v>
      </c>
      <c r="S1247" s="9">
        <v>4.1100000000000003</v>
      </c>
      <c r="T1247" s="9">
        <v>0</v>
      </c>
      <c r="U1247" s="10">
        <v>0</v>
      </c>
      <c r="V1247" s="1" t="s">
        <v>46</v>
      </c>
      <c r="W1247" s="1" t="s">
        <v>56</v>
      </c>
      <c r="X1247" s="1">
        <v>7104465</v>
      </c>
      <c r="Y1247" s="24">
        <v>42012</v>
      </c>
      <c r="Z1247" s="11"/>
      <c r="AA1247" s="9">
        <f t="shared" si="111"/>
        <v>24423.829999999998</v>
      </c>
      <c r="AB1247" s="12">
        <v>62.75</v>
      </c>
      <c r="AC1247" s="9">
        <f t="shared" si="112"/>
        <v>1802678.2349999999</v>
      </c>
      <c r="AD1247" s="9">
        <f t="shared" si="113"/>
        <v>1532595.3324999998</v>
      </c>
      <c r="AE1247" s="1" t="s">
        <v>48</v>
      </c>
      <c r="AF1247" s="1" t="s">
        <v>53</v>
      </c>
      <c r="AG1247" s="4">
        <f t="shared" si="108"/>
        <v>28727.94</v>
      </c>
      <c r="AH1247" s="10">
        <v>28727.94</v>
      </c>
      <c r="AI1247" s="10">
        <v>4325</v>
      </c>
      <c r="AJ1247" s="10">
        <v>4.1100000000000003</v>
      </c>
      <c r="AK1247" s="10">
        <v>0</v>
      </c>
      <c r="AL1247" s="9">
        <f t="shared" si="109"/>
        <v>24398.829999999998</v>
      </c>
      <c r="AM1247" s="1"/>
      <c r="AN1247" s="1"/>
      <c r="AO1247" s="12" t="e">
        <f>AB1247/#REF!</f>
        <v>#REF!</v>
      </c>
      <c r="AP1247" s="1"/>
      <c r="AQ1247" s="11">
        <v>42102</v>
      </c>
      <c r="AR1247" s="1" t="s">
        <v>3480</v>
      </c>
      <c r="AS1247" s="11">
        <v>42103</v>
      </c>
      <c r="AT1247" s="1" t="s">
        <v>49</v>
      </c>
      <c r="AU1247" s="1" t="s">
        <v>4171</v>
      </c>
    </row>
    <row r="1248" spans="1:47" ht="15" customHeight="1" x14ac:dyDescent="0.25">
      <c r="A1248" s="1">
        <v>1244</v>
      </c>
      <c r="B1248" s="1" t="s">
        <v>1258</v>
      </c>
      <c r="C1248" s="1" t="s">
        <v>38</v>
      </c>
      <c r="D1248" s="1">
        <v>9103551051</v>
      </c>
      <c r="E1248" s="5"/>
      <c r="F1248" s="1" t="s">
        <v>1106</v>
      </c>
      <c r="G1248" s="1" t="s">
        <v>40</v>
      </c>
      <c r="H1248" s="1" t="s">
        <v>41</v>
      </c>
      <c r="I1248" s="1" t="s">
        <v>2809</v>
      </c>
      <c r="J1248" s="1" t="s">
        <v>2805</v>
      </c>
      <c r="K1248" s="1">
        <v>38237090</v>
      </c>
      <c r="L1248" s="6">
        <v>60</v>
      </c>
      <c r="M1248" s="1" t="s">
        <v>70</v>
      </c>
      <c r="N1248" s="7" t="s">
        <v>44</v>
      </c>
      <c r="O1248" s="1" t="s">
        <v>53</v>
      </c>
      <c r="P1248" s="8">
        <v>3700</v>
      </c>
      <c r="Q1248" s="17">
        <f t="shared" si="114"/>
        <v>222000</v>
      </c>
      <c r="R1248" s="9">
        <v>300</v>
      </c>
      <c r="S1248" s="9">
        <v>31.75</v>
      </c>
      <c r="T1248" s="9">
        <v>0</v>
      </c>
      <c r="U1248" s="10">
        <v>0</v>
      </c>
      <c r="V1248" s="1" t="s">
        <v>46</v>
      </c>
      <c r="W1248" s="1" t="s">
        <v>54</v>
      </c>
      <c r="X1248" s="1">
        <v>7104191</v>
      </c>
      <c r="Y1248" s="24">
        <v>42012</v>
      </c>
      <c r="Z1248" s="11"/>
      <c r="AA1248" s="9">
        <f t="shared" si="111"/>
        <v>221668.25</v>
      </c>
      <c r="AB1248" s="12">
        <v>62.75</v>
      </c>
      <c r="AC1248" s="9">
        <f t="shared" si="112"/>
        <v>13930500</v>
      </c>
      <c r="AD1248" s="9">
        <f t="shared" si="113"/>
        <v>13909682.6875</v>
      </c>
      <c r="AE1248" s="1" t="s">
        <v>48</v>
      </c>
      <c r="AF1248" s="1" t="s">
        <v>53</v>
      </c>
      <c r="AG1248" s="4">
        <f t="shared" si="108"/>
        <v>222000</v>
      </c>
      <c r="AH1248" s="10">
        <v>221815</v>
      </c>
      <c r="AI1248" s="10">
        <v>255</v>
      </c>
      <c r="AJ1248" s="10">
        <v>31.75</v>
      </c>
      <c r="AK1248" s="10">
        <v>0</v>
      </c>
      <c r="AL1248" s="9">
        <f t="shared" si="109"/>
        <v>221528.25</v>
      </c>
      <c r="AM1248" s="1"/>
      <c r="AN1248" s="1"/>
      <c r="AO1248" s="12" t="e">
        <f>AB1248/#REF!</f>
        <v>#REF!</v>
      </c>
      <c r="AP1248" s="1"/>
      <c r="AQ1248" s="11">
        <v>42041</v>
      </c>
      <c r="AR1248" s="1" t="s">
        <v>3481</v>
      </c>
      <c r="AS1248" s="11">
        <v>42042</v>
      </c>
      <c r="AT1248" s="1" t="s">
        <v>49</v>
      </c>
      <c r="AU1248" s="1" t="s">
        <v>4171</v>
      </c>
    </row>
    <row r="1249" spans="1:47" ht="15" customHeight="1" x14ac:dyDescent="0.25">
      <c r="A1249" s="1">
        <v>1245</v>
      </c>
      <c r="B1249" s="1" t="s">
        <v>1258</v>
      </c>
      <c r="C1249" s="1" t="s">
        <v>38</v>
      </c>
      <c r="D1249" s="1">
        <v>9103551052</v>
      </c>
      <c r="E1249" s="5">
        <v>42019</v>
      </c>
      <c r="F1249" s="1" t="s">
        <v>1112</v>
      </c>
      <c r="G1249" s="1" t="s">
        <v>40</v>
      </c>
      <c r="H1249" s="1" t="s">
        <v>41</v>
      </c>
      <c r="I1249" s="1" t="s">
        <v>2809</v>
      </c>
      <c r="J1249" s="1" t="s">
        <v>50</v>
      </c>
      <c r="K1249" s="1">
        <v>38237090</v>
      </c>
      <c r="L1249" s="6">
        <v>15</v>
      </c>
      <c r="M1249" s="1" t="s">
        <v>70</v>
      </c>
      <c r="N1249" s="7" t="s">
        <v>52</v>
      </c>
      <c r="O1249" s="1" t="s">
        <v>53</v>
      </c>
      <c r="P1249" s="8">
        <v>3660</v>
      </c>
      <c r="Q1249" s="17">
        <f>+L1249*P1249</f>
        <v>54900</v>
      </c>
      <c r="R1249" s="9">
        <v>660</v>
      </c>
      <c r="S1249" s="9">
        <v>0</v>
      </c>
      <c r="T1249" s="9">
        <v>0</v>
      </c>
      <c r="U1249" s="10">
        <v>0</v>
      </c>
      <c r="V1249" s="1" t="s">
        <v>46</v>
      </c>
      <c r="W1249" s="1" t="s">
        <v>2657</v>
      </c>
      <c r="X1249" s="1">
        <v>7120455</v>
      </c>
      <c r="Y1249" s="24">
        <v>42012</v>
      </c>
      <c r="Z1249" s="11">
        <v>42014</v>
      </c>
      <c r="AA1249" s="9">
        <f t="shared" si="111"/>
        <v>54240</v>
      </c>
      <c r="AB1249" s="12">
        <v>62.75</v>
      </c>
      <c r="AC1249" s="9">
        <f t="shared" si="112"/>
        <v>3444975</v>
      </c>
      <c r="AD1249" s="9">
        <f t="shared" si="113"/>
        <v>3403560</v>
      </c>
      <c r="AE1249" s="1" t="s">
        <v>51</v>
      </c>
      <c r="AF1249" s="1" t="s">
        <v>53</v>
      </c>
      <c r="AG1249" s="4">
        <f t="shared" si="108"/>
        <v>54900</v>
      </c>
      <c r="AH1249" s="10">
        <v>54900</v>
      </c>
      <c r="AI1249" s="10">
        <v>825</v>
      </c>
      <c r="AJ1249" s="10">
        <v>0</v>
      </c>
      <c r="AK1249" s="10">
        <v>0</v>
      </c>
      <c r="AL1249" s="9">
        <f t="shared" si="109"/>
        <v>54075</v>
      </c>
      <c r="AM1249" s="1"/>
      <c r="AN1249" s="1"/>
      <c r="AO1249" s="12" t="e">
        <f>AB1249/#REF!</f>
        <v>#REF!</v>
      </c>
      <c r="AP1249" s="1"/>
      <c r="AQ1249" s="11">
        <v>42102</v>
      </c>
      <c r="AR1249" s="1" t="s">
        <v>3654</v>
      </c>
      <c r="AS1249" s="11">
        <v>42103</v>
      </c>
      <c r="AT1249" s="1" t="s">
        <v>49</v>
      </c>
      <c r="AU1249" s="1" t="s">
        <v>4171</v>
      </c>
    </row>
    <row r="1250" spans="1:47" ht="15" customHeight="1" x14ac:dyDescent="0.25">
      <c r="A1250" s="1">
        <v>1246</v>
      </c>
      <c r="B1250" s="1" t="s">
        <v>1258</v>
      </c>
      <c r="C1250" s="1" t="s">
        <v>38</v>
      </c>
      <c r="D1250" s="1">
        <v>9103551053</v>
      </c>
      <c r="E1250" s="5">
        <v>42019</v>
      </c>
      <c r="F1250" s="1" t="s">
        <v>1113</v>
      </c>
      <c r="G1250" s="1" t="s">
        <v>40</v>
      </c>
      <c r="H1250" s="1" t="s">
        <v>41</v>
      </c>
      <c r="I1250" s="1" t="s">
        <v>2809</v>
      </c>
      <c r="J1250" s="1" t="s">
        <v>63</v>
      </c>
      <c r="K1250" s="1">
        <v>38231200</v>
      </c>
      <c r="L1250" s="6">
        <v>39.79</v>
      </c>
      <c r="M1250" s="1" t="s">
        <v>70</v>
      </c>
      <c r="N1250" s="7" t="s">
        <v>44</v>
      </c>
      <c r="O1250" s="1" t="s">
        <v>53</v>
      </c>
      <c r="P1250" s="8">
        <v>1320</v>
      </c>
      <c r="Q1250" s="17">
        <f t="shared" ref="Q1250:Q1269" si="115">+L1250*P1250</f>
        <v>52522.799999999996</v>
      </c>
      <c r="R1250" s="9">
        <v>800</v>
      </c>
      <c r="S1250" s="9">
        <v>7.51</v>
      </c>
      <c r="T1250" s="9">
        <v>0</v>
      </c>
      <c r="U1250" s="10">
        <v>0</v>
      </c>
      <c r="V1250" s="1" t="s">
        <v>46</v>
      </c>
      <c r="W1250" s="1" t="s">
        <v>64</v>
      </c>
      <c r="X1250" s="1">
        <v>7120464</v>
      </c>
      <c r="Y1250" s="24">
        <v>42013</v>
      </c>
      <c r="Z1250" s="11">
        <v>42014</v>
      </c>
      <c r="AA1250" s="9">
        <f t="shared" si="111"/>
        <v>51715.289999999994</v>
      </c>
      <c r="AB1250" s="12">
        <v>62.75</v>
      </c>
      <c r="AC1250" s="9">
        <f t="shared" si="112"/>
        <v>3295805.6999999997</v>
      </c>
      <c r="AD1250" s="9">
        <f t="shared" si="113"/>
        <v>3245134.4474999998</v>
      </c>
      <c r="AE1250" s="1" t="s">
        <v>51</v>
      </c>
      <c r="AF1250" s="1" t="s">
        <v>53</v>
      </c>
      <c r="AG1250" s="4">
        <f t="shared" si="108"/>
        <v>52522.799999999996</v>
      </c>
      <c r="AH1250" s="10">
        <v>52522</v>
      </c>
      <c r="AI1250" s="10">
        <v>720</v>
      </c>
      <c r="AJ1250" s="10">
        <v>7.51</v>
      </c>
      <c r="AK1250" s="10">
        <v>0</v>
      </c>
      <c r="AL1250" s="9">
        <f t="shared" si="109"/>
        <v>51794.49</v>
      </c>
      <c r="AM1250" s="1"/>
      <c r="AN1250" s="1"/>
      <c r="AO1250" s="12" t="e">
        <f>AB1250/#REF!</f>
        <v>#REF!</v>
      </c>
      <c r="AP1250" s="1"/>
      <c r="AQ1250" s="11">
        <v>42053</v>
      </c>
      <c r="AR1250" s="1" t="s">
        <v>3655</v>
      </c>
      <c r="AS1250" s="11">
        <v>42059</v>
      </c>
      <c r="AT1250" s="1" t="s">
        <v>49</v>
      </c>
      <c r="AU1250" s="1" t="s">
        <v>4171</v>
      </c>
    </row>
    <row r="1251" spans="1:47" ht="15" customHeight="1" x14ac:dyDescent="0.25">
      <c r="A1251" s="1">
        <v>1247</v>
      </c>
      <c r="B1251" s="1" t="s">
        <v>1258</v>
      </c>
      <c r="C1251" s="1" t="s">
        <v>38</v>
      </c>
      <c r="D1251" s="1">
        <v>9103551054</v>
      </c>
      <c r="E1251" s="5">
        <v>42019</v>
      </c>
      <c r="F1251" s="1" t="s">
        <v>1110</v>
      </c>
      <c r="G1251" s="1" t="s">
        <v>40</v>
      </c>
      <c r="H1251" s="1" t="s">
        <v>41</v>
      </c>
      <c r="I1251" s="1" t="s">
        <v>2809</v>
      </c>
      <c r="J1251" s="1" t="s">
        <v>2806</v>
      </c>
      <c r="K1251" s="1">
        <v>38237090</v>
      </c>
      <c r="L1251" s="6">
        <v>90</v>
      </c>
      <c r="M1251" s="1" t="s">
        <v>70</v>
      </c>
      <c r="N1251" s="7" t="s">
        <v>67</v>
      </c>
      <c r="O1251" s="1" t="s">
        <v>53</v>
      </c>
      <c r="P1251" s="8">
        <v>1250</v>
      </c>
      <c r="Q1251" s="17">
        <f t="shared" si="115"/>
        <v>112500</v>
      </c>
      <c r="R1251" s="9">
        <v>0</v>
      </c>
      <c r="S1251" s="9">
        <v>0</v>
      </c>
      <c r="T1251" s="9">
        <v>0</v>
      </c>
      <c r="U1251" s="10">
        <v>0</v>
      </c>
      <c r="V1251" s="1" t="s">
        <v>46</v>
      </c>
      <c r="W1251" s="1" t="s">
        <v>492</v>
      </c>
      <c r="X1251" s="1">
        <v>7113906</v>
      </c>
      <c r="Y1251" s="24">
        <v>42013</v>
      </c>
      <c r="Z1251" s="11">
        <v>42014</v>
      </c>
      <c r="AA1251" s="9">
        <f t="shared" si="111"/>
        <v>112500</v>
      </c>
      <c r="AB1251" s="12">
        <v>62.75</v>
      </c>
      <c r="AC1251" s="9">
        <f t="shared" si="112"/>
        <v>7059375</v>
      </c>
      <c r="AD1251" s="9">
        <f t="shared" si="113"/>
        <v>7059375</v>
      </c>
      <c r="AE1251" s="1" t="s">
        <v>48</v>
      </c>
      <c r="AF1251" s="1" t="s">
        <v>53</v>
      </c>
      <c r="AG1251" s="4">
        <f t="shared" si="108"/>
        <v>112500</v>
      </c>
      <c r="AH1251" s="10">
        <v>112500</v>
      </c>
      <c r="AI1251" s="10"/>
      <c r="AJ1251" s="10"/>
      <c r="AK1251" s="10"/>
      <c r="AL1251" s="9">
        <f t="shared" si="109"/>
        <v>112500</v>
      </c>
      <c r="AM1251" s="1"/>
      <c r="AN1251" s="1"/>
      <c r="AO1251" s="12" t="e">
        <f>AB1251/#REF!</f>
        <v>#REF!</v>
      </c>
      <c r="AP1251" s="1" t="s">
        <v>4182</v>
      </c>
      <c r="AQ1251" s="11">
        <v>42445</v>
      </c>
      <c r="AR1251" s="84" t="s">
        <v>4183</v>
      </c>
      <c r="AS1251" s="11">
        <v>42446</v>
      </c>
      <c r="AT1251" s="1" t="s">
        <v>49</v>
      </c>
      <c r="AU1251" s="1" t="s">
        <v>4171</v>
      </c>
    </row>
    <row r="1252" spans="1:47" ht="15" customHeight="1" x14ac:dyDescent="0.25">
      <c r="A1252" s="1">
        <v>1248</v>
      </c>
      <c r="B1252" s="1" t="s">
        <v>1258</v>
      </c>
      <c r="C1252" s="1" t="s">
        <v>38</v>
      </c>
      <c r="D1252" s="1">
        <v>9103551054</v>
      </c>
      <c r="E1252" s="5">
        <v>42019</v>
      </c>
      <c r="F1252" s="1" t="s">
        <v>1114</v>
      </c>
      <c r="G1252" s="1" t="s">
        <v>40</v>
      </c>
      <c r="H1252" s="1" t="s">
        <v>41</v>
      </c>
      <c r="I1252" s="1" t="s">
        <v>2809</v>
      </c>
      <c r="J1252" s="1" t="s">
        <v>2806</v>
      </c>
      <c r="K1252" s="1">
        <v>38237090</v>
      </c>
      <c r="L1252" s="6">
        <v>15</v>
      </c>
      <c r="M1252" s="1" t="s">
        <v>70</v>
      </c>
      <c r="N1252" s="7" t="s">
        <v>67</v>
      </c>
      <c r="O1252" s="1" t="s">
        <v>53</v>
      </c>
      <c r="P1252" s="8">
        <v>1250</v>
      </c>
      <c r="Q1252" s="17">
        <f t="shared" si="115"/>
        <v>18750</v>
      </c>
      <c r="R1252" s="9">
        <v>0</v>
      </c>
      <c r="S1252" s="9">
        <v>0</v>
      </c>
      <c r="T1252" s="9">
        <v>0</v>
      </c>
      <c r="U1252" s="10">
        <v>0</v>
      </c>
      <c r="V1252" s="1" t="s">
        <v>46</v>
      </c>
      <c r="W1252" s="1" t="s">
        <v>492</v>
      </c>
      <c r="X1252" s="1">
        <v>7120994</v>
      </c>
      <c r="Y1252" s="24">
        <v>42013</v>
      </c>
      <c r="Z1252" s="11">
        <v>42014</v>
      </c>
      <c r="AA1252" s="9">
        <f t="shared" si="111"/>
        <v>18750</v>
      </c>
      <c r="AB1252" s="12">
        <v>62.75</v>
      </c>
      <c r="AC1252" s="9">
        <f t="shared" si="112"/>
        <v>1176562.5</v>
      </c>
      <c r="AD1252" s="9">
        <f t="shared" si="113"/>
        <v>1176562.5</v>
      </c>
      <c r="AE1252" s="1" t="s">
        <v>48</v>
      </c>
      <c r="AF1252" s="1" t="s">
        <v>53</v>
      </c>
      <c r="AG1252" s="4">
        <f t="shared" si="108"/>
        <v>18750</v>
      </c>
      <c r="AH1252" s="10">
        <f>11948+6750</f>
        <v>18698</v>
      </c>
      <c r="AI1252" s="10"/>
      <c r="AJ1252" s="10"/>
      <c r="AK1252" s="10"/>
      <c r="AL1252" s="9">
        <f t="shared" si="109"/>
        <v>18698</v>
      </c>
      <c r="AM1252" s="1"/>
      <c r="AN1252" s="1"/>
      <c r="AO1252" s="12" t="e">
        <f>AB1252/#REF!</f>
        <v>#REF!</v>
      </c>
      <c r="AP1252" s="1" t="s">
        <v>4182</v>
      </c>
      <c r="AQ1252" s="11">
        <v>42445</v>
      </c>
      <c r="AR1252" s="1" t="s">
        <v>4184</v>
      </c>
      <c r="AS1252" s="11">
        <v>42446</v>
      </c>
      <c r="AT1252" s="1" t="s">
        <v>49</v>
      </c>
      <c r="AU1252" s="1" t="s">
        <v>4171</v>
      </c>
    </row>
    <row r="1253" spans="1:47" ht="15" customHeight="1" x14ac:dyDescent="0.25">
      <c r="A1253" s="1">
        <v>1249</v>
      </c>
      <c r="B1253" s="1" t="s">
        <v>1258</v>
      </c>
      <c r="C1253" s="1" t="s">
        <v>38</v>
      </c>
      <c r="D1253" s="1">
        <v>9103551055</v>
      </c>
      <c r="E1253" s="5">
        <v>42016</v>
      </c>
      <c r="F1253" s="1" t="s">
        <v>2811</v>
      </c>
      <c r="G1253" s="1" t="s">
        <v>40</v>
      </c>
      <c r="H1253" s="1" t="s">
        <v>41</v>
      </c>
      <c r="I1253" s="1" t="s">
        <v>2809</v>
      </c>
      <c r="J1253" s="1" t="s">
        <v>2812</v>
      </c>
      <c r="K1253" s="1">
        <v>29161990</v>
      </c>
      <c r="L1253" s="6">
        <v>86.4</v>
      </c>
      <c r="M1253" s="1" t="s">
        <v>70</v>
      </c>
      <c r="N1253" s="7" t="s">
        <v>67</v>
      </c>
      <c r="O1253" s="1" t="s">
        <v>53</v>
      </c>
      <c r="P1253" s="8">
        <v>2480</v>
      </c>
      <c r="Q1253" s="17">
        <f t="shared" si="115"/>
        <v>214272</v>
      </c>
      <c r="R1253" s="9">
        <v>0</v>
      </c>
      <c r="S1253" s="9">
        <v>0</v>
      </c>
      <c r="T1253" s="9">
        <v>0</v>
      </c>
      <c r="U1253" s="10">
        <v>0</v>
      </c>
      <c r="V1253" s="1" t="s">
        <v>46</v>
      </c>
      <c r="W1253" s="1" t="s">
        <v>54</v>
      </c>
      <c r="X1253" s="1">
        <v>7100507</v>
      </c>
      <c r="Y1253" s="11">
        <v>42012</v>
      </c>
      <c r="Z1253" s="11">
        <v>42013</v>
      </c>
      <c r="AA1253" s="9">
        <f t="shared" si="111"/>
        <v>214272</v>
      </c>
      <c r="AB1253" s="12">
        <v>62.75</v>
      </c>
      <c r="AC1253" s="9">
        <f t="shared" si="112"/>
        <v>13445568</v>
      </c>
      <c r="AD1253" s="9">
        <f t="shared" si="113"/>
        <v>13445568</v>
      </c>
      <c r="AE1253" s="1" t="s">
        <v>48</v>
      </c>
      <c r="AF1253" s="1" t="s">
        <v>53</v>
      </c>
      <c r="AG1253" s="4">
        <f t="shared" si="108"/>
        <v>214272</v>
      </c>
      <c r="AH1253" s="10">
        <v>214242</v>
      </c>
      <c r="AI1253" s="10"/>
      <c r="AJ1253" s="10"/>
      <c r="AK1253" s="10"/>
      <c r="AL1253" s="9">
        <f t="shared" si="109"/>
        <v>214242</v>
      </c>
      <c r="AM1253" s="1"/>
      <c r="AN1253" s="1"/>
      <c r="AO1253" s="12" t="e">
        <f>AB1253/#REF!</f>
        <v>#REF!</v>
      </c>
      <c r="AP1253" s="1" t="s">
        <v>3186</v>
      </c>
      <c r="AQ1253" s="11">
        <v>42038</v>
      </c>
      <c r="AR1253" s="1" t="s">
        <v>3187</v>
      </c>
      <c r="AS1253" s="11">
        <v>42039</v>
      </c>
      <c r="AT1253" s="1" t="s">
        <v>49</v>
      </c>
      <c r="AU1253" s="1" t="s">
        <v>4171</v>
      </c>
    </row>
    <row r="1254" spans="1:47" ht="15" customHeight="1" x14ac:dyDescent="0.25">
      <c r="A1254" s="1">
        <v>1250</v>
      </c>
      <c r="B1254" s="1" t="s">
        <v>1258</v>
      </c>
      <c r="C1254" s="1" t="s">
        <v>38</v>
      </c>
      <c r="D1254" s="1">
        <v>9103551056</v>
      </c>
      <c r="E1254" s="5">
        <v>42019</v>
      </c>
      <c r="F1254" s="1" t="s">
        <v>2813</v>
      </c>
      <c r="G1254" s="1" t="s">
        <v>40</v>
      </c>
      <c r="H1254" s="1" t="s">
        <v>41</v>
      </c>
      <c r="I1254" s="1" t="s">
        <v>2809</v>
      </c>
      <c r="J1254" s="1" t="s">
        <v>63</v>
      </c>
      <c r="K1254" s="1">
        <v>29161990</v>
      </c>
      <c r="L1254" s="6">
        <v>19.61</v>
      </c>
      <c r="M1254" s="1" t="s">
        <v>70</v>
      </c>
      <c r="N1254" s="7" t="s">
        <v>44</v>
      </c>
      <c r="O1254" s="1" t="s">
        <v>53</v>
      </c>
      <c r="P1254" s="8">
        <v>2426</v>
      </c>
      <c r="Q1254" s="17">
        <f t="shared" si="115"/>
        <v>47573.86</v>
      </c>
      <c r="R1254" s="9">
        <v>1150</v>
      </c>
      <c r="S1254" s="9">
        <v>6.8</v>
      </c>
      <c r="T1254" s="9">
        <v>0</v>
      </c>
      <c r="U1254" s="10">
        <v>0</v>
      </c>
      <c r="V1254" s="1" t="s">
        <v>46</v>
      </c>
      <c r="W1254" s="1" t="s">
        <v>75</v>
      </c>
      <c r="X1254" s="1">
        <v>7130530</v>
      </c>
      <c r="Y1254" s="11">
        <v>42013</v>
      </c>
      <c r="Z1254" s="11">
        <v>42014</v>
      </c>
      <c r="AA1254" s="9">
        <f t="shared" si="111"/>
        <v>46417.06</v>
      </c>
      <c r="AB1254" s="12">
        <v>62.75</v>
      </c>
      <c r="AC1254" s="9">
        <f t="shared" si="112"/>
        <v>2985259.7149999999</v>
      </c>
      <c r="AD1254" s="9">
        <f t="shared" si="113"/>
        <v>2912670.5149999997</v>
      </c>
      <c r="AE1254" s="1" t="s">
        <v>51</v>
      </c>
      <c r="AF1254" s="1" t="s">
        <v>53</v>
      </c>
      <c r="AG1254" s="4">
        <f t="shared" si="108"/>
        <v>47573.86</v>
      </c>
      <c r="AH1254" s="10">
        <v>47536</v>
      </c>
      <c r="AI1254" s="10">
        <v>1030</v>
      </c>
      <c r="AJ1254" s="10">
        <v>6.8</v>
      </c>
      <c r="AK1254" s="10">
        <v>0</v>
      </c>
      <c r="AL1254" s="9">
        <f t="shared" si="109"/>
        <v>46499.199999999997</v>
      </c>
      <c r="AM1254" s="1"/>
      <c r="AN1254" s="1"/>
      <c r="AO1254" s="12" t="e">
        <f>AB1254/#REF!</f>
        <v>#REF!</v>
      </c>
      <c r="AP1254" s="1" t="s">
        <v>3188</v>
      </c>
      <c r="AQ1254" s="11">
        <v>42038</v>
      </c>
      <c r="AR1254" s="1" t="s">
        <v>3189</v>
      </c>
      <c r="AS1254" s="11">
        <v>42042</v>
      </c>
      <c r="AT1254" s="1" t="s">
        <v>49</v>
      </c>
      <c r="AU1254" s="1" t="s">
        <v>4171</v>
      </c>
    </row>
    <row r="1255" spans="1:47" ht="15" customHeight="1" x14ac:dyDescent="0.25">
      <c r="A1255" s="1">
        <v>1251</v>
      </c>
      <c r="B1255" s="1" t="s">
        <v>1258</v>
      </c>
      <c r="C1255" s="1" t="s">
        <v>38</v>
      </c>
      <c r="D1255" s="1">
        <v>9103551057</v>
      </c>
      <c r="E1255" s="5">
        <v>42019</v>
      </c>
      <c r="F1255" s="1" t="s">
        <v>2814</v>
      </c>
      <c r="G1255" s="1" t="s">
        <v>40</v>
      </c>
      <c r="H1255" s="1" t="s">
        <v>41</v>
      </c>
      <c r="I1255" s="1" t="s">
        <v>2809</v>
      </c>
      <c r="J1255" s="1" t="s">
        <v>386</v>
      </c>
      <c r="K1255" s="1">
        <v>38237090</v>
      </c>
      <c r="L1255" s="6">
        <v>75.98</v>
      </c>
      <c r="M1255" s="1" t="s">
        <v>70</v>
      </c>
      <c r="N1255" s="7" t="s">
        <v>52</v>
      </c>
      <c r="O1255" s="1" t="s">
        <v>53</v>
      </c>
      <c r="P1255" s="8">
        <v>1275</v>
      </c>
      <c r="Q1255" s="17">
        <f t="shared" si="115"/>
        <v>96874.5</v>
      </c>
      <c r="R1255" s="9">
        <v>3400</v>
      </c>
      <c r="S1255" s="9">
        <v>0</v>
      </c>
      <c r="T1255" s="9">
        <v>0</v>
      </c>
      <c r="U1255" s="10">
        <v>0</v>
      </c>
      <c r="V1255" s="1" t="s">
        <v>46</v>
      </c>
      <c r="W1255" s="1" t="s">
        <v>241</v>
      </c>
      <c r="X1255" s="1">
        <v>7132319</v>
      </c>
      <c r="Y1255" s="11">
        <v>42013</v>
      </c>
      <c r="Z1255" s="11">
        <v>42014</v>
      </c>
      <c r="AA1255" s="9">
        <f t="shared" si="111"/>
        <v>93474.5</v>
      </c>
      <c r="AB1255" s="12">
        <v>62.75</v>
      </c>
      <c r="AC1255" s="9">
        <f t="shared" si="112"/>
        <v>6078874.875</v>
      </c>
      <c r="AD1255" s="9">
        <f t="shared" si="113"/>
        <v>5865524.875</v>
      </c>
      <c r="AE1255" s="1" t="s">
        <v>48</v>
      </c>
      <c r="AF1255" s="1" t="s">
        <v>53</v>
      </c>
      <c r="AG1255" s="4">
        <f t="shared" si="108"/>
        <v>96874.5</v>
      </c>
      <c r="AH1255" s="10">
        <v>96874.5</v>
      </c>
      <c r="AI1255" s="10">
        <v>3100</v>
      </c>
      <c r="AJ1255" s="10">
        <v>0</v>
      </c>
      <c r="AK1255" s="10">
        <v>0</v>
      </c>
      <c r="AL1255" s="9">
        <f t="shared" si="109"/>
        <v>93774.5</v>
      </c>
      <c r="AM1255" s="1"/>
      <c r="AN1255" s="1"/>
      <c r="AO1255" s="12" t="e">
        <f>AB1255/#REF!</f>
        <v>#REF!</v>
      </c>
      <c r="AP1255" s="1"/>
      <c r="AQ1255" s="11">
        <v>42094</v>
      </c>
      <c r="AR1255" s="1" t="s">
        <v>3482</v>
      </c>
      <c r="AS1255" s="11">
        <v>42098</v>
      </c>
      <c r="AT1255" s="1" t="s">
        <v>49</v>
      </c>
      <c r="AU1255" s="1" t="s">
        <v>4171</v>
      </c>
    </row>
    <row r="1256" spans="1:47" ht="15" customHeight="1" x14ac:dyDescent="0.25">
      <c r="A1256" s="1">
        <v>1252</v>
      </c>
      <c r="B1256" s="1" t="s">
        <v>1258</v>
      </c>
      <c r="C1256" s="1" t="s">
        <v>38</v>
      </c>
      <c r="D1256" s="1">
        <v>9103551058</v>
      </c>
      <c r="E1256" s="5">
        <v>42019</v>
      </c>
      <c r="F1256" s="1" t="s">
        <v>2815</v>
      </c>
      <c r="G1256" s="1" t="s">
        <v>40</v>
      </c>
      <c r="H1256" s="1" t="s">
        <v>41</v>
      </c>
      <c r="I1256" s="1" t="s">
        <v>2809</v>
      </c>
      <c r="J1256" s="1" t="s">
        <v>386</v>
      </c>
      <c r="K1256" s="1">
        <v>38237090</v>
      </c>
      <c r="L1256" s="6">
        <v>193.96</v>
      </c>
      <c r="M1256" s="1" t="s">
        <v>70</v>
      </c>
      <c r="N1256" s="7" t="s">
        <v>52</v>
      </c>
      <c r="O1256" s="1" t="s">
        <v>53</v>
      </c>
      <c r="P1256" s="8">
        <v>1275</v>
      </c>
      <c r="Q1256" s="17">
        <f t="shared" si="115"/>
        <v>247299</v>
      </c>
      <c r="R1256" s="9">
        <v>8500</v>
      </c>
      <c r="S1256" s="9">
        <v>0</v>
      </c>
      <c r="T1256" s="9">
        <v>0</v>
      </c>
      <c r="U1256" s="10">
        <v>0</v>
      </c>
      <c r="V1256" s="1" t="s">
        <v>46</v>
      </c>
      <c r="W1256" s="1" t="s">
        <v>241</v>
      </c>
      <c r="X1256" s="1">
        <v>7133063</v>
      </c>
      <c r="Y1256" s="11">
        <v>42013</v>
      </c>
      <c r="Z1256" s="11">
        <v>42014</v>
      </c>
      <c r="AA1256" s="9">
        <f t="shared" si="111"/>
        <v>238799</v>
      </c>
      <c r="AB1256" s="12">
        <v>62.75</v>
      </c>
      <c r="AC1256" s="9">
        <f t="shared" si="112"/>
        <v>15518012.25</v>
      </c>
      <c r="AD1256" s="9">
        <f t="shared" si="113"/>
        <v>14984637.25</v>
      </c>
      <c r="AE1256" s="1" t="s">
        <v>48</v>
      </c>
      <c r="AF1256" s="1" t="s">
        <v>53</v>
      </c>
      <c r="AG1256" s="4">
        <f t="shared" si="108"/>
        <v>247299</v>
      </c>
      <c r="AH1256" s="10">
        <v>247278</v>
      </c>
      <c r="AI1256" s="10">
        <v>9500</v>
      </c>
      <c r="AJ1256" s="10">
        <v>0</v>
      </c>
      <c r="AK1256" s="10">
        <v>0</v>
      </c>
      <c r="AL1256" s="9">
        <f t="shared" si="109"/>
        <v>237778</v>
      </c>
      <c r="AM1256" s="1"/>
      <c r="AN1256" s="1"/>
      <c r="AO1256" s="12" t="e">
        <f>AB1256/#REF!</f>
        <v>#REF!</v>
      </c>
      <c r="AP1256" s="1"/>
      <c r="AQ1256" s="11">
        <v>42103</v>
      </c>
      <c r="AR1256" s="1" t="s">
        <v>3483</v>
      </c>
      <c r="AS1256" s="11">
        <v>42105</v>
      </c>
      <c r="AT1256" s="1" t="s">
        <v>49</v>
      </c>
      <c r="AU1256" s="1" t="s">
        <v>4171</v>
      </c>
    </row>
    <row r="1257" spans="1:47" ht="15" customHeight="1" x14ac:dyDescent="0.25">
      <c r="A1257" s="1">
        <v>1253</v>
      </c>
      <c r="B1257" s="1" t="s">
        <v>1258</v>
      </c>
      <c r="C1257" s="1" t="s">
        <v>38</v>
      </c>
      <c r="D1257" s="1">
        <v>9103551059</v>
      </c>
      <c r="E1257" s="5">
        <v>42019</v>
      </c>
      <c r="F1257" s="1" t="s">
        <v>2816</v>
      </c>
      <c r="G1257" s="1" t="s">
        <v>40</v>
      </c>
      <c r="H1257" s="1" t="s">
        <v>41</v>
      </c>
      <c r="I1257" s="1" t="s">
        <v>2809</v>
      </c>
      <c r="J1257" s="1" t="s">
        <v>386</v>
      </c>
      <c r="K1257" s="1">
        <v>38237090</v>
      </c>
      <c r="L1257" s="6">
        <v>37.74</v>
      </c>
      <c r="M1257" s="1" t="s">
        <v>70</v>
      </c>
      <c r="N1257" s="7" t="s">
        <v>52</v>
      </c>
      <c r="O1257" s="1" t="s">
        <v>53</v>
      </c>
      <c r="P1257" s="8">
        <v>1275</v>
      </c>
      <c r="Q1257" s="17">
        <f t="shared" si="115"/>
        <v>48118.5</v>
      </c>
      <c r="R1257" s="9">
        <v>1700</v>
      </c>
      <c r="S1257" s="9">
        <v>0</v>
      </c>
      <c r="T1257" s="9">
        <v>0</v>
      </c>
      <c r="U1257" s="10">
        <v>0</v>
      </c>
      <c r="V1257" s="1" t="s">
        <v>46</v>
      </c>
      <c r="W1257" s="1" t="s">
        <v>241</v>
      </c>
      <c r="X1257" s="1">
        <v>7133181</v>
      </c>
      <c r="Y1257" s="11">
        <v>42013</v>
      </c>
      <c r="Z1257" s="11">
        <v>42014</v>
      </c>
      <c r="AA1257" s="9">
        <f t="shared" si="111"/>
        <v>46418.5</v>
      </c>
      <c r="AB1257" s="12">
        <v>62.75</v>
      </c>
      <c r="AC1257" s="9">
        <f t="shared" si="112"/>
        <v>3019435.875</v>
      </c>
      <c r="AD1257" s="9">
        <f t="shared" si="113"/>
        <v>2912760.875</v>
      </c>
      <c r="AE1257" s="1" t="s">
        <v>48</v>
      </c>
      <c r="AF1257" s="1" t="s">
        <v>53</v>
      </c>
      <c r="AG1257" s="4">
        <f t="shared" si="108"/>
        <v>48118.5</v>
      </c>
      <c r="AH1257" s="10">
        <v>48118.5</v>
      </c>
      <c r="AI1257" s="10">
        <v>1600</v>
      </c>
      <c r="AJ1257" s="10">
        <v>0</v>
      </c>
      <c r="AK1257" s="10">
        <v>0</v>
      </c>
      <c r="AL1257" s="9">
        <f t="shared" si="109"/>
        <v>46518.5</v>
      </c>
      <c r="AM1257" s="1"/>
      <c r="AN1257" s="1"/>
      <c r="AO1257" s="12" t="e">
        <f>AB1257/#REF!</f>
        <v>#REF!</v>
      </c>
      <c r="AP1257" s="1"/>
      <c r="AQ1257" s="11">
        <v>42087</v>
      </c>
      <c r="AR1257" s="1" t="s">
        <v>3484</v>
      </c>
      <c r="AS1257" s="11">
        <v>42088</v>
      </c>
      <c r="AT1257" s="1" t="s">
        <v>49</v>
      </c>
      <c r="AU1257" s="1" t="s">
        <v>4171</v>
      </c>
    </row>
    <row r="1258" spans="1:47" ht="15" customHeight="1" x14ac:dyDescent="0.25">
      <c r="A1258" s="1">
        <v>1254</v>
      </c>
      <c r="B1258" s="1" t="s">
        <v>1258</v>
      </c>
      <c r="C1258" s="1" t="s">
        <v>38</v>
      </c>
      <c r="D1258" s="1">
        <v>9103551060</v>
      </c>
      <c r="E1258" s="5">
        <v>42014</v>
      </c>
      <c r="F1258" s="1" t="s">
        <v>2817</v>
      </c>
      <c r="G1258" s="1" t="s">
        <v>40</v>
      </c>
      <c r="H1258" s="1" t="s">
        <v>41</v>
      </c>
      <c r="I1258" s="1" t="s">
        <v>2809</v>
      </c>
      <c r="J1258" s="1" t="s">
        <v>2818</v>
      </c>
      <c r="K1258" s="1">
        <v>38231190</v>
      </c>
      <c r="L1258" s="6">
        <v>20</v>
      </c>
      <c r="M1258" s="1" t="s">
        <v>70</v>
      </c>
      <c r="N1258" s="7" t="s">
        <v>44</v>
      </c>
      <c r="O1258" s="1" t="s">
        <v>53</v>
      </c>
      <c r="P1258" s="8">
        <v>970</v>
      </c>
      <c r="Q1258" s="17">
        <f t="shared" si="115"/>
        <v>19400</v>
      </c>
      <c r="R1258" s="9">
        <v>75</v>
      </c>
      <c r="S1258" s="9">
        <v>2.77</v>
      </c>
      <c r="T1258" s="9">
        <v>0</v>
      </c>
      <c r="U1258" s="10">
        <v>0</v>
      </c>
      <c r="V1258" s="1" t="s">
        <v>46</v>
      </c>
      <c r="W1258" s="1" t="s">
        <v>64</v>
      </c>
      <c r="X1258" s="1">
        <v>7142796</v>
      </c>
      <c r="Y1258" s="11">
        <v>42014</v>
      </c>
      <c r="Z1258" s="11">
        <v>42016</v>
      </c>
      <c r="AA1258" s="9">
        <f t="shared" si="111"/>
        <v>19322.23</v>
      </c>
      <c r="AB1258" s="12">
        <v>62.75</v>
      </c>
      <c r="AC1258" s="9">
        <f t="shared" si="112"/>
        <v>1217350</v>
      </c>
      <c r="AD1258" s="9">
        <f t="shared" si="113"/>
        <v>1212469.9324999999</v>
      </c>
      <c r="AE1258" s="1" t="s">
        <v>48</v>
      </c>
      <c r="AF1258" s="1" t="s">
        <v>53</v>
      </c>
      <c r="AG1258" s="4">
        <f t="shared" si="108"/>
        <v>19400</v>
      </c>
      <c r="AH1258" s="10">
        <v>19265</v>
      </c>
      <c r="AI1258" s="10">
        <v>35</v>
      </c>
      <c r="AJ1258" s="10">
        <v>2.77</v>
      </c>
      <c r="AK1258" s="10">
        <v>0</v>
      </c>
      <c r="AL1258" s="9">
        <f t="shared" si="109"/>
        <v>19227.23</v>
      </c>
      <c r="AM1258" s="1"/>
      <c r="AN1258" s="1"/>
      <c r="AO1258" s="12" t="e">
        <f>AB1258/#REF!</f>
        <v>#REF!</v>
      </c>
      <c r="AP1258" s="1" t="s">
        <v>3190</v>
      </c>
      <c r="AQ1258" s="11">
        <v>42040</v>
      </c>
      <c r="AR1258" s="1" t="s">
        <v>3191</v>
      </c>
      <c r="AS1258" s="11">
        <v>42041</v>
      </c>
      <c r="AT1258" s="1" t="s">
        <v>49</v>
      </c>
      <c r="AU1258" s="1" t="s">
        <v>4171</v>
      </c>
    </row>
    <row r="1259" spans="1:47" ht="15" customHeight="1" x14ac:dyDescent="0.25">
      <c r="A1259" s="1">
        <v>1255</v>
      </c>
      <c r="B1259" s="1" t="s">
        <v>1258</v>
      </c>
      <c r="C1259" s="1" t="s">
        <v>38</v>
      </c>
      <c r="D1259" s="1">
        <v>9103551061</v>
      </c>
      <c r="E1259" s="5">
        <v>42014</v>
      </c>
      <c r="F1259" s="1" t="s">
        <v>2819</v>
      </c>
      <c r="G1259" s="1" t="s">
        <v>40</v>
      </c>
      <c r="H1259" s="1" t="s">
        <v>41</v>
      </c>
      <c r="I1259" s="1" t="s">
        <v>2809</v>
      </c>
      <c r="J1259" s="1" t="s">
        <v>2660</v>
      </c>
      <c r="K1259" s="1">
        <v>29051700</v>
      </c>
      <c r="L1259" s="6">
        <v>11</v>
      </c>
      <c r="M1259" s="1" t="s">
        <v>70</v>
      </c>
      <c r="N1259" s="7" t="s">
        <v>52</v>
      </c>
      <c r="O1259" s="1" t="s">
        <v>53</v>
      </c>
      <c r="P1259" s="8">
        <v>1600</v>
      </c>
      <c r="Q1259" s="17">
        <f t="shared" si="115"/>
        <v>17600</v>
      </c>
      <c r="R1259" s="9">
        <v>125</v>
      </c>
      <c r="S1259" s="9">
        <v>0</v>
      </c>
      <c r="T1259" s="9">
        <v>0</v>
      </c>
      <c r="U1259" s="10">
        <v>0</v>
      </c>
      <c r="V1259" s="1" t="s">
        <v>46</v>
      </c>
      <c r="W1259" s="1" t="s">
        <v>75</v>
      </c>
      <c r="X1259" s="1">
        <v>7143374</v>
      </c>
      <c r="Y1259" s="11">
        <v>42014</v>
      </c>
      <c r="Z1259" s="11">
        <v>42016</v>
      </c>
      <c r="AA1259" s="9">
        <f t="shared" si="111"/>
        <v>17475</v>
      </c>
      <c r="AB1259" s="12">
        <v>62.75</v>
      </c>
      <c r="AC1259" s="9">
        <f t="shared" si="112"/>
        <v>1104400</v>
      </c>
      <c r="AD1259" s="9">
        <f t="shared" si="113"/>
        <v>1096556.25</v>
      </c>
      <c r="AE1259" s="1" t="s">
        <v>48</v>
      </c>
      <c r="AF1259" s="1" t="s">
        <v>53</v>
      </c>
      <c r="AG1259" s="4">
        <f t="shared" si="108"/>
        <v>17600</v>
      </c>
      <c r="AH1259" s="10">
        <v>17600</v>
      </c>
      <c r="AI1259" s="10">
        <v>178</v>
      </c>
      <c r="AJ1259" s="10">
        <v>0</v>
      </c>
      <c r="AK1259" s="10">
        <v>0</v>
      </c>
      <c r="AL1259" s="9">
        <f t="shared" si="109"/>
        <v>17422</v>
      </c>
      <c r="AM1259" s="1"/>
      <c r="AN1259" s="1"/>
      <c r="AO1259" s="12" t="e">
        <f>AB1259/#REF!</f>
        <v>#REF!</v>
      </c>
      <c r="AP1259" s="1" t="s">
        <v>3192</v>
      </c>
      <c r="AQ1259" s="11">
        <v>42051</v>
      </c>
      <c r="AR1259" s="1" t="s">
        <v>3193</v>
      </c>
      <c r="AS1259" s="11">
        <v>42053</v>
      </c>
      <c r="AT1259" s="1" t="s">
        <v>49</v>
      </c>
      <c r="AU1259" s="1" t="s">
        <v>4171</v>
      </c>
    </row>
    <row r="1260" spans="1:47" ht="15" customHeight="1" x14ac:dyDescent="0.25">
      <c r="A1260" s="1">
        <v>1256</v>
      </c>
      <c r="B1260" s="1" t="s">
        <v>1258</v>
      </c>
      <c r="C1260" s="1" t="s">
        <v>38</v>
      </c>
      <c r="D1260" s="1">
        <v>9103551062</v>
      </c>
      <c r="E1260" s="5">
        <v>42024</v>
      </c>
      <c r="F1260" s="1" t="s">
        <v>2820</v>
      </c>
      <c r="G1260" s="1" t="s">
        <v>40</v>
      </c>
      <c r="H1260" s="1" t="s">
        <v>41</v>
      </c>
      <c r="I1260" s="1" t="s">
        <v>2809</v>
      </c>
      <c r="J1260" s="1" t="s">
        <v>2812</v>
      </c>
      <c r="K1260" s="1">
        <v>29161990</v>
      </c>
      <c r="L1260" s="6">
        <v>43.2</v>
      </c>
      <c r="M1260" s="1" t="s">
        <v>70</v>
      </c>
      <c r="N1260" s="7" t="s">
        <v>67</v>
      </c>
      <c r="O1260" s="1" t="s">
        <v>53</v>
      </c>
      <c r="P1260" s="8">
        <v>2480</v>
      </c>
      <c r="Q1260" s="17">
        <f t="shared" si="115"/>
        <v>107136</v>
      </c>
      <c r="R1260" s="9">
        <v>0</v>
      </c>
      <c r="S1260" s="9">
        <v>0</v>
      </c>
      <c r="T1260" s="9">
        <v>0</v>
      </c>
      <c r="U1260" s="10">
        <v>0</v>
      </c>
      <c r="V1260" s="1" t="s">
        <v>46</v>
      </c>
      <c r="W1260" s="1" t="s">
        <v>54</v>
      </c>
      <c r="X1260" s="1">
        <v>7145208</v>
      </c>
      <c r="Y1260" s="11">
        <v>42014</v>
      </c>
      <c r="Z1260" s="11">
        <v>42016</v>
      </c>
      <c r="AA1260" s="9">
        <f t="shared" si="111"/>
        <v>107136</v>
      </c>
      <c r="AB1260" s="12">
        <v>62.75</v>
      </c>
      <c r="AC1260" s="9">
        <f t="shared" si="112"/>
        <v>6722784</v>
      </c>
      <c r="AD1260" s="9">
        <f t="shared" si="113"/>
        <v>6722784</v>
      </c>
      <c r="AE1260" s="1" t="s">
        <v>48</v>
      </c>
      <c r="AF1260" s="1" t="s">
        <v>53</v>
      </c>
      <c r="AG1260" s="4">
        <f t="shared" ref="AG1260:AG1323" si="116">Q1260</f>
        <v>107136</v>
      </c>
      <c r="AH1260" s="10">
        <v>107106</v>
      </c>
      <c r="AI1260" s="10"/>
      <c r="AJ1260" s="10"/>
      <c r="AK1260" s="10"/>
      <c r="AL1260" s="9">
        <f t="shared" ref="AL1260:AL1323" si="117">AH1260-(AI1260+AJ1260+AK1260)</f>
        <v>107106</v>
      </c>
      <c r="AM1260" s="1"/>
      <c r="AN1260" s="1"/>
      <c r="AO1260" s="12" t="e">
        <f>AB1260/#REF!</f>
        <v>#REF!</v>
      </c>
      <c r="AP1260" s="1" t="s">
        <v>3194</v>
      </c>
      <c r="AQ1260" s="11">
        <v>42065</v>
      </c>
      <c r="AR1260" s="1" t="s">
        <v>3195</v>
      </c>
      <c r="AS1260" s="11">
        <v>42066</v>
      </c>
      <c r="AT1260" s="1" t="s">
        <v>49</v>
      </c>
      <c r="AU1260" s="1" t="s">
        <v>4171</v>
      </c>
    </row>
    <row r="1261" spans="1:47" ht="15" customHeight="1" x14ac:dyDescent="0.25">
      <c r="A1261" s="1">
        <v>1257</v>
      </c>
      <c r="B1261" s="1" t="s">
        <v>1258</v>
      </c>
      <c r="C1261" s="1" t="s">
        <v>38</v>
      </c>
      <c r="D1261" s="1">
        <v>9103551063</v>
      </c>
      <c r="E1261" s="5">
        <v>42018</v>
      </c>
      <c r="F1261" s="1" t="s">
        <v>2821</v>
      </c>
      <c r="G1261" s="1" t="s">
        <v>40</v>
      </c>
      <c r="H1261" s="1" t="s">
        <v>41</v>
      </c>
      <c r="I1261" s="1" t="s">
        <v>2809</v>
      </c>
      <c r="J1261" s="1" t="s">
        <v>2800</v>
      </c>
      <c r="K1261" s="1">
        <v>38237090</v>
      </c>
      <c r="L1261" s="6">
        <v>19.71</v>
      </c>
      <c r="M1261" s="1" t="s">
        <v>70</v>
      </c>
      <c r="N1261" s="7" t="s">
        <v>44</v>
      </c>
      <c r="O1261" s="1" t="s">
        <v>53</v>
      </c>
      <c r="P1261" s="8">
        <v>1415</v>
      </c>
      <c r="Q1261" s="17">
        <f t="shared" si="115"/>
        <v>27889.65</v>
      </c>
      <c r="R1261" s="9">
        <v>1600</v>
      </c>
      <c r="S1261" s="9">
        <v>3.99</v>
      </c>
      <c r="T1261" s="9">
        <v>524.29</v>
      </c>
      <c r="U1261" s="10">
        <v>0</v>
      </c>
      <c r="V1261" s="1" t="s">
        <v>46</v>
      </c>
      <c r="W1261" s="1" t="s">
        <v>90</v>
      </c>
      <c r="X1261" s="1">
        <v>7144154</v>
      </c>
      <c r="Y1261" s="11">
        <v>42014</v>
      </c>
      <c r="Z1261" s="11">
        <v>42016</v>
      </c>
      <c r="AA1261" s="9">
        <f t="shared" si="111"/>
        <v>26285.66</v>
      </c>
      <c r="AB1261" s="12">
        <v>62.75</v>
      </c>
      <c r="AC1261" s="9">
        <f t="shared" si="112"/>
        <v>1750075.5375000001</v>
      </c>
      <c r="AD1261" s="9">
        <f t="shared" si="113"/>
        <v>1649425.165</v>
      </c>
      <c r="AE1261" s="1" t="s">
        <v>48</v>
      </c>
      <c r="AF1261" s="1" t="s">
        <v>53</v>
      </c>
      <c r="AG1261" s="4">
        <f t="shared" si="116"/>
        <v>27889.65</v>
      </c>
      <c r="AH1261" s="10">
        <v>27804.65</v>
      </c>
      <c r="AI1261" s="10">
        <v>875</v>
      </c>
      <c r="AJ1261" s="10">
        <v>3.99</v>
      </c>
      <c r="AK1261" s="10">
        <v>524.29</v>
      </c>
      <c r="AL1261" s="9">
        <f t="shared" si="117"/>
        <v>26401.370000000003</v>
      </c>
      <c r="AM1261" s="1"/>
      <c r="AN1261" s="1"/>
      <c r="AO1261" s="12" t="e">
        <f>AB1261/#REF!</f>
        <v>#REF!</v>
      </c>
      <c r="AP1261" s="1" t="s">
        <v>3196</v>
      </c>
      <c r="AQ1261" s="11">
        <v>42031</v>
      </c>
      <c r="AR1261" s="1" t="s">
        <v>3197</v>
      </c>
      <c r="AS1261" s="11">
        <v>42038</v>
      </c>
      <c r="AT1261" s="1" t="s">
        <v>49</v>
      </c>
      <c r="AU1261" s="1" t="s">
        <v>4171</v>
      </c>
    </row>
    <row r="1262" spans="1:47" ht="15" customHeight="1" x14ac:dyDescent="0.25">
      <c r="A1262" s="1">
        <v>1258</v>
      </c>
      <c r="B1262" s="1" t="s">
        <v>1258</v>
      </c>
      <c r="C1262" s="1" t="s">
        <v>38</v>
      </c>
      <c r="D1262" s="1">
        <v>9103551064</v>
      </c>
      <c r="E1262" s="5">
        <v>42019</v>
      </c>
      <c r="F1262" s="1" t="s">
        <v>2822</v>
      </c>
      <c r="G1262" s="1" t="s">
        <v>40</v>
      </c>
      <c r="H1262" s="1" t="s">
        <v>41</v>
      </c>
      <c r="I1262" s="1" t="s">
        <v>2809</v>
      </c>
      <c r="J1262" s="1" t="s">
        <v>386</v>
      </c>
      <c r="K1262" s="1">
        <v>38237090</v>
      </c>
      <c r="L1262" s="6">
        <v>38</v>
      </c>
      <c r="M1262" s="1" t="s">
        <v>70</v>
      </c>
      <c r="N1262" s="7" t="s">
        <v>52</v>
      </c>
      <c r="O1262" s="1" t="s">
        <v>53</v>
      </c>
      <c r="P1262" s="8">
        <v>1275</v>
      </c>
      <c r="Q1262" s="17">
        <f t="shared" si="115"/>
        <v>48450</v>
      </c>
      <c r="R1262" s="9">
        <v>1700</v>
      </c>
      <c r="S1262" s="9">
        <v>0</v>
      </c>
      <c r="T1262" s="9">
        <v>0</v>
      </c>
      <c r="U1262" s="10">
        <v>0</v>
      </c>
      <c r="V1262" s="1" t="s">
        <v>46</v>
      </c>
      <c r="W1262" s="1" t="s">
        <v>241</v>
      </c>
      <c r="X1262" s="1">
        <v>7146315</v>
      </c>
      <c r="Y1262" s="11">
        <v>42014</v>
      </c>
      <c r="Z1262" s="11">
        <v>42016</v>
      </c>
      <c r="AA1262" s="9">
        <f t="shared" si="111"/>
        <v>46750</v>
      </c>
      <c r="AB1262" s="12">
        <v>62.75</v>
      </c>
      <c r="AC1262" s="9">
        <f t="shared" si="112"/>
        <v>3040237.5</v>
      </c>
      <c r="AD1262" s="9">
        <f t="shared" si="113"/>
        <v>2933562.5</v>
      </c>
      <c r="AE1262" s="1" t="s">
        <v>48</v>
      </c>
      <c r="AF1262" s="1" t="s">
        <v>53</v>
      </c>
      <c r="AG1262" s="4">
        <f t="shared" si="116"/>
        <v>48450</v>
      </c>
      <c r="AH1262" s="10">
        <v>48450</v>
      </c>
      <c r="AI1262" s="10">
        <v>1600</v>
      </c>
      <c r="AJ1262" s="10">
        <v>0</v>
      </c>
      <c r="AK1262" s="10">
        <v>0</v>
      </c>
      <c r="AL1262" s="9">
        <f t="shared" si="117"/>
        <v>46850</v>
      </c>
      <c r="AM1262" s="1"/>
      <c r="AN1262" s="1"/>
      <c r="AO1262" s="12" t="e">
        <f>AB1262/#REF!</f>
        <v>#REF!</v>
      </c>
      <c r="AP1262" s="1"/>
      <c r="AQ1262" s="11">
        <v>42103</v>
      </c>
      <c r="AR1262" s="1" t="s">
        <v>3485</v>
      </c>
      <c r="AS1262" s="11">
        <v>42105</v>
      </c>
      <c r="AT1262" s="1" t="s">
        <v>49</v>
      </c>
      <c r="AU1262" s="1" t="s">
        <v>4171</v>
      </c>
    </row>
    <row r="1263" spans="1:47" ht="15" customHeight="1" x14ac:dyDescent="0.25">
      <c r="A1263" s="1">
        <v>1259</v>
      </c>
      <c r="B1263" s="1" t="s">
        <v>1258</v>
      </c>
      <c r="C1263" s="1" t="s">
        <v>38</v>
      </c>
      <c r="D1263" s="1">
        <v>9103551065</v>
      </c>
      <c r="E1263" s="5">
        <v>42014</v>
      </c>
      <c r="F1263" s="1" t="s">
        <v>2823</v>
      </c>
      <c r="G1263" s="1" t="s">
        <v>40</v>
      </c>
      <c r="H1263" s="1" t="s">
        <v>41</v>
      </c>
      <c r="I1263" s="1" t="s">
        <v>2809</v>
      </c>
      <c r="J1263" s="1" t="s">
        <v>2660</v>
      </c>
      <c r="K1263" s="1">
        <v>38237090</v>
      </c>
      <c r="L1263" s="6">
        <v>37.72</v>
      </c>
      <c r="M1263" s="1" t="s">
        <v>70</v>
      </c>
      <c r="N1263" s="7" t="s">
        <v>52</v>
      </c>
      <c r="O1263" s="1" t="s">
        <v>53</v>
      </c>
      <c r="P1263" s="8">
        <v>1235</v>
      </c>
      <c r="Q1263" s="17">
        <f t="shared" si="115"/>
        <v>46584.2</v>
      </c>
      <c r="R1263" s="9">
        <v>1520</v>
      </c>
      <c r="S1263" s="9">
        <v>0</v>
      </c>
      <c r="T1263" s="9">
        <v>0</v>
      </c>
      <c r="U1263" s="10">
        <v>0</v>
      </c>
      <c r="V1263" s="1" t="s">
        <v>46</v>
      </c>
      <c r="W1263" s="1" t="s">
        <v>64</v>
      </c>
      <c r="X1263" s="1">
        <v>7151168</v>
      </c>
      <c r="Y1263" s="11">
        <v>42016</v>
      </c>
      <c r="Z1263" s="11">
        <v>42016</v>
      </c>
      <c r="AA1263" s="9">
        <f t="shared" si="111"/>
        <v>45064.2</v>
      </c>
      <c r="AB1263" s="12">
        <v>62.75</v>
      </c>
      <c r="AC1263" s="9">
        <f t="shared" si="112"/>
        <v>2923158.55</v>
      </c>
      <c r="AD1263" s="9">
        <f t="shared" si="113"/>
        <v>2827778.55</v>
      </c>
      <c r="AE1263" s="1" t="s">
        <v>48</v>
      </c>
      <c r="AF1263" s="1" t="s">
        <v>53</v>
      </c>
      <c r="AG1263" s="4">
        <f t="shared" si="116"/>
        <v>46584.2</v>
      </c>
      <c r="AH1263" s="10">
        <v>46584.2</v>
      </c>
      <c r="AI1263" s="10">
        <v>1520</v>
      </c>
      <c r="AJ1263" s="10">
        <v>0</v>
      </c>
      <c r="AK1263" s="10">
        <v>0</v>
      </c>
      <c r="AL1263" s="9">
        <f t="shared" si="117"/>
        <v>45064.2</v>
      </c>
      <c r="AM1263" s="1"/>
      <c r="AN1263" s="1"/>
      <c r="AO1263" s="12" t="e">
        <f>AB1263/#REF!</f>
        <v>#REF!</v>
      </c>
      <c r="AP1263" s="1" t="s">
        <v>3198</v>
      </c>
      <c r="AQ1263" s="11">
        <v>42051</v>
      </c>
      <c r="AR1263" s="1" t="s">
        <v>3199</v>
      </c>
      <c r="AS1263" s="11">
        <v>42053</v>
      </c>
      <c r="AT1263" s="1" t="s">
        <v>49</v>
      </c>
      <c r="AU1263" s="1" t="s">
        <v>4171</v>
      </c>
    </row>
    <row r="1264" spans="1:47" ht="15" customHeight="1" x14ac:dyDescent="0.25">
      <c r="A1264" s="1">
        <v>1260</v>
      </c>
      <c r="B1264" s="1" t="s">
        <v>1258</v>
      </c>
      <c r="C1264" s="1" t="s">
        <v>38</v>
      </c>
      <c r="D1264" s="1">
        <v>9103551066</v>
      </c>
      <c r="E1264" s="5">
        <v>42014</v>
      </c>
      <c r="F1264" s="1" t="s">
        <v>2824</v>
      </c>
      <c r="G1264" s="1" t="s">
        <v>40</v>
      </c>
      <c r="H1264" s="1" t="s">
        <v>41</v>
      </c>
      <c r="I1264" s="1" t="s">
        <v>2809</v>
      </c>
      <c r="J1264" s="1" t="s">
        <v>2708</v>
      </c>
      <c r="K1264" s="1">
        <v>29159090</v>
      </c>
      <c r="L1264" s="6">
        <v>24</v>
      </c>
      <c r="M1264" s="1" t="s">
        <v>70</v>
      </c>
      <c r="N1264" s="7" t="s">
        <v>44</v>
      </c>
      <c r="O1264" s="1" t="s">
        <v>53</v>
      </c>
      <c r="P1264" s="8">
        <v>3480</v>
      </c>
      <c r="Q1264" s="17">
        <f t="shared" si="115"/>
        <v>83520</v>
      </c>
      <c r="R1264" s="9">
        <v>55</v>
      </c>
      <c r="S1264" s="9">
        <v>11.94</v>
      </c>
      <c r="T1264" s="9">
        <v>0</v>
      </c>
      <c r="U1264" s="10">
        <v>0</v>
      </c>
      <c r="V1264" s="1" t="s">
        <v>46</v>
      </c>
      <c r="W1264" s="1" t="s">
        <v>54</v>
      </c>
      <c r="X1264" s="1">
        <v>7146318</v>
      </c>
      <c r="Y1264" s="11">
        <v>42014</v>
      </c>
      <c r="Z1264" s="11">
        <v>42016</v>
      </c>
      <c r="AA1264" s="9">
        <f t="shared" si="111"/>
        <v>83453.06</v>
      </c>
      <c r="AB1264" s="12">
        <v>62.75</v>
      </c>
      <c r="AC1264" s="9">
        <f t="shared" si="112"/>
        <v>5240880</v>
      </c>
      <c r="AD1264" s="9">
        <f t="shared" si="113"/>
        <v>5236679.5149999997</v>
      </c>
      <c r="AE1264" s="1" t="s">
        <v>48</v>
      </c>
      <c r="AF1264" s="1" t="s">
        <v>53</v>
      </c>
      <c r="AG1264" s="4">
        <f t="shared" si="116"/>
        <v>83520</v>
      </c>
      <c r="AH1264" s="10">
        <v>83335</v>
      </c>
      <c r="AI1264" s="9">
        <v>105</v>
      </c>
      <c r="AJ1264" s="9">
        <v>11.94</v>
      </c>
      <c r="AK1264" s="9">
        <v>0</v>
      </c>
      <c r="AL1264" s="9">
        <f t="shared" si="117"/>
        <v>83218.06</v>
      </c>
      <c r="AM1264" s="1"/>
      <c r="AN1264" s="1"/>
      <c r="AO1264" s="12" t="e">
        <f>AB1264/#REF!</f>
        <v>#REF!</v>
      </c>
      <c r="AP1264" s="1" t="s">
        <v>3200</v>
      </c>
      <c r="AQ1264" s="11">
        <v>42041</v>
      </c>
      <c r="AR1264" s="1" t="s">
        <v>3201</v>
      </c>
      <c r="AS1264" s="11">
        <v>42042</v>
      </c>
      <c r="AT1264" s="1" t="s">
        <v>49</v>
      </c>
      <c r="AU1264" s="1" t="s">
        <v>4171</v>
      </c>
    </row>
    <row r="1265" spans="1:47" ht="15" customHeight="1" x14ac:dyDescent="0.25">
      <c r="A1265" s="1">
        <v>1261</v>
      </c>
      <c r="B1265" s="1" t="s">
        <v>1258</v>
      </c>
      <c r="C1265" s="1" t="s">
        <v>38</v>
      </c>
      <c r="D1265" s="1">
        <v>9103551067</v>
      </c>
      <c r="E1265" s="5">
        <v>42016</v>
      </c>
      <c r="F1265" s="1" t="s">
        <v>2825</v>
      </c>
      <c r="G1265" s="1" t="s">
        <v>40</v>
      </c>
      <c r="H1265" s="1" t="s">
        <v>41</v>
      </c>
      <c r="I1265" s="1" t="s">
        <v>2809</v>
      </c>
      <c r="J1265" s="1" t="s">
        <v>2708</v>
      </c>
      <c r="K1265" s="1">
        <v>29161990</v>
      </c>
      <c r="L1265" s="6">
        <v>72</v>
      </c>
      <c r="M1265" s="1" t="s">
        <v>70</v>
      </c>
      <c r="N1265" s="7" t="s">
        <v>44</v>
      </c>
      <c r="O1265" s="1" t="s">
        <v>53</v>
      </c>
      <c r="P1265" s="8">
        <v>2694</v>
      </c>
      <c r="Q1265" s="17">
        <f t="shared" si="115"/>
        <v>193968</v>
      </c>
      <c r="R1265" s="9">
        <v>175</v>
      </c>
      <c r="S1265" s="9">
        <v>27.74</v>
      </c>
      <c r="T1265" s="9">
        <v>0</v>
      </c>
      <c r="U1265" s="10">
        <v>0</v>
      </c>
      <c r="V1265" s="1" t="s">
        <v>46</v>
      </c>
      <c r="W1265" s="1" t="s">
        <v>54</v>
      </c>
      <c r="X1265" s="1">
        <v>7169584</v>
      </c>
      <c r="Y1265" s="11">
        <v>42016</v>
      </c>
      <c r="Z1265" s="11">
        <v>42017</v>
      </c>
      <c r="AA1265" s="9">
        <f t="shared" si="111"/>
        <v>193765.26</v>
      </c>
      <c r="AB1265" s="12">
        <v>62.75</v>
      </c>
      <c r="AC1265" s="9">
        <f t="shared" si="112"/>
        <v>12171492</v>
      </c>
      <c r="AD1265" s="9">
        <f t="shared" si="113"/>
        <v>12158770.065000001</v>
      </c>
      <c r="AE1265" s="1" t="s">
        <v>48</v>
      </c>
      <c r="AF1265" s="1" t="s">
        <v>53</v>
      </c>
      <c r="AG1265" s="4">
        <f t="shared" si="116"/>
        <v>193968</v>
      </c>
      <c r="AH1265" s="10">
        <v>193783</v>
      </c>
      <c r="AI1265" s="10">
        <v>255</v>
      </c>
      <c r="AJ1265" s="10">
        <v>27.74</v>
      </c>
      <c r="AK1265" s="10">
        <v>0</v>
      </c>
      <c r="AL1265" s="9">
        <f t="shared" si="117"/>
        <v>193500.26</v>
      </c>
      <c r="AM1265" s="1"/>
      <c r="AN1265" s="1"/>
      <c r="AO1265" s="12" t="e">
        <f>AB1265/#REF!</f>
        <v>#REF!</v>
      </c>
      <c r="AP1265" s="1" t="s">
        <v>3202</v>
      </c>
      <c r="AQ1265" s="11">
        <v>42044</v>
      </c>
      <c r="AR1265" s="1" t="s">
        <v>3203</v>
      </c>
      <c r="AS1265" s="11">
        <v>42046</v>
      </c>
      <c r="AT1265" s="1" t="s">
        <v>49</v>
      </c>
      <c r="AU1265" s="1" t="s">
        <v>4171</v>
      </c>
    </row>
    <row r="1266" spans="1:47" ht="15" customHeight="1" x14ac:dyDescent="0.25">
      <c r="A1266" s="1">
        <v>1262</v>
      </c>
      <c r="B1266" s="1" t="s">
        <v>1258</v>
      </c>
      <c r="C1266" s="1" t="s">
        <v>38</v>
      </c>
      <c r="D1266" s="1" t="s">
        <v>3249</v>
      </c>
      <c r="E1266" s="5">
        <v>42015</v>
      </c>
      <c r="F1266" s="1" t="s">
        <v>2826</v>
      </c>
      <c r="G1266" s="1" t="s">
        <v>40</v>
      </c>
      <c r="H1266" s="1" t="s">
        <v>41</v>
      </c>
      <c r="I1266" s="1" t="s">
        <v>2809</v>
      </c>
      <c r="J1266" s="1" t="s">
        <v>386</v>
      </c>
      <c r="K1266" s="1">
        <v>38237090</v>
      </c>
      <c r="L1266" s="6">
        <v>98.06</v>
      </c>
      <c r="M1266" s="1" t="s">
        <v>70</v>
      </c>
      <c r="N1266" s="7" t="s">
        <v>52</v>
      </c>
      <c r="O1266" s="1" t="s">
        <v>53</v>
      </c>
      <c r="P1266" s="8">
        <v>1275</v>
      </c>
      <c r="Q1266" s="17">
        <f t="shared" si="115"/>
        <v>125026.5</v>
      </c>
      <c r="R1266" s="9">
        <v>4250</v>
      </c>
      <c r="S1266" s="9">
        <v>0</v>
      </c>
      <c r="T1266" s="9">
        <v>0</v>
      </c>
      <c r="U1266" s="10">
        <v>0</v>
      </c>
      <c r="V1266" s="1" t="s">
        <v>46</v>
      </c>
      <c r="W1266" s="1" t="s">
        <v>241</v>
      </c>
      <c r="X1266" s="1">
        <v>7060030</v>
      </c>
      <c r="Y1266" s="11">
        <v>42010</v>
      </c>
      <c r="Z1266" s="11">
        <v>42011</v>
      </c>
      <c r="AA1266" s="9">
        <f t="shared" si="111"/>
        <v>120776.5</v>
      </c>
      <c r="AB1266" s="12">
        <v>62.75</v>
      </c>
      <c r="AC1266" s="9">
        <f t="shared" si="112"/>
        <v>7845412.875</v>
      </c>
      <c r="AD1266" s="9">
        <f t="shared" si="113"/>
        <v>7578725.375</v>
      </c>
      <c r="AE1266" s="1" t="s">
        <v>48</v>
      </c>
      <c r="AF1266" s="1" t="s">
        <v>53</v>
      </c>
      <c r="AG1266" s="4">
        <f t="shared" si="116"/>
        <v>125026.5</v>
      </c>
      <c r="AH1266" s="10">
        <v>125026.5</v>
      </c>
      <c r="AI1266" s="10">
        <f>725+2900</f>
        <v>3625</v>
      </c>
      <c r="AJ1266" s="10">
        <v>0</v>
      </c>
      <c r="AK1266" s="10">
        <v>0</v>
      </c>
      <c r="AL1266" s="9">
        <f t="shared" si="117"/>
        <v>121401.5</v>
      </c>
      <c r="AM1266" s="1"/>
      <c r="AN1266" s="1"/>
      <c r="AO1266" s="12" t="e">
        <f>AB1266/#REF!</f>
        <v>#REF!</v>
      </c>
      <c r="AP1266" s="1"/>
      <c r="AQ1266" s="11">
        <v>42103</v>
      </c>
      <c r="AR1266" s="1" t="s">
        <v>3486</v>
      </c>
      <c r="AS1266" s="11">
        <v>42105</v>
      </c>
      <c r="AT1266" s="1" t="s">
        <v>49</v>
      </c>
      <c r="AU1266" s="1" t="s">
        <v>4171</v>
      </c>
    </row>
    <row r="1267" spans="1:47" ht="15" customHeight="1" x14ac:dyDescent="0.25">
      <c r="A1267" s="1">
        <v>1263</v>
      </c>
      <c r="B1267" s="1" t="s">
        <v>1258</v>
      </c>
      <c r="C1267" s="1" t="s">
        <v>38</v>
      </c>
      <c r="D1267" s="1">
        <v>9103551071</v>
      </c>
      <c r="E1267" s="5">
        <v>42024</v>
      </c>
      <c r="F1267" s="1" t="s">
        <v>2827</v>
      </c>
      <c r="G1267" s="1" t="s">
        <v>40</v>
      </c>
      <c r="H1267" s="1" t="s">
        <v>41</v>
      </c>
      <c r="I1267" s="1" t="s">
        <v>2809</v>
      </c>
      <c r="J1267" s="1" t="s">
        <v>2715</v>
      </c>
      <c r="K1267" s="1">
        <v>38237090</v>
      </c>
      <c r="L1267" s="6">
        <v>12</v>
      </c>
      <c r="M1267" s="1" t="s">
        <v>70</v>
      </c>
      <c r="N1267" s="7" t="s">
        <v>52</v>
      </c>
      <c r="O1267" s="1" t="s">
        <v>53</v>
      </c>
      <c r="P1267" s="8">
        <v>3876</v>
      </c>
      <c r="Q1267" s="17">
        <f t="shared" si="115"/>
        <v>46512</v>
      </c>
      <c r="R1267" s="9">
        <v>1060</v>
      </c>
      <c r="S1267" s="9">
        <v>0</v>
      </c>
      <c r="T1267" s="9">
        <v>0</v>
      </c>
      <c r="U1267" s="10">
        <v>0</v>
      </c>
      <c r="V1267" s="1" t="s">
        <v>46</v>
      </c>
      <c r="W1267" s="1" t="s">
        <v>243</v>
      </c>
      <c r="X1267" s="1">
        <v>7200928</v>
      </c>
      <c r="Y1267" s="11">
        <v>42017</v>
      </c>
      <c r="Z1267" s="11">
        <v>41288</v>
      </c>
      <c r="AA1267" s="9">
        <f t="shared" si="111"/>
        <v>45452</v>
      </c>
      <c r="AB1267" s="12">
        <v>62.75</v>
      </c>
      <c r="AC1267" s="9">
        <f t="shared" si="112"/>
        <v>2918628</v>
      </c>
      <c r="AD1267" s="9">
        <f t="shared" si="113"/>
        <v>2852113</v>
      </c>
      <c r="AE1267" s="1" t="s">
        <v>48</v>
      </c>
      <c r="AF1267" s="1" t="s">
        <v>53</v>
      </c>
      <c r="AG1267" s="4">
        <f t="shared" si="116"/>
        <v>46512</v>
      </c>
      <c r="AH1267" s="10">
        <v>46512</v>
      </c>
      <c r="AI1267" s="10">
        <v>1012</v>
      </c>
      <c r="AJ1267" s="10">
        <v>0</v>
      </c>
      <c r="AK1267" s="10">
        <v>0</v>
      </c>
      <c r="AL1267" s="9">
        <f t="shared" si="117"/>
        <v>45500</v>
      </c>
      <c r="AM1267" s="1"/>
      <c r="AN1267" s="1"/>
      <c r="AO1267" s="12" t="e">
        <f>AB1267/#REF!</f>
        <v>#REF!</v>
      </c>
      <c r="AP1267" s="1"/>
      <c r="AQ1267" s="11">
        <v>42103</v>
      </c>
      <c r="AR1267" s="1" t="s">
        <v>3487</v>
      </c>
      <c r="AS1267" s="11">
        <v>42105</v>
      </c>
      <c r="AT1267" s="1" t="s">
        <v>49</v>
      </c>
      <c r="AU1267" s="1" t="s">
        <v>4171</v>
      </c>
    </row>
    <row r="1268" spans="1:47" ht="15" customHeight="1" x14ac:dyDescent="0.25">
      <c r="A1268" s="1">
        <v>1264</v>
      </c>
      <c r="B1268" s="1" t="s">
        <v>1258</v>
      </c>
      <c r="C1268" s="1" t="s">
        <v>38</v>
      </c>
      <c r="D1268" s="1">
        <v>9103551072</v>
      </c>
      <c r="E1268" s="5">
        <v>42021</v>
      </c>
      <c r="F1268" s="1" t="s">
        <v>2828</v>
      </c>
      <c r="G1268" s="1" t="s">
        <v>40</v>
      </c>
      <c r="H1268" s="1" t="s">
        <v>41</v>
      </c>
      <c r="I1268" s="1" t="s">
        <v>2809</v>
      </c>
      <c r="J1268" s="1" t="s">
        <v>2153</v>
      </c>
      <c r="K1268" s="1">
        <v>29159090</v>
      </c>
      <c r="L1268" s="6">
        <v>19.93</v>
      </c>
      <c r="M1268" s="1" t="s">
        <v>70</v>
      </c>
      <c r="N1268" s="7" t="s">
        <v>44</v>
      </c>
      <c r="O1268" s="1" t="s">
        <v>45</v>
      </c>
      <c r="P1268" s="8">
        <v>1894</v>
      </c>
      <c r="Q1268" s="17">
        <f t="shared" si="115"/>
        <v>37747.42</v>
      </c>
      <c r="R1268" s="9">
        <v>850.21</v>
      </c>
      <c r="S1268" s="9">
        <v>5.4</v>
      </c>
      <c r="T1268" s="9">
        <v>0</v>
      </c>
      <c r="U1268" s="10">
        <v>0</v>
      </c>
      <c r="V1268" s="1" t="s">
        <v>46</v>
      </c>
      <c r="W1268" s="1" t="s">
        <v>47</v>
      </c>
      <c r="X1268" s="1">
        <v>7201036</v>
      </c>
      <c r="Y1268" s="11">
        <v>42017</v>
      </c>
      <c r="Z1268" s="11">
        <v>42018</v>
      </c>
      <c r="AA1268" s="9">
        <f t="shared" si="111"/>
        <v>36891.81</v>
      </c>
      <c r="AB1268" s="12">
        <v>75.650000000000006</v>
      </c>
      <c r="AC1268" s="9">
        <f t="shared" si="112"/>
        <v>2855592.3229999999</v>
      </c>
      <c r="AD1268" s="9">
        <f t="shared" si="113"/>
        <v>2790865.4265000001</v>
      </c>
      <c r="AE1268" s="1" t="s">
        <v>48</v>
      </c>
      <c r="AF1268" s="1" t="s">
        <v>45</v>
      </c>
      <c r="AG1268" s="4">
        <f t="shared" si="116"/>
        <v>37747.42</v>
      </c>
      <c r="AH1268" s="10">
        <v>37747.42</v>
      </c>
      <c r="AI1268" s="10">
        <v>846.13</v>
      </c>
      <c r="AJ1268" s="10">
        <v>5.4</v>
      </c>
      <c r="AK1268" s="10">
        <v>0</v>
      </c>
      <c r="AL1268" s="9">
        <f t="shared" si="117"/>
        <v>36895.89</v>
      </c>
      <c r="AM1268" s="1"/>
      <c r="AN1268" s="1"/>
      <c r="AO1268" s="12" t="e">
        <f>AB1268/#REF!</f>
        <v>#REF!</v>
      </c>
      <c r="AP1268" s="1" t="s">
        <v>3204</v>
      </c>
      <c r="AQ1268" s="11">
        <v>42058</v>
      </c>
      <c r="AR1268" s="1" t="s">
        <v>3205</v>
      </c>
      <c r="AS1268" s="11">
        <v>42059</v>
      </c>
      <c r="AT1268" s="1" t="s">
        <v>49</v>
      </c>
      <c r="AU1268" s="1" t="s">
        <v>4171</v>
      </c>
    </row>
    <row r="1269" spans="1:47" ht="15" customHeight="1" x14ac:dyDescent="0.25">
      <c r="A1269" s="1">
        <v>1265</v>
      </c>
      <c r="B1269" s="1" t="s">
        <v>1258</v>
      </c>
      <c r="C1269" s="1" t="s">
        <v>38</v>
      </c>
      <c r="D1269" s="1">
        <v>9103551073</v>
      </c>
      <c r="E1269" s="5">
        <v>42021</v>
      </c>
      <c r="F1269" s="1" t="s">
        <v>2829</v>
      </c>
      <c r="G1269" s="1" t="s">
        <v>40</v>
      </c>
      <c r="H1269" s="1" t="s">
        <v>41</v>
      </c>
      <c r="I1269" s="1" t="s">
        <v>2809</v>
      </c>
      <c r="J1269" s="1" t="s">
        <v>2153</v>
      </c>
      <c r="K1269" s="1">
        <v>29159090</v>
      </c>
      <c r="L1269" s="6">
        <v>39.880000000000003</v>
      </c>
      <c r="M1269" s="1" t="s">
        <v>70</v>
      </c>
      <c r="N1269" s="7" t="s">
        <v>44</v>
      </c>
      <c r="O1269" s="1" t="s">
        <v>45</v>
      </c>
      <c r="P1269" s="8">
        <v>1668</v>
      </c>
      <c r="Q1269" s="17">
        <f t="shared" si="115"/>
        <v>66519.840000000011</v>
      </c>
      <c r="R1269" s="9">
        <v>1700.43</v>
      </c>
      <c r="S1269" s="9">
        <v>9.51</v>
      </c>
      <c r="T1269" s="9">
        <v>0</v>
      </c>
      <c r="U1269" s="10">
        <v>0</v>
      </c>
      <c r="V1269" s="1" t="s">
        <v>46</v>
      </c>
      <c r="W1269" s="1" t="s">
        <v>47</v>
      </c>
      <c r="X1269" s="1">
        <v>7201535</v>
      </c>
      <c r="Y1269" s="11">
        <v>42017</v>
      </c>
      <c r="Z1269" s="11">
        <v>42018</v>
      </c>
      <c r="AA1269" s="9">
        <f t="shared" si="111"/>
        <v>64809.900000000009</v>
      </c>
      <c r="AB1269" s="12">
        <v>75.650000000000006</v>
      </c>
      <c r="AC1269" s="9">
        <f t="shared" si="112"/>
        <v>5032225.8960000016</v>
      </c>
      <c r="AD1269" s="9">
        <f t="shared" si="113"/>
        <v>4902868.9350000015</v>
      </c>
      <c r="AE1269" s="1" t="s">
        <v>48</v>
      </c>
      <c r="AF1269" s="1" t="s">
        <v>45</v>
      </c>
      <c r="AG1269" s="4">
        <f t="shared" si="116"/>
        <v>66519.840000000011</v>
      </c>
      <c r="AH1269" s="10">
        <v>66519.839999999997</v>
      </c>
      <c r="AI1269" s="10">
        <v>1692.27</v>
      </c>
      <c r="AJ1269" s="10">
        <v>9.51</v>
      </c>
      <c r="AK1269" s="10">
        <v>0</v>
      </c>
      <c r="AL1269" s="9">
        <f t="shared" si="117"/>
        <v>64818.06</v>
      </c>
      <c r="AM1269" s="1"/>
      <c r="AN1269" s="1"/>
      <c r="AO1269" s="12" t="e">
        <f>AB1269/#REF!</f>
        <v>#REF!</v>
      </c>
      <c r="AP1269" s="1" t="s">
        <v>3206</v>
      </c>
      <c r="AQ1269" s="11">
        <v>42058</v>
      </c>
      <c r="AR1269" s="1" t="s">
        <v>3207</v>
      </c>
      <c r="AS1269" s="11">
        <v>42059</v>
      </c>
      <c r="AT1269" s="1" t="s">
        <v>49</v>
      </c>
      <c r="AU1269" s="1" t="s">
        <v>4171</v>
      </c>
    </row>
    <row r="1270" spans="1:47" ht="15" customHeight="1" x14ac:dyDescent="0.25">
      <c r="A1270" s="1">
        <v>1266</v>
      </c>
      <c r="B1270" s="1" t="s">
        <v>1258</v>
      </c>
      <c r="C1270" s="1" t="s">
        <v>38</v>
      </c>
      <c r="D1270" s="1">
        <v>9103551074</v>
      </c>
      <c r="E1270" s="5">
        <v>42020</v>
      </c>
      <c r="F1270" s="1" t="s">
        <v>2830</v>
      </c>
      <c r="G1270" s="1" t="s">
        <v>40</v>
      </c>
      <c r="H1270" s="1" t="s">
        <v>41</v>
      </c>
      <c r="I1270" s="1" t="s">
        <v>2809</v>
      </c>
      <c r="J1270" s="1" t="s">
        <v>2831</v>
      </c>
      <c r="K1270" s="1">
        <v>38237090</v>
      </c>
      <c r="L1270" s="6">
        <v>84</v>
      </c>
      <c r="M1270" s="1" t="s">
        <v>70</v>
      </c>
      <c r="N1270" s="7" t="s">
        <v>52</v>
      </c>
      <c r="O1270" s="1" t="s">
        <v>53</v>
      </c>
      <c r="P1270" s="8">
        <v>1420</v>
      </c>
      <c r="Q1270" s="17">
        <f t="shared" si="114"/>
        <v>119280</v>
      </c>
      <c r="R1270" s="9">
        <v>4340</v>
      </c>
      <c r="S1270" s="9">
        <v>0</v>
      </c>
      <c r="T1270" s="9">
        <v>2242.8000000000002</v>
      </c>
      <c r="U1270" s="10">
        <v>0</v>
      </c>
      <c r="V1270" s="1" t="s">
        <v>46</v>
      </c>
      <c r="W1270" s="1" t="s">
        <v>143</v>
      </c>
      <c r="X1270" s="1">
        <v>7201324</v>
      </c>
      <c r="Y1270" s="11">
        <v>42017</v>
      </c>
      <c r="Z1270" s="11">
        <v>42018</v>
      </c>
      <c r="AA1270" s="9">
        <f t="shared" si="111"/>
        <v>114940</v>
      </c>
      <c r="AB1270" s="12">
        <v>62.75</v>
      </c>
      <c r="AC1270" s="9">
        <f t="shared" si="112"/>
        <v>7484820</v>
      </c>
      <c r="AD1270" s="9">
        <f t="shared" si="113"/>
        <v>7212485</v>
      </c>
      <c r="AE1270" s="1" t="s">
        <v>48</v>
      </c>
      <c r="AF1270" s="1" t="s">
        <v>53</v>
      </c>
      <c r="AG1270" s="4">
        <f t="shared" si="116"/>
        <v>119280</v>
      </c>
      <c r="AH1270" s="10">
        <v>119280</v>
      </c>
      <c r="AI1270" s="10">
        <v>4319</v>
      </c>
      <c r="AJ1270" s="10">
        <v>0</v>
      </c>
      <c r="AK1270" s="10">
        <v>2242.8000000000002</v>
      </c>
      <c r="AL1270" s="9">
        <f t="shared" si="117"/>
        <v>112718.2</v>
      </c>
      <c r="AM1270" s="1"/>
      <c r="AN1270" s="1"/>
      <c r="AO1270" s="12" t="e">
        <f>AB1270/#REF!</f>
        <v>#REF!</v>
      </c>
      <c r="AP1270" s="1" t="s">
        <v>3208</v>
      </c>
      <c r="AQ1270" s="11">
        <v>42044</v>
      </c>
      <c r="AR1270" s="1" t="s">
        <v>3209</v>
      </c>
      <c r="AS1270" s="11">
        <v>42046</v>
      </c>
      <c r="AT1270" s="1" t="s">
        <v>49</v>
      </c>
      <c r="AU1270" s="1" t="s">
        <v>4171</v>
      </c>
    </row>
    <row r="1271" spans="1:47" ht="15" customHeight="1" x14ac:dyDescent="0.25">
      <c r="A1271" s="1">
        <v>1267</v>
      </c>
      <c r="B1271" s="1" t="s">
        <v>1258</v>
      </c>
      <c r="C1271" s="1" t="s">
        <v>38</v>
      </c>
      <c r="D1271" s="1">
        <v>9103551075</v>
      </c>
      <c r="E1271" s="5">
        <v>42020</v>
      </c>
      <c r="F1271" s="1" t="s">
        <v>2832</v>
      </c>
      <c r="G1271" s="1" t="s">
        <v>40</v>
      </c>
      <c r="H1271" s="1" t="s">
        <v>41</v>
      </c>
      <c r="I1271" s="1" t="s">
        <v>2809</v>
      </c>
      <c r="J1271" s="1" t="s">
        <v>2831</v>
      </c>
      <c r="K1271" s="1">
        <v>38237090</v>
      </c>
      <c r="L1271" s="6">
        <v>12</v>
      </c>
      <c r="M1271" s="1" t="s">
        <v>70</v>
      </c>
      <c r="N1271" s="7" t="s">
        <v>52</v>
      </c>
      <c r="O1271" s="1" t="s">
        <v>53</v>
      </c>
      <c r="P1271" s="8">
        <v>1420</v>
      </c>
      <c r="Q1271" s="17">
        <f t="shared" si="114"/>
        <v>17040</v>
      </c>
      <c r="R1271" s="9">
        <v>620</v>
      </c>
      <c r="S1271" s="9">
        <v>0</v>
      </c>
      <c r="T1271" s="9">
        <v>320.39999999999998</v>
      </c>
      <c r="U1271" s="10">
        <v>0</v>
      </c>
      <c r="V1271" s="1" t="s">
        <v>46</v>
      </c>
      <c r="W1271" s="1" t="s">
        <v>143</v>
      </c>
      <c r="X1271" s="1">
        <v>7211294</v>
      </c>
      <c r="Y1271" s="11">
        <v>42018</v>
      </c>
      <c r="Z1271" s="11">
        <v>42019</v>
      </c>
      <c r="AA1271" s="9">
        <f t="shared" si="111"/>
        <v>16420</v>
      </c>
      <c r="AB1271" s="12">
        <v>62.75</v>
      </c>
      <c r="AC1271" s="9">
        <f t="shared" si="112"/>
        <v>1069260</v>
      </c>
      <c r="AD1271" s="9">
        <f t="shared" si="113"/>
        <v>1030355</v>
      </c>
      <c r="AE1271" s="1" t="s">
        <v>48</v>
      </c>
      <c r="AF1271" s="1" t="s">
        <v>53</v>
      </c>
      <c r="AG1271" s="4">
        <f t="shared" si="116"/>
        <v>17040</v>
      </c>
      <c r="AH1271" s="10">
        <v>17040</v>
      </c>
      <c r="AI1271" s="10">
        <v>617</v>
      </c>
      <c r="AJ1271" s="10">
        <v>0</v>
      </c>
      <c r="AK1271" s="10">
        <v>320.39999999999998</v>
      </c>
      <c r="AL1271" s="9">
        <f t="shared" si="117"/>
        <v>16102.6</v>
      </c>
      <c r="AM1271" s="1"/>
      <c r="AN1271" s="1"/>
      <c r="AO1271" s="12" t="e">
        <f>AB1271/#REF!</f>
        <v>#REF!</v>
      </c>
      <c r="AP1271" s="1" t="s">
        <v>3208</v>
      </c>
      <c r="AQ1271" s="11">
        <v>42044</v>
      </c>
      <c r="AR1271" s="1" t="s">
        <v>3210</v>
      </c>
      <c r="AS1271" s="11">
        <v>42046</v>
      </c>
      <c r="AT1271" s="1" t="s">
        <v>49</v>
      </c>
      <c r="AU1271" s="1" t="s">
        <v>4171</v>
      </c>
    </row>
    <row r="1272" spans="1:47" s="23" customFormat="1" ht="15" customHeight="1" x14ac:dyDescent="0.25">
      <c r="A1272" s="3">
        <v>1268</v>
      </c>
      <c r="B1272" s="3" t="s">
        <v>1258</v>
      </c>
      <c r="C1272" s="3" t="s">
        <v>38</v>
      </c>
      <c r="D1272" s="3">
        <v>9103551076</v>
      </c>
      <c r="E1272" s="19">
        <v>42022</v>
      </c>
      <c r="F1272" s="3" t="s">
        <v>2833</v>
      </c>
      <c r="G1272" s="3" t="s">
        <v>40</v>
      </c>
      <c r="H1272" s="3" t="s">
        <v>41</v>
      </c>
      <c r="I1272" s="3" t="s">
        <v>2809</v>
      </c>
      <c r="J1272" s="3" t="s">
        <v>50</v>
      </c>
      <c r="K1272" s="3">
        <v>38237090</v>
      </c>
      <c r="L1272" s="48">
        <v>15</v>
      </c>
      <c r="M1272" s="3" t="s">
        <v>70</v>
      </c>
      <c r="N1272" s="49" t="s">
        <v>52</v>
      </c>
      <c r="O1272" s="3" t="s">
        <v>53</v>
      </c>
      <c r="P1272" s="50">
        <v>1525</v>
      </c>
      <c r="Q1272" s="17">
        <f t="shared" si="114"/>
        <v>22875</v>
      </c>
      <c r="R1272" s="20">
        <v>725</v>
      </c>
      <c r="S1272" s="20">
        <v>0</v>
      </c>
      <c r="T1272" s="20">
        <v>0</v>
      </c>
      <c r="U1272" s="4">
        <v>0</v>
      </c>
      <c r="V1272" s="3" t="s">
        <v>46</v>
      </c>
      <c r="W1272" s="3" t="s">
        <v>2657</v>
      </c>
      <c r="X1272" s="3">
        <v>7220726</v>
      </c>
      <c r="Y1272" s="21">
        <v>42018</v>
      </c>
      <c r="Z1272" s="21">
        <v>42019</v>
      </c>
      <c r="AA1272" s="20">
        <f t="shared" si="111"/>
        <v>22150</v>
      </c>
      <c r="AB1272" s="22">
        <v>62.75</v>
      </c>
      <c r="AC1272" s="20">
        <f t="shared" si="112"/>
        <v>1435406.25</v>
      </c>
      <c r="AD1272" s="20">
        <f t="shared" si="113"/>
        <v>1389912.5</v>
      </c>
      <c r="AE1272" s="3" t="s">
        <v>48</v>
      </c>
      <c r="AF1272" s="3" t="s">
        <v>53</v>
      </c>
      <c r="AG1272" s="4">
        <f t="shared" si="116"/>
        <v>22875</v>
      </c>
      <c r="AH1272" s="4">
        <v>22865</v>
      </c>
      <c r="AI1272" s="4"/>
      <c r="AJ1272" s="4">
        <v>0</v>
      </c>
      <c r="AK1272" s="4"/>
      <c r="AL1272" s="20">
        <f t="shared" si="117"/>
        <v>22865</v>
      </c>
      <c r="AM1272" s="3"/>
      <c r="AN1272" s="3"/>
      <c r="AO1272" s="22" t="e">
        <f>AB1272/#REF!</f>
        <v>#REF!</v>
      </c>
      <c r="AP1272" s="3" t="s">
        <v>4160</v>
      </c>
      <c r="AQ1272" s="21">
        <v>42044</v>
      </c>
      <c r="AR1272" s="3" t="s">
        <v>3916</v>
      </c>
      <c r="AS1272" s="21">
        <v>42147</v>
      </c>
      <c r="AT1272" s="3" t="s">
        <v>49</v>
      </c>
      <c r="AU1272" s="3" t="s">
        <v>4171</v>
      </c>
    </row>
    <row r="1273" spans="1:47" ht="15" customHeight="1" x14ac:dyDescent="0.25">
      <c r="A1273" s="1">
        <v>1269</v>
      </c>
      <c r="B1273" s="1" t="s">
        <v>1258</v>
      </c>
      <c r="C1273" s="1" t="s">
        <v>38</v>
      </c>
      <c r="D1273" s="1">
        <v>9103551077</v>
      </c>
      <c r="E1273" s="5">
        <v>42022</v>
      </c>
      <c r="F1273" s="1" t="s">
        <v>2834</v>
      </c>
      <c r="G1273" s="1" t="s">
        <v>40</v>
      </c>
      <c r="H1273" s="1" t="s">
        <v>41</v>
      </c>
      <c r="I1273" s="1" t="s">
        <v>2809</v>
      </c>
      <c r="J1273" s="1" t="s">
        <v>2153</v>
      </c>
      <c r="K1273" s="1">
        <v>29159020</v>
      </c>
      <c r="L1273" s="6">
        <v>39.65</v>
      </c>
      <c r="M1273" s="1" t="s">
        <v>70</v>
      </c>
      <c r="N1273" s="7" t="s">
        <v>44</v>
      </c>
      <c r="O1273" s="1" t="s">
        <v>45</v>
      </c>
      <c r="P1273" s="8">
        <v>3470</v>
      </c>
      <c r="Q1273" s="17">
        <f t="shared" si="114"/>
        <v>137585.5</v>
      </c>
      <c r="R1273" s="9">
        <v>1783.38</v>
      </c>
      <c r="S1273" s="9">
        <v>19.670000000000002</v>
      </c>
      <c r="T1273" s="9">
        <v>0</v>
      </c>
      <c r="U1273" s="10">
        <v>0</v>
      </c>
      <c r="V1273" s="1" t="s">
        <v>46</v>
      </c>
      <c r="W1273" s="1" t="s">
        <v>47</v>
      </c>
      <c r="X1273" s="1">
        <v>7227461</v>
      </c>
      <c r="Y1273" s="11">
        <v>42019</v>
      </c>
      <c r="Z1273" s="11">
        <v>42020</v>
      </c>
      <c r="AA1273" s="9">
        <f>Q1273-R1273-S1273</f>
        <v>135782.44999999998</v>
      </c>
      <c r="AB1273" s="12">
        <v>75.650000000000006</v>
      </c>
      <c r="AC1273" s="9">
        <f t="shared" si="112"/>
        <v>10408343.075000001</v>
      </c>
      <c r="AD1273" s="9">
        <f t="shared" si="113"/>
        <v>10271942.342499999</v>
      </c>
      <c r="AE1273" s="1" t="s">
        <v>48</v>
      </c>
      <c r="AF1273" s="1" t="s">
        <v>45</v>
      </c>
      <c r="AG1273" s="4">
        <f t="shared" si="116"/>
        <v>137585.5</v>
      </c>
      <c r="AH1273" s="10">
        <v>137585.5</v>
      </c>
      <c r="AI1273" s="10">
        <v>1819.19</v>
      </c>
      <c r="AJ1273" s="10">
        <v>19.670000000000002</v>
      </c>
      <c r="AK1273" s="10">
        <v>0</v>
      </c>
      <c r="AL1273" s="9">
        <f t="shared" si="117"/>
        <v>135746.64000000001</v>
      </c>
      <c r="AM1273" s="1"/>
      <c r="AN1273" s="1"/>
      <c r="AO1273" s="12" t="e">
        <f>AB1273/#REF!</f>
        <v>#REF!</v>
      </c>
      <c r="AP1273" s="1" t="s">
        <v>3211</v>
      </c>
      <c r="AQ1273" s="11">
        <v>42068</v>
      </c>
      <c r="AR1273" s="1" t="s">
        <v>3212</v>
      </c>
      <c r="AS1273" s="11">
        <v>42070</v>
      </c>
      <c r="AT1273" s="1" t="s">
        <v>49</v>
      </c>
      <c r="AU1273" s="1" t="s">
        <v>4171</v>
      </c>
    </row>
    <row r="1274" spans="1:47" ht="15" customHeight="1" x14ac:dyDescent="0.25">
      <c r="A1274" s="1">
        <v>1270</v>
      </c>
      <c r="B1274" s="1" t="s">
        <v>1258</v>
      </c>
      <c r="C1274" s="1" t="s">
        <v>38</v>
      </c>
      <c r="D1274" s="1">
        <v>9103551078</v>
      </c>
      <c r="E1274" s="5">
        <v>42024</v>
      </c>
      <c r="F1274" s="1" t="s">
        <v>2835</v>
      </c>
      <c r="G1274" s="1" t="s">
        <v>40</v>
      </c>
      <c r="H1274" s="1" t="s">
        <v>41</v>
      </c>
      <c r="I1274" s="1" t="s">
        <v>2809</v>
      </c>
      <c r="J1274" s="2" t="s">
        <v>58</v>
      </c>
      <c r="K1274" s="1">
        <v>29159020</v>
      </c>
      <c r="L1274" s="6">
        <v>39.770000000000003</v>
      </c>
      <c r="M1274" s="1" t="s">
        <v>70</v>
      </c>
      <c r="N1274" s="7" t="s">
        <v>44</v>
      </c>
      <c r="O1274" s="1" t="s">
        <v>45</v>
      </c>
      <c r="P1274" s="8">
        <v>3590</v>
      </c>
      <c r="Q1274" s="17">
        <f t="shared" si="114"/>
        <v>142774.30000000002</v>
      </c>
      <c r="R1274" s="9">
        <v>2986.12</v>
      </c>
      <c r="S1274" s="9">
        <v>20.420000000000002</v>
      </c>
      <c r="T1274" s="9">
        <v>2716.29</v>
      </c>
      <c r="U1274" s="10">
        <v>0</v>
      </c>
      <c r="V1274" s="1" t="s">
        <v>46</v>
      </c>
      <c r="W1274" s="1" t="s">
        <v>59</v>
      </c>
      <c r="X1274" s="1">
        <v>7229655</v>
      </c>
      <c r="Y1274" s="11">
        <v>42019</v>
      </c>
      <c r="Z1274" s="11">
        <v>42020</v>
      </c>
      <c r="AA1274" s="9">
        <f>Q1274-R1274-S1274</f>
        <v>139767.76</v>
      </c>
      <c r="AB1274" s="12">
        <v>75.650000000000006</v>
      </c>
      <c r="AC1274" s="9">
        <f t="shared" si="112"/>
        <v>10800875.795000002</v>
      </c>
      <c r="AD1274" s="9">
        <f t="shared" si="113"/>
        <v>10573431.044000002</v>
      </c>
      <c r="AE1274" s="1" t="s">
        <v>284</v>
      </c>
      <c r="AF1274" s="1" t="s">
        <v>45</v>
      </c>
      <c r="AG1274" s="4">
        <f t="shared" si="116"/>
        <v>142774.30000000002</v>
      </c>
      <c r="AH1274" s="10">
        <v>142540.14000000001</v>
      </c>
      <c r="AI1274" s="9">
        <v>3249.47</v>
      </c>
      <c r="AJ1274" s="9">
        <v>20.420000000000002</v>
      </c>
      <c r="AK1274" s="9">
        <v>2716.29</v>
      </c>
      <c r="AL1274" s="9">
        <f t="shared" si="117"/>
        <v>136553.96000000002</v>
      </c>
      <c r="AM1274" s="1"/>
      <c r="AN1274" s="1"/>
      <c r="AO1274" s="12" t="e">
        <f>AB1274/#REF!</f>
        <v>#REF!</v>
      </c>
      <c r="AP1274" s="1" t="s">
        <v>3213</v>
      </c>
      <c r="AQ1274" s="11">
        <v>42045</v>
      </c>
      <c r="AR1274" s="1" t="s">
        <v>3214</v>
      </c>
      <c r="AS1274" s="11">
        <v>42045</v>
      </c>
      <c r="AT1274" s="1" t="s">
        <v>49</v>
      </c>
      <c r="AU1274" s="1" t="s">
        <v>4171</v>
      </c>
    </row>
    <row r="1275" spans="1:47" ht="15" customHeight="1" x14ac:dyDescent="0.25">
      <c r="A1275" s="1">
        <v>1271</v>
      </c>
      <c r="B1275" s="1" t="s">
        <v>1258</v>
      </c>
      <c r="C1275" s="1" t="s">
        <v>38</v>
      </c>
      <c r="D1275" s="1">
        <v>9103551079</v>
      </c>
      <c r="E1275" s="5">
        <v>42023</v>
      </c>
      <c r="F1275" s="1" t="s">
        <v>2836</v>
      </c>
      <c r="G1275" s="1" t="s">
        <v>40</v>
      </c>
      <c r="H1275" s="1" t="s">
        <v>41</v>
      </c>
      <c r="I1275" s="1" t="s">
        <v>2809</v>
      </c>
      <c r="J1275" s="1" t="s">
        <v>187</v>
      </c>
      <c r="K1275" s="1">
        <v>38237090</v>
      </c>
      <c r="L1275" s="6">
        <v>18.48</v>
      </c>
      <c r="M1275" s="1" t="s">
        <v>70</v>
      </c>
      <c r="N1275" s="7" t="s">
        <v>44</v>
      </c>
      <c r="O1275" s="1" t="s">
        <v>53</v>
      </c>
      <c r="P1275" s="8">
        <v>1495</v>
      </c>
      <c r="Q1275" s="17">
        <f t="shared" si="114"/>
        <v>27627.600000000002</v>
      </c>
      <c r="R1275" s="9">
        <v>2800</v>
      </c>
      <c r="S1275" s="9">
        <v>3.95</v>
      </c>
      <c r="T1275" s="9">
        <v>0</v>
      </c>
      <c r="U1275" s="10">
        <v>0</v>
      </c>
      <c r="V1275" s="1" t="s">
        <v>46</v>
      </c>
      <c r="W1275" s="1" t="s">
        <v>56</v>
      </c>
      <c r="X1275" s="1">
        <v>7230429</v>
      </c>
      <c r="Y1275" s="11">
        <v>42019</v>
      </c>
      <c r="Z1275" s="11">
        <v>42020</v>
      </c>
      <c r="AA1275" s="9">
        <f t="shared" si="98"/>
        <v>24823.65</v>
      </c>
      <c r="AB1275" s="12">
        <v>62.75</v>
      </c>
      <c r="AC1275" s="9">
        <f t="shared" si="112"/>
        <v>1733631.9000000001</v>
      </c>
      <c r="AD1275" s="9">
        <f t="shared" si="113"/>
        <v>1557684.0375000001</v>
      </c>
      <c r="AE1275" s="1" t="s">
        <v>48</v>
      </c>
      <c r="AF1275" s="1" t="s">
        <v>53</v>
      </c>
      <c r="AG1275" s="4">
        <f t="shared" si="116"/>
        <v>27627.600000000002</v>
      </c>
      <c r="AH1275" s="10">
        <v>27627.599999999999</v>
      </c>
      <c r="AI1275" s="10">
        <v>2800</v>
      </c>
      <c r="AJ1275" s="10">
        <v>3.95</v>
      </c>
      <c r="AK1275" s="10">
        <v>0</v>
      </c>
      <c r="AL1275" s="9">
        <f t="shared" si="117"/>
        <v>24823.649999999998</v>
      </c>
      <c r="AM1275" s="1"/>
      <c r="AN1275" s="1"/>
      <c r="AO1275" s="12" t="e">
        <f>AB1275/#REF!</f>
        <v>#REF!</v>
      </c>
      <c r="AP1275" s="1"/>
      <c r="AQ1275" s="11">
        <v>42102</v>
      </c>
      <c r="AR1275" s="1" t="s">
        <v>3488</v>
      </c>
      <c r="AS1275" s="11">
        <v>42103</v>
      </c>
      <c r="AT1275" s="1" t="s">
        <v>49</v>
      </c>
      <c r="AU1275" s="1" t="s">
        <v>4171</v>
      </c>
    </row>
    <row r="1276" spans="1:47" ht="15" customHeight="1" x14ac:dyDescent="0.25">
      <c r="A1276" s="1">
        <v>1272</v>
      </c>
      <c r="B1276" s="1" t="s">
        <v>1258</v>
      </c>
      <c r="C1276" s="1" t="s">
        <v>38</v>
      </c>
      <c r="D1276" s="1">
        <v>9103551080</v>
      </c>
      <c r="E1276" s="5">
        <v>42027</v>
      </c>
      <c r="F1276" s="1" t="s">
        <v>2837</v>
      </c>
      <c r="G1276" s="1" t="s">
        <v>40</v>
      </c>
      <c r="H1276" s="1" t="s">
        <v>41</v>
      </c>
      <c r="I1276" s="1" t="s">
        <v>2809</v>
      </c>
      <c r="J1276" s="1" t="s">
        <v>2153</v>
      </c>
      <c r="K1276" s="1">
        <v>38231900</v>
      </c>
      <c r="L1276" s="6">
        <v>19.850000000000001</v>
      </c>
      <c r="M1276" s="1" t="s">
        <v>70</v>
      </c>
      <c r="N1276" s="7" t="s">
        <v>44</v>
      </c>
      <c r="O1276" s="1" t="s">
        <v>45</v>
      </c>
      <c r="P1276" s="8">
        <v>2940</v>
      </c>
      <c r="Q1276" s="17">
        <f t="shared" si="114"/>
        <v>58359.000000000007</v>
      </c>
      <c r="R1276" s="9">
        <v>891.69</v>
      </c>
      <c r="S1276" s="9">
        <v>8.35</v>
      </c>
      <c r="T1276" s="9">
        <v>0</v>
      </c>
      <c r="U1276" s="10">
        <v>0</v>
      </c>
      <c r="V1276" s="1" t="s">
        <v>46</v>
      </c>
      <c r="W1276" s="1" t="s">
        <v>47</v>
      </c>
      <c r="X1276" s="1">
        <v>7234931</v>
      </c>
      <c r="Y1276" s="11">
        <v>42019</v>
      </c>
      <c r="Z1276" s="11">
        <v>42020</v>
      </c>
      <c r="AA1276" s="9">
        <f t="shared" si="98"/>
        <v>57458.960000000006</v>
      </c>
      <c r="AB1276" s="12">
        <v>75.650000000000006</v>
      </c>
      <c r="AC1276" s="9">
        <f t="shared" si="112"/>
        <v>4414858.3500000006</v>
      </c>
      <c r="AD1276" s="9">
        <f t="shared" si="113"/>
        <v>4346770.324000001</v>
      </c>
      <c r="AE1276" s="1" t="s">
        <v>48</v>
      </c>
      <c r="AF1276" s="1" t="s">
        <v>45</v>
      </c>
      <c r="AG1276" s="4">
        <f t="shared" si="116"/>
        <v>58359.000000000007</v>
      </c>
      <c r="AH1276" s="10">
        <v>58359</v>
      </c>
      <c r="AI1276" s="10">
        <v>909.59</v>
      </c>
      <c r="AJ1276" s="10">
        <v>8.35</v>
      </c>
      <c r="AK1276" s="10">
        <v>0</v>
      </c>
      <c r="AL1276" s="9">
        <f t="shared" si="117"/>
        <v>57441.06</v>
      </c>
      <c r="AM1276" s="1"/>
      <c r="AN1276" s="1"/>
      <c r="AO1276" s="12" t="e">
        <f>AB1276/#REF!</f>
        <v>#REF!</v>
      </c>
      <c r="AP1276" s="1" t="s">
        <v>3215</v>
      </c>
      <c r="AQ1276" s="11">
        <v>42062</v>
      </c>
      <c r="AR1276" s="1" t="s">
        <v>3216</v>
      </c>
      <c r="AS1276" s="11">
        <v>42063</v>
      </c>
      <c r="AT1276" s="1" t="s">
        <v>49</v>
      </c>
      <c r="AU1276" s="1" t="s">
        <v>4171</v>
      </c>
    </row>
    <row r="1277" spans="1:47" ht="15" customHeight="1" x14ac:dyDescent="0.25">
      <c r="A1277" s="1">
        <v>1273</v>
      </c>
      <c r="B1277" s="1" t="s">
        <v>1258</v>
      </c>
      <c r="C1277" s="1" t="s">
        <v>38</v>
      </c>
      <c r="D1277" s="1">
        <v>9103551081</v>
      </c>
      <c r="E1277" s="5">
        <v>42023</v>
      </c>
      <c r="F1277" s="1" t="s">
        <v>2838</v>
      </c>
      <c r="G1277" s="1" t="s">
        <v>40</v>
      </c>
      <c r="H1277" s="1" t="s">
        <v>41</v>
      </c>
      <c r="I1277" s="1" t="s">
        <v>2809</v>
      </c>
      <c r="J1277" s="1" t="s">
        <v>837</v>
      </c>
      <c r="K1277" s="1">
        <v>38231900</v>
      </c>
      <c r="L1277" s="6">
        <v>39.64</v>
      </c>
      <c r="M1277" s="1" t="s">
        <v>70</v>
      </c>
      <c r="N1277" s="7" t="s">
        <v>44</v>
      </c>
      <c r="O1277" s="1" t="s">
        <v>53</v>
      </c>
      <c r="P1277" s="8">
        <v>3799.9</v>
      </c>
      <c r="Q1277" s="17">
        <f t="shared" si="114"/>
        <v>150628.03599999999</v>
      </c>
      <c r="R1277" s="9">
        <v>12400</v>
      </c>
      <c r="S1277" s="9">
        <v>21.54</v>
      </c>
      <c r="T1277" s="9">
        <v>0</v>
      </c>
      <c r="U1277" s="10">
        <v>0</v>
      </c>
      <c r="V1277" s="1" t="s">
        <v>46</v>
      </c>
      <c r="W1277" s="1" t="s">
        <v>56</v>
      </c>
      <c r="X1277" s="1">
        <v>7221807</v>
      </c>
      <c r="Y1277" s="11">
        <v>42018</v>
      </c>
      <c r="Z1277" s="11">
        <v>42019</v>
      </c>
      <c r="AA1277" s="9">
        <f t="shared" si="98"/>
        <v>138206.49599999998</v>
      </c>
      <c r="AB1277" s="12">
        <v>62.75</v>
      </c>
      <c r="AC1277" s="9">
        <f t="shared" si="112"/>
        <v>9451909.2589999996</v>
      </c>
      <c r="AD1277" s="9">
        <f t="shared" si="113"/>
        <v>8672457.6239999998</v>
      </c>
      <c r="AE1277" s="1" t="s">
        <v>57</v>
      </c>
      <c r="AF1277" s="1" t="s">
        <v>53</v>
      </c>
      <c r="AG1277" s="4">
        <f t="shared" si="116"/>
        <v>150628.03599999999</v>
      </c>
      <c r="AH1277" s="10">
        <v>150628.04</v>
      </c>
      <c r="AI1277" s="10">
        <v>12300</v>
      </c>
      <c r="AJ1277" s="10">
        <v>21.54</v>
      </c>
      <c r="AK1277" s="10">
        <v>0</v>
      </c>
      <c r="AL1277" s="9">
        <f t="shared" si="117"/>
        <v>138306.5</v>
      </c>
      <c r="AM1277" s="1"/>
      <c r="AN1277" s="1"/>
      <c r="AO1277" s="12" t="e">
        <f>AB1277/#REF!</f>
        <v>#REF!</v>
      </c>
      <c r="AP1277" s="1" t="s">
        <v>3217</v>
      </c>
      <c r="AQ1277" s="11">
        <v>42075</v>
      </c>
      <c r="AR1277" s="1" t="s">
        <v>3218</v>
      </c>
      <c r="AS1277" s="11">
        <v>42080</v>
      </c>
      <c r="AT1277" s="1" t="s">
        <v>49</v>
      </c>
      <c r="AU1277" s="1" t="s">
        <v>4171</v>
      </c>
    </row>
    <row r="1278" spans="1:47" ht="15" customHeight="1" x14ac:dyDescent="0.25">
      <c r="A1278" s="1">
        <v>1274</v>
      </c>
      <c r="B1278" s="1" t="s">
        <v>1258</v>
      </c>
      <c r="C1278" s="1" t="s">
        <v>38</v>
      </c>
      <c r="D1278" s="1">
        <v>9103551082</v>
      </c>
      <c r="E1278" s="5">
        <v>42023</v>
      </c>
      <c r="F1278" s="1" t="s">
        <v>2839</v>
      </c>
      <c r="G1278" s="1" t="s">
        <v>40</v>
      </c>
      <c r="H1278" s="1" t="s">
        <v>41</v>
      </c>
      <c r="I1278" s="1" t="s">
        <v>2809</v>
      </c>
      <c r="J1278" s="1" t="s">
        <v>837</v>
      </c>
      <c r="K1278" s="1">
        <v>38231900</v>
      </c>
      <c r="L1278" s="6">
        <v>19.809999999999999</v>
      </c>
      <c r="M1278" s="1" t="s">
        <v>70</v>
      </c>
      <c r="N1278" s="7" t="s">
        <v>44</v>
      </c>
      <c r="O1278" s="1" t="s">
        <v>53</v>
      </c>
      <c r="P1278" s="8">
        <v>3799</v>
      </c>
      <c r="Q1278" s="17">
        <f t="shared" si="114"/>
        <v>75258.19</v>
      </c>
      <c r="R1278" s="9">
        <v>6200</v>
      </c>
      <c r="S1278" s="9">
        <v>10.76</v>
      </c>
      <c r="T1278" s="9">
        <v>0</v>
      </c>
      <c r="U1278" s="10">
        <v>0</v>
      </c>
      <c r="V1278" s="1" t="s">
        <v>46</v>
      </c>
      <c r="W1278" s="1" t="s">
        <v>56</v>
      </c>
      <c r="X1278" s="1">
        <v>7235922</v>
      </c>
      <c r="Y1278" s="11">
        <v>42019</v>
      </c>
      <c r="Z1278" s="11">
        <v>42021</v>
      </c>
      <c r="AA1278" s="9">
        <f t="shared" si="98"/>
        <v>69047.430000000008</v>
      </c>
      <c r="AB1278" s="12">
        <v>62.75</v>
      </c>
      <c r="AC1278" s="9">
        <f t="shared" si="112"/>
        <v>4722451.4225000003</v>
      </c>
      <c r="AD1278" s="9">
        <f t="shared" si="113"/>
        <v>4332726.2325000009</v>
      </c>
      <c r="AE1278" s="1" t="s">
        <v>57</v>
      </c>
      <c r="AF1278" s="1" t="s">
        <v>53</v>
      </c>
      <c r="AG1278" s="4">
        <f t="shared" si="116"/>
        <v>75258.19</v>
      </c>
      <c r="AH1278" s="10">
        <v>75271.02</v>
      </c>
      <c r="AI1278" s="10">
        <v>6150</v>
      </c>
      <c r="AJ1278" s="10">
        <v>10.76</v>
      </c>
      <c r="AK1278" s="10">
        <v>0</v>
      </c>
      <c r="AL1278" s="9">
        <f t="shared" si="117"/>
        <v>69110.260000000009</v>
      </c>
      <c r="AM1278" s="1"/>
      <c r="AN1278" s="1"/>
      <c r="AO1278" s="12" t="e">
        <f>AB1278/#REF!</f>
        <v>#REF!</v>
      </c>
      <c r="AP1278" s="1" t="s">
        <v>3217</v>
      </c>
      <c r="AQ1278" s="11">
        <v>42075</v>
      </c>
      <c r="AR1278" s="1" t="s">
        <v>3221</v>
      </c>
      <c r="AS1278" s="11">
        <v>42080</v>
      </c>
      <c r="AT1278" s="1" t="s">
        <v>49</v>
      </c>
      <c r="AU1278" s="1" t="s">
        <v>4171</v>
      </c>
    </row>
    <row r="1279" spans="1:47" ht="15" customHeight="1" x14ac:dyDescent="0.25">
      <c r="A1279" s="1">
        <v>1275</v>
      </c>
      <c r="B1279" s="1" t="s">
        <v>1258</v>
      </c>
      <c r="C1279" s="1" t="s">
        <v>38</v>
      </c>
      <c r="D1279" s="1">
        <v>9103551083</v>
      </c>
      <c r="E1279" s="5">
        <v>42026</v>
      </c>
      <c r="F1279" s="1" t="s">
        <v>2840</v>
      </c>
      <c r="G1279" s="1" t="s">
        <v>40</v>
      </c>
      <c r="H1279" s="1" t="s">
        <v>41</v>
      </c>
      <c r="I1279" s="1" t="s">
        <v>2809</v>
      </c>
      <c r="J1279" s="1" t="s">
        <v>63</v>
      </c>
      <c r="K1279" s="1">
        <v>38231200</v>
      </c>
      <c r="L1279" s="6">
        <v>39.07</v>
      </c>
      <c r="M1279" s="1" t="s">
        <v>70</v>
      </c>
      <c r="N1279" s="7" t="s">
        <v>44</v>
      </c>
      <c r="O1279" s="1" t="s">
        <v>53</v>
      </c>
      <c r="P1279" s="8">
        <v>1120</v>
      </c>
      <c r="Q1279" s="17">
        <f t="shared" si="114"/>
        <v>43758.400000000001</v>
      </c>
      <c r="R1279" s="9">
        <v>800</v>
      </c>
      <c r="S1279" s="9">
        <v>6.26</v>
      </c>
      <c r="T1279" s="9">
        <v>0</v>
      </c>
      <c r="U1279" s="10">
        <v>0</v>
      </c>
      <c r="V1279" s="1" t="s">
        <v>46</v>
      </c>
      <c r="W1279" s="1" t="s">
        <v>64</v>
      </c>
      <c r="X1279" s="1">
        <v>7237898</v>
      </c>
      <c r="Y1279" s="11">
        <v>42019</v>
      </c>
      <c r="Z1279" s="11">
        <v>42020</v>
      </c>
      <c r="AA1279" s="9">
        <f t="shared" si="98"/>
        <v>42952.14</v>
      </c>
      <c r="AB1279" s="12">
        <v>62.75</v>
      </c>
      <c r="AC1279" s="9">
        <f t="shared" si="112"/>
        <v>2745839.6</v>
      </c>
      <c r="AD1279" s="9">
        <f t="shared" si="113"/>
        <v>2695246.7850000001</v>
      </c>
      <c r="AE1279" s="1" t="s">
        <v>51</v>
      </c>
      <c r="AF1279" s="1" t="s">
        <v>53</v>
      </c>
      <c r="AG1279" s="4">
        <f t="shared" si="116"/>
        <v>43758.400000000001</v>
      </c>
      <c r="AH1279" s="10">
        <v>43717</v>
      </c>
      <c r="AI1279" s="10">
        <v>720</v>
      </c>
      <c r="AJ1279" s="10">
        <v>6.26</v>
      </c>
      <c r="AK1279" s="10">
        <v>0</v>
      </c>
      <c r="AL1279" s="9">
        <f t="shared" si="117"/>
        <v>42990.74</v>
      </c>
      <c r="AM1279" s="1"/>
      <c r="AN1279" s="1"/>
      <c r="AO1279" s="12" t="e">
        <f>AB1279/#REF!</f>
        <v>#REF!</v>
      </c>
      <c r="AP1279" s="1" t="s">
        <v>3219</v>
      </c>
      <c r="AQ1279" s="11">
        <v>42065</v>
      </c>
      <c r="AR1279" s="1" t="s">
        <v>3220</v>
      </c>
      <c r="AS1279" s="11">
        <v>42066</v>
      </c>
      <c r="AT1279" s="1" t="s">
        <v>49</v>
      </c>
      <c r="AU1279" s="1" t="s">
        <v>4171</v>
      </c>
    </row>
    <row r="1280" spans="1:47" ht="15" customHeight="1" x14ac:dyDescent="0.25">
      <c r="A1280" s="1">
        <v>1276</v>
      </c>
      <c r="B1280" s="1" t="s">
        <v>1258</v>
      </c>
      <c r="C1280" s="1" t="s">
        <v>38</v>
      </c>
      <c r="D1280" s="1">
        <v>9103551084</v>
      </c>
      <c r="E1280" s="5">
        <v>42021</v>
      </c>
      <c r="F1280" s="1" t="s">
        <v>2841</v>
      </c>
      <c r="G1280" s="1" t="s">
        <v>40</v>
      </c>
      <c r="H1280" s="1" t="s">
        <v>41</v>
      </c>
      <c r="I1280" s="1" t="s">
        <v>2809</v>
      </c>
      <c r="J1280" s="1" t="s">
        <v>307</v>
      </c>
      <c r="K1280" s="1">
        <v>38237090</v>
      </c>
      <c r="L1280" s="6">
        <v>0.3</v>
      </c>
      <c r="M1280" s="1" t="s">
        <v>70</v>
      </c>
      <c r="N1280" s="7" t="s">
        <v>52</v>
      </c>
      <c r="O1280" s="1" t="s">
        <v>53</v>
      </c>
      <c r="P1280" s="8">
        <v>4250</v>
      </c>
      <c r="Q1280" s="17">
        <f t="shared" si="114"/>
        <v>1275</v>
      </c>
      <c r="R1280" s="9">
        <v>877.13</v>
      </c>
      <c r="S1280" s="9">
        <v>0</v>
      </c>
      <c r="T1280" s="9">
        <v>0</v>
      </c>
      <c r="U1280" s="10">
        <v>0</v>
      </c>
      <c r="V1280" s="1" t="s">
        <v>46</v>
      </c>
      <c r="W1280" s="1" t="s">
        <v>308</v>
      </c>
      <c r="X1280" s="1">
        <v>7252149</v>
      </c>
      <c r="Y1280" s="11">
        <v>42020</v>
      </c>
      <c r="Z1280" s="11">
        <v>42021</v>
      </c>
      <c r="AA1280" s="9">
        <f t="shared" ref="AA1280:AA1343" si="118">Q1280-R1280-S1280</f>
        <v>397.87</v>
      </c>
      <c r="AB1280" s="12">
        <v>61.3</v>
      </c>
      <c r="AC1280" s="9">
        <f t="shared" si="112"/>
        <v>78157.5</v>
      </c>
      <c r="AD1280" s="9">
        <f t="shared" si="113"/>
        <v>24389.431</v>
      </c>
      <c r="AE1280" s="1" t="s">
        <v>48</v>
      </c>
      <c r="AF1280" s="1" t="s">
        <v>53</v>
      </c>
      <c r="AG1280" s="4">
        <f t="shared" si="116"/>
        <v>1275</v>
      </c>
      <c r="AH1280" s="10">
        <v>1240</v>
      </c>
      <c r="AI1280" s="9">
        <v>877.13</v>
      </c>
      <c r="AJ1280" s="9">
        <v>0</v>
      </c>
      <c r="AK1280" s="9">
        <v>0</v>
      </c>
      <c r="AL1280" s="9">
        <f t="shared" si="117"/>
        <v>362.87</v>
      </c>
      <c r="AM1280" s="1"/>
      <c r="AN1280" s="1"/>
      <c r="AO1280" s="12" t="e">
        <f>AB1280/#REF!</f>
        <v>#REF!</v>
      </c>
      <c r="AP1280" s="1"/>
      <c r="AQ1280" s="11">
        <v>42121</v>
      </c>
      <c r="AR1280" s="1" t="s">
        <v>3489</v>
      </c>
      <c r="AS1280" s="11">
        <v>42122</v>
      </c>
      <c r="AT1280" s="1" t="s">
        <v>49</v>
      </c>
      <c r="AU1280" s="1" t="s">
        <v>4171</v>
      </c>
    </row>
    <row r="1281" spans="1:47" ht="15" customHeight="1" x14ac:dyDescent="0.25">
      <c r="A1281" s="1">
        <v>1277</v>
      </c>
      <c r="B1281" s="1" t="s">
        <v>1258</v>
      </c>
      <c r="C1281" s="1" t="s">
        <v>38</v>
      </c>
      <c r="D1281" s="1">
        <v>9103551085</v>
      </c>
      <c r="E1281" s="5">
        <v>42027</v>
      </c>
      <c r="F1281" s="1" t="s">
        <v>2842</v>
      </c>
      <c r="G1281" s="1" t="s">
        <v>40</v>
      </c>
      <c r="H1281" s="1" t="s">
        <v>41</v>
      </c>
      <c r="I1281" s="1" t="s">
        <v>2809</v>
      </c>
      <c r="J1281" s="1" t="s">
        <v>2740</v>
      </c>
      <c r="K1281" s="1">
        <v>38237090</v>
      </c>
      <c r="L1281" s="6">
        <v>24</v>
      </c>
      <c r="M1281" s="1" t="s">
        <v>70</v>
      </c>
      <c r="N1281" s="7" t="s">
        <v>44</v>
      </c>
      <c r="O1281" s="1" t="s">
        <v>53</v>
      </c>
      <c r="P1281" s="8">
        <v>1500</v>
      </c>
      <c r="Q1281" s="17">
        <f t="shared" si="114"/>
        <v>36000</v>
      </c>
      <c r="R1281" s="9">
        <v>1600</v>
      </c>
      <c r="S1281" s="9">
        <v>5.15</v>
      </c>
      <c r="T1281" s="9">
        <v>0</v>
      </c>
      <c r="U1281" s="10">
        <v>0</v>
      </c>
      <c r="V1281" s="1" t="s">
        <v>46</v>
      </c>
      <c r="W1281" s="1" t="s">
        <v>205</v>
      </c>
      <c r="X1281" s="1">
        <v>7249984</v>
      </c>
      <c r="Y1281" s="11">
        <v>42020</v>
      </c>
      <c r="Z1281" s="11">
        <v>42021</v>
      </c>
      <c r="AA1281" s="9">
        <f t="shared" si="118"/>
        <v>34394.85</v>
      </c>
      <c r="AB1281" s="12">
        <v>61.3</v>
      </c>
      <c r="AC1281" s="9">
        <f t="shared" si="112"/>
        <v>2206800</v>
      </c>
      <c r="AD1281" s="9">
        <f t="shared" si="113"/>
        <v>2108404.3049999997</v>
      </c>
      <c r="AE1281" s="1" t="s">
        <v>284</v>
      </c>
      <c r="AF1281" s="1" t="s">
        <v>53</v>
      </c>
      <c r="AG1281" s="4">
        <f t="shared" si="116"/>
        <v>36000</v>
      </c>
      <c r="AH1281" s="10">
        <v>35986</v>
      </c>
      <c r="AI1281" s="10">
        <v>1500</v>
      </c>
      <c r="AJ1281" s="10">
        <v>5.15</v>
      </c>
      <c r="AK1281" s="10">
        <v>0</v>
      </c>
      <c r="AL1281" s="9">
        <f t="shared" si="117"/>
        <v>34480.85</v>
      </c>
      <c r="AM1281" s="1"/>
      <c r="AN1281" s="1"/>
      <c r="AO1281" s="12" t="e">
        <f>AB1281/#REF!</f>
        <v>#REF!</v>
      </c>
      <c r="AP1281" s="1"/>
      <c r="AQ1281" s="11">
        <v>42048</v>
      </c>
      <c r="AR1281" s="1" t="s">
        <v>3645</v>
      </c>
      <c r="AS1281" s="11">
        <v>42048</v>
      </c>
      <c r="AT1281" s="1" t="s">
        <v>49</v>
      </c>
      <c r="AU1281" s="1" t="s">
        <v>4171</v>
      </c>
    </row>
    <row r="1282" spans="1:47" ht="15" customHeight="1" x14ac:dyDescent="0.25">
      <c r="A1282" s="1">
        <v>1278</v>
      </c>
      <c r="B1282" s="1" t="s">
        <v>1258</v>
      </c>
      <c r="C1282" s="1" t="s">
        <v>38</v>
      </c>
      <c r="D1282" s="1">
        <v>9103551086</v>
      </c>
      <c r="E1282" s="5">
        <v>42026</v>
      </c>
      <c r="F1282" s="1" t="s">
        <v>2843</v>
      </c>
      <c r="G1282" s="1" t="s">
        <v>40</v>
      </c>
      <c r="H1282" s="1" t="s">
        <v>41</v>
      </c>
      <c r="I1282" s="1" t="s">
        <v>2809</v>
      </c>
      <c r="J1282" s="1" t="s">
        <v>2754</v>
      </c>
      <c r="K1282" s="1">
        <v>38237090</v>
      </c>
      <c r="L1282" s="6">
        <v>15</v>
      </c>
      <c r="M1282" s="1" t="s">
        <v>70</v>
      </c>
      <c r="N1282" s="7" t="s">
        <v>52</v>
      </c>
      <c r="O1282" s="1" t="s">
        <v>53</v>
      </c>
      <c r="P1282" s="8">
        <v>1560</v>
      </c>
      <c r="Q1282" s="17">
        <f t="shared" si="114"/>
        <v>23400</v>
      </c>
      <c r="R1282" s="9">
        <v>611</v>
      </c>
      <c r="S1282" s="9">
        <v>0</v>
      </c>
      <c r="T1282" s="9">
        <v>0</v>
      </c>
      <c r="U1282" s="10">
        <v>0</v>
      </c>
      <c r="V1282" s="1" t="s">
        <v>46</v>
      </c>
      <c r="W1282" s="1" t="s">
        <v>143</v>
      </c>
      <c r="X1282" s="1">
        <v>7251566</v>
      </c>
      <c r="Y1282" s="11">
        <v>42020</v>
      </c>
      <c r="Z1282" s="11">
        <v>42021</v>
      </c>
      <c r="AA1282" s="9">
        <f t="shared" si="118"/>
        <v>22789</v>
      </c>
      <c r="AB1282" s="12">
        <v>61.3</v>
      </c>
      <c r="AC1282" s="9">
        <f t="shared" si="112"/>
        <v>1434420</v>
      </c>
      <c r="AD1282" s="9">
        <f t="shared" si="113"/>
        <v>1396965.7</v>
      </c>
      <c r="AE1282" s="1" t="s">
        <v>48</v>
      </c>
      <c r="AF1282" s="1" t="s">
        <v>53</v>
      </c>
      <c r="AG1282" s="4">
        <f t="shared" si="116"/>
        <v>23400</v>
      </c>
      <c r="AH1282" s="10">
        <v>23176</v>
      </c>
      <c r="AI1282" s="10">
        <v>611</v>
      </c>
      <c r="AJ1282" s="10">
        <v>0</v>
      </c>
      <c r="AK1282" s="10">
        <v>0</v>
      </c>
      <c r="AL1282" s="9">
        <f t="shared" si="117"/>
        <v>22565</v>
      </c>
      <c r="AM1282" s="1"/>
      <c r="AN1282" s="1"/>
      <c r="AO1282" s="12" t="e">
        <f>AB1282/#REF!</f>
        <v>#REF!</v>
      </c>
      <c r="AP1282" s="1"/>
      <c r="AQ1282" s="11">
        <v>42046</v>
      </c>
      <c r="AR1282" s="1" t="s">
        <v>3490</v>
      </c>
      <c r="AS1282" s="11">
        <v>42047</v>
      </c>
      <c r="AT1282" s="1" t="s">
        <v>49</v>
      </c>
      <c r="AU1282" s="1" t="s">
        <v>4171</v>
      </c>
    </row>
    <row r="1283" spans="1:47" ht="15" customHeight="1" x14ac:dyDescent="0.25">
      <c r="A1283" s="1">
        <v>1279</v>
      </c>
      <c r="B1283" s="1" t="s">
        <v>1258</v>
      </c>
      <c r="C1283" s="1" t="s">
        <v>38</v>
      </c>
      <c r="D1283" s="1">
        <v>9103551087</v>
      </c>
      <c r="E1283" s="5">
        <v>42020</v>
      </c>
      <c r="F1283" s="1" t="s">
        <v>2844</v>
      </c>
      <c r="G1283" s="1" t="s">
        <v>40</v>
      </c>
      <c r="H1283" s="1" t="s">
        <v>41</v>
      </c>
      <c r="I1283" s="1" t="s">
        <v>2809</v>
      </c>
      <c r="J1283" s="1" t="s">
        <v>2660</v>
      </c>
      <c r="K1283" s="1">
        <v>38237090</v>
      </c>
      <c r="L1283" s="6">
        <v>18.78</v>
      </c>
      <c r="M1283" s="1" t="s">
        <v>70</v>
      </c>
      <c r="N1283" s="7" t="s">
        <v>52</v>
      </c>
      <c r="O1283" s="1" t="s">
        <v>53</v>
      </c>
      <c r="P1283" s="8">
        <v>1235</v>
      </c>
      <c r="Q1283" s="17">
        <f t="shared" si="114"/>
        <v>23193.300000000003</v>
      </c>
      <c r="R1283" s="9">
        <v>760</v>
      </c>
      <c r="S1283" s="9">
        <v>0</v>
      </c>
      <c r="T1283" s="9">
        <v>0</v>
      </c>
      <c r="U1283" s="10">
        <v>0</v>
      </c>
      <c r="V1283" s="1" t="s">
        <v>46</v>
      </c>
      <c r="W1283" s="1" t="s">
        <v>64</v>
      </c>
      <c r="X1283" s="1">
        <v>7255078</v>
      </c>
      <c r="Y1283" s="11">
        <v>42020</v>
      </c>
      <c r="Z1283" s="11">
        <v>42021</v>
      </c>
      <c r="AA1283" s="9">
        <f t="shared" si="118"/>
        <v>22433.300000000003</v>
      </c>
      <c r="AB1283" s="12">
        <v>61.3</v>
      </c>
      <c r="AC1283" s="9">
        <f t="shared" si="112"/>
        <v>1421749.29</v>
      </c>
      <c r="AD1283" s="9">
        <f t="shared" si="113"/>
        <v>1375161.29</v>
      </c>
      <c r="AE1283" s="1" t="s">
        <v>48</v>
      </c>
      <c r="AF1283" s="1" t="s">
        <v>53</v>
      </c>
      <c r="AG1283" s="4">
        <f t="shared" si="116"/>
        <v>23193.300000000003</v>
      </c>
      <c r="AH1283" s="10">
        <v>23193.3</v>
      </c>
      <c r="AI1283" s="10">
        <v>760</v>
      </c>
      <c r="AJ1283" s="10">
        <v>0</v>
      </c>
      <c r="AK1283" s="10">
        <v>0</v>
      </c>
      <c r="AL1283" s="9">
        <f t="shared" si="117"/>
        <v>22433.3</v>
      </c>
      <c r="AM1283" s="1"/>
      <c r="AN1283" s="1"/>
      <c r="AO1283" s="12" t="e">
        <f>AB1283/#REF!</f>
        <v>#REF!</v>
      </c>
      <c r="AP1283" s="1"/>
      <c r="AQ1283" s="11">
        <v>42058</v>
      </c>
      <c r="AR1283" s="1" t="s">
        <v>3491</v>
      </c>
      <c r="AS1283" s="11">
        <v>42059</v>
      </c>
      <c r="AT1283" s="1" t="s">
        <v>49</v>
      </c>
      <c r="AU1283" s="1" t="s">
        <v>4171</v>
      </c>
    </row>
    <row r="1284" spans="1:47" ht="15" customHeight="1" x14ac:dyDescent="0.25">
      <c r="A1284" s="1">
        <v>1280</v>
      </c>
      <c r="B1284" s="1" t="s">
        <v>1258</v>
      </c>
      <c r="C1284" s="1" t="s">
        <v>38</v>
      </c>
      <c r="D1284" s="1">
        <v>9103551088</v>
      </c>
      <c r="E1284" s="5">
        <v>42025</v>
      </c>
      <c r="F1284" s="1" t="s">
        <v>2845</v>
      </c>
      <c r="G1284" s="1" t="s">
        <v>40</v>
      </c>
      <c r="H1284" s="1" t="s">
        <v>41</v>
      </c>
      <c r="I1284" s="1" t="s">
        <v>2809</v>
      </c>
      <c r="J1284" s="1" t="s">
        <v>2764</v>
      </c>
      <c r="K1284" s="1">
        <v>38237090</v>
      </c>
      <c r="L1284" s="6">
        <v>12</v>
      </c>
      <c r="M1284" s="1" t="s">
        <v>70</v>
      </c>
      <c r="N1284" s="7" t="s">
        <v>67</v>
      </c>
      <c r="O1284" s="1" t="s">
        <v>53</v>
      </c>
      <c r="P1284" s="8">
        <v>1680</v>
      </c>
      <c r="Q1284" s="17">
        <f t="shared" si="114"/>
        <v>20160</v>
      </c>
      <c r="R1284" s="9">
        <v>0</v>
      </c>
      <c r="S1284" s="9">
        <v>0</v>
      </c>
      <c r="T1284" s="9">
        <v>0</v>
      </c>
      <c r="U1284" s="10">
        <v>0</v>
      </c>
      <c r="V1284" s="1" t="s">
        <v>46</v>
      </c>
      <c r="W1284" s="1" t="s">
        <v>143</v>
      </c>
      <c r="X1284" s="1">
        <v>7290551</v>
      </c>
      <c r="Y1284" s="11">
        <v>42023</v>
      </c>
      <c r="Z1284" s="11">
        <v>42023</v>
      </c>
      <c r="AA1284" s="9">
        <f t="shared" si="118"/>
        <v>20160</v>
      </c>
      <c r="AB1284" s="12">
        <v>61.3</v>
      </c>
      <c r="AC1284" s="9">
        <f t="shared" si="112"/>
        <v>1235808</v>
      </c>
      <c r="AD1284" s="9">
        <f t="shared" si="113"/>
        <v>1235808</v>
      </c>
      <c r="AE1284" s="1" t="s">
        <v>48</v>
      </c>
      <c r="AF1284" s="1" t="s">
        <v>53</v>
      </c>
      <c r="AG1284" s="4">
        <f t="shared" si="116"/>
        <v>20160</v>
      </c>
      <c r="AH1284" s="10">
        <v>20160</v>
      </c>
      <c r="AI1284" s="10">
        <v>0</v>
      </c>
      <c r="AJ1284" s="10">
        <v>0</v>
      </c>
      <c r="AK1284" s="10">
        <v>0</v>
      </c>
      <c r="AL1284" s="9">
        <f t="shared" si="117"/>
        <v>20160</v>
      </c>
      <c r="AM1284" s="1"/>
      <c r="AN1284" s="1"/>
      <c r="AO1284" s="12" t="e">
        <f>AB1284/#REF!</f>
        <v>#REF!</v>
      </c>
      <c r="AP1284" s="1"/>
      <c r="AQ1284" s="11">
        <v>42086</v>
      </c>
      <c r="AR1284" s="1" t="s">
        <v>3492</v>
      </c>
      <c r="AS1284" s="11">
        <v>42088</v>
      </c>
      <c r="AT1284" s="1" t="s">
        <v>49</v>
      </c>
      <c r="AU1284" s="1" t="s">
        <v>4171</v>
      </c>
    </row>
    <row r="1285" spans="1:47" ht="15" customHeight="1" x14ac:dyDescent="0.25">
      <c r="A1285" s="1">
        <v>1281</v>
      </c>
      <c r="B1285" s="1" t="s">
        <v>1258</v>
      </c>
      <c r="C1285" s="1" t="s">
        <v>38</v>
      </c>
      <c r="D1285" s="1">
        <v>9103551088</v>
      </c>
      <c r="E1285" s="5">
        <v>42025</v>
      </c>
      <c r="F1285" s="1" t="s">
        <v>2845</v>
      </c>
      <c r="G1285" s="1" t="s">
        <v>40</v>
      </c>
      <c r="H1285" s="1" t="s">
        <v>41</v>
      </c>
      <c r="I1285" s="1" t="s">
        <v>2809</v>
      </c>
      <c r="J1285" s="1" t="s">
        <v>2764</v>
      </c>
      <c r="K1285" s="1">
        <v>29051700</v>
      </c>
      <c r="L1285" s="6">
        <v>0.6</v>
      </c>
      <c r="M1285" s="1" t="s">
        <v>70</v>
      </c>
      <c r="N1285" s="7" t="s">
        <v>67</v>
      </c>
      <c r="O1285" s="1" t="s">
        <v>53</v>
      </c>
      <c r="P1285" s="8">
        <v>1720</v>
      </c>
      <c r="Q1285" s="17">
        <f t="shared" si="114"/>
        <v>1032</v>
      </c>
      <c r="R1285" s="9">
        <v>0</v>
      </c>
      <c r="S1285" s="9">
        <v>0</v>
      </c>
      <c r="T1285" s="9">
        <v>0</v>
      </c>
      <c r="U1285" s="10">
        <v>0</v>
      </c>
      <c r="V1285" s="1" t="s">
        <v>46</v>
      </c>
      <c r="W1285" s="1" t="s">
        <v>143</v>
      </c>
      <c r="X1285" s="1">
        <v>7290551</v>
      </c>
      <c r="Y1285" s="11">
        <v>42023</v>
      </c>
      <c r="Z1285" s="11">
        <v>42023</v>
      </c>
      <c r="AA1285" s="9">
        <f t="shared" si="118"/>
        <v>1032</v>
      </c>
      <c r="AB1285" s="12">
        <v>61.3</v>
      </c>
      <c r="AC1285" s="9">
        <f t="shared" si="112"/>
        <v>63261.599999999999</v>
      </c>
      <c r="AD1285" s="9">
        <f t="shared" si="113"/>
        <v>63261.599999999999</v>
      </c>
      <c r="AE1285" s="1" t="s">
        <v>48</v>
      </c>
      <c r="AF1285" s="1" t="s">
        <v>53</v>
      </c>
      <c r="AG1285" s="4">
        <f t="shared" si="116"/>
        <v>1032</v>
      </c>
      <c r="AH1285" s="10">
        <v>1032</v>
      </c>
      <c r="AI1285" s="10">
        <v>0</v>
      </c>
      <c r="AJ1285" s="10">
        <v>0</v>
      </c>
      <c r="AK1285" s="10">
        <v>0</v>
      </c>
      <c r="AL1285" s="9">
        <f t="shared" si="117"/>
        <v>1032</v>
      </c>
      <c r="AM1285" s="1"/>
      <c r="AN1285" s="1"/>
      <c r="AO1285" s="12" t="e">
        <f>AB1285/#REF!</f>
        <v>#REF!</v>
      </c>
      <c r="AP1285" s="1"/>
      <c r="AQ1285" s="11">
        <v>42086</v>
      </c>
      <c r="AR1285" s="1" t="s">
        <v>3492</v>
      </c>
      <c r="AS1285" s="11">
        <v>42088</v>
      </c>
      <c r="AT1285" s="1" t="s">
        <v>49</v>
      </c>
      <c r="AU1285" s="1" t="s">
        <v>4171</v>
      </c>
    </row>
    <row r="1286" spans="1:47" ht="15" customHeight="1" x14ac:dyDescent="0.25">
      <c r="A1286" s="1">
        <v>1282</v>
      </c>
      <c r="B1286" s="1" t="s">
        <v>1258</v>
      </c>
      <c r="C1286" s="1" t="s">
        <v>38</v>
      </c>
      <c r="D1286" s="1">
        <v>9103551089</v>
      </c>
      <c r="E1286" s="5">
        <v>42026</v>
      </c>
      <c r="F1286" s="1" t="s">
        <v>2846</v>
      </c>
      <c r="G1286" s="1" t="s">
        <v>40</v>
      </c>
      <c r="H1286" s="1" t="s">
        <v>41</v>
      </c>
      <c r="I1286" s="1" t="s">
        <v>2809</v>
      </c>
      <c r="J1286" s="1" t="s">
        <v>2759</v>
      </c>
      <c r="K1286" s="1">
        <v>38237090</v>
      </c>
      <c r="L1286" s="6">
        <v>15</v>
      </c>
      <c r="M1286" s="1" t="s">
        <v>70</v>
      </c>
      <c r="N1286" s="7" t="s">
        <v>44</v>
      </c>
      <c r="O1286" s="1" t="s">
        <v>53</v>
      </c>
      <c r="P1286" s="8">
        <v>1445</v>
      </c>
      <c r="Q1286" s="17">
        <f t="shared" si="114"/>
        <v>21675</v>
      </c>
      <c r="R1286" s="9">
        <v>45</v>
      </c>
      <c r="S1286" s="9">
        <v>3.1</v>
      </c>
      <c r="T1286" s="9">
        <v>0</v>
      </c>
      <c r="U1286" s="10">
        <v>0</v>
      </c>
      <c r="V1286" s="1" t="s">
        <v>46</v>
      </c>
      <c r="W1286" s="1" t="s">
        <v>72</v>
      </c>
      <c r="X1286" s="1">
        <v>7271299</v>
      </c>
      <c r="Y1286" s="11">
        <v>42021</v>
      </c>
      <c r="Z1286" s="11">
        <v>42023</v>
      </c>
      <c r="AA1286" s="9">
        <f t="shared" si="118"/>
        <v>21626.9</v>
      </c>
      <c r="AB1286" s="12">
        <v>61.3</v>
      </c>
      <c r="AC1286" s="9">
        <f t="shared" si="112"/>
        <v>1328677.5</v>
      </c>
      <c r="AD1286" s="9">
        <f t="shared" si="113"/>
        <v>1325728.97</v>
      </c>
      <c r="AE1286" s="1" t="s">
        <v>48</v>
      </c>
      <c r="AF1286" s="1" t="s">
        <v>53</v>
      </c>
      <c r="AG1286" s="4">
        <f t="shared" si="116"/>
        <v>21675</v>
      </c>
      <c r="AH1286" s="10">
        <v>21628</v>
      </c>
      <c r="AI1286" s="10">
        <v>100</v>
      </c>
      <c r="AJ1286" s="10">
        <v>3.1</v>
      </c>
      <c r="AK1286" s="10">
        <v>0</v>
      </c>
      <c r="AL1286" s="9">
        <f t="shared" si="117"/>
        <v>21524.9</v>
      </c>
      <c r="AM1286" s="1"/>
      <c r="AN1286" s="1"/>
      <c r="AO1286" s="12" t="e">
        <f>AB1286/#REF!</f>
        <v>#REF!</v>
      </c>
      <c r="AP1286" s="1"/>
      <c r="AQ1286" s="11">
        <v>42031</v>
      </c>
      <c r="AR1286" s="1" t="s">
        <v>3493</v>
      </c>
      <c r="AS1286" s="11">
        <v>42038</v>
      </c>
      <c r="AT1286" s="1" t="s">
        <v>49</v>
      </c>
      <c r="AU1286" s="1" t="s">
        <v>4171</v>
      </c>
    </row>
    <row r="1287" spans="1:47" ht="15" customHeight="1" x14ac:dyDescent="0.25">
      <c r="A1287" s="1">
        <v>1283</v>
      </c>
      <c r="B1287" s="1" t="s">
        <v>1258</v>
      </c>
      <c r="C1287" s="1" t="s">
        <v>38</v>
      </c>
      <c r="D1287" s="1">
        <v>9103551090</v>
      </c>
      <c r="E1287" s="5">
        <v>42021</v>
      </c>
      <c r="F1287" s="1" t="s">
        <v>2847</v>
      </c>
      <c r="G1287" s="1" t="s">
        <v>40</v>
      </c>
      <c r="H1287" s="1" t="s">
        <v>41</v>
      </c>
      <c r="I1287" s="1" t="s">
        <v>2809</v>
      </c>
      <c r="J1287" s="1" t="s">
        <v>2660</v>
      </c>
      <c r="K1287" s="1">
        <v>38237090</v>
      </c>
      <c r="L1287" s="6">
        <v>24</v>
      </c>
      <c r="M1287" s="1" t="s">
        <v>70</v>
      </c>
      <c r="N1287" s="7" t="s">
        <v>52</v>
      </c>
      <c r="O1287" s="1" t="s">
        <v>53</v>
      </c>
      <c r="P1287" s="8">
        <v>1315</v>
      </c>
      <c r="Q1287" s="17">
        <f t="shared" si="114"/>
        <v>31560</v>
      </c>
      <c r="R1287" s="9">
        <v>100</v>
      </c>
      <c r="S1287" s="9">
        <v>0</v>
      </c>
      <c r="T1287" s="9">
        <v>0</v>
      </c>
      <c r="U1287" s="10">
        <v>0</v>
      </c>
      <c r="V1287" s="1" t="s">
        <v>46</v>
      </c>
      <c r="W1287" s="1" t="s">
        <v>81</v>
      </c>
      <c r="X1287" s="1">
        <v>7271409</v>
      </c>
      <c r="Y1287" s="11">
        <v>42021</v>
      </c>
      <c r="Z1287" s="11">
        <v>42024</v>
      </c>
      <c r="AA1287" s="9">
        <f t="shared" si="118"/>
        <v>31460</v>
      </c>
      <c r="AB1287" s="12">
        <v>61.3</v>
      </c>
      <c r="AC1287" s="9">
        <f t="shared" si="112"/>
        <v>1934628</v>
      </c>
      <c r="AD1287" s="9">
        <f t="shared" si="113"/>
        <v>1928498</v>
      </c>
      <c r="AE1287" s="1" t="s">
        <v>48</v>
      </c>
      <c r="AF1287" s="1" t="s">
        <v>53</v>
      </c>
      <c r="AG1287" s="4">
        <f t="shared" si="116"/>
        <v>31560</v>
      </c>
      <c r="AH1287" s="10">
        <v>31560</v>
      </c>
      <c r="AI1287" s="10">
        <v>82</v>
      </c>
      <c r="AJ1287" s="10">
        <v>0</v>
      </c>
      <c r="AK1287" s="10">
        <v>0</v>
      </c>
      <c r="AL1287" s="9">
        <f t="shared" si="117"/>
        <v>31478</v>
      </c>
      <c r="AM1287" s="1"/>
      <c r="AN1287" s="1"/>
      <c r="AO1287" s="12" t="e">
        <f>AB1287/#REF!</f>
        <v>#REF!</v>
      </c>
      <c r="AP1287" s="1"/>
      <c r="AQ1287" s="11">
        <v>42082</v>
      </c>
      <c r="AR1287" s="1" t="s">
        <v>3494</v>
      </c>
      <c r="AS1287" s="11">
        <v>42083</v>
      </c>
      <c r="AT1287" s="1" t="s">
        <v>49</v>
      </c>
      <c r="AU1287" s="1" t="s">
        <v>4171</v>
      </c>
    </row>
    <row r="1288" spans="1:47" ht="15" customHeight="1" x14ac:dyDescent="0.25">
      <c r="A1288" s="1">
        <v>1284</v>
      </c>
      <c r="B1288" s="1" t="s">
        <v>1258</v>
      </c>
      <c r="C1288" s="1" t="s">
        <v>38</v>
      </c>
      <c r="D1288" s="1">
        <v>9103551091</v>
      </c>
      <c r="E1288" s="5">
        <v>42029</v>
      </c>
      <c r="F1288" s="1" t="s">
        <v>2848</v>
      </c>
      <c r="G1288" s="1" t="s">
        <v>40</v>
      </c>
      <c r="H1288" s="1" t="s">
        <v>41</v>
      </c>
      <c r="I1288" s="1" t="s">
        <v>2809</v>
      </c>
      <c r="J1288" s="1" t="s">
        <v>2849</v>
      </c>
      <c r="K1288" s="1">
        <v>38237090</v>
      </c>
      <c r="L1288" s="6">
        <v>15</v>
      </c>
      <c r="M1288" s="1" t="s">
        <v>70</v>
      </c>
      <c r="N1288" s="7" t="s">
        <v>52</v>
      </c>
      <c r="O1288" s="1" t="s">
        <v>53</v>
      </c>
      <c r="P1288" s="8">
        <v>1559</v>
      </c>
      <c r="Q1288" s="17">
        <f t="shared" si="114"/>
        <v>23385</v>
      </c>
      <c r="R1288" s="9">
        <v>1750</v>
      </c>
      <c r="S1288" s="9">
        <v>0</v>
      </c>
      <c r="T1288" s="9">
        <v>0</v>
      </c>
      <c r="U1288" s="10">
        <v>0</v>
      </c>
      <c r="V1288" s="1" t="s">
        <v>46</v>
      </c>
      <c r="W1288" s="1" t="s">
        <v>2850</v>
      </c>
      <c r="X1288" s="1">
        <v>7272865</v>
      </c>
      <c r="Y1288" s="11">
        <v>42021</v>
      </c>
      <c r="Z1288" s="11">
        <v>42023</v>
      </c>
      <c r="AA1288" s="9">
        <f t="shared" si="118"/>
        <v>21635</v>
      </c>
      <c r="AB1288" s="12">
        <v>61.3</v>
      </c>
      <c r="AC1288" s="9">
        <f t="shared" si="112"/>
        <v>1433500.5</v>
      </c>
      <c r="AD1288" s="9">
        <f t="shared" si="113"/>
        <v>1326225.5</v>
      </c>
      <c r="AE1288" s="1" t="s">
        <v>48</v>
      </c>
      <c r="AF1288" s="1" t="s">
        <v>53</v>
      </c>
      <c r="AG1288" s="4">
        <f t="shared" si="116"/>
        <v>23385</v>
      </c>
      <c r="AH1288" s="10">
        <v>23375</v>
      </c>
      <c r="AI1288" s="10">
        <v>1597</v>
      </c>
      <c r="AJ1288" s="10">
        <v>0</v>
      </c>
      <c r="AK1288" s="10">
        <v>0</v>
      </c>
      <c r="AL1288" s="9">
        <f t="shared" si="117"/>
        <v>21778</v>
      </c>
      <c r="AM1288" s="1"/>
      <c r="AN1288" s="1"/>
      <c r="AO1288" s="12" t="e">
        <f>AB1288/#REF!</f>
        <v>#REF!</v>
      </c>
      <c r="AP1288" s="1"/>
      <c r="AQ1288" s="11">
        <v>42086</v>
      </c>
      <c r="AR1288" s="1" t="s">
        <v>3495</v>
      </c>
      <c r="AS1288" s="11">
        <v>42088</v>
      </c>
      <c r="AT1288" s="1" t="s">
        <v>49</v>
      </c>
      <c r="AU1288" s="1" t="s">
        <v>4171</v>
      </c>
    </row>
    <row r="1289" spans="1:47" ht="15" customHeight="1" x14ac:dyDescent="0.25">
      <c r="A1289" s="1">
        <v>1285</v>
      </c>
      <c r="B1289" s="1" t="s">
        <v>1258</v>
      </c>
      <c r="C1289" s="1" t="s">
        <v>38</v>
      </c>
      <c r="D1289" s="1">
        <v>9103551092</v>
      </c>
      <c r="E1289" s="5">
        <v>42026</v>
      </c>
      <c r="F1289" s="1" t="s">
        <v>2851</v>
      </c>
      <c r="G1289" s="1" t="s">
        <v>40</v>
      </c>
      <c r="H1289" s="1" t="s">
        <v>41</v>
      </c>
      <c r="I1289" s="1" t="s">
        <v>2809</v>
      </c>
      <c r="J1289" s="1" t="s">
        <v>924</v>
      </c>
      <c r="K1289" s="1">
        <v>38237090</v>
      </c>
      <c r="L1289" s="6">
        <v>24</v>
      </c>
      <c r="M1289" s="1" t="s">
        <v>70</v>
      </c>
      <c r="N1289" s="7" t="s">
        <v>67</v>
      </c>
      <c r="O1289" s="1" t="s">
        <v>53</v>
      </c>
      <c r="P1289" s="8">
        <v>1520</v>
      </c>
      <c r="Q1289" s="17">
        <f t="shared" si="114"/>
        <v>36480</v>
      </c>
      <c r="R1289" s="9">
        <v>0</v>
      </c>
      <c r="S1289" s="9">
        <v>0</v>
      </c>
      <c r="T1289" s="9">
        <v>729.6</v>
      </c>
      <c r="U1289" s="10">
        <v>0</v>
      </c>
      <c r="V1289" s="1" t="s">
        <v>46</v>
      </c>
      <c r="W1289" s="1" t="s">
        <v>123</v>
      </c>
      <c r="X1289" s="1">
        <v>7272522</v>
      </c>
      <c r="Y1289" s="11">
        <v>42021</v>
      </c>
      <c r="Z1289" s="11">
        <v>42023</v>
      </c>
      <c r="AA1289" s="9">
        <f t="shared" si="118"/>
        <v>36480</v>
      </c>
      <c r="AB1289" s="12">
        <v>61.3</v>
      </c>
      <c r="AC1289" s="9">
        <f t="shared" si="112"/>
        <v>2236224</v>
      </c>
      <c r="AD1289" s="9">
        <f t="shared" si="113"/>
        <v>2236224</v>
      </c>
      <c r="AE1289" s="1" t="s">
        <v>48</v>
      </c>
      <c r="AF1289" s="1" t="s">
        <v>53</v>
      </c>
      <c r="AG1289" s="4">
        <f t="shared" si="116"/>
        <v>36480</v>
      </c>
      <c r="AH1289" s="10">
        <v>36480</v>
      </c>
      <c r="AI1289" s="10">
        <v>0</v>
      </c>
      <c r="AJ1289" s="10">
        <v>0</v>
      </c>
      <c r="AK1289" s="10">
        <v>729.6</v>
      </c>
      <c r="AL1289" s="9">
        <f t="shared" si="117"/>
        <v>35750.400000000001</v>
      </c>
      <c r="AM1289" s="1"/>
      <c r="AN1289" s="1"/>
      <c r="AO1289" s="12" t="e">
        <f>AB1289/#REF!</f>
        <v>#REF!</v>
      </c>
      <c r="AP1289" s="1"/>
      <c r="AQ1289" s="11">
        <v>42087</v>
      </c>
      <c r="AR1289" s="1" t="s">
        <v>3496</v>
      </c>
      <c r="AS1289" s="11">
        <v>42088</v>
      </c>
      <c r="AT1289" s="1" t="s">
        <v>49</v>
      </c>
      <c r="AU1289" s="1" t="s">
        <v>4171</v>
      </c>
    </row>
    <row r="1290" spans="1:47" ht="15" customHeight="1" x14ac:dyDescent="0.25">
      <c r="A1290" s="1">
        <v>1286</v>
      </c>
      <c r="B1290" s="1" t="s">
        <v>1258</v>
      </c>
      <c r="C1290" s="1" t="s">
        <v>38</v>
      </c>
      <c r="D1290" s="1">
        <v>9103551093</v>
      </c>
      <c r="E1290" s="5">
        <v>42029</v>
      </c>
      <c r="F1290" s="1" t="s">
        <v>2852</v>
      </c>
      <c r="G1290" s="1" t="s">
        <v>40</v>
      </c>
      <c r="H1290" s="1" t="s">
        <v>41</v>
      </c>
      <c r="I1290" s="1" t="s">
        <v>2809</v>
      </c>
      <c r="J1290" s="1" t="s">
        <v>386</v>
      </c>
      <c r="K1290" s="1">
        <v>38237090</v>
      </c>
      <c r="L1290" s="6">
        <v>193.85</v>
      </c>
      <c r="M1290" s="1" t="s">
        <v>70</v>
      </c>
      <c r="N1290" s="7" t="s">
        <v>52</v>
      </c>
      <c r="O1290" s="1" t="s">
        <v>53</v>
      </c>
      <c r="P1290" s="8">
        <v>1285</v>
      </c>
      <c r="Q1290" s="17">
        <f t="shared" si="114"/>
        <v>249097.25</v>
      </c>
      <c r="R1290" s="9">
        <v>7500</v>
      </c>
      <c r="S1290" s="9">
        <v>0</v>
      </c>
      <c r="T1290" s="9">
        <v>0</v>
      </c>
      <c r="U1290" s="10">
        <v>0</v>
      </c>
      <c r="V1290" s="1" t="s">
        <v>46</v>
      </c>
      <c r="W1290" s="1" t="s">
        <v>241</v>
      </c>
      <c r="X1290" s="1">
        <v>7288512</v>
      </c>
      <c r="Y1290" s="11">
        <v>42023</v>
      </c>
      <c r="Z1290" s="11">
        <v>42024</v>
      </c>
      <c r="AA1290" s="9">
        <f t="shared" si="118"/>
        <v>241597.25</v>
      </c>
      <c r="AB1290" s="12">
        <v>61.3</v>
      </c>
      <c r="AC1290" s="9">
        <f t="shared" si="112"/>
        <v>15269661.424999999</v>
      </c>
      <c r="AD1290" s="9">
        <f t="shared" si="113"/>
        <v>14809911.424999999</v>
      </c>
      <c r="AE1290" s="1" t="s">
        <v>48</v>
      </c>
      <c r="AF1290" s="1" t="s">
        <v>53</v>
      </c>
      <c r="AG1290" s="4">
        <f t="shared" si="116"/>
        <v>249097.25</v>
      </c>
      <c r="AH1290" s="10">
        <v>249076.25</v>
      </c>
      <c r="AI1290" s="10">
        <v>7500</v>
      </c>
      <c r="AJ1290" s="10">
        <v>0</v>
      </c>
      <c r="AK1290" s="10">
        <v>0</v>
      </c>
      <c r="AL1290" s="9">
        <f t="shared" si="117"/>
        <v>241576.25</v>
      </c>
      <c r="AM1290" s="1"/>
      <c r="AN1290" s="1"/>
      <c r="AO1290" s="12" t="e">
        <f>AB1290/#REF!</f>
        <v>#REF!</v>
      </c>
      <c r="AP1290" s="1"/>
      <c r="AQ1290" s="11">
        <v>42094</v>
      </c>
      <c r="AR1290" s="1" t="s">
        <v>3497</v>
      </c>
      <c r="AS1290" s="11">
        <v>42098</v>
      </c>
      <c r="AT1290" s="1" t="s">
        <v>49</v>
      </c>
      <c r="AU1290" s="1" t="s">
        <v>4171</v>
      </c>
    </row>
    <row r="1291" spans="1:47" ht="15" customHeight="1" x14ac:dyDescent="0.25">
      <c r="A1291" s="1">
        <v>1287</v>
      </c>
      <c r="B1291" s="1" t="s">
        <v>1258</v>
      </c>
      <c r="C1291" s="1" t="s">
        <v>38</v>
      </c>
      <c r="D1291" s="1">
        <v>9103551094</v>
      </c>
      <c r="E1291" s="5">
        <v>42025</v>
      </c>
      <c r="F1291" s="1" t="s">
        <v>2853</v>
      </c>
      <c r="G1291" s="1" t="s">
        <v>40</v>
      </c>
      <c r="H1291" s="1" t="s">
        <v>41</v>
      </c>
      <c r="I1291" s="1" t="s">
        <v>2809</v>
      </c>
      <c r="J1291" s="1" t="s">
        <v>2764</v>
      </c>
      <c r="K1291" s="1">
        <v>38237090</v>
      </c>
      <c r="L1291" s="6">
        <v>12</v>
      </c>
      <c r="M1291" s="1" t="s">
        <v>70</v>
      </c>
      <c r="N1291" s="7" t="s">
        <v>67</v>
      </c>
      <c r="O1291" s="1" t="s">
        <v>53</v>
      </c>
      <c r="P1291" s="8">
        <v>1680</v>
      </c>
      <c r="Q1291" s="17">
        <f t="shared" si="114"/>
        <v>20160</v>
      </c>
      <c r="R1291" s="9">
        <v>0</v>
      </c>
      <c r="S1291" s="9">
        <v>0</v>
      </c>
      <c r="T1291" s="9">
        <v>0</v>
      </c>
      <c r="U1291" s="10">
        <v>0</v>
      </c>
      <c r="V1291" s="1" t="s">
        <v>46</v>
      </c>
      <c r="W1291" s="1" t="s">
        <v>143</v>
      </c>
      <c r="X1291" s="1">
        <v>7293873</v>
      </c>
      <c r="Y1291" s="11">
        <v>42023</v>
      </c>
      <c r="Z1291" s="11">
        <v>42024</v>
      </c>
      <c r="AA1291" s="9">
        <f t="shared" si="118"/>
        <v>20160</v>
      </c>
      <c r="AB1291" s="12">
        <v>61.3</v>
      </c>
      <c r="AC1291" s="9">
        <f t="shared" si="112"/>
        <v>1235808</v>
      </c>
      <c r="AD1291" s="9">
        <f t="shared" si="113"/>
        <v>1235808</v>
      </c>
      <c r="AE1291" s="1" t="s">
        <v>48</v>
      </c>
      <c r="AF1291" s="1" t="s">
        <v>53</v>
      </c>
      <c r="AG1291" s="4">
        <f t="shared" si="116"/>
        <v>20160</v>
      </c>
      <c r="AH1291" s="10">
        <v>20160</v>
      </c>
      <c r="AI1291" s="10">
        <v>0</v>
      </c>
      <c r="AJ1291" s="10">
        <v>0</v>
      </c>
      <c r="AK1291" s="10">
        <v>0</v>
      </c>
      <c r="AL1291" s="9">
        <f t="shared" si="117"/>
        <v>20160</v>
      </c>
      <c r="AM1291" s="1"/>
      <c r="AN1291" s="1"/>
      <c r="AO1291" s="12" t="e">
        <f>AB1291/#REF!</f>
        <v>#REF!</v>
      </c>
      <c r="AP1291" s="1"/>
      <c r="AQ1291" s="11">
        <v>42086</v>
      </c>
      <c r="AR1291" s="1" t="s">
        <v>3498</v>
      </c>
      <c r="AS1291" s="11">
        <v>42088</v>
      </c>
      <c r="AT1291" s="1" t="s">
        <v>49</v>
      </c>
      <c r="AU1291" s="1" t="s">
        <v>4171</v>
      </c>
    </row>
    <row r="1292" spans="1:47" ht="15" customHeight="1" x14ac:dyDescent="0.25">
      <c r="A1292" s="1">
        <v>1288</v>
      </c>
      <c r="B1292" s="1" t="s">
        <v>1258</v>
      </c>
      <c r="C1292" s="1" t="s">
        <v>38</v>
      </c>
      <c r="D1292" s="1" t="s">
        <v>2855</v>
      </c>
      <c r="E1292" s="5">
        <v>42021</v>
      </c>
      <c r="F1292" s="1" t="s">
        <v>2856</v>
      </c>
      <c r="G1292" s="1" t="s">
        <v>40</v>
      </c>
      <c r="H1292" s="1" t="s">
        <v>41</v>
      </c>
      <c r="I1292" s="1" t="s">
        <v>2809</v>
      </c>
      <c r="J1292" s="1" t="s">
        <v>2806</v>
      </c>
      <c r="K1292" s="1">
        <v>38237090</v>
      </c>
      <c r="L1292" s="6">
        <v>75</v>
      </c>
      <c r="M1292" s="1" t="s">
        <v>70</v>
      </c>
      <c r="N1292" s="7" t="s">
        <v>67</v>
      </c>
      <c r="O1292" s="1" t="s">
        <v>53</v>
      </c>
      <c r="P1292" s="8">
        <v>1250</v>
      </c>
      <c r="Q1292" s="17">
        <f t="shared" si="114"/>
        <v>93750</v>
      </c>
      <c r="R1292" s="9">
        <v>0</v>
      </c>
      <c r="S1292" s="9">
        <v>0</v>
      </c>
      <c r="T1292" s="9">
        <v>0</v>
      </c>
      <c r="U1292" s="10">
        <v>0</v>
      </c>
      <c r="V1292" s="1" t="s">
        <v>46</v>
      </c>
      <c r="W1292" s="1" t="s">
        <v>492</v>
      </c>
      <c r="X1292" s="1">
        <v>7272901</v>
      </c>
      <c r="Y1292" s="11">
        <v>42021</v>
      </c>
      <c r="Z1292" s="11">
        <v>42024</v>
      </c>
      <c r="AA1292" s="9">
        <f t="shared" si="118"/>
        <v>93750</v>
      </c>
      <c r="AB1292" s="12">
        <v>61.3</v>
      </c>
      <c r="AC1292" s="9">
        <f t="shared" si="112"/>
        <v>5746875</v>
      </c>
      <c r="AD1292" s="9">
        <f t="shared" si="113"/>
        <v>5746875</v>
      </c>
      <c r="AE1292" s="1" t="s">
        <v>48</v>
      </c>
      <c r="AF1292" s="1" t="s">
        <v>53</v>
      </c>
      <c r="AG1292" s="4">
        <f t="shared" si="116"/>
        <v>93750</v>
      </c>
      <c r="AH1292" s="10">
        <v>93750</v>
      </c>
      <c r="AI1292" s="10">
        <v>0</v>
      </c>
      <c r="AJ1292" s="10">
        <v>0</v>
      </c>
      <c r="AK1292" s="10">
        <v>0</v>
      </c>
      <c r="AL1292" s="9">
        <f t="shared" si="117"/>
        <v>93750</v>
      </c>
      <c r="AM1292" s="1"/>
      <c r="AN1292" s="1"/>
      <c r="AO1292" s="12" t="e">
        <f>AB1292/#REF!</f>
        <v>#REF!</v>
      </c>
      <c r="AP1292" s="1"/>
      <c r="AQ1292" s="11">
        <v>42053</v>
      </c>
      <c r="AR1292" s="1" t="s">
        <v>3499</v>
      </c>
      <c r="AS1292" s="11">
        <v>42055</v>
      </c>
      <c r="AT1292" s="1" t="s">
        <v>49</v>
      </c>
      <c r="AU1292" s="1" t="s">
        <v>4171</v>
      </c>
    </row>
    <row r="1293" spans="1:47" ht="15" customHeight="1" x14ac:dyDescent="0.25">
      <c r="A1293" s="1">
        <v>1289</v>
      </c>
      <c r="B1293" s="1" t="s">
        <v>1258</v>
      </c>
      <c r="C1293" s="1" t="s">
        <v>38</v>
      </c>
      <c r="D1293" s="1" t="s">
        <v>2855</v>
      </c>
      <c r="E1293" s="5">
        <v>42021</v>
      </c>
      <c r="F1293" s="1" t="s">
        <v>2857</v>
      </c>
      <c r="G1293" s="1" t="s">
        <v>40</v>
      </c>
      <c r="H1293" s="1" t="s">
        <v>41</v>
      </c>
      <c r="I1293" s="1" t="s">
        <v>2809</v>
      </c>
      <c r="J1293" s="1" t="s">
        <v>2806</v>
      </c>
      <c r="K1293" s="1">
        <v>38237090</v>
      </c>
      <c r="L1293" s="6">
        <v>15</v>
      </c>
      <c r="M1293" s="1" t="s">
        <v>70</v>
      </c>
      <c r="N1293" s="7" t="s">
        <v>67</v>
      </c>
      <c r="O1293" s="1" t="s">
        <v>53</v>
      </c>
      <c r="P1293" s="8">
        <v>1250</v>
      </c>
      <c r="Q1293" s="17">
        <f t="shared" si="114"/>
        <v>18750</v>
      </c>
      <c r="R1293" s="9">
        <v>0</v>
      </c>
      <c r="S1293" s="9">
        <v>0</v>
      </c>
      <c r="T1293" s="9">
        <v>0</v>
      </c>
      <c r="U1293" s="10">
        <v>0</v>
      </c>
      <c r="V1293" s="1" t="s">
        <v>46</v>
      </c>
      <c r="W1293" s="1" t="s">
        <v>492</v>
      </c>
      <c r="X1293" s="1">
        <v>7284752</v>
      </c>
      <c r="Y1293" s="11">
        <v>42023</v>
      </c>
      <c r="Z1293" s="11">
        <v>42025</v>
      </c>
      <c r="AA1293" s="9">
        <f t="shared" si="118"/>
        <v>18750</v>
      </c>
      <c r="AB1293" s="12">
        <v>61.3</v>
      </c>
      <c r="AC1293" s="9">
        <f t="shared" si="112"/>
        <v>1149375</v>
      </c>
      <c r="AD1293" s="9">
        <f t="shared" si="113"/>
        <v>1149375</v>
      </c>
      <c r="AE1293" s="1" t="s">
        <v>48</v>
      </c>
      <c r="AF1293" s="1" t="s">
        <v>53</v>
      </c>
      <c r="AG1293" s="4">
        <f t="shared" si="116"/>
        <v>18750</v>
      </c>
      <c r="AH1293" s="10">
        <v>18750</v>
      </c>
      <c r="AI1293" s="10">
        <v>0</v>
      </c>
      <c r="AJ1293" s="10">
        <v>0</v>
      </c>
      <c r="AK1293" s="10">
        <v>0</v>
      </c>
      <c r="AL1293" s="9">
        <f t="shared" si="117"/>
        <v>18750</v>
      </c>
      <c r="AM1293" s="1"/>
      <c r="AN1293" s="1"/>
      <c r="AO1293" s="12" t="e">
        <f>AB1293/#REF!</f>
        <v>#REF!</v>
      </c>
      <c r="AP1293" s="1"/>
      <c r="AQ1293" s="11">
        <v>42053</v>
      </c>
      <c r="AR1293" s="1" t="s">
        <v>3500</v>
      </c>
      <c r="AS1293" s="11">
        <v>42055</v>
      </c>
      <c r="AT1293" s="1" t="s">
        <v>49</v>
      </c>
      <c r="AU1293" s="1" t="s">
        <v>4171</v>
      </c>
    </row>
    <row r="1294" spans="1:47" ht="15" customHeight="1" x14ac:dyDescent="0.25">
      <c r="A1294" s="1">
        <v>1290</v>
      </c>
      <c r="B1294" s="1" t="s">
        <v>1258</v>
      </c>
      <c r="C1294" s="1" t="s">
        <v>38</v>
      </c>
      <c r="D1294" s="1" t="s">
        <v>2855</v>
      </c>
      <c r="E1294" s="5">
        <v>42021</v>
      </c>
      <c r="F1294" s="1" t="s">
        <v>2858</v>
      </c>
      <c r="G1294" s="1" t="s">
        <v>40</v>
      </c>
      <c r="H1294" s="1" t="s">
        <v>41</v>
      </c>
      <c r="I1294" s="1" t="s">
        <v>2809</v>
      </c>
      <c r="J1294" s="1" t="s">
        <v>2806</v>
      </c>
      <c r="K1294" s="1">
        <v>38237090</v>
      </c>
      <c r="L1294" s="6">
        <v>105</v>
      </c>
      <c r="M1294" s="1" t="s">
        <v>70</v>
      </c>
      <c r="N1294" s="7" t="s">
        <v>67</v>
      </c>
      <c r="O1294" s="1" t="s">
        <v>53</v>
      </c>
      <c r="P1294" s="8">
        <v>1250</v>
      </c>
      <c r="Q1294" s="17">
        <f t="shared" si="114"/>
        <v>131250</v>
      </c>
      <c r="R1294" s="9">
        <v>0</v>
      </c>
      <c r="S1294" s="9">
        <v>0</v>
      </c>
      <c r="T1294" s="9">
        <v>0</v>
      </c>
      <c r="U1294" s="10">
        <v>0</v>
      </c>
      <c r="V1294" s="1" t="s">
        <v>46</v>
      </c>
      <c r="W1294" s="1" t="s">
        <v>492</v>
      </c>
      <c r="X1294" s="1">
        <v>7295024</v>
      </c>
      <c r="Y1294" s="11">
        <v>42023</v>
      </c>
      <c r="Z1294" s="11">
        <v>42025</v>
      </c>
      <c r="AA1294" s="9">
        <f t="shared" si="118"/>
        <v>131250</v>
      </c>
      <c r="AB1294" s="12">
        <v>61.3</v>
      </c>
      <c r="AC1294" s="9">
        <f t="shared" si="112"/>
        <v>8045625</v>
      </c>
      <c r="AD1294" s="9">
        <f t="shared" si="113"/>
        <v>8045625</v>
      </c>
      <c r="AE1294" s="1" t="s">
        <v>48</v>
      </c>
      <c r="AF1294" s="1" t="s">
        <v>53</v>
      </c>
      <c r="AG1294" s="4">
        <f t="shared" si="116"/>
        <v>131250</v>
      </c>
      <c r="AH1294" s="10">
        <v>131250</v>
      </c>
      <c r="AI1294" s="10">
        <v>0</v>
      </c>
      <c r="AJ1294" s="10">
        <v>0</v>
      </c>
      <c r="AK1294" s="10">
        <v>0</v>
      </c>
      <c r="AL1294" s="9">
        <f t="shared" si="117"/>
        <v>131250</v>
      </c>
      <c r="AM1294" s="1"/>
      <c r="AN1294" s="1"/>
      <c r="AO1294" s="12" t="e">
        <f>AB1294/#REF!</f>
        <v>#REF!</v>
      </c>
      <c r="AP1294" s="1"/>
      <c r="AQ1294" s="11">
        <v>42053</v>
      </c>
      <c r="AR1294" s="1" t="s">
        <v>3501</v>
      </c>
      <c r="AS1294" s="11">
        <v>42055</v>
      </c>
      <c r="AT1294" s="1" t="s">
        <v>49</v>
      </c>
      <c r="AU1294" s="1" t="s">
        <v>4171</v>
      </c>
    </row>
    <row r="1295" spans="1:47" ht="15" customHeight="1" x14ac:dyDescent="0.25">
      <c r="A1295" s="1">
        <v>1291</v>
      </c>
      <c r="B1295" s="1" t="s">
        <v>1258</v>
      </c>
      <c r="C1295" s="1" t="s">
        <v>38</v>
      </c>
      <c r="D1295" s="1">
        <v>9103551097</v>
      </c>
      <c r="E1295" s="5">
        <v>42027</v>
      </c>
      <c r="F1295" s="1" t="s">
        <v>2859</v>
      </c>
      <c r="G1295" s="1" t="s">
        <v>40</v>
      </c>
      <c r="H1295" s="1" t="s">
        <v>41</v>
      </c>
      <c r="I1295" s="1" t="s">
        <v>2809</v>
      </c>
      <c r="J1295" s="1" t="s">
        <v>2690</v>
      </c>
      <c r="K1295" s="1">
        <v>38237090</v>
      </c>
      <c r="L1295" s="6">
        <v>11.6</v>
      </c>
      <c r="M1295" s="1" t="s">
        <v>70</v>
      </c>
      <c r="N1295" s="7" t="s">
        <v>44</v>
      </c>
      <c r="O1295" s="1" t="s">
        <v>53</v>
      </c>
      <c r="P1295" s="8">
        <v>1705</v>
      </c>
      <c r="Q1295" s="17">
        <f t="shared" si="114"/>
        <v>19778</v>
      </c>
      <c r="R1295" s="9">
        <v>692.04499999999996</v>
      </c>
      <c r="S1295" s="9">
        <v>2.9659</v>
      </c>
      <c r="T1295" s="9">
        <v>0</v>
      </c>
      <c r="U1295" s="10">
        <v>0</v>
      </c>
      <c r="V1295" s="1" t="s">
        <v>46</v>
      </c>
      <c r="W1295" s="1" t="s">
        <v>205</v>
      </c>
      <c r="X1295" s="1">
        <v>7298703</v>
      </c>
      <c r="Y1295" s="11">
        <v>42023</v>
      </c>
      <c r="Z1295" s="11">
        <v>42024</v>
      </c>
      <c r="AA1295" s="9">
        <f t="shared" si="118"/>
        <v>19082.989100000003</v>
      </c>
      <c r="AB1295" s="12">
        <v>61.3</v>
      </c>
      <c r="AC1295" s="9">
        <f t="shared" si="112"/>
        <v>1212391.3999999999</v>
      </c>
      <c r="AD1295" s="9">
        <f t="shared" si="113"/>
        <v>1169787.2318300002</v>
      </c>
      <c r="AE1295" s="1" t="s">
        <v>48</v>
      </c>
      <c r="AF1295" s="1" t="s">
        <v>53</v>
      </c>
      <c r="AG1295" s="4">
        <f t="shared" si="116"/>
        <v>19778</v>
      </c>
      <c r="AH1295" s="10">
        <v>19770</v>
      </c>
      <c r="AI1295" s="10">
        <v>691.2</v>
      </c>
      <c r="AJ1295" s="10">
        <v>2.83</v>
      </c>
      <c r="AK1295" s="10"/>
      <c r="AL1295" s="9">
        <f t="shared" si="117"/>
        <v>19075.97</v>
      </c>
      <c r="AM1295" s="1"/>
      <c r="AN1295" s="1"/>
      <c r="AO1295" s="12" t="e">
        <f>AB1295/#REF!</f>
        <v>#REF!</v>
      </c>
      <c r="AP1295" s="1"/>
      <c r="AQ1295" s="11">
        <v>42060</v>
      </c>
      <c r="AR1295" s="1" t="s">
        <v>3502</v>
      </c>
      <c r="AS1295" s="11">
        <v>42061</v>
      </c>
      <c r="AT1295" s="1" t="s">
        <v>49</v>
      </c>
      <c r="AU1295" s="1" t="s">
        <v>4171</v>
      </c>
    </row>
    <row r="1296" spans="1:47" ht="15" customHeight="1" x14ac:dyDescent="0.25">
      <c r="A1296" s="1">
        <v>1292</v>
      </c>
      <c r="B1296" s="1" t="s">
        <v>1258</v>
      </c>
      <c r="C1296" s="1" t="s">
        <v>38</v>
      </c>
      <c r="D1296" s="1">
        <v>9103551097</v>
      </c>
      <c r="E1296" s="5">
        <v>42027</v>
      </c>
      <c r="F1296" s="1" t="s">
        <v>2859</v>
      </c>
      <c r="G1296" s="1" t="s">
        <v>40</v>
      </c>
      <c r="H1296" s="1" t="s">
        <v>41</v>
      </c>
      <c r="I1296" s="1" t="s">
        <v>2809</v>
      </c>
      <c r="J1296" s="1" t="s">
        <v>2690</v>
      </c>
      <c r="K1296" s="1">
        <v>29051700</v>
      </c>
      <c r="L1296" s="6">
        <v>6</v>
      </c>
      <c r="M1296" s="1" t="s">
        <v>70</v>
      </c>
      <c r="N1296" s="7" t="s">
        <v>44</v>
      </c>
      <c r="O1296" s="1" t="s">
        <v>53</v>
      </c>
      <c r="P1296" s="8">
        <v>1950</v>
      </c>
      <c r="Q1296" s="17">
        <f t="shared" si="114"/>
        <v>11700</v>
      </c>
      <c r="R1296" s="9">
        <v>357.95</v>
      </c>
      <c r="S1296" s="9">
        <v>1.53</v>
      </c>
      <c r="T1296" s="9">
        <v>0</v>
      </c>
      <c r="U1296" s="10">
        <v>0</v>
      </c>
      <c r="V1296" s="1" t="s">
        <v>46</v>
      </c>
      <c r="W1296" s="1" t="s">
        <v>205</v>
      </c>
      <c r="X1296" s="1">
        <v>7298703</v>
      </c>
      <c r="Y1296" s="11">
        <v>42023</v>
      </c>
      <c r="Z1296" s="11">
        <v>42024</v>
      </c>
      <c r="AA1296" s="9">
        <f t="shared" si="118"/>
        <v>11340.519999999999</v>
      </c>
      <c r="AB1296" s="12">
        <v>61.3</v>
      </c>
      <c r="AC1296" s="9">
        <f t="shared" si="112"/>
        <v>717210</v>
      </c>
      <c r="AD1296" s="9">
        <f t="shared" si="113"/>
        <v>695173.87599999993</v>
      </c>
      <c r="AE1296" s="1" t="s">
        <v>48</v>
      </c>
      <c r="AF1296" s="1" t="s">
        <v>53</v>
      </c>
      <c r="AG1296" s="4">
        <f t="shared" si="116"/>
        <v>11700</v>
      </c>
      <c r="AH1296" s="10">
        <v>11693</v>
      </c>
      <c r="AI1296" s="10">
        <v>408.8</v>
      </c>
      <c r="AJ1296" s="10">
        <v>1.67</v>
      </c>
      <c r="AK1296" s="10"/>
      <c r="AL1296" s="9">
        <f t="shared" si="117"/>
        <v>11282.53</v>
      </c>
      <c r="AM1296" s="1"/>
      <c r="AN1296" s="1"/>
      <c r="AO1296" s="12" t="e">
        <f>AB1296/#REF!</f>
        <v>#REF!</v>
      </c>
      <c r="AP1296" s="1"/>
      <c r="AQ1296" s="11">
        <v>42060</v>
      </c>
      <c r="AR1296" s="1" t="s">
        <v>3502</v>
      </c>
      <c r="AS1296" s="11">
        <v>42061</v>
      </c>
      <c r="AT1296" s="1" t="s">
        <v>49</v>
      </c>
      <c r="AU1296" s="1" t="s">
        <v>4171</v>
      </c>
    </row>
    <row r="1297" spans="1:47" ht="15" customHeight="1" x14ac:dyDescent="0.25">
      <c r="A1297" s="1">
        <v>1293</v>
      </c>
      <c r="B1297" s="1" t="s">
        <v>1258</v>
      </c>
      <c r="C1297" s="1" t="s">
        <v>38</v>
      </c>
      <c r="D1297" s="1">
        <v>9103551098</v>
      </c>
      <c r="E1297" s="5">
        <v>42029</v>
      </c>
      <c r="F1297" s="1" t="s">
        <v>2860</v>
      </c>
      <c r="G1297" s="1" t="s">
        <v>40</v>
      </c>
      <c r="H1297" s="1" t="s">
        <v>41</v>
      </c>
      <c r="I1297" s="1" t="s">
        <v>2809</v>
      </c>
      <c r="J1297" s="1" t="s">
        <v>386</v>
      </c>
      <c r="K1297" s="1">
        <v>38237090</v>
      </c>
      <c r="L1297" s="6">
        <v>174.68</v>
      </c>
      <c r="M1297" s="1" t="s">
        <v>70</v>
      </c>
      <c r="N1297" s="7" t="s">
        <v>52</v>
      </c>
      <c r="O1297" s="1" t="s">
        <v>53</v>
      </c>
      <c r="P1297" s="8">
        <v>1285</v>
      </c>
      <c r="Q1297" s="17">
        <f t="shared" si="114"/>
        <v>224463.80000000002</v>
      </c>
      <c r="R1297" s="9">
        <v>6750</v>
      </c>
      <c r="S1297" s="9">
        <v>0</v>
      </c>
      <c r="T1297" s="9">
        <v>0</v>
      </c>
      <c r="U1297" s="10">
        <v>0</v>
      </c>
      <c r="V1297" s="1" t="s">
        <v>46</v>
      </c>
      <c r="W1297" s="1" t="s">
        <v>241</v>
      </c>
      <c r="X1297" s="1">
        <v>7297615</v>
      </c>
      <c r="Y1297" s="11">
        <v>42023</v>
      </c>
      <c r="Z1297" s="11">
        <v>42024</v>
      </c>
      <c r="AA1297" s="9">
        <f t="shared" si="118"/>
        <v>217713.80000000002</v>
      </c>
      <c r="AB1297" s="12">
        <v>61.3</v>
      </c>
      <c r="AC1297" s="9">
        <f t="shared" si="112"/>
        <v>13759630.940000001</v>
      </c>
      <c r="AD1297" s="9">
        <f t="shared" si="113"/>
        <v>13345855.940000001</v>
      </c>
      <c r="AE1297" s="1" t="s">
        <v>48</v>
      </c>
      <c r="AF1297" s="1" t="s">
        <v>53</v>
      </c>
      <c r="AG1297" s="4">
        <f t="shared" si="116"/>
        <v>224463.80000000002</v>
      </c>
      <c r="AH1297" s="10">
        <v>224463.8</v>
      </c>
      <c r="AI1297" s="10">
        <v>6750</v>
      </c>
      <c r="AJ1297" s="10">
        <v>0</v>
      </c>
      <c r="AK1297" s="10">
        <v>0</v>
      </c>
      <c r="AL1297" s="9">
        <f t="shared" si="117"/>
        <v>217713.8</v>
      </c>
      <c r="AM1297" s="1"/>
      <c r="AN1297" s="1"/>
      <c r="AO1297" s="12" t="e">
        <f>AB1297/#REF!</f>
        <v>#REF!</v>
      </c>
      <c r="AP1297" s="1"/>
      <c r="AQ1297" s="11">
        <v>42094</v>
      </c>
      <c r="AR1297" s="1" t="s">
        <v>3503</v>
      </c>
      <c r="AS1297" s="11">
        <v>42098</v>
      </c>
      <c r="AT1297" s="1" t="s">
        <v>49</v>
      </c>
      <c r="AU1297" s="1" t="s">
        <v>4171</v>
      </c>
    </row>
    <row r="1298" spans="1:47" ht="15" customHeight="1" x14ac:dyDescent="0.25">
      <c r="A1298" s="1">
        <v>1294</v>
      </c>
      <c r="B1298" s="1" t="s">
        <v>1258</v>
      </c>
      <c r="C1298" s="1" t="s">
        <v>38</v>
      </c>
      <c r="D1298" s="1">
        <v>9103551099</v>
      </c>
      <c r="E1298" s="5">
        <v>42029</v>
      </c>
      <c r="F1298" s="1" t="s">
        <v>2861</v>
      </c>
      <c r="G1298" s="1" t="s">
        <v>40</v>
      </c>
      <c r="H1298" s="1" t="s">
        <v>41</v>
      </c>
      <c r="I1298" s="1" t="s">
        <v>2809</v>
      </c>
      <c r="J1298" s="1" t="s">
        <v>386</v>
      </c>
      <c r="K1298" s="1">
        <v>38237090</v>
      </c>
      <c r="L1298" s="6">
        <v>19.399999999999999</v>
      </c>
      <c r="M1298" s="1" t="s">
        <v>70</v>
      </c>
      <c r="N1298" s="7" t="s">
        <v>52</v>
      </c>
      <c r="O1298" s="1" t="s">
        <v>53</v>
      </c>
      <c r="P1298" s="8">
        <v>1285</v>
      </c>
      <c r="Q1298" s="17">
        <f t="shared" si="114"/>
        <v>24928.999999999996</v>
      </c>
      <c r="R1298" s="9">
        <v>750</v>
      </c>
      <c r="S1298" s="9">
        <v>0</v>
      </c>
      <c r="T1298" s="9">
        <v>0</v>
      </c>
      <c r="U1298" s="10">
        <v>0</v>
      </c>
      <c r="V1298" s="1" t="s">
        <v>46</v>
      </c>
      <c r="W1298" s="1" t="s">
        <v>241</v>
      </c>
      <c r="X1298" s="1">
        <v>7309451</v>
      </c>
      <c r="Y1298" s="11">
        <v>42024</v>
      </c>
      <c r="Z1298" s="11">
        <v>42025</v>
      </c>
      <c r="AA1298" s="9">
        <f t="shared" si="118"/>
        <v>24178.999999999996</v>
      </c>
      <c r="AB1298" s="12">
        <v>61.3</v>
      </c>
      <c r="AC1298" s="9">
        <f t="shared" si="112"/>
        <v>1528147.6999999997</v>
      </c>
      <c r="AD1298" s="9">
        <f t="shared" si="113"/>
        <v>1482172.6999999997</v>
      </c>
      <c r="AE1298" s="1" t="s">
        <v>48</v>
      </c>
      <c r="AF1298" s="1" t="s">
        <v>53</v>
      </c>
      <c r="AG1298" s="4">
        <f t="shared" si="116"/>
        <v>24928.999999999996</v>
      </c>
      <c r="AH1298" s="10">
        <v>24929</v>
      </c>
      <c r="AI1298" s="10">
        <v>750</v>
      </c>
      <c r="AJ1298" s="10">
        <v>0</v>
      </c>
      <c r="AK1298" s="10">
        <v>0</v>
      </c>
      <c r="AL1298" s="9">
        <f t="shared" si="117"/>
        <v>24179</v>
      </c>
      <c r="AM1298" s="1"/>
      <c r="AN1298" s="1"/>
      <c r="AO1298" s="12" t="e">
        <f>AB1298/#REF!</f>
        <v>#REF!</v>
      </c>
      <c r="AP1298" s="1"/>
      <c r="AQ1298" s="11">
        <v>42094</v>
      </c>
      <c r="AR1298" s="1" t="s">
        <v>3504</v>
      </c>
      <c r="AS1298" s="11">
        <v>42098</v>
      </c>
      <c r="AT1298" s="1" t="s">
        <v>49</v>
      </c>
      <c r="AU1298" s="1" t="s">
        <v>4171</v>
      </c>
    </row>
    <row r="1299" spans="1:47" ht="15" customHeight="1" x14ac:dyDescent="0.25">
      <c r="A1299" s="1">
        <v>1295</v>
      </c>
      <c r="B1299" s="1" t="s">
        <v>1258</v>
      </c>
      <c r="C1299" s="1" t="s">
        <v>38</v>
      </c>
      <c r="D1299" s="1">
        <v>9103551100</v>
      </c>
      <c r="E1299" s="5">
        <v>42033</v>
      </c>
      <c r="F1299" s="1" t="s">
        <v>2862</v>
      </c>
      <c r="G1299" s="1" t="s">
        <v>40</v>
      </c>
      <c r="H1299" s="1" t="s">
        <v>41</v>
      </c>
      <c r="I1299" s="1" t="s">
        <v>2809</v>
      </c>
      <c r="J1299" s="1" t="s">
        <v>2690</v>
      </c>
      <c r="K1299" s="1">
        <v>38237090</v>
      </c>
      <c r="L1299" s="6">
        <v>17.600000000000001</v>
      </c>
      <c r="M1299" s="1" t="s">
        <v>70</v>
      </c>
      <c r="N1299" s="7" t="s">
        <v>44</v>
      </c>
      <c r="O1299" s="1" t="s">
        <v>53</v>
      </c>
      <c r="P1299" s="8">
        <v>1705</v>
      </c>
      <c r="Q1299" s="17">
        <f t="shared" si="114"/>
        <v>30008.000000000004</v>
      </c>
      <c r="R1299" s="9">
        <v>1050</v>
      </c>
      <c r="S1299" s="9">
        <v>4.29</v>
      </c>
      <c r="T1299" s="9">
        <v>0</v>
      </c>
      <c r="U1299" s="10">
        <v>0</v>
      </c>
      <c r="V1299" s="1" t="s">
        <v>46</v>
      </c>
      <c r="W1299" s="1" t="s">
        <v>205</v>
      </c>
      <c r="X1299" s="1">
        <v>7310043</v>
      </c>
      <c r="Y1299" s="11">
        <v>42024</v>
      </c>
      <c r="Z1299" s="11">
        <v>42025</v>
      </c>
      <c r="AA1299" s="9">
        <f t="shared" si="118"/>
        <v>28953.710000000003</v>
      </c>
      <c r="AB1299" s="12">
        <v>61.3</v>
      </c>
      <c r="AC1299" s="9">
        <f t="shared" ref="AC1299:AC1363" si="119">+Q1299*AB1299</f>
        <v>1839490.4000000001</v>
      </c>
      <c r="AD1299" s="9">
        <f t="shared" ref="AD1299:AD1363" si="120">+AA1299*AB1299</f>
        <v>1774862.4230000002</v>
      </c>
      <c r="AE1299" s="1" t="s">
        <v>48</v>
      </c>
      <c r="AF1299" s="1" t="s">
        <v>53</v>
      </c>
      <c r="AG1299" s="4">
        <f t="shared" si="116"/>
        <v>30008.000000000004</v>
      </c>
      <c r="AH1299" s="10">
        <v>29993</v>
      </c>
      <c r="AI1299" s="10">
        <v>1100</v>
      </c>
      <c r="AJ1299" s="10">
        <v>4.29</v>
      </c>
      <c r="AK1299" s="10">
        <v>0</v>
      </c>
      <c r="AL1299" s="9">
        <f t="shared" si="117"/>
        <v>28888.71</v>
      </c>
      <c r="AM1299" s="1"/>
      <c r="AN1299" s="1"/>
      <c r="AO1299" s="12" t="e">
        <f>AB1299/#REF!</f>
        <v>#REF!</v>
      </c>
      <c r="AP1299" s="1"/>
      <c r="AQ1299" s="11">
        <v>42053</v>
      </c>
      <c r="AR1299" s="1" t="s">
        <v>3505</v>
      </c>
      <c r="AS1299" s="11">
        <v>42055</v>
      </c>
      <c r="AT1299" s="1" t="s">
        <v>49</v>
      </c>
      <c r="AU1299" s="1" t="s">
        <v>4171</v>
      </c>
    </row>
    <row r="1300" spans="1:47" ht="15" customHeight="1" x14ac:dyDescent="0.25">
      <c r="A1300" s="1">
        <v>1296</v>
      </c>
      <c r="B1300" s="1" t="s">
        <v>1258</v>
      </c>
      <c r="C1300" s="1" t="s">
        <v>38</v>
      </c>
      <c r="D1300" s="1">
        <v>9103551101</v>
      </c>
      <c r="E1300" s="5">
        <v>42029</v>
      </c>
      <c r="F1300" s="1" t="s">
        <v>2863</v>
      </c>
      <c r="G1300" s="1" t="s">
        <v>40</v>
      </c>
      <c r="H1300" s="1" t="s">
        <v>41</v>
      </c>
      <c r="I1300" s="1" t="s">
        <v>2809</v>
      </c>
      <c r="J1300" s="1" t="s">
        <v>386</v>
      </c>
      <c r="K1300" s="1">
        <v>38237090</v>
      </c>
      <c r="L1300" s="6">
        <v>39.5</v>
      </c>
      <c r="M1300" s="1" t="s">
        <v>70</v>
      </c>
      <c r="N1300" s="7" t="s">
        <v>52</v>
      </c>
      <c r="O1300" s="1" t="s">
        <v>53</v>
      </c>
      <c r="P1300" s="8">
        <v>1285</v>
      </c>
      <c r="Q1300" s="17">
        <f t="shared" si="114"/>
        <v>50757.5</v>
      </c>
      <c r="R1300" s="9">
        <v>1500</v>
      </c>
      <c r="S1300" s="9">
        <v>0</v>
      </c>
      <c r="T1300" s="9">
        <v>0</v>
      </c>
      <c r="U1300" s="10">
        <v>0</v>
      </c>
      <c r="V1300" s="1" t="s">
        <v>46</v>
      </c>
      <c r="W1300" s="1" t="s">
        <v>241</v>
      </c>
      <c r="X1300" s="1">
        <v>7297793</v>
      </c>
      <c r="Y1300" s="11">
        <v>42023</v>
      </c>
      <c r="Z1300" s="11">
        <v>42024</v>
      </c>
      <c r="AA1300" s="9">
        <f t="shared" si="118"/>
        <v>49257.5</v>
      </c>
      <c r="AB1300" s="12">
        <v>61.3</v>
      </c>
      <c r="AC1300" s="9">
        <f t="shared" si="119"/>
        <v>3111434.75</v>
      </c>
      <c r="AD1300" s="9">
        <f t="shared" si="120"/>
        <v>3019484.75</v>
      </c>
      <c r="AE1300" s="1" t="s">
        <v>48</v>
      </c>
      <c r="AF1300" s="1" t="s">
        <v>53</v>
      </c>
      <c r="AG1300" s="4">
        <f t="shared" si="116"/>
        <v>50757.5</v>
      </c>
      <c r="AH1300" s="10">
        <v>50757.5</v>
      </c>
      <c r="AI1300" s="10">
        <v>1450</v>
      </c>
      <c r="AJ1300" s="10">
        <v>0</v>
      </c>
      <c r="AK1300" s="10">
        <v>0</v>
      </c>
      <c r="AL1300" s="9">
        <f t="shared" si="117"/>
        <v>49307.5</v>
      </c>
      <c r="AM1300" s="1"/>
      <c r="AN1300" s="1"/>
      <c r="AO1300" s="12" t="e">
        <f>AB1300/#REF!</f>
        <v>#REF!</v>
      </c>
      <c r="AP1300" s="1"/>
      <c r="AQ1300" s="11">
        <v>42094</v>
      </c>
      <c r="AR1300" s="1" t="s">
        <v>3506</v>
      </c>
      <c r="AS1300" s="11">
        <v>42098</v>
      </c>
      <c r="AT1300" s="1" t="s">
        <v>49</v>
      </c>
      <c r="AU1300" s="1" t="s">
        <v>4171</v>
      </c>
    </row>
    <row r="1301" spans="1:47" ht="15" customHeight="1" x14ac:dyDescent="0.25">
      <c r="A1301" s="1">
        <v>1297</v>
      </c>
      <c r="B1301" s="1" t="s">
        <v>1258</v>
      </c>
      <c r="C1301" s="1" t="s">
        <v>38</v>
      </c>
      <c r="D1301" s="1">
        <v>9103551102</v>
      </c>
      <c r="E1301" s="5">
        <v>42029</v>
      </c>
      <c r="F1301" s="1" t="s">
        <v>2864</v>
      </c>
      <c r="G1301" s="1" t="s">
        <v>40</v>
      </c>
      <c r="H1301" s="1" t="s">
        <v>41</v>
      </c>
      <c r="I1301" s="1" t="s">
        <v>2809</v>
      </c>
      <c r="J1301" s="1" t="s">
        <v>386</v>
      </c>
      <c r="K1301" s="1">
        <v>38237090</v>
      </c>
      <c r="L1301" s="6">
        <v>56.97</v>
      </c>
      <c r="M1301" s="1" t="s">
        <v>70</v>
      </c>
      <c r="N1301" s="7" t="s">
        <v>52</v>
      </c>
      <c r="O1301" s="1" t="s">
        <v>53</v>
      </c>
      <c r="P1301" s="8">
        <v>1285</v>
      </c>
      <c r="Q1301" s="17">
        <f t="shared" si="114"/>
        <v>73206.45</v>
      </c>
      <c r="R1301" s="9">
        <v>2250</v>
      </c>
      <c r="S1301" s="9">
        <v>0</v>
      </c>
      <c r="T1301" s="9">
        <v>0</v>
      </c>
      <c r="U1301" s="10">
        <v>0</v>
      </c>
      <c r="V1301" s="1" t="s">
        <v>46</v>
      </c>
      <c r="W1301" s="1" t="s">
        <v>241</v>
      </c>
      <c r="X1301" s="1">
        <v>7312183</v>
      </c>
      <c r="Y1301" s="11">
        <v>42024</v>
      </c>
      <c r="Z1301" s="11">
        <v>42025</v>
      </c>
      <c r="AA1301" s="9">
        <f t="shared" si="118"/>
        <v>70956.45</v>
      </c>
      <c r="AB1301" s="12">
        <v>61.3</v>
      </c>
      <c r="AC1301" s="9">
        <f t="shared" si="119"/>
        <v>4487555.3849999998</v>
      </c>
      <c r="AD1301" s="9">
        <f t="shared" si="120"/>
        <v>4349630.3849999998</v>
      </c>
      <c r="AE1301" s="1" t="s">
        <v>48</v>
      </c>
      <c r="AF1301" s="1" t="s">
        <v>53</v>
      </c>
      <c r="AG1301" s="4">
        <f t="shared" si="116"/>
        <v>73206.45</v>
      </c>
      <c r="AH1301" s="10">
        <v>73206.45</v>
      </c>
      <c r="AI1301" s="10">
        <v>2175</v>
      </c>
      <c r="AJ1301" s="10">
        <v>0</v>
      </c>
      <c r="AK1301" s="10">
        <v>0</v>
      </c>
      <c r="AL1301" s="9">
        <f t="shared" si="117"/>
        <v>71031.45</v>
      </c>
      <c r="AM1301" s="1"/>
      <c r="AN1301" s="1"/>
      <c r="AO1301" s="12" t="e">
        <f>AB1301/#REF!</f>
        <v>#REF!</v>
      </c>
      <c r="AP1301" s="1"/>
      <c r="AQ1301" s="11">
        <v>42094</v>
      </c>
      <c r="AR1301" s="1" t="s">
        <v>3507</v>
      </c>
      <c r="AS1301" s="11">
        <v>42098</v>
      </c>
      <c r="AT1301" s="1" t="s">
        <v>49</v>
      </c>
      <c r="AU1301" s="1" t="s">
        <v>4171</v>
      </c>
    </row>
    <row r="1302" spans="1:47" s="23" customFormat="1" ht="15" customHeight="1" x14ac:dyDescent="0.25">
      <c r="A1302" s="1">
        <v>1298</v>
      </c>
      <c r="B1302" s="3" t="s">
        <v>1258</v>
      </c>
      <c r="C1302" s="3" t="s">
        <v>38</v>
      </c>
      <c r="D1302" s="3">
        <v>9103551103</v>
      </c>
      <c r="E1302" s="19">
        <v>42029</v>
      </c>
      <c r="F1302" s="3" t="s">
        <v>2865</v>
      </c>
      <c r="G1302" s="3" t="s">
        <v>40</v>
      </c>
      <c r="H1302" s="3" t="s">
        <v>41</v>
      </c>
      <c r="I1302" s="3" t="s">
        <v>2809</v>
      </c>
      <c r="J1302" s="3" t="s">
        <v>50</v>
      </c>
      <c r="K1302" s="3">
        <v>38237090</v>
      </c>
      <c r="L1302" s="48">
        <v>111.5</v>
      </c>
      <c r="M1302" s="3" t="s">
        <v>70</v>
      </c>
      <c r="N1302" s="49" t="s">
        <v>52</v>
      </c>
      <c r="O1302" s="3" t="s">
        <v>45</v>
      </c>
      <c r="P1302" s="50">
        <v>1003</v>
      </c>
      <c r="Q1302" s="17">
        <f t="shared" si="114"/>
        <v>111834.5</v>
      </c>
      <c r="R1302" s="20">
        <v>4092.35</v>
      </c>
      <c r="S1302" s="20">
        <v>0</v>
      </c>
      <c r="T1302" s="20">
        <v>0</v>
      </c>
      <c r="U1302" s="4">
        <v>0</v>
      </c>
      <c r="V1302" s="3" t="s">
        <v>46</v>
      </c>
      <c r="W1302" s="3" t="s">
        <v>2657</v>
      </c>
      <c r="X1302" s="3">
        <v>7319682</v>
      </c>
      <c r="Y1302" s="21">
        <v>42024</v>
      </c>
      <c r="Z1302" s="21">
        <v>42025</v>
      </c>
      <c r="AA1302" s="20">
        <f t="shared" si="118"/>
        <v>107742.15</v>
      </c>
      <c r="AB1302" s="22">
        <v>71.900000000000006</v>
      </c>
      <c r="AC1302" s="20">
        <f t="shared" si="119"/>
        <v>8040900.5500000007</v>
      </c>
      <c r="AD1302" s="20">
        <f t="shared" si="120"/>
        <v>7746660.585</v>
      </c>
      <c r="AE1302" s="3" t="s">
        <v>48</v>
      </c>
      <c r="AF1302" s="3" t="s">
        <v>45</v>
      </c>
      <c r="AG1302" s="4">
        <f t="shared" si="116"/>
        <v>111834.5</v>
      </c>
      <c r="AH1302" s="4">
        <v>111834.5</v>
      </c>
      <c r="AI1302" s="4">
        <v>4288.16</v>
      </c>
      <c r="AJ1302" s="4">
        <v>0</v>
      </c>
      <c r="AK1302" s="4">
        <v>0</v>
      </c>
      <c r="AL1302" s="20">
        <f t="shared" si="117"/>
        <v>107546.34</v>
      </c>
      <c r="AM1302" s="3"/>
      <c r="AN1302" s="3"/>
      <c r="AO1302" s="12" t="e">
        <f>AB1302/#REF!</f>
        <v>#REF!</v>
      </c>
      <c r="AP1302" s="3"/>
      <c r="AQ1302" s="21">
        <v>42126</v>
      </c>
      <c r="AR1302" s="3" t="s">
        <v>3670</v>
      </c>
      <c r="AS1302" s="21">
        <v>42129</v>
      </c>
      <c r="AT1302" s="3" t="s">
        <v>49</v>
      </c>
      <c r="AU1302" s="1" t="s">
        <v>4171</v>
      </c>
    </row>
    <row r="1303" spans="1:47" ht="15" customHeight="1" x14ac:dyDescent="0.25">
      <c r="A1303" s="1">
        <v>1299</v>
      </c>
      <c r="B1303" s="1" t="s">
        <v>1258</v>
      </c>
      <c r="C1303" s="1" t="s">
        <v>38</v>
      </c>
      <c r="D1303" s="1">
        <v>9103551104</v>
      </c>
      <c r="E1303" s="5">
        <v>42029</v>
      </c>
      <c r="F1303" s="1" t="s">
        <v>2866</v>
      </c>
      <c r="G1303" s="1" t="s">
        <v>40</v>
      </c>
      <c r="H1303" s="1" t="s">
        <v>41</v>
      </c>
      <c r="I1303" s="1" t="s">
        <v>2809</v>
      </c>
      <c r="J1303" s="1" t="s">
        <v>2153</v>
      </c>
      <c r="K1303" s="1">
        <v>38231900</v>
      </c>
      <c r="L1303" s="6">
        <v>19.88</v>
      </c>
      <c r="M1303" s="1" t="s">
        <v>70</v>
      </c>
      <c r="N1303" s="7" t="s">
        <v>44</v>
      </c>
      <c r="O1303" s="1" t="s">
        <v>45</v>
      </c>
      <c r="P1303" s="8">
        <v>2980</v>
      </c>
      <c r="Q1303" s="17">
        <f t="shared" si="114"/>
        <v>59242.399999999994</v>
      </c>
      <c r="R1303" s="9">
        <v>916.52</v>
      </c>
      <c r="S1303" s="9">
        <v>8.4700000000000006</v>
      </c>
      <c r="T1303" s="9">
        <v>0</v>
      </c>
      <c r="U1303" s="10">
        <v>0</v>
      </c>
      <c r="V1303" s="1" t="s">
        <v>46</v>
      </c>
      <c r="W1303" s="1" t="s">
        <v>47</v>
      </c>
      <c r="X1303" s="1">
        <v>7321220</v>
      </c>
      <c r="Y1303" s="11">
        <v>42024</v>
      </c>
      <c r="Z1303" s="11">
        <v>42025</v>
      </c>
      <c r="AA1303" s="9">
        <f t="shared" si="118"/>
        <v>58317.409999999996</v>
      </c>
      <c r="AB1303" s="12">
        <v>71.900000000000006</v>
      </c>
      <c r="AC1303" s="9">
        <f t="shared" si="119"/>
        <v>4259528.5599999996</v>
      </c>
      <c r="AD1303" s="9">
        <f t="shared" si="120"/>
        <v>4193021.7790000001</v>
      </c>
      <c r="AE1303" s="1" t="s">
        <v>48</v>
      </c>
      <c r="AF1303" s="1" t="s">
        <v>45</v>
      </c>
      <c r="AG1303" s="4">
        <f t="shared" si="116"/>
        <v>59242.399999999994</v>
      </c>
      <c r="AH1303" s="10">
        <v>59242.400000000001</v>
      </c>
      <c r="AI1303" s="10">
        <v>945.67</v>
      </c>
      <c r="AJ1303" s="10">
        <v>8.4700000000000006</v>
      </c>
      <c r="AK1303" s="10">
        <v>0</v>
      </c>
      <c r="AL1303" s="9">
        <f t="shared" si="117"/>
        <v>58288.26</v>
      </c>
      <c r="AM1303" s="1"/>
      <c r="AN1303" s="1"/>
      <c r="AO1303" s="12" t="e">
        <f>AB1303/#REF!</f>
        <v>#REF!</v>
      </c>
      <c r="AP1303" s="1"/>
      <c r="AQ1303" s="11">
        <v>42068</v>
      </c>
      <c r="AR1303" s="1" t="s">
        <v>3696</v>
      </c>
      <c r="AS1303" s="11">
        <v>42070</v>
      </c>
      <c r="AT1303" s="1" t="s">
        <v>49</v>
      </c>
      <c r="AU1303" s="1" t="s">
        <v>4171</v>
      </c>
    </row>
    <row r="1304" spans="1:47" ht="15" customHeight="1" x14ac:dyDescent="0.25">
      <c r="A1304" s="1">
        <v>1300</v>
      </c>
      <c r="B1304" s="1" t="s">
        <v>1258</v>
      </c>
      <c r="C1304" s="1" t="s">
        <v>38</v>
      </c>
      <c r="D1304" s="1">
        <v>9103551105</v>
      </c>
      <c r="E1304" s="5">
        <v>42029</v>
      </c>
      <c r="F1304" s="1" t="s">
        <v>2867</v>
      </c>
      <c r="G1304" s="1" t="s">
        <v>40</v>
      </c>
      <c r="H1304" s="1" t="s">
        <v>41</v>
      </c>
      <c r="I1304" s="1" t="s">
        <v>2809</v>
      </c>
      <c r="J1304" s="1" t="s">
        <v>2153</v>
      </c>
      <c r="K1304" s="1">
        <v>38231900</v>
      </c>
      <c r="L1304" s="6">
        <v>39.42</v>
      </c>
      <c r="M1304" s="1" t="s">
        <v>70</v>
      </c>
      <c r="N1304" s="7" t="s">
        <v>44</v>
      </c>
      <c r="O1304" s="1" t="s">
        <v>45</v>
      </c>
      <c r="P1304" s="8">
        <v>2980</v>
      </c>
      <c r="Q1304" s="17">
        <f t="shared" si="114"/>
        <v>117471.6</v>
      </c>
      <c r="R1304" s="9">
        <v>1833.03</v>
      </c>
      <c r="S1304" s="9">
        <v>16.8</v>
      </c>
      <c r="T1304" s="9">
        <v>0</v>
      </c>
      <c r="U1304" s="10">
        <v>0</v>
      </c>
      <c r="V1304" s="1" t="s">
        <v>46</v>
      </c>
      <c r="W1304" s="1" t="s">
        <v>47</v>
      </c>
      <c r="X1304" s="1">
        <v>7332649</v>
      </c>
      <c r="Y1304" s="11">
        <v>42025</v>
      </c>
      <c r="Z1304" s="11">
        <v>42026</v>
      </c>
      <c r="AA1304" s="9">
        <f t="shared" si="118"/>
        <v>115621.77</v>
      </c>
      <c r="AB1304" s="12">
        <v>71.900000000000006</v>
      </c>
      <c r="AC1304" s="9">
        <f t="shared" si="119"/>
        <v>8446208.040000001</v>
      </c>
      <c r="AD1304" s="9">
        <f t="shared" si="120"/>
        <v>8313205.2630000012</v>
      </c>
      <c r="AE1304" s="1" t="s">
        <v>48</v>
      </c>
      <c r="AF1304" s="1" t="s">
        <v>45</v>
      </c>
      <c r="AG1304" s="4">
        <f t="shared" si="116"/>
        <v>117471.6</v>
      </c>
      <c r="AH1304" s="10">
        <v>117471.6</v>
      </c>
      <c r="AI1304" s="10">
        <v>1891.34</v>
      </c>
      <c r="AJ1304" s="10">
        <v>16.8</v>
      </c>
      <c r="AK1304" s="10">
        <v>0</v>
      </c>
      <c r="AL1304" s="9">
        <f t="shared" si="117"/>
        <v>115563.46</v>
      </c>
      <c r="AM1304" s="1"/>
      <c r="AN1304" s="1"/>
      <c r="AO1304" s="12" t="e">
        <f>AB1304/#REF!</f>
        <v>#REF!</v>
      </c>
      <c r="AP1304" s="1"/>
      <c r="AQ1304" s="11">
        <v>42068</v>
      </c>
      <c r="AR1304" s="1" t="s">
        <v>3697</v>
      </c>
      <c r="AS1304" s="11">
        <v>42070</v>
      </c>
      <c r="AT1304" s="1" t="s">
        <v>49</v>
      </c>
      <c r="AU1304" s="1" t="s">
        <v>4171</v>
      </c>
    </row>
    <row r="1305" spans="1:47" ht="15" customHeight="1" x14ac:dyDescent="0.25">
      <c r="A1305" s="1">
        <v>1301</v>
      </c>
      <c r="B1305" s="1" t="s">
        <v>1258</v>
      </c>
      <c r="C1305" s="1" t="s">
        <v>38</v>
      </c>
      <c r="D1305" s="1">
        <v>9103551106</v>
      </c>
      <c r="E1305" s="5">
        <v>42025</v>
      </c>
      <c r="F1305" s="1" t="s">
        <v>2868</v>
      </c>
      <c r="G1305" s="1" t="s">
        <v>40</v>
      </c>
      <c r="H1305" s="1" t="s">
        <v>41</v>
      </c>
      <c r="I1305" s="1" t="s">
        <v>2809</v>
      </c>
      <c r="J1305" s="1" t="s">
        <v>2660</v>
      </c>
      <c r="K1305" s="1">
        <v>38237090</v>
      </c>
      <c r="L1305" s="6">
        <v>105</v>
      </c>
      <c r="M1305" s="1" t="s">
        <v>70</v>
      </c>
      <c r="N1305" s="7" t="s">
        <v>52</v>
      </c>
      <c r="O1305" s="1" t="s">
        <v>53</v>
      </c>
      <c r="P1305" s="8">
        <v>3720</v>
      </c>
      <c r="Q1305" s="17">
        <f t="shared" si="114"/>
        <v>390600</v>
      </c>
      <c r="R1305" s="9">
        <v>350</v>
      </c>
      <c r="S1305" s="9">
        <v>0</v>
      </c>
      <c r="T1305" s="9">
        <v>0</v>
      </c>
      <c r="U1305" s="10">
        <v>0</v>
      </c>
      <c r="V1305" s="1" t="s">
        <v>46</v>
      </c>
      <c r="W1305" s="1" t="s">
        <v>54</v>
      </c>
      <c r="X1305" s="3">
        <v>7340840</v>
      </c>
      <c r="Y1305" s="11">
        <v>42025</v>
      </c>
      <c r="Z1305" s="11">
        <v>42026</v>
      </c>
      <c r="AA1305" s="9">
        <f t="shared" si="118"/>
        <v>390250</v>
      </c>
      <c r="AB1305" s="12">
        <v>61.3</v>
      </c>
      <c r="AC1305" s="9">
        <f t="shared" si="119"/>
        <v>23943780</v>
      </c>
      <c r="AD1305" s="9">
        <f t="shared" si="120"/>
        <v>23922325</v>
      </c>
      <c r="AE1305" s="1" t="s">
        <v>48</v>
      </c>
      <c r="AF1305" s="1" t="s">
        <v>53</v>
      </c>
      <c r="AG1305" s="4">
        <f t="shared" si="116"/>
        <v>390600</v>
      </c>
      <c r="AH1305" s="10">
        <v>390600</v>
      </c>
      <c r="AI1305" s="10">
        <v>345</v>
      </c>
      <c r="AJ1305" s="10">
        <v>0</v>
      </c>
      <c r="AK1305" s="10">
        <v>0</v>
      </c>
      <c r="AL1305" s="9">
        <f t="shared" si="117"/>
        <v>390255</v>
      </c>
      <c r="AM1305" s="1"/>
      <c r="AN1305" s="1"/>
      <c r="AO1305" s="12" t="e">
        <f>AB1305/#REF!</f>
        <v>#REF!</v>
      </c>
      <c r="AP1305" s="1"/>
      <c r="AQ1305" s="11">
        <v>42060</v>
      </c>
      <c r="AR1305" s="1" t="s">
        <v>3508</v>
      </c>
      <c r="AS1305" s="11">
        <v>42061</v>
      </c>
      <c r="AT1305" s="1" t="s">
        <v>49</v>
      </c>
      <c r="AU1305" s="1" t="s">
        <v>4171</v>
      </c>
    </row>
    <row r="1306" spans="1:47" ht="15" customHeight="1" x14ac:dyDescent="0.25">
      <c r="A1306" s="1">
        <v>1302</v>
      </c>
      <c r="B1306" s="1" t="s">
        <v>1258</v>
      </c>
      <c r="C1306" s="1" t="s">
        <v>38</v>
      </c>
      <c r="D1306" s="1">
        <v>9103551107</v>
      </c>
      <c r="E1306" s="5">
        <v>42032</v>
      </c>
      <c r="F1306" s="1" t="s">
        <v>2869</v>
      </c>
      <c r="G1306" s="1" t="s">
        <v>40</v>
      </c>
      <c r="H1306" s="1" t="s">
        <v>41</v>
      </c>
      <c r="I1306" s="1" t="s">
        <v>2809</v>
      </c>
      <c r="J1306" s="1" t="s">
        <v>63</v>
      </c>
      <c r="K1306" s="1">
        <v>29054500</v>
      </c>
      <c r="L1306" s="6">
        <v>20</v>
      </c>
      <c r="M1306" s="1" t="s">
        <v>70</v>
      </c>
      <c r="N1306" s="7" t="s">
        <v>52</v>
      </c>
      <c r="O1306" s="1" t="s">
        <v>53</v>
      </c>
      <c r="P1306" s="8">
        <v>1025</v>
      </c>
      <c r="Q1306" s="17">
        <f t="shared" si="114"/>
        <v>20500</v>
      </c>
      <c r="R1306" s="9">
        <v>125</v>
      </c>
      <c r="S1306" s="9">
        <v>0</v>
      </c>
      <c r="T1306" s="9">
        <v>0</v>
      </c>
      <c r="U1306" s="10">
        <v>0</v>
      </c>
      <c r="V1306" s="1" t="s">
        <v>46</v>
      </c>
      <c r="W1306" s="1" t="s">
        <v>75</v>
      </c>
      <c r="X1306" s="3">
        <v>7363510</v>
      </c>
      <c r="Y1306" s="11">
        <v>42026</v>
      </c>
      <c r="Z1306" s="11">
        <v>42027</v>
      </c>
      <c r="AA1306" s="9">
        <f t="shared" si="118"/>
        <v>20375</v>
      </c>
      <c r="AB1306" s="12">
        <v>61.3</v>
      </c>
      <c r="AC1306" s="9">
        <f t="shared" si="119"/>
        <v>1256650</v>
      </c>
      <c r="AD1306" s="9">
        <f t="shared" si="120"/>
        <v>1248987.5</v>
      </c>
      <c r="AE1306" s="1" t="s">
        <v>51</v>
      </c>
      <c r="AF1306" s="1" t="s">
        <v>53</v>
      </c>
      <c r="AG1306" s="4">
        <f t="shared" si="116"/>
        <v>20500</v>
      </c>
      <c r="AH1306" s="10">
        <v>20500</v>
      </c>
      <c r="AI1306" s="10">
        <v>136</v>
      </c>
      <c r="AJ1306" s="10">
        <v>0</v>
      </c>
      <c r="AK1306" s="10">
        <v>0</v>
      </c>
      <c r="AL1306" s="9">
        <f t="shared" si="117"/>
        <v>20364</v>
      </c>
      <c r="AM1306" s="1"/>
      <c r="AN1306" s="1"/>
      <c r="AO1306" s="12" t="e">
        <f>AB1306/#REF!</f>
        <v>#REF!</v>
      </c>
      <c r="AP1306" s="1"/>
      <c r="AQ1306" s="11">
        <v>42065</v>
      </c>
      <c r="AR1306" s="1" t="s">
        <v>3656</v>
      </c>
      <c r="AS1306" s="11">
        <v>42066</v>
      </c>
      <c r="AT1306" s="1" t="s">
        <v>49</v>
      </c>
      <c r="AU1306" s="1" t="s">
        <v>4171</v>
      </c>
    </row>
    <row r="1307" spans="1:47" ht="15" customHeight="1" x14ac:dyDescent="0.25">
      <c r="A1307" s="1">
        <v>1303</v>
      </c>
      <c r="B1307" s="1" t="s">
        <v>1258</v>
      </c>
      <c r="C1307" s="1" t="s">
        <v>38</v>
      </c>
      <c r="D1307" s="1">
        <v>9103551108</v>
      </c>
      <c r="E1307" s="5">
        <v>42026</v>
      </c>
      <c r="F1307" s="1" t="s">
        <v>2870</v>
      </c>
      <c r="G1307" s="1" t="s">
        <v>40</v>
      </c>
      <c r="H1307" s="1" t="s">
        <v>41</v>
      </c>
      <c r="I1307" s="1" t="s">
        <v>2809</v>
      </c>
      <c r="J1307" s="1" t="s">
        <v>2660</v>
      </c>
      <c r="K1307" s="1">
        <v>38237090</v>
      </c>
      <c r="L1307" s="6">
        <v>13.6</v>
      </c>
      <c r="M1307" s="1" t="s">
        <v>70</v>
      </c>
      <c r="N1307" s="7" t="s">
        <v>44</v>
      </c>
      <c r="O1307" s="1" t="s">
        <v>53</v>
      </c>
      <c r="P1307" s="8">
        <v>1465</v>
      </c>
      <c r="Q1307" s="17">
        <f t="shared" si="114"/>
        <v>19924</v>
      </c>
      <c r="R1307" s="9">
        <v>125</v>
      </c>
      <c r="S1307" s="9">
        <v>2.85</v>
      </c>
      <c r="T1307" s="9">
        <v>0</v>
      </c>
      <c r="U1307" s="10">
        <v>0</v>
      </c>
      <c r="V1307" s="1" t="s">
        <v>46</v>
      </c>
      <c r="W1307" s="1" t="s">
        <v>75</v>
      </c>
      <c r="X1307" s="1">
        <v>7361985</v>
      </c>
      <c r="Y1307" s="11">
        <v>42026</v>
      </c>
      <c r="Z1307" s="11">
        <v>42027</v>
      </c>
      <c r="AA1307" s="9">
        <f t="shared" si="118"/>
        <v>19796.150000000001</v>
      </c>
      <c r="AB1307" s="12">
        <v>61.3</v>
      </c>
      <c r="AC1307" s="9">
        <f t="shared" si="119"/>
        <v>1221341.2</v>
      </c>
      <c r="AD1307" s="9">
        <f t="shared" si="120"/>
        <v>1213503.9950000001</v>
      </c>
      <c r="AE1307" s="1" t="s">
        <v>48</v>
      </c>
      <c r="AF1307" s="1" t="s">
        <v>53</v>
      </c>
      <c r="AG1307" s="4">
        <f t="shared" si="116"/>
        <v>19924</v>
      </c>
      <c r="AH1307" s="10">
        <v>19924</v>
      </c>
      <c r="AI1307" s="10">
        <v>136</v>
      </c>
      <c r="AJ1307" s="10">
        <v>2.85</v>
      </c>
      <c r="AK1307" s="10">
        <v>0</v>
      </c>
      <c r="AL1307" s="9">
        <f t="shared" si="117"/>
        <v>19785.150000000001</v>
      </c>
      <c r="AM1307" s="1"/>
      <c r="AN1307" s="1"/>
      <c r="AO1307" s="12" t="e">
        <f>AB1307/#REF!</f>
        <v>#REF!</v>
      </c>
      <c r="AP1307" s="1"/>
      <c r="AQ1307" s="11">
        <v>42065</v>
      </c>
      <c r="AR1307" s="1" t="s">
        <v>3509</v>
      </c>
      <c r="AS1307" s="11">
        <v>42066</v>
      </c>
      <c r="AT1307" s="1" t="s">
        <v>49</v>
      </c>
      <c r="AU1307" s="1" t="s">
        <v>4171</v>
      </c>
    </row>
    <row r="1308" spans="1:47" ht="15" customHeight="1" x14ac:dyDescent="0.25">
      <c r="A1308" s="1">
        <v>1304</v>
      </c>
      <c r="B1308" s="1" t="s">
        <v>1258</v>
      </c>
      <c r="C1308" s="1" t="s">
        <v>38</v>
      </c>
      <c r="D1308" s="1">
        <v>9103551109</v>
      </c>
      <c r="E1308" s="5">
        <v>42030</v>
      </c>
      <c r="F1308" s="1" t="s">
        <v>2871</v>
      </c>
      <c r="G1308" s="1" t="s">
        <v>40</v>
      </c>
      <c r="H1308" s="1" t="s">
        <v>41</v>
      </c>
      <c r="I1308" s="1" t="s">
        <v>2810</v>
      </c>
      <c r="J1308" s="1" t="s">
        <v>1116</v>
      </c>
      <c r="K1308" s="1">
        <v>38237090</v>
      </c>
      <c r="L1308" s="6">
        <v>112.61</v>
      </c>
      <c r="M1308" s="1" t="s">
        <v>70</v>
      </c>
      <c r="N1308" s="7" t="s">
        <v>67</v>
      </c>
      <c r="O1308" s="1" t="s">
        <v>1117</v>
      </c>
      <c r="P1308" s="8">
        <v>84785</v>
      </c>
      <c r="Q1308" s="17">
        <f t="shared" ref="Q1308:Q1372" si="121">+L1308*P1308</f>
        <v>9547638.8499999996</v>
      </c>
      <c r="R1308" s="9">
        <v>0</v>
      </c>
      <c r="S1308" s="9">
        <v>0</v>
      </c>
      <c r="T1308" s="9">
        <v>506979.62</v>
      </c>
      <c r="U1308" s="10">
        <v>0</v>
      </c>
      <c r="V1308" s="1" t="s">
        <v>46</v>
      </c>
      <c r="W1308" s="1" t="s">
        <v>361</v>
      </c>
      <c r="X1308" s="1">
        <v>7368689</v>
      </c>
      <c r="Y1308" s="11">
        <v>42026</v>
      </c>
      <c r="Z1308" s="11">
        <v>42027</v>
      </c>
      <c r="AA1308" s="9">
        <f t="shared" si="118"/>
        <v>9547638.8499999996</v>
      </c>
      <c r="AB1308" s="12">
        <v>1</v>
      </c>
      <c r="AC1308" s="9">
        <f t="shared" si="119"/>
        <v>9547638.8499999996</v>
      </c>
      <c r="AD1308" s="9">
        <f t="shared" si="120"/>
        <v>9547638.8499999996</v>
      </c>
      <c r="AE1308" s="1" t="s">
        <v>4162</v>
      </c>
      <c r="AF1308" s="1" t="s">
        <v>1117</v>
      </c>
      <c r="AG1308" s="4">
        <f t="shared" si="116"/>
        <v>9547638.8499999996</v>
      </c>
      <c r="AH1308" s="10">
        <v>9547638.8499999996</v>
      </c>
      <c r="AI1308" s="10"/>
      <c r="AJ1308" s="10"/>
      <c r="AK1308" s="10"/>
      <c r="AL1308" s="9">
        <f t="shared" si="117"/>
        <v>9547638.8499999996</v>
      </c>
      <c r="AM1308" s="1"/>
      <c r="AN1308" s="1"/>
      <c r="AO1308" s="12"/>
      <c r="AP1308" s="1" t="s">
        <v>4046</v>
      </c>
      <c r="AQ1308" s="11" t="s">
        <v>4043</v>
      </c>
      <c r="AR1308" s="1" t="s">
        <v>4045</v>
      </c>
      <c r="AS1308" s="1" t="s">
        <v>4040</v>
      </c>
      <c r="AT1308" s="1" t="s">
        <v>49</v>
      </c>
      <c r="AU1308" s="1" t="s">
        <v>4171</v>
      </c>
    </row>
    <row r="1309" spans="1:47" ht="15" customHeight="1" x14ac:dyDescent="0.25">
      <c r="A1309" s="1">
        <v>1305</v>
      </c>
      <c r="B1309" s="1" t="s">
        <v>1258</v>
      </c>
      <c r="C1309" s="1" t="s">
        <v>38</v>
      </c>
      <c r="D1309" s="1">
        <v>9103551110</v>
      </c>
      <c r="E1309" s="5">
        <v>42030</v>
      </c>
      <c r="F1309" s="1" t="s">
        <v>2872</v>
      </c>
      <c r="G1309" s="1" t="s">
        <v>40</v>
      </c>
      <c r="H1309" s="1" t="s">
        <v>41</v>
      </c>
      <c r="I1309" s="1" t="s">
        <v>2809</v>
      </c>
      <c r="J1309" s="1" t="s">
        <v>187</v>
      </c>
      <c r="K1309" s="1">
        <v>38237090</v>
      </c>
      <c r="L1309" s="6">
        <v>36.93</v>
      </c>
      <c r="M1309" s="1" t="s">
        <v>70</v>
      </c>
      <c r="N1309" s="7" t="s">
        <v>44</v>
      </c>
      <c r="O1309" s="1" t="s">
        <v>53</v>
      </c>
      <c r="P1309" s="8">
        <v>1563</v>
      </c>
      <c r="Q1309" s="17">
        <f t="shared" si="121"/>
        <v>57721.59</v>
      </c>
      <c r="R1309" s="9">
        <v>8700</v>
      </c>
      <c r="S1309" s="9">
        <v>8.25</v>
      </c>
      <c r="T1309" s="9">
        <v>0</v>
      </c>
      <c r="U1309" s="10">
        <v>0</v>
      </c>
      <c r="V1309" s="1" t="s">
        <v>46</v>
      </c>
      <c r="W1309" s="1" t="s">
        <v>56</v>
      </c>
      <c r="X1309" s="1">
        <v>7363851</v>
      </c>
      <c r="Y1309" s="11">
        <v>42026</v>
      </c>
      <c r="Z1309" s="11">
        <v>42027</v>
      </c>
      <c r="AA1309" s="9">
        <f t="shared" si="118"/>
        <v>49013.34</v>
      </c>
      <c r="AB1309" s="12">
        <v>61.3</v>
      </c>
      <c r="AC1309" s="9">
        <f t="shared" si="119"/>
        <v>3538333.4669999997</v>
      </c>
      <c r="AD1309" s="9">
        <f t="shared" si="120"/>
        <v>3004517.7419999996</v>
      </c>
      <c r="AE1309" s="1" t="s">
        <v>48</v>
      </c>
      <c r="AF1309" s="1" t="s">
        <v>53</v>
      </c>
      <c r="AG1309" s="4">
        <f t="shared" si="116"/>
        <v>57721.59</v>
      </c>
      <c r="AH1309" s="10">
        <v>57686.59</v>
      </c>
      <c r="AI1309" s="10">
        <v>8650</v>
      </c>
      <c r="AJ1309" s="10">
        <v>8.25</v>
      </c>
      <c r="AK1309" s="10">
        <v>0</v>
      </c>
      <c r="AL1309" s="9">
        <f t="shared" si="117"/>
        <v>49028.34</v>
      </c>
      <c r="AM1309" s="1"/>
      <c r="AN1309" s="1"/>
      <c r="AO1309" s="12" t="e">
        <f>AB1309/#REF!</f>
        <v>#REF!</v>
      </c>
      <c r="AP1309" s="1"/>
      <c r="AQ1309" s="11">
        <v>42102</v>
      </c>
      <c r="AR1309" s="1" t="s">
        <v>3510</v>
      </c>
      <c r="AS1309" s="11">
        <v>42103</v>
      </c>
      <c r="AT1309" s="1" t="s">
        <v>49</v>
      </c>
      <c r="AU1309" s="1" t="s">
        <v>4171</v>
      </c>
    </row>
    <row r="1310" spans="1:47" ht="15" customHeight="1" x14ac:dyDescent="0.25">
      <c r="A1310" s="1">
        <v>1306</v>
      </c>
      <c r="B1310" s="1" t="s">
        <v>1258</v>
      </c>
      <c r="C1310" s="1" t="s">
        <v>38</v>
      </c>
      <c r="D1310" s="1">
        <v>9103551111</v>
      </c>
      <c r="E1310" s="5">
        <v>42028</v>
      </c>
      <c r="F1310" s="1" t="s">
        <v>2873</v>
      </c>
      <c r="G1310" s="1" t="s">
        <v>40</v>
      </c>
      <c r="H1310" s="1" t="s">
        <v>41</v>
      </c>
      <c r="I1310" s="1" t="s">
        <v>2809</v>
      </c>
      <c r="J1310" s="1" t="s">
        <v>2153</v>
      </c>
      <c r="K1310" s="1">
        <v>38231900</v>
      </c>
      <c r="L1310" s="6">
        <v>39.85</v>
      </c>
      <c r="M1310" s="1" t="s">
        <v>70</v>
      </c>
      <c r="N1310" s="7" t="s">
        <v>44</v>
      </c>
      <c r="O1310" s="1" t="s">
        <v>45</v>
      </c>
      <c r="P1310" s="8">
        <v>2940</v>
      </c>
      <c r="Q1310" s="17">
        <f t="shared" si="121"/>
        <v>117159</v>
      </c>
      <c r="R1310" s="9">
        <v>1833.03</v>
      </c>
      <c r="S1310" s="9">
        <v>16.75</v>
      </c>
      <c r="T1310" s="9">
        <v>0</v>
      </c>
      <c r="U1310" s="10">
        <v>0</v>
      </c>
      <c r="V1310" s="1" t="s">
        <v>46</v>
      </c>
      <c r="W1310" s="1" t="s">
        <v>47</v>
      </c>
      <c r="X1310" s="1">
        <v>7358608</v>
      </c>
      <c r="Y1310" s="11">
        <v>42026</v>
      </c>
      <c r="Z1310" s="11">
        <v>42027</v>
      </c>
      <c r="AA1310" s="9">
        <f t="shared" si="118"/>
        <v>115309.22</v>
      </c>
      <c r="AB1310" s="12">
        <v>71.900000000000006</v>
      </c>
      <c r="AC1310" s="9">
        <f t="shared" si="119"/>
        <v>8423732.1000000015</v>
      </c>
      <c r="AD1310" s="9">
        <f t="shared" si="120"/>
        <v>8290732.9180000005</v>
      </c>
      <c r="AE1310" s="1" t="s">
        <v>48</v>
      </c>
      <c r="AF1310" s="1" t="s">
        <v>45</v>
      </c>
      <c r="AG1310" s="4">
        <f t="shared" si="116"/>
        <v>117159</v>
      </c>
      <c r="AH1310" s="10">
        <v>117159</v>
      </c>
      <c r="AI1310" s="10">
        <v>1891.34</v>
      </c>
      <c r="AJ1310" s="10">
        <v>16.75</v>
      </c>
      <c r="AK1310" s="10">
        <v>0</v>
      </c>
      <c r="AL1310" s="9">
        <f t="shared" si="117"/>
        <v>115250.91</v>
      </c>
      <c r="AM1310" s="1"/>
      <c r="AN1310" s="1"/>
      <c r="AO1310" s="12" t="e">
        <f>AB1310/#REF!</f>
        <v>#REF!</v>
      </c>
      <c r="AP1310" s="1"/>
      <c r="AQ1310" s="11">
        <v>42068</v>
      </c>
      <c r="AR1310" s="1" t="s">
        <v>3698</v>
      </c>
      <c r="AS1310" s="11">
        <v>42070</v>
      </c>
      <c r="AT1310" s="1" t="s">
        <v>49</v>
      </c>
      <c r="AU1310" s="1" t="s">
        <v>4171</v>
      </c>
    </row>
    <row r="1311" spans="1:47" ht="15" customHeight="1" x14ac:dyDescent="0.25">
      <c r="A1311" s="1">
        <v>1307</v>
      </c>
      <c r="B1311" s="1" t="s">
        <v>1258</v>
      </c>
      <c r="C1311" s="1" t="s">
        <v>38</v>
      </c>
      <c r="D1311" s="1">
        <v>9103551112</v>
      </c>
      <c r="E1311" s="5">
        <v>42028</v>
      </c>
      <c r="F1311" s="1" t="s">
        <v>2874</v>
      </c>
      <c r="G1311" s="1" t="s">
        <v>40</v>
      </c>
      <c r="H1311" s="1" t="s">
        <v>41</v>
      </c>
      <c r="I1311" s="1" t="s">
        <v>2809</v>
      </c>
      <c r="J1311" s="1" t="s">
        <v>2153</v>
      </c>
      <c r="K1311" s="1">
        <v>38231900</v>
      </c>
      <c r="L1311" s="6">
        <v>39.729999999999997</v>
      </c>
      <c r="M1311" s="1" t="s">
        <v>70</v>
      </c>
      <c r="N1311" s="7" t="s">
        <v>44</v>
      </c>
      <c r="O1311" s="1" t="s">
        <v>45</v>
      </c>
      <c r="P1311" s="8">
        <v>2940</v>
      </c>
      <c r="Q1311" s="17">
        <f t="shared" si="121"/>
        <v>116806.2</v>
      </c>
      <c r="R1311" s="9">
        <v>1833.03</v>
      </c>
      <c r="S1311" s="9">
        <v>16.7</v>
      </c>
      <c r="T1311" s="9">
        <v>0</v>
      </c>
      <c r="U1311" s="10">
        <v>0</v>
      </c>
      <c r="V1311" s="1" t="s">
        <v>46</v>
      </c>
      <c r="W1311" s="1" t="s">
        <v>47</v>
      </c>
      <c r="X1311" s="1">
        <v>7358605</v>
      </c>
      <c r="Y1311" s="11">
        <v>42026</v>
      </c>
      <c r="Z1311" s="11">
        <v>42027</v>
      </c>
      <c r="AA1311" s="9">
        <f t="shared" si="118"/>
        <v>114956.47</v>
      </c>
      <c r="AB1311" s="12">
        <v>71.900000000000006</v>
      </c>
      <c r="AC1311" s="9">
        <f t="shared" si="119"/>
        <v>8398365.7800000012</v>
      </c>
      <c r="AD1311" s="9">
        <f t="shared" si="120"/>
        <v>8265370.1930000009</v>
      </c>
      <c r="AE1311" s="1" t="s">
        <v>48</v>
      </c>
      <c r="AF1311" s="1" t="s">
        <v>45</v>
      </c>
      <c r="AG1311" s="4">
        <f t="shared" si="116"/>
        <v>116806.2</v>
      </c>
      <c r="AH1311" s="10">
        <v>116806.2</v>
      </c>
      <c r="AI1311" s="10">
        <v>1891.34</v>
      </c>
      <c r="AJ1311" s="10">
        <v>16.7</v>
      </c>
      <c r="AK1311" s="10">
        <v>0</v>
      </c>
      <c r="AL1311" s="9">
        <f t="shared" si="117"/>
        <v>114898.16</v>
      </c>
      <c r="AM1311" s="1"/>
      <c r="AN1311" s="1"/>
      <c r="AO1311" s="12" t="e">
        <f>AB1311/#REF!</f>
        <v>#REF!</v>
      </c>
      <c r="AP1311" s="1"/>
      <c r="AQ1311" s="11">
        <v>42068</v>
      </c>
      <c r="AR1311" s="1" t="s">
        <v>3699</v>
      </c>
      <c r="AS1311" s="11">
        <v>42070</v>
      </c>
      <c r="AT1311" s="1" t="s">
        <v>49</v>
      </c>
      <c r="AU1311" s="1" t="s">
        <v>4171</v>
      </c>
    </row>
    <row r="1312" spans="1:47" ht="15" customHeight="1" x14ac:dyDescent="0.25">
      <c r="A1312" s="1">
        <v>1308</v>
      </c>
      <c r="B1312" s="1" t="s">
        <v>1258</v>
      </c>
      <c r="C1312" s="1" t="s">
        <v>38</v>
      </c>
      <c r="D1312" s="1">
        <v>9103551113</v>
      </c>
      <c r="E1312" s="5">
        <v>42033</v>
      </c>
      <c r="F1312" s="1" t="s">
        <v>2875</v>
      </c>
      <c r="G1312" s="1" t="s">
        <v>40</v>
      </c>
      <c r="H1312" s="1" t="s">
        <v>41</v>
      </c>
      <c r="I1312" s="1" t="s">
        <v>2809</v>
      </c>
      <c r="J1312" s="1" t="s">
        <v>63</v>
      </c>
      <c r="K1312" s="1">
        <v>38231200</v>
      </c>
      <c r="L1312" s="6">
        <v>39.74</v>
      </c>
      <c r="M1312" s="1" t="s">
        <v>70</v>
      </c>
      <c r="N1312" s="7" t="s">
        <v>44</v>
      </c>
      <c r="O1312" s="1" t="s">
        <v>53</v>
      </c>
      <c r="P1312" s="8">
        <v>1120</v>
      </c>
      <c r="Q1312" s="17">
        <f t="shared" si="121"/>
        <v>44508.800000000003</v>
      </c>
      <c r="R1312" s="9">
        <v>720</v>
      </c>
      <c r="S1312" s="9">
        <v>6.36</v>
      </c>
      <c r="T1312" s="9">
        <v>0</v>
      </c>
      <c r="U1312" s="10">
        <v>0</v>
      </c>
      <c r="V1312" s="1" t="s">
        <v>46</v>
      </c>
      <c r="W1312" s="1" t="s">
        <v>64</v>
      </c>
      <c r="X1312" s="1">
        <v>7380491</v>
      </c>
      <c r="Y1312" s="11">
        <v>42027</v>
      </c>
      <c r="Z1312" s="11">
        <v>42028</v>
      </c>
      <c r="AA1312" s="9">
        <f t="shared" si="118"/>
        <v>43782.44</v>
      </c>
      <c r="AB1312" s="12">
        <v>61.3</v>
      </c>
      <c r="AC1312" s="9">
        <f t="shared" si="119"/>
        <v>2728389.44</v>
      </c>
      <c r="AD1312" s="9">
        <f t="shared" si="120"/>
        <v>2683863.5720000002</v>
      </c>
      <c r="AE1312" s="1" t="s">
        <v>51</v>
      </c>
      <c r="AF1312" s="1" t="s">
        <v>53</v>
      </c>
      <c r="AG1312" s="4">
        <f t="shared" si="116"/>
        <v>44508.800000000003</v>
      </c>
      <c r="AH1312" s="10">
        <v>44471</v>
      </c>
      <c r="AI1312" s="10">
        <v>700</v>
      </c>
      <c r="AJ1312" s="10">
        <v>6.36</v>
      </c>
      <c r="AK1312" s="10">
        <v>0</v>
      </c>
      <c r="AL1312" s="9">
        <f t="shared" si="117"/>
        <v>43764.639999999999</v>
      </c>
      <c r="AM1312" s="1"/>
      <c r="AN1312" s="1"/>
      <c r="AO1312" s="12" t="e">
        <f>AB1312/#REF!</f>
        <v>#REF!</v>
      </c>
      <c r="AP1312" s="1"/>
      <c r="AQ1312" s="11">
        <v>42067</v>
      </c>
      <c r="AR1312" s="1" t="s">
        <v>3657</v>
      </c>
      <c r="AS1312" s="11">
        <v>42067</v>
      </c>
      <c r="AT1312" s="1" t="s">
        <v>49</v>
      </c>
      <c r="AU1312" s="1" t="s">
        <v>4171</v>
      </c>
    </row>
    <row r="1313" spans="1:47" ht="15" customHeight="1" x14ac:dyDescent="0.25">
      <c r="A1313" s="1">
        <v>1309</v>
      </c>
      <c r="B1313" s="1" t="s">
        <v>1258</v>
      </c>
      <c r="C1313" s="1" t="s">
        <v>38</v>
      </c>
      <c r="D1313" s="1">
        <v>9103551114</v>
      </c>
      <c r="E1313" s="5">
        <v>42033</v>
      </c>
      <c r="F1313" s="1" t="s">
        <v>2876</v>
      </c>
      <c r="G1313" s="1" t="s">
        <v>40</v>
      </c>
      <c r="H1313" s="1" t="s">
        <v>41</v>
      </c>
      <c r="I1313" s="1" t="s">
        <v>2809</v>
      </c>
      <c r="J1313" s="1" t="s">
        <v>2468</v>
      </c>
      <c r="K1313" s="1">
        <v>38237090</v>
      </c>
      <c r="L1313" s="6">
        <v>20</v>
      </c>
      <c r="M1313" s="1" t="s">
        <v>70</v>
      </c>
      <c r="N1313" s="7" t="s">
        <v>52</v>
      </c>
      <c r="O1313" s="1" t="s">
        <v>45</v>
      </c>
      <c r="P1313" s="8">
        <v>1351</v>
      </c>
      <c r="Q1313" s="17">
        <f t="shared" si="121"/>
        <v>27020</v>
      </c>
      <c r="R1313" s="9">
        <v>1314.38</v>
      </c>
      <c r="S1313" s="9">
        <v>0</v>
      </c>
      <c r="T1313" s="9">
        <v>0</v>
      </c>
      <c r="U1313" s="10">
        <v>0</v>
      </c>
      <c r="V1313" s="1" t="s">
        <v>46</v>
      </c>
      <c r="W1313" s="1" t="s">
        <v>123</v>
      </c>
      <c r="X1313" s="1">
        <v>7384951</v>
      </c>
      <c r="Y1313" s="11">
        <v>42027</v>
      </c>
      <c r="Z1313" s="11">
        <v>42031</v>
      </c>
      <c r="AA1313" s="9">
        <f t="shared" si="118"/>
        <v>25705.62</v>
      </c>
      <c r="AB1313" s="12">
        <v>71.900000000000006</v>
      </c>
      <c r="AC1313" s="9">
        <f t="shared" si="119"/>
        <v>1942738.0000000002</v>
      </c>
      <c r="AD1313" s="9">
        <f t="shared" si="120"/>
        <v>1848234.078</v>
      </c>
      <c r="AE1313" s="1" t="s">
        <v>48</v>
      </c>
      <c r="AF1313" s="1" t="s">
        <v>45</v>
      </c>
      <c r="AG1313" s="4">
        <f t="shared" si="116"/>
        <v>27020</v>
      </c>
      <c r="AH1313" s="10">
        <v>27020</v>
      </c>
      <c r="AI1313" s="10">
        <v>1351.98</v>
      </c>
      <c r="AJ1313" s="10">
        <v>0</v>
      </c>
      <c r="AK1313" s="10">
        <v>0</v>
      </c>
      <c r="AL1313" s="9">
        <f t="shared" si="117"/>
        <v>25668.02</v>
      </c>
      <c r="AM1313" s="1"/>
      <c r="AN1313" s="1"/>
      <c r="AO1313" s="12" t="e">
        <f>AB1313/#REF!</f>
        <v>#REF!</v>
      </c>
      <c r="AP1313" s="1"/>
      <c r="AQ1313" s="11">
        <v>42082</v>
      </c>
      <c r="AR1313" s="1" t="s">
        <v>3700</v>
      </c>
      <c r="AS1313" s="11">
        <v>42083</v>
      </c>
      <c r="AT1313" s="1" t="s">
        <v>49</v>
      </c>
      <c r="AU1313" s="1" t="s">
        <v>4171</v>
      </c>
    </row>
    <row r="1314" spans="1:47" ht="15" customHeight="1" x14ac:dyDescent="0.25">
      <c r="A1314" s="1">
        <v>1310</v>
      </c>
      <c r="B1314" s="1" t="s">
        <v>1258</v>
      </c>
      <c r="C1314" s="1" t="s">
        <v>38</v>
      </c>
      <c r="D1314" s="1">
        <v>9103551114</v>
      </c>
      <c r="E1314" s="5">
        <v>42033</v>
      </c>
      <c r="F1314" s="1" t="s">
        <v>2876</v>
      </c>
      <c r="G1314" s="1" t="s">
        <v>40</v>
      </c>
      <c r="H1314" s="1" t="s">
        <v>41</v>
      </c>
      <c r="I1314" s="1" t="s">
        <v>2809</v>
      </c>
      <c r="J1314" s="1" t="s">
        <v>2468</v>
      </c>
      <c r="K1314" s="1">
        <v>29051700</v>
      </c>
      <c r="L1314" s="6">
        <v>4</v>
      </c>
      <c r="M1314" s="1" t="s">
        <v>70</v>
      </c>
      <c r="N1314" s="7" t="s">
        <v>52</v>
      </c>
      <c r="O1314" s="1" t="s">
        <v>45</v>
      </c>
      <c r="P1314" s="8">
        <v>1462</v>
      </c>
      <c r="Q1314" s="17">
        <f t="shared" si="121"/>
        <v>5848</v>
      </c>
      <c r="R1314" s="9">
        <v>262.8766</v>
      </c>
      <c r="S1314" s="9">
        <v>0</v>
      </c>
      <c r="T1314" s="9">
        <v>0</v>
      </c>
      <c r="U1314" s="10">
        <v>0</v>
      </c>
      <c r="V1314" s="1" t="s">
        <v>46</v>
      </c>
      <c r="W1314" s="1" t="s">
        <v>123</v>
      </c>
      <c r="X1314" s="1">
        <v>7384951</v>
      </c>
      <c r="Y1314" s="11">
        <v>42027</v>
      </c>
      <c r="Z1314" s="11">
        <v>42031</v>
      </c>
      <c r="AA1314" s="9">
        <f t="shared" si="118"/>
        <v>5585.1234000000004</v>
      </c>
      <c r="AB1314" s="12">
        <v>71.900000000000006</v>
      </c>
      <c r="AC1314" s="9">
        <f t="shared" si="119"/>
        <v>420471.2</v>
      </c>
      <c r="AD1314" s="9">
        <f t="shared" si="120"/>
        <v>401570.37246000004</v>
      </c>
      <c r="AE1314" s="1" t="s">
        <v>48</v>
      </c>
      <c r="AF1314" s="1" t="s">
        <v>45</v>
      </c>
      <c r="AG1314" s="4">
        <f t="shared" si="116"/>
        <v>5848</v>
      </c>
      <c r="AH1314" s="10">
        <v>5848</v>
      </c>
      <c r="AI1314" s="10">
        <v>292.61</v>
      </c>
      <c r="AJ1314" s="10">
        <v>0</v>
      </c>
      <c r="AK1314" s="10">
        <v>0</v>
      </c>
      <c r="AL1314" s="9">
        <f t="shared" si="117"/>
        <v>5555.39</v>
      </c>
      <c r="AM1314" s="1"/>
      <c r="AN1314" s="1"/>
      <c r="AO1314" s="12" t="e">
        <f>AB1314/#REF!</f>
        <v>#REF!</v>
      </c>
      <c r="AP1314" s="1"/>
      <c r="AQ1314" s="11">
        <v>42082</v>
      </c>
      <c r="AR1314" s="1" t="s">
        <v>3700</v>
      </c>
      <c r="AS1314" s="11">
        <v>42083</v>
      </c>
      <c r="AT1314" s="1" t="s">
        <v>49</v>
      </c>
      <c r="AU1314" s="1" t="s">
        <v>4171</v>
      </c>
    </row>
    <row r="1315" spans="1:47" ht="15" customHeight="1" x14ac:dyDescent="0.25">
      <c r="A1315" s="1">
        <v>1311</v>
      </c>
      <c r="B1315" s="1" t="s">
        <v>1258</v>
      </c>
      <c r="C1315" s="1" t="s">
        <v>38</v>
      </c>
      <c r="D1315" s="1">
        <v>9103551115</v>
      </c>
      <c r="E1315" s="5">
        <v>42033</v>
      </c>
      <c r="F1315" s="1" t="s">
        <v>2877</v>
      </c>
      <c r="G1315" s="1" t="s">
        <v>40</v>
      </c>
      <c r="H1315" s="1" t="s">
        <v>41</v>
      </c>
      <c r="I1315" s="1" t="s">
        <v>2809</v>
      </c>
      <c r="J1315" s="1" t="s">
        <v>2468</v>
      </c>
      <c r="K1315" s="1">
        <v>38237090</v>
      </c>
      <c r="L1315" s="6">
        <v>21</v>
      </c>
      <c r="M1315" s="1" t="s">
        <v>70</v>
      </c>
      <c r="N1315" s="7" t="s">
        <v>52</v>
      </c>
      <c r="O1315" s="1" t="s">
        <v>45</v>
      </c>
      <c r="P1315" s="8">
        <v>1351</v>
      </c>
      <c r="Q1315" s="17">
        <f t="shared" si="121"/>
        <v>28371</v>
      </c>
      <c r="R1315" s="9">
        <v>1380.1</v>
      </c>
      <c r="S1315" s="9">
        <v>0</v>
      </c>
      <c r="T1315" s="9">
        <v>0</v>
      </c>
      <c r="U1315" s="10">
        <v>0</v>
      </c>
      <c r="V1315" s="1" t="s">
        <v>46</v>
      </c>
      <c r="W1315" s="1" t="s">
        <v>123</v>
      </c>
      <c r="X1315" s="1">
        <v>7384918</v>
      </c>
      <c r="Y1315" s="11">
        <v>42027</v>
      </c>
      <c r="Z1315" s="11">
        <v>42031</v>
      </c>
      <c r="AA1315" s="9">
        <f t="shared" si="118"/>
        <v>26990.9</v>
      </c>
      <c r="AB1315" s="12">
        <v>71.900000000000006</v>
      </c>
      <c r="AC1315" s="9">
        <f t="shared" si="119"/>
        <v>2039874.9000000001</v>
      </c>
      <c r="AD1315" s="9">
        <f t="shared" si="120"/>
        <v>1940645.7100000002</v>
      </c>
      <c r="AE1315" s="1" t="s">
        <v>48</v>
      </c>
      <c r="AF1315" s="1" t="s">
        <v>45</v>
      </c>
      <c r="AG1315" s="4">
        <f t="shared" si="116"/>
        <v>28371</v>
      </c>
      <c r="AH1315" s="10">
        <v>28275.73</v>
      </c>
      <c r="AI1315" s="10">
        <v>1203.8599999999999</v>
      </c>
      <c r="AJ1315" s="10">
        <v>0</v>
      </c>
      <c r="AK1315" s="10">
        <v>0</v>
      </c>
      <c r="AL1315" s="9">
        <f t="shared" si="117"/>
        <v>27071.87</v>
      </c>
      <c r="AM1315" s="1"/>
      <c r="AN1315" s="1"/>
      <c r="AO1315" s="12" t="e">
        <f>AB1315/#REF!</f>
        <v>#REF!</v>
      </c>
      <c r="AP1315" s="1"/>
      <c r="AQ1315" s="11">
        <v>42082</v>
      </c>
      <c r="AR1315" s="1" t="s">
        <v>3701</v>
      </c>
      <c r="AS1315" s="11">
        <v>42083</v>
      </c>
      <c r="AT1315" s="1" t="s">
        <v>49</v>
      </c>
      <c r="AU1315" s="1" t="s">
        <v>4171</v>
      </c>
    </row>
    <row r="1316" spans="1:47" ht="15" customHeight="1" x14ac:dyDescent="0.25">
      <c r="A1316" s="1">
        <v>1312</v>
      </c>
      <c r="B1316" s="1" t="s">
        <v>1258</v>
      </c>
      <c r="C1316" s="1" t="s">
        <v>38</v>
      </c>
      <c r="D1316" s="1">
        <v>9103551115</v>
      </c>
      <c r="E1316" s="5">
        <v>42033</v>
      </c>
      <c r="F1316" s="1" t="s">
        <v>2877</v>
      </c>
      <c r="G1316" s="1" t="s">
        <v>40</v>
      </c>
      <c r="H1316" s="1" t="s">
        <v>41</v>
      </c>
      <c r="I1316" s="1" t="s">
        <v>2809</v>
      </c>
      <c r="J1316" s="1" t="s">
        <v>2468</v>
      </c>
      <c r="K1316" s="1">
        <v>29051700</v>
      </c>
      <c r="L1316" s="6">
        <v>3</v>
      </c>
      <c r="M1316" s="1" t="s">
        <v>70</v>
      </c>
      <c r="N1316" s="7" t="s">
        <v>52</v>
      </c>
      <c r="O1316" s="1" t="s">
        <v>45</v>
      </c>
      <c r="P1316" s="8">
        <v>1462</v>
      </c>
      <c r="Q1316" s="17">
        <f t="shared" si="121"/>
        <v>4386</v>
      </c>
      <c r="R1316" s="9">
        <v>197.1575</v>
      </c>
      <c r="S1316" s="9">
        <v>0</v>
      </c>
      <c r="T1316" s="9">
        <v>0</v>
      </c>
      <c r="U1316" s="10">
        <v>0</v>
      </c>
      <c r="V1316" s="1" t="s">
        <v>46</v>
      </c>
      <c r="W1316" s="1" t="s">
        <v>123</v>
      </c>
      <c r="X1316" s="1">
        <v>7384918</v>
      </c>
      <c r="Y1316" s="11">
        <v>42027</v>
      </c>
      <c r="Z1316" s="11">
        <v>42031</v>
      </c>
      <c r="AA1316" s="9">
        <f t="shared" si="118"/>
        <v>4188.8424999999997</v>
      </c>
      <c r="AB1316" s="12">
        <v>71.900000000000006</v>
      </c>
      <c r="AC1316" s="9">
        <f t="shared" si="119"/>
        <v>315353.40000000002</v>
      </c>
      <c r="AD1316" s="9">
        <f t="shared" si="120"/>
        <v>301177.77575000003</v>
      </c>
      <c r="AE1316" s="1" t="s">
        <v>48</v>
      </c>
      <c r="AF1316" s="1" t="s">
        <v>45</v>
      </c>
      <c r="AG1316" s="4">
        <f t="shared" si="116"/>
        <v>4386</v>
      </c>
      <c r="AH1316" s="10">
        <v>4371.2700000000004</v>
      </c>
      <c r="AI1316" s="10">
        <v>440.73</v>
      </c>
      <c r="AJ1316" s="10">
        <v>0</v>
      </c>
      <c r="AK1316" s="10">
        <v>0</v>
      </c>
      <c r="AL1316" s="9">
        <f t="shared" si="117"/>
        <v>3930.5400000000004</v>
      </c>
      <c r="AM1316" s="1"/>
      <c r="AN1316" s="1"/>
      <c r="AO1316" s="12" t="e">
        <f>AB1316/#REF!</f>
        <v>#REF!</v>
      </c>
      <c r="AP1316" s="1"/>
      <c r="AQ1316" s="11">
        <v>42082</v>
      </c>
      <c r="AR1316" s="1" t="s">
        <v>3701</v>
      </c>
      <c r="AS1316" s="11">
        <v>42083</v>
      </c>
      <c r="AT1316" s="1" t="s">
        <v>49</v>
      </c>
      <c r="AU1316" s="1" t="s">
        <v>4171</v>
      </c>
    </row>
    <row r="1317" spans="1:47" ht="15" customHeight="1" x14ac:dyDescent="0.25">
      <c r="A1317" s="1">
        <v>1313</v>
      </c>
      <c r="B1317" s="1" t="s">
        <v>1258</v>
      </c>
      <c r="C1317" s="1" t="s">
        <v>38</v>
      </c>
      <c r="D1317" s="1">
        <v>9103551116</v>
      </c>
      <c r="E1317" s="5">
        <v>42032</v>
      </c>
      <c r="F1317" s="1" t="s">
        <v>2878</v>
      </c>
      <c r="G1317" s="1" t="s">
        <v>40</v>
      </c>
      <c r="H1317" s="1" t="s">
        <v>41</v>
      </c>
      <c r="I1317" s="1" t="s">
        <v>2809</v>
      </c>
      <c r="J1317" s="1" t="s">
        <v>142</v>
      </c>
      <c r="K1317" s="1">
        <v>38237090</v>
      </c>
      <c r="L1317" s="6">
        <v>72</v>
      </c>
      <c r="M1317" s="1" t="s">
        <v>70</v>
      </c>
      <c r="N1317" s="7" t="s">
        <v>52</v>
      </c>
      <c r="O1317" s="1" t="s">
        <v>53</v>
      </c>
      <c r="P1317" s="8">
        <v>1420</v>
      </c>
      <c r="Q1317" s="17">
        <f t="shared" si="121"/>
        <v>102240</v>
      </c>
      <c r="R1317" s="9">
        <v>4200</v>
      </c>
      <c r="S1317" s="9">
        <v>0</v>
      </c>
      <c r="T1317" s="9">
        <v>1922.4</v>
      </c>
      <c r="U1317" s="10">
        <v>0</v>
      </c>
      <c r="V1317" s="1" t="s">
        <v>46</v>
      </c>
      <c r="W1317" s="1" t="s">
        <v>143</v>
      </c>
      <c r="X1317" s="1">
        <v>7391061</v>
      </c>
      <c r="Y1317" s="11">
        <v>42027</v>
      </c>
      <c r="Z1317" s="11">
        <v>42028</v>
      </c>
      <c r="AA1317" s="9">
        <f t="shared" si="118"/>
        <v>98040</v>
      </c>
      <c r="AB1317" s="12">
        <v>61.3</v>
      </c>
      <c r="AC1317" s="9">
        <f t="shared" si="119"/>
        <v>6267312</v>
      </c>
      <c r="AD1317" s="9">
        <f t="shared" si="120"/>
        <v>6009852</v>
      </c>
      <c r="AE1317" s="1" t="s">
        <v>48</v>
      </c>
      <c r="AF1317" s="1" t="s">
        <v>53</v>
      </c>
      <c r="AG1317" s="4">
        <f t="shared" si="116"/>
        <v>102240</v>
      </c>
      <c r="AH1317" s="10">
        <v>102225</v>
      </c>
      <c r="AI1317" s="10">
        <v>3666</v>
      </c>
      <c r="AJ1317" s="10">
        <v>0</v>
      </c>
      <c r="AK1317" s="10">
        <v>1922.4</v>
      </c>
      <c r="AL1317" s="9">
        <f t="shared" si="117"/>
        <v>96636.6</v>
      </c>
      <c r="AM1317" s="1"/>
      <c r="AN1317" s="1"/>
      <c r="AO1317" s="12" t="e">
        <f>AB1317/#REF!</f>
        <v>#REF!</v>
      </c>
      <c r="AP1317" s="1"/>
      <c r="AQ1317" s="11">
        <v>42051</v>
      </c>
      <c r="AR1317" s="1" t="s">
        <v>3511</v>
      </c>
      <c r="AS1317" s="11">
        <v>42053</v>
      </c>
      <c r="AT1317" s="1" t="s">
        <v>49</v>
      </c>
      <c r="AU1317" s="1" t="s">
        <v>4171</v>
      </c>
    </row>
    <row r="1318" spans="1:47" ht="15" customHeight="1" x14ac:dyDescent="0.25">
      <c r="A1318" s="1">
        <v>1314</v>
      </c>
      <c r="B1318" s="1" t="s">
        <v>1258</v>
      </c>
      <c r="C1318" s="1" t="s">
        <v>38</v>
      </c>
      <c r="D1318" s="1">
        <v>9103551117</v>
      </c>
      <c r="E1318" s="5">
        <v>42033</v>
      </c>
      <c r="F1318" s="1" t="s">
        <v>2879</v>
      </c>
      <c r="G1318" s="1" t="s">
        <v>40</v>
      </c>
      <c r="H1318" s="1" t="s">
        <v>41</v>
      </c>
      <c r="I1318" s="1" t="s">
        <v>2809</v>
      </c>
      <c r="J1318" s="1" t="s">
        <v>63</v>
      </c>
      <c r="K1318" s="1">
        <v>29161990</v>
      </c>
      <c r="L1318" s="6">
        <v>58.6</v>
      </c>
      <c r="M1318" s="1" t="s">
        <v>70</v>
      </c>
      <c r="N1318" s="7" t="s">
        <v>44</v>
      </c>
      <c r="O1318" s="1" t="s">
        <v>53</v>
      </c>
      <c r="P1318" s="8">
        <v>2660</v>
      </c>
      <c r="Q1318" s="17">
        <f t="shared" si="121"/>
        <v>155876</v>
      </c>
      <c r="R1318" s="9">
        <v>1080</v>
      </c>
      <c r="S1318" s="9">
        <v>22.29</v>
      </c>
      <c r="T1318" s="9">
        <v>0</v>
      </c>
      <c r="U1318" s="10">
        <v>0</v>
      </c>
      <c r="V1318" s="1" t="s">
        <v>46</v>
      </c>
      <c r="W1318" s="1" t="s">
        <v>64</v>
      </c>
      <c r="X1318" s="1">
        <v>7389215</v>
      </c>
      <c r="Y1318" s="11">
        <v>42027</v>
      </c>
      <c r="Z1318" s="11">
        <v>42028</v>
      </c>
      <c r="AA1318" s="9">
        <f t="shared" si="118"/>
        <v>154773.71</v>
      </c>
      <c r="AB1318" s="12">
        <v>61.3</v>
      </c>
      <c r="AC1318" s="9">
        <f t="shared" si="119"/>
        <v>9555198.7999999989</v>
      </c>
      <c r="AD1318" s="9">
        <f t="shared" si="120"/>
        <v>9487628.4229999986</v>
      </c>
      <c r="AE1318" s="1" t="s">
        <v>51</v>
      </c>
      <c r="AF1318" s="1" t="s">
        <v>53</v>
      </c>
      <c r="AG1318" s="4">
        <f t="shared" si="116"/>
        <v>155876</v>
      </c>
      <c r="AH1318" s="10">
        <v>155876</v>
      </c>
      <c r="AI1318" s="10">
        <v>1080</v>
      </c>
      <c r="AJ1318" s="10">
        <v>22.29</v>
      </c>
      <c r="AK1318" s="10">
        <v>0</v>
      </c>
      <c r="AL1318" s="9">
        <f t="shared" si="117"/>
        <v>154773.71</v>
      </c>
      <c r="AM1318" s="1"/>
      <c r="AN1318" s="1"/>
      <c r="AO1318" s="12" t="e">
        <f>AB1318/#REF!</f>
        <v>#REF!</v>
      </c>
      <c r="AP1318" s="1"/>
      <c r="AQ1318" s="11">
        <v>42053</v>
      </c>
      <c r="AR1318" s="1" t="s">
        <v>3658</v>
      </c>
      <c r="AS1318" s="11">
        <v>42104</v>
      </c>
      <c r="AT1318" s="1" t="s">
        <v>49</v>
      </c>
      <c r="AU1318" s="1" t="s">
        <v>4171</v>
      </c>
    </row>
    <row r="1319" spans="1:47" ht="15" customHeight="1" x14ac:dyDescent="0.25">
      <c r="A1319" s="1">
        <v>1315</v>
      </c>
      <c r="B1319" s="1" t="s">
        <v>1258</v>
      </c>
      <c r="C1319" s="1" t="s">
        <v>38</v>
      </c>
      <c r="D1319" s="1">
        <v>9103551118</v>
      </c>
      <c r="E1319" s="5">
        <v>42033</v>
      </c>
      <c r="F1319" s="1" t="s">
        <v>2880</v>
      </c>
      <c r="G1319" s="1" t="s">
        <v>40</v>
      </c>
      <c r="H1319" s="1" t="s">
        <v>41</v>
      </c>
      <c r="I1319" s="1" t="s">
        <v>2809</v>
      </c>
      <c r="J1319" s="1" t="s">
        <v>63</v>
      </c>
      <c r="K1319" s="1">
        <v>29161990</v>
      </c>
      <c r="L1319" s="6">
        <v>58.54</v>
      </c>
      <c r="M1319" s="1" t="s">
        <v>70</v>
      </c>
      <c r="N1319" s="7" t="s">
        <v>44</v>
      </c>
      <c r="O1319" s="1" t="s">
        <v>53</v>
      </c>
      <c r="P1319" s="8">
        <v>2660</v>
      </c>
      <c r="Q1319" s="17">
        <f t="shared" si="121"/>
        <v>155716.4</v>
      </c>
      <c r="R1319" s="9">
        <v>1080</v>
      </c>
      <c r="S1319" s="9">
        <v>22.27</v>
      </c>
      <c r="T1319" s="9">
        <v>0</v>
      </c>
      <c r="U1319" s="10">
        <v>0</v>
      </c>
      <c r="V1319" s="1" t="s">
        <v>46</v>
      </c>
      <c r="W1319" s="1" t="s">
        <v>64</v>
      </c>
      <c r="X1319" s="1">
        <v>7394073</v>
      </c>
      <c r="Y1319" s="11">
        <v>42027</v>
      </c>
      <c r="Z1319" s="11">
        <v>42028</v>
      </c>
      <c r="AA1319" s="9">
        <f t="shared" si="118"/>
        <v>154614.13</v>
      </c>
      <c r="AB1319" s="12">
        <v>61.3</v>
      </c>
      <c r="AC1319" s="9">
        <f t="shared" si="119"/>
        <v>9545415.3199999984</v>
      </c>
      <c r="AD1319" s="9">
        <f t="shared" si="120"/>
        <v>9477846.1689999998</v>
      </c>
      <c r="AE1319" s="1" t="s">
        <v>51</v>
      </c>
      <c r="AF1319" s="1" t="s">
        <v>53</v>
      </c>
      <c r="AG1319" s="4">
        <f t="shared" si="116"/>
        <v>155716.4</v>
      </c>
      <c r="AH1319" s="10">
        <v>155675</v>
      </c>
      <c r="AI1319" s="10">
        <v>1080</v>
      </c>
      <c r="AJ1319" s="10">
        <v>22.27</v>
      </c>
      <c r="AK1319" s="10">
        <v>0</v>
      </c>
      <c r="AL1319" s="9">
        <f t="shared" si="117"/>
        <v>154572.73000000001</v>
      </c>
      <c r="AM1319" s="1"/>
      <c r="AN1319" s="1"/>
      <c r="AO1319" s="12" t="e">
        <f>AB1319/#REF!</f>
        <v>#REF!</v>
      </c>
      <c r="AP1319" s="1"/>
      <c r="AQ1319" s="11">
        <v>42053</v>
      </c>
      <c r="AR1319" s="1" t="s">
        <v>3659</v>
      </c>
      <c r="AS1319" s="11">
        <v>42059</v>
      </c>
      <c r="AT1319" s="1" t="s">
        <v>49</v>
      </c>
      <c r="AU1319" s="1" t="s">
        <v>4171</v>
      </c>
    </row>
    <row r="1320" spans="1:47" ht="15" customHeight="1" x14ac:dyDescent="0.25">
      <c r="A1320" s="1">
        <v>1316</v>
      </c>
      <c r="B1320" s="1" t="s">
        <v>1258</v>
      </c>
      <c r="C1320" s="1" t="s">
        <v>38</v>
      </c>
      <c r="D1320" s="1">
        <v>9103551119</v>
      </c>
      <c r="E1320" s="5">
        <v>42033</v>
      </c>
      <c r="F1320" s="1" t="s">
        <v>2881</v>
      </c>
      <c r="G1320" s="1" t="s">
        <v>40</v>
      </c>
      <c r="H1320" s="1" t="s">
        <v>41</v>
      </c>
      <c r="I1320" s="1" t="s">
        <v>2809</v>
      </c>
      <c r="J1320" s="1" t="s">
        <v>2882</v>
      </c>
      <c r="K1320" s="1">
        <v>38237090</v>
      </c>
      <c r="L1320" s="6">
        <v>12</v>
      </c>
      <c r="M1320" s="1" t="s">
        <v>70</v>
      </c>
      <c r="N1320" s="7" t="s">
        <v>44</v>
      </c>
      <c r="O1320" s="1" t="s">
        <v>53</v>
      </c>
      <c r="P1320" s="8">
        <v>3800</v>
      </c>
      <c r="Q1320" s="17">
        <f t="shared" si="121"/>
        <v>45600</v>
      </c>
      <c r="R1320" s="9">
        <v>360</v>
      </c>
      <c r="S1320" s="9">
        <v>6.52</v>
      </c>
      <c r="T1320" s="9">
        <v>0</v>
      </c>
      <c r="U1320" s="10">
        <v>0</v>
      </c>
      <c r="V1320" s="1" t="s">
        <v>46</v>
      </c>
      <c r="W1320" s="1" t="s">
        <v>64</v>
      </c>
      <c r="X1320" s="1">
        <v>7391363</v>
      </c>
      <c r="Y1320" s="11">
        <v>42027</v>
      </c>
      <c r="Z1320" s="11">
        <v>42028</v>
      </c>
      <c r="AA1320" s="9">
        <f t="shared" si="118"/>
        <v>45233.48</v>
      </c>
      <c r="AB1320" s="12">
        <v>61.3</v>
      </c>
      <c r="AC1320" s="9">
        <f t="shared" si="119"/>
        <v>2795280</v>
      </c>
      <c r="AD1320" s="9">
        <f t="shared" si="120"/>
        <v>2772812.324</v>
      </c>
      <c r="AE1320" s="1" t="s">
        <v>48</v>
      </c>
      <c r="AF1320" s="1" t="s">
        <v>53</v>
      </c>
      <c r="AG1320" s="4">
        <f t="shared" si="116"/>
        <v>45600</v>
      </c>
      <c r="AH1320" s="10">
        <v>45390</v>
      </c>
      <c r="AI1320" s="10">
        <v>35</v>
      </c>
      <c r="AJ1320" s="10">
        <v>6.52</v>
      </c>
      <c r="AK1320" s="10">
        <v>0</v>
      </c>
      <c r="AL1320" s="9">
        <f t="shared" si="117"/>
        <v>45348.480000000003</v>
      </c>
      <c r="AM1320" s="1"/>
      <c r="AN1320" s="1"/>
      <c r="AO1320" s="12" t="e">
        <f>AB1320/#REF!</f>
        <v>#REF!</v>
      </c>
      <c r="AP1320" s="1"/>
      <c r="AQ1320" s="11">
        <v>42059</v>
      </c>
      <c r="AR1320" s="1" t="s">
        <v>3512</v>
      </c>
      <c r="AS1320" s="11">
        <v>42060</v>
      </c>
      <c r="AT1320" s="1" t="s">
        <v>49</v>
      </c>
      <c r="AU1320" s="1" t="s">
        <v>4171</v>
      </c>
    </row>
    <row r="1321" spans="1:47" ht="15" customHeight="1" x14ac:dyDescent="0.25">
      <c r="A1321" s="1">
        <v>1317</v>
      </c>
      <c r="B1321" s="1" t="s">
        <v>1258</v>
      </c>
      <c r="C1321" s="1" t="s">
        <v>38</v>
      </c>
      <c r="D1321" s="1">
        <v>9103551120</v>
      </c>
      <c r="E1321" s="5">
        <v>42033</v>
      </c>
      <c r="F1321" s="1" t="s">
        <v>2883</v>
      </c>
      <c r="G1321" s="1" t="s">
        <v>40</v>
      </c>
      <c r="H1321" s="1" t="s">
        <v>41</v>
      </c>
      <c r="I1321" s="1" t="s">
        <v>2809</v>
      </c>
      <c r="J1321" s="1" t="s">
        <v>2882</v>
      </c>
      <c r="K1321" s="1">
        <v>38237090</v>
      </c>
      <c r="L1321" s="6">
        <v>12</v>
      </c>
      <c r="M1321" s="1" t="s">
        <v>70</v>
      </c>
      <c r="N1321" s="7" t="s">
        <v>44</v>
      </c>
      <c r="O1321" s="1" t="s">
        <v>53</v>
      </c>
      <c r="P1321" s="8">
        <v>3800</v>
      </c>
      <c r="Q1321" s="17">
        <f t="shared" si="121"/>
        <v>45600</v>
      </c>
      <c r="R1321" s="9">
        <v>360</v>
      </c>
      <c r="S1321" s="9">
        <v>6.52</v>
      </c>
      <c r="T1321" s="9">
        <v>0</v>
      </c>
      <c r="U1321" s="10">
        <v>0</v>
      </c>
      <c r="V1321" s="1" t="s">
        <v>46</v>
      </c>
      <c r="W1321" s="1" t="s">
        <v>64</v>
      </c>
      <c r="X1321" s="1">
        <v>7391985</v>
      </c>
      <c r="Y1321" s="11">
        <v>42027</v>
      </c>
      <c r="Z1321" s="11">
        <v>42028</v>
      </c>
      <c r="AA1321" s="9">
        <f t="shared" si="118"/>
        <v>45233.48</v>
      </c>
      <c r="AB1321" s="12">
        <v>61.3</v>
      </c>
      <c r="AC1321" s="9">
        <f t="shared" si="119"/>
        <v>2795280</v>
      </c>
      <c r="AD1321" s="9">
        <f t="shared" si="120"/>
        <v>2772812.324</v>
      </c>
      <c r="AE1321" s="1" t="s">
        <v>48</v>
      </c>
      <c r="AF1321" s="1" t="s">
        <v>53</v>
      </c>
      <c r="AG1321" s="4">
        <f t="shared" si="116"/>
        <v>45600</v>
      </c>
      <c r="AH1321" s="10">
        <v>45390</v>
      </c>
      <c r="AI1321" s="10">
        <v>35</v>
      </c>
      <c r="AJ1321" s="10">
        <v>6.52</v>
      </c>
      <c r="AK1321" s="10">
        <v>0</v>
      </c>
      <c r="AL1321" s="9">
        <f t="shared" si="117"/>
        <v>45348.480000000003</v>
      </c>
      <c r="AM1321" s="1"/>
      <c r="AN1321" s="1"/>
      <c r="AO1321" s="12" t="e">
        <f>AB1321/#REF!</f>
        <v>#REF!</v>
      </c>
      <c r="AP1321" s="1"/>
      <c r="AQ1321" s="11">
        <v>42059</v>
      </c>
      <c r="AR1321" s="1" t="s">
        <v>3513</v>
      </c>
      <c r="AS1321" s="11">
        <v>42060</v>
      </c>
      <c r="AT1321" s="1" t="s">
        <v>49</v>
      </c>
      <c r="AU1321" s="1" t="s">
        <v>4171</v>
      </c>
    </row>
    <row r="1322" spans="1:47" ht="15" customHeight="1" x14ac:dyDescent="0.25">
      <c r="A1322" s="1">
        <v>1318</v>
      </c>
      <c r="B1322" s="1" t="s">
        <v>1258</v>
      </c>
      <c r="C1322" s="1" t="s">
        <v>38</v>
      </c>
      <c r="D1322" s="1">
        <v>9103551121</v>
      </c>
      <c r="E1322" s="5">
        <v>42033</v>
      </c>
      <c r="F1322" s="1" t="s">
        <v>2884</v>
      </c>
      <c r="G1322" s="1" t="s">
        <v>40</v>
      </c>
      <c r="H1322" s="1" t="s">
        <v>41</v>
      </c>
      <c r="I1322" s="1" t="s">
        <v>2809</v>
      </c>
      <c r="J1322" s="1" t="s">
        <v>2740</v>
      </c>
      <c r="K1322" s="1">
        <v>38237090</v>
      </c>
      <c r="L1322" s="6">
        <v>12</v>
      </c>
      <c r="M1322" s="1" t="s">
        <v>70</v>
      </c>
      <c r="N1322" s="7" t="s">
        <v>44</v>
      </c>
      <c r="O1322" s="1" t="s">
        <v>53</v>
      </c>
      <c r="P1322" s="8">
        <v>1500</v>
      </c>
      <c r="Q1322" s="17">
        <f t="shared" si="121"/>
        <v>18000</v>
      </c>
      <c r="R1322" s="9">
        <v>850</v>
      </c>
      <c r="S1322" s="9">
        <v>2.57</v>
      </c>
      <c r="T1322" s="9">
        <v>0</v>
      </c>
      <c r="U1322" s="10">
        <v>0</v>
      </c>
      <c r="V1322" s="1" t="s">
        <v>46</v>
      </c>
      <c r="W1322" s="1" t="s">
        <v>205</v>
      </c>
      <c r="X1322" s="1">
        <v>7409119</v>
      </c>
      <c r="Y1322" s="11">
        <v>42028</v>
      </c>
      <c r="Z1322" s="11">
        <v>42031</v>
      </c>
      <c r="AA1322" s="9">
        <f t="shared" si="118"/>
        <v>17147.43</v>
      </c>
      <c r="AB1322" s="12">
        <v>61.3</v>
      </c>
      <c r="AC1322" s="9">
        <f t="shared" si="119"/>
        <v>1103400</v>
      </c>
      <c r="AD1322" s="9">
        <f t="shared" si="120"/>
        <v>1051137.459</v>
      </c>
      <c r="AE1322" s="1" t="s">
        <v>284</v>
      </c>
      <c r="AF1322" s="1" t="s">
        <v>53</v>
      </c>
      <c r="AG1322" s="4">
        <f t="shared" si="116"/>
        <v>18000</v>
      </c>
      <c r="AH1322" s="10">
        <v>17987</v>
      </c>
      <c r="AI1322" s="10">
        <v>750</v>
      </c>
      <c r="AJ1322" s="10">
        <v>2.57</v>
      </c>
      <c r="AK1322" s="10">
        <v>0</v>
      </c>
      <c r="AL1322" s="9">
        <f t="shared" si="117"/>
        <v>17234.43</v>
      </c>
      <c r="AM1322" s="1"/>
      <c r="AN1322" s="1"/>
      <c r="AO1322" s="12" t="e">
        <f>AB1322/#REF!</f>
        <v>#REF!</v>
      </c>
      <c r="AP1322" s="1"/>
      <c r="AQ1322" s="11">
        <v>42059</v>
      </c>
      <c r="AR1322" s="1" t="s">
        <v>3646</v>
      </c>
      <c r="AS1322" s="11">
        <v>42059</v>
      </c>
      <c r="AT1322" s="1" t="s">
        <v>49</v>
      </c>
      <c r="AU1322" s="1" t="s">
        <v>4171</v>
      </c>
    </row>
    <row r="1323" spans="1:47" ht="15" customHeight="1" x14ac:dyDescent="0.25">
      <c r="A1323" s="1">
        <v>1319</v>
      </c>
      <c r="B1323" s="1" t="s">
        <v>1258</v>
      </c>
      <c r="C1323" s="1" t="s">
        <v>38</v>
      </c>
      <c r="D1323" s="1">
        <v>9103551122</v>
      </c>
      <c r="E1323" s="5">
        <v>42033</v>
      </c>
      <c r="F1323" s="1" t="s">
        <v>2885</v>
      </c>
      <c r="G1323" s="1" t="s">
        <v>40</v>
      </c>
      <c r="H1323" s="1" t="s">
        <v>41</v>
      </c>
      <c r="I1323" s="1" t="s">
        <v>2809</v>
      </c>
      <c r="J1323" s="1" t="s">
        <v>2882</v>
      </c>
      <c r="K1323" s="1">
        <v>38237090</v>
      </c>
      <c r="L1323" s="6">
        <v>12</v>
      </c>
      <c r="M1323" s="1" t="s">
        <v>70</v>
      </c>
      <c r="N1323" s="7" t="s">
        <v>44</v>
      </c>
      <c r="O1323" s="1" t="s">
        <v>53</v>
      </c>
      <c r="P1323" s="8">
        <v>3800</v>
      </c>
      <c r="Q1323" s="17">
        <f t="shared" si="121"/>
        <v>45600</v>
      </c>
      <c r="R1323" s="9">
        <v>360</v>
      </c>
      <c r="S1323" s="9">
        <v>6.52</v>
      </c>
      <c r="T1323" s="9">
        <v>0</v>
      </c>
      <c r="U1323" s="10">
        <v>0</v>
      </c>
      <c r="V1323" s="1" t="s">
        <v>46</v>
      </c>
      <c r="W1323" s="1" t="s">
        <v>64</v>
      </c>
      <c r="X1323" s="1">
        <v>7409065</v>
      </c>
      <c r="Y1323" s="11">
        <v>42028</v>
      </c>
      <c r="Z1323" s="11">
        <v>42031</v>
      </c>
      <c r="AA1323" s="9">
        <f t="shared" si="118"/>
        <v>45233.48</v>
      </c>
      <c r="AB1323" s="12">
        <v>61.3</v>
      </c>
      <c r="AC1323" s="9">
        <f t="shared" si="119"/>
        <v>2795280</v>
      </c>
      <c r="AD1323" s="9">
        <f t="shared" si="120"/>
        <v>2772812.324</v>
      </c>
      <c r="AE1323" s="1" t="s">
        <v>48</v>
      </c>
      <c r="AF1323" s="1" t="s">
        <v>53</v>
      </c>
      <c r="AG1323" s="4">
        <f t="shared" si="116"/>
        <v>45600</v>
      </c>
      <c r="AH1323" s="10">
        <v>45390</v>
      </c>
      <c r="AI1323" s="10">
        <v>35</v>
      </c>
      <c r="AJ1323" s="10">
        <v>6.52</v>
      </c>
      <c r="AK1323" s="10">
        <v>0</v>
      </c>
      <c r="AL1323" s="9">
        <f t="shared" si="117"/>
        <v>45348.480000000003</v>
      </c>
      <c r="AM1323" s="1"/>
      <c r="AN1323" s="1"/>
      <c r="AO1323" s="12" t="e">
        <f>AB1323/#REF!</f>
        <v>#REF!</v>
      </c>
      <c r="AP1323" s="1"/>
      <c r="AQ1323" s="11">
        <v>42059</v>
      </c>
      <c r="AR1323" s="1" t="s">
        <v>3514</v>
      </c>
      <c r="AS1323" s="11">
        <v>42060</v>
      </c>
      <c r="AT1323" s="1" t="s">
        <v>49</v>
      </c>
      <c r="AU1323" s="1" t="s">
        <v>4171</v>
      </c>
    </row>
    <row r="1324" spans="1:47" ht="15" customHeight="1" x14ac:dyDescent="0.25">
      <c r="A1324" s="1">
        <v>1320</v>
      </c>
      <c r="B1324" s="1" t="s">
        <v>1258</v>
      </c>
      <c r="C1324" s="1" t="s">
        <v>38</v>
      </c>
      <c r="D1324" s="1">
        <v>9103551123</v>
      </c>
      <c r="E1324" s="5">
        <v>42033</v>
      </c>
      <c r="F1324" s="1" t="s">
        <v>2886</v>
      </c>
      <c r="G1324" s="1" t="s">
        <v>40</v>
      </c>
      <c r="H1324" s="1" t="s">
        <v>41</v>
      </c>
      <c r="I1324" s="1" t="s">
        <v>2809</v>
      </c>
      <c r="J1324" s="1" t="s">
        <v>2677</v>
      </c>
      <c r="K1324" s="1">
        <v>29051700</v>
      </c>
      <c r="L1324" s="6">
        <v>7.5</v>
      </c>
      <c r="M1324" s="1" t="s">
        <v>70</v>
      </c>
      <c r="N1324" s="7" t="s">
        <v>44</v>
      </c>
      <c r="O1324" s="1" t="s">
        <v>53</v>
      </c>
      <c r="P1324" s="8">
        <v>1585</v>
      </c>
      <c r="Q1324" s="17">
        <f t="shared" si="121"/>
        <v>11887.5</v>
      </c>
      <c r="R1324" s="9">
        <v>69.44</v>
      </c>
      <c r="S1324" s="9">
        <v>1.4166000000000001</v>
      </c>
      <c r="T1324" s="9">
        <v>0</v>
      </c>
      <c r="U1324" s="10">
        <v>0</v>
      </c>
      <c r="V1324" s="1" t="s">
        <v>46</v>
      </c>
      <c r="W1324" s="1" t="s">
        <v>72</v>
      </c>
      <c r="X1324" s="1">
        <v>7409380</v>
      </c>
      <c r="Y1324" s="11">
        <v>42028</v>
      </c>
      <c r="Z1324" s="11">
        <v>42031</v>
      </c>
      <c r="AA1324" s="9">
        <f t="shared" si="118"/>
        <v>11816.643399999999</v>
      </c>
      <c r="AB1324" s="12">
        <v>61.3</v>
      </c>
      <c r="AC1324" s="9">
        <f t="shared" si="119"/>
        <v>728703.75</v>
      </c>
      <c r="AD1324" s="9">
        <f t="shared" si="120"/>
        <v>724360.24041999993</v>
      </c>
      <c r="AE1324" s="1" t="s">
        <v>48</v>
      </c>
      <c r="AF1324" s="1" t="s">
        <v>53</v>
      </c>
      <c r="AG1324" s="4">
        <f t="shared" ref="AG1324:AG1387" si="122">Q1324</f>
        <v>11887.5</v>
      </c>
      <c r="AH1324" s="10">
        <v>11887.5</v>
      </c>
      <c r="AI1324" s="10">
        <v>78.819999999999993</v>
      </c>
      <c r="AJ1324" s="10">
        <v>1.7</v>
      </c>
      <c r="AK1324" s="10">
        <v>0</v>
      </c>
      <c r="AL1324" s="9">
        <f t="shared" ref="AL1324:AL1344" si="123">AH1324-(AI1324+AJ1324+AK1324)</f>
        <v>11806.98</v>
      </c>
      <c r="AM1324" s="1"/>
      <c r="AN1324" s="1"/>
      <c r="AO1324" s="12" t="e">
        <f>AB1324/#REF!</f>
        <v>#REF!</v>
      </c>
      <c r="AP1324" s="1"/>
      <c r="AQ1324" s="11">
        <v>42088</v>
      </c>
      <c r="AR1324" s="1" t="s">
        <v>3515</v>
      </c>
      <c r="AS1324" s="11">
        <v>42090</v>
      </c>
      <c r="AT1324" s="1" t="s">
        <v>49</v>
      </c>
      <c r="AU1324" s="1" t="s">
        <v>4171</v>
      </c>
    </row>
    <row r="1325" spans="1:47" ht="15" customHeight="1" x14ac:dyDescent="0.25">
      <c r="A1325" s="1">
        <v>1321</v>
      </c>
      <c r="B1325" s="1" t="s">
        <v>1258</v>
      </c>
      <c r="C1325" s="1" t="s">
        <v>38</v>
      </c>
      <c r="D1325" s="1">
        <v>9103551123</v>
      </c>
      <c r="E1325" s="5">
        <v>42033</v>
      </c>
      <c r="F1325" s="1" t="s">
        <v>2886</v>
      </c>
      <c r="G1325" s="1" t="s">
        <v>40</v>
      </c>
      <c r="H1325" s="1" t="s">
        <v>41</v>
      </c>
      <c r="I1325" s="1" t="s">
        <v>2809</v>
      </c>
      <c r="J1325" s="1" t="s">
        <v>2677</v>
      </c>
      <c r="K1325" s="1">
        <v>38231190</v>
      </c>
      <c r="L1325" s="6">
        <v>6</v>
      </c>
      <c r="M1325" s="1" t="s">
        <v>70</v>
      </c>
      <c r="N1325" s="7" t="s">
        <v>44</v>
      </c>
      <c r="O1325" s="1" t="s">
        <v>53</v>
      </c>
      <c r="P1325" s="8">
        <v>985</v>
      </c>
      <c r="Q1325" s="17">
        <f t="shared" si="121"/>
        <v>5910</v>
      </c>
      <c r="R1325" s="9">
        <v>55.555500000000002</v>
      </c>
      <c r="S1325" s="9">
        <v>1.1299999999999999</v>
      </c>
      <c r="T1325" s="9">
        <v>0</v>
      </c>
      <c r="U1325" s="10">
        <v>0</v>
      </c>
      <c r="V1325" s="1" t="s">
        <v>46</v>
      </c>
      <c r="W1325" s="1" t="s">
        <v>72</v>
      </c>
      <c r="X1325" s="1">
        <v>7409380</v>
      </c>
      <c r="Y1325" s="11">
        <v>42028</v>
      </c>
      <c r="Z1325" s="11">
        <v>42031</v>
      </c>
      <c r="AA1325" s="9">
        <f t="shared" si="118"/>
        <v>5853.3144999999995</v>
      </c>
      <c r="AB1325" s="12">
        <v>61.3</v>
      </c>
      <c r="AC1325" s="9">
        <f t="shared" si="119"/>
        <v>362283</v>
      </c>
      <c r="AD1325" s="9">
        <f t="shared" si="120"/>
        <v>358808.17884999997</v>
      </c>
      <c r="AE1325" s="1" t="s">
        <v>48</v>
      </c>
      <c r="AF1325" s="1" t="s">
        <v>53</v>
      </c>
      <c r="AG1325" s="4">
        <f t="shared" si="122"/>
        <v>5910</v>
      </c>
      <c r="AH1325" s="10">
        <v>5910</v>
      </c>
      <c r="AI1325" s="10">
        <v>39.18</v>
      </c>
      <c r="AJ1325" s="10">
        <v>0.85</v>
      </c>
      <c r="AK1325" s="10">
        <v>0</v>
      </c>
      <c r="AL1325" s="9">
        <f t="shared" si="123"/>
        <v>5869.97</v>
      </c>
      <c r="AM1325" s="1"/>
      <c r="AN1325" s="1"/>
      <c r="AO1325" s="12" t="e">
        <f>AB1325/#REF!</f>
        <v>#REF!</v>
      </c>
      <c r="AP1325" s="1"/>
      <c r="AQ1325" s="11">
        <v>42088</v>
      </c>
      <c r="AR1325" s="1" t="s">
        <v>3515</v>
      </c>
      <c r="AS1325" s="11">
        <v>42090</v>
      </c>
      <c r="AT1325" s="1" t="s">
        <v>49</v>
      </c>
      <c r="AU1325" s="1" t="s">
        <v>4171</v>
      </c>
    </row>
    <row r="1326" spans="1:47" ht="15" customHeight="1" x14ac:dyDescent="0.25">
      <c r="A1326" s="1">
        <v>1322</v>
      </c>
      <c r="B1326" s="1" t="s">
        <v>1258</v>
      </c>
      <c r="C1326" s="1" t="s">
        <v>38</v>
      </c>
      <c r="D1326" s="1">
        <v>9103551124</v>
      </c>
      <c r="E1326" s="5">
        <v>42033</v>
      </c>
      <c r="F1326" s="1" t="s">
        <v>2887</v>
      </c>
      <c r="G1326" s="1" t="s">
        <v>40</v>
      </c>
      <c r="H1326" s="1" t="s">
        <v>41</v>
      </c>
      <c r="I1326" s="1" t="s">
        <v>2809</v>
      </c>
      <c r="J1326" s="1" t="s">
        <v>386</v>
      </c>
      <c r="K1326" s="1">
        <v>38237090</v>
      </c>
      <c r="L1326" s="6">
        <v>96.57</v>
      </c>
      <c r="M1326" s="1" t="s">
        <v>70</v>
      </c>
      <c r="N1326" s="7" t="s">
        <v>52</v>
      </c>
      <c r="O1326" s="1" t="s">
        <v>53</v>
      </c>
      <c r="P1326" s="8">
        <v>1285</v>
      </c>
      <c r="Q1326" s="17">
        <f t="shared" si="121"/>
        <v>124092.45</v>
      </c>
      <c r="R1326" s="9">
        <v>3750</v>
      </c>
      <c r="S1326" s="9">
        <v>0</v>
      </c>
      <c r="T1326" s="9">
        <v>0</v>
      </c>
      <c r="U1326" s="10">
        <v>0</v>
      </c>
      <c r="V1326" s="1" t="s">
        <v>46</v>
      </c>
      <c r="W1326" s="1" t="s">
        <v>241</v>
      </c>
      <c r="X1326" s="1">
        <v>7413568</v>
      </c>
      <c r="Y1326" s="11">
        <v>42028</v>
      </c>
      <c r="Z1326" s="11">
        <v>42031</v>
      </c>
      <c r="AA1326" s="9">
        <f t="shared" si="118"/>
        <v>120342.45</v>
      </c>
      <c r="AB1326" s="12">
        <v>61.3</v>
      </c>
      <c r="AC1326" s="9">
        <f t="shared" si="119"/>
        <v>7606867.1849999996</v>
      </c>
      <c r="AD1326" s="9">
        <f t="shared" si="120"/>
        <v>7376992.1849999996</v>
      </c>
      <c r="AE1326" s="1" t="s">
        <v>48</v>
      </c>
      <c r="AF1326" s="1" t="s">
        <v>53</v>
      </c>
      <c r="AG1326" s="4">
        <f t="shared" si="122"/>
        <v>124092.45</v>
      </c>
      <c r="AH1326" s="10">
        <v>124092.45</v>
      </c>
      <c r="AI1326" s="10">
        <v>3265</v>
      </c>
      <c r="AJ1326" s="10">
        <v>0</v>
      </c>
      <c r="AK1326" s="10">
        <v>0</v>
      </c>
      <c r="AL1326" s="9">
        <f t="shared" si="123"/>
        <v>120827.45</v>
      </c>
      <c r="AM1326" s="1"/>
      <c r="AN1326" s="1"/>
      <c r="AO1326" s="12" t="e">
        <f>AB1326/#REF!</f>
        <v>#REF!</v>
      </c>
      <c r="AP1326" s="1"/>
      <c r="AQ1326" s="11">
        <v>42094</v>
      </c>
      <c r="AR1326" s="1" t="s">
        <v>3516</v>
      </c>
      <c r="AS1326" s="11">
        <v>42098</v>
      </c>
      <c r="AT1326" s="1" t="s">
        <v>49</v>
      </c>
      <c r="AU1326" s="1" t="s">
        <v>4171</v>
      </c>
    </row>
    <row r="1327" spans="1:47" ht="15" customHeight="1" x14ac:dyDescent="0.25">
      <c r="A1327" s="1">
        <v>1323</v>
      </c>
      <c r="B1327" s="1" t="s">
        <v>1258</v>
      </c>
      <c r="C1327" s="1" t="s">
        <v>38</v>
      </c>
      <c r="D1327" s="1">
        <v>9103551125</v>
      </c>
      <c r="E1327" s="5">
        <v>42036</v>
      </c>
      <c r="F1327" s="1" t="s">
        <v>2888</v>
      </c>
      <c r="G1327" s="1" t="s">
        <v>40</v>
      </c>
      <c r="H1327" s="1" t="s">
        <v>41</v>
      </c>
      <c r="I1327" s="1" t="s">
        <v>2809</v>
      </c>
      <c r="J1327" s="1" t="s">
        <v>386</v>
      </c>
      <c r="K1327" s="1">
        <v>38237090</v>
      </c>
      <c r="L1327" s="6">
        <v>77.45</v>
      </c>
      <c r="M1327" s="1" t="s">
        <v>70</v>
      </c>
      <c r="N1327" s="7" t="s">
        <v>52</v>
      </c>
      <c r="O1327" s="1" t="s">
        <v>53</v>
      </c>
      <c r="P1327" s="8">
        <v>1285</v>
      </c>
      <c r="Q1327" s="17">
        <f t="shared" si="121"/>
        <v>99523.25</v>
      </c>
      <c r="R1327" s="9">
        <v>3000</v>
      </c>
      <c r="S1327" s="9">
        <v>0</v>
      </c>
      <c r="T1327" s="9">
        <v>0</v>
      </c>
      <c r="U1327" s="10">
        <v>0</v>
      </c>
      <c r="V1327" s="1" t="s">
        <v>46</v>
      </c>
      <c r="W1327" s="1" t="s">
        <v>241</v>
      </c>
      <c r="X1327" s="1">
        <v>7422626</v>
      </c>
      <c r="Y1327" s="11">
        <v>42031</v>
      </c>
      <c r="Z1327" s="11">
        <v>42032</v>
      </c>
      <c r="AA1327" s="9">
        <f t="shared" si="118"/>
        <v>96523.25</v>
      </c>
      <c r="AB1327" s="12">
        <v>61.3</v>
      </c>
      <c r="AC1327" s="9">
        <f t="shared" si="119"/>
        <v>6100775.2249999996</v>
      </c>
      <c r="AD1327" s="9">
        <f t="shared" si="120"/>
        <v>5916875.2249999996</v>
      </c>
      <c r="AE1327" s="1" t="s">
        <v>48</v>
      </c>
      <c r="AF1327" s="1" t="s">
        <v>53</v>
      </c>
      <c r="AG1327" s="4">
        <f t="shared" si="122"/>
        <v>99523.25</v>
      </c>
      <c r="AH1327" s="10">
        <v>99523.25</v>
      </c>
      <c r="AI1327" s="10">
        <v>2900</v>
      </c>
      <c r="AJ1327" s="10">
        <v>0</v>
      </c>
      <c r="AK1327" s="10">
        <v>0</v>
      </c>
      <c r="AL1327" s="9">
        <f t="shared" si="123"/>
        <v>96623.25</v>
      </c>
      <c r="AM1327" s="1"/>
      <c r="AN1327" s="1"/>
      <c r="AO1327" s="12" t="e">
        <f>AB1327/#REF!</f>
        <v>#REF!</v>
      </c>
      <c r="AP1327" s="1"/>
      <c r="AQ1327" s="11">
        <v>42094</v>
      </c>
      <c r="AR1327" s="1" t="s">
        <v>3517</v>
      </c>
      <c r="AS1327" s="11">
        <v>42098</v>
      </c>
      <c r="AT1327" s="1" t="s">
        <v>49</v>
      </c>
      <c r="AU1327" s="1" t="s">
        <v>4171</v>
      </c>
    </row>
    <row r="1328" spans="1:47" ht="15" customHeight="1" x14ac:dyDescent="0.25">
      <c r="A1328" s="1">
        <v>1324</v>
      </c>
      <c r="B1328" s="1" t="s">
        <v>1258</v>
      </c>
      <c r="C1328" s="1" t="s">
        <v>38</v>
      </c>
      <c r="D1328" s="1">
        <v>9103551126</v>
      </c>
      <c r="E1328" s="5">
        <v>42036</v>
      </c>
      <c r="F1328" s="1" t="s">
        <v>2889</v>
      </c>
      <c r="G1328" s="1" t="s">
        <v>40</v>
      </c>
      <c r="H1328" s="1" t="s">
        <v>41</v>
      </c>
      <c r="I1328" s="1" t="s">
        <v>2809</v>
      </c>
      <c r="J1328" s="1" t="s">
        <v>386</v>
      </c>
      <c r="K1328" s="1">
        <v>38237090</v>
      </c>
      <c r="L1328" s="6">
        <v>173.07</v>
      </c>
      <c r="M1328" s="1" t="s">
        <v>70</v>
      </c>
      <c r="N1328" s="7" t="s">
        <v>52</v>
      </c>
      <c r="O1328" s="1" t="s">
        <v>53</v>
      </c>
      <c r="P1328" s="8">
        <v>1285</v>
      </c>
      <c r="Q1328" s="17">
        <f t="shared" si="121"/>
        <v>222394.94999999998</v>
      </c>
      <c r="R1328" s="9">
        <v>6750</v>
      </c>
      <c r="S1328" s="9">
        <v>0</v>
      </c>
      <c r="T1328" s="9">
        <v>0</v>
      </c>
      <c r="U1328" s="10">
        <v>0</v>
      </c>
      <c r="V1328" s="1" t="s">
        <v>46</v>
      </c>
      <c r="W1328" s="1" t="s">
        <v>241</v>
      </c>
      <c r="X1328" s="1">
        <v>7424541</v>
      </c>
      <c r="Y1328" s="11">
        <v>42031</v>
      </c>
      <c r="Z1328" s="11">
        <v>42032</v>
      </c>
      <c r="AA1328" s="9">
        <f t="shared" si="118"/>
        <v>215644.94999999998</v>
      </c>
      <c r="AB1328" s="12">
        <v>61.3</v>
      </c>
      <c r="AC1328" s="9">
        <f t="shared" si="119"/>
        <v>13632810.434999999</v>
      </c>
      <c r="AD1328" s="9">
        <f t="shared" si="120"/>
        <v>13219035.434999999</v>
      </c>
      <c r="AE1328" s="1" t="s">
        <v>48</v>
      </c>
      <c r="AF1328" s="1" t="s">
        <v>53</v>
      </c>
      <c r="AG1328" s="4">
        <f t="shared" si="122"/>
        <v>222394.94999999998</v>
      </c>
      <c r="AH1328" s="10">
        <v>222394.95</v>
      </c>
      <c r="AI1328" s="10">
        <v>7650</v>
      </c>
      <c r="AJ1328" s="10">
        <v>0</v>
      </c>
      <c r="AK1328" s="10">
        <v>0</v>
      </c>
      <c r="AL1328" s="9">
        <f t="shared" si="123"/>
        <v>214744.95</v>
      </c>
      <c r="AM1328" s="1"/>
      <c r="AN1328" s="1"/>
      <c r="AO1328" s="12" t="e">
        <f>AB1328/#REF!</f>
        <v>#REF!</v>
      </c>
      <c r="AP1328" s="1"/>
      <c r="AQ1328" s="11">
        <v>42094</v>
      </c>
      <c r="AR1328" s="1" t="s">
        <v>3518</v>
      </c>
      <c r="AS1328" s="11">
        <v>42098</v>
      </c>
      <c r="AT1328" s="1" t="s">
        <v>49</v>
      </c>
      <c r="AU1328" s="1" t="s">
        <v>4171</v>
      </c>
    </row>
    <row r="1329" spans="1:47" ht="15" customHeight="1" x14ac:dyDescent="0.25">
      <c r="A1329" s="1">
        <v>1325</v>
      </c>
      <c r="B1329" s="1" t="s">
        <v>1258</v>
      </c>
      <c r="C1329" s="1" t="s">
        <v>38</v>
      </c>
      <c r="D1329" s="1">
        <v>9103551127</v>
      </c>
      <c r="E1329" s="5">
        <v>42035</v>
      </c>
      <c r="F1329" s="1" t="s">
        <v>2890</v>
      </c>
      <c r="G1329" s="1" t="s">
        <v>40</v>
      </c>
      <c r="H1329" s="1" t="s">
        <v>41</v>
      </c>
      <c r="I1329" s="1" t="s">
        <v>2809</v>
      </c>
      <c r="J1329" s="1" t="s">
        <v>50</v>
      </c>
      <c r="K1329" s="1">
        <v>38237090</v>
      </c>
      <c r="L1329" s="6">
        <v>129.16</v>
      </c>
      <c r="M1329" s="1" t="s">
        <v>70</v>
      </c>
      <c r="N1329" s="7" t="s">
        <v>52</v>
      </c>
      <c r="O1329" s="1" t="s">
        <v>45</v>
      </c>
      <c r="P1329" s="8">
        <v>1003</v>
      </c>
      <c r="Q1329" s="17">
        <f t="shared" si="121"/>
        <v>129547.48</v>
      </c>
      <c r="R1329" s="9">
        <v>4774.41</v>
      </c>
      <c r="S1329" s="9">
        <v>0</v>
      </c>
      <c r="T1329" s="9">
        <v>0</v>
      </c>
      <c r="U1329" s="10">
        <v>0</v>
      </c>
      <c r="V1329" s="1" t="s">
        <v>46</v>
      </c>
      <c r="W1329" s="1" t="s">
        <v>2657</v>
      </c>
      <c r="X1329" s="1">
        <v>7431032</v>
      </c>
      <c r="Y1329" s="11">
        <v>42031</v>
      </c>
      <c r="Z1329" s="11">
        <v>42032</v>
      </c>
      <c r="AA1329" s="9">
        <f t="shared" si="118"/>
        <v>124773.06999999999</v>
      </c>
      <c r="AB1329" s="12">
        <v>71.900000000000006</v>
      </c>
      <c r="AC1329" s="9">
        <f t="shared" si="119"/>
        <v>9314463.8120000008</v>
      </c>
      <c r="AD1329" s="9">
        <f t="shared" si="120"/>
        <v>8971183.7330000009</v>
      </c>
      <c r="AE1329" s="1" t="s">
        <v>48</v>
      </c>
      <c r="AF1329" s="1" t="s">
        <v>45</v>
      </c>
      <c r="AG1329" s="4">
        <f t="shared" si="122"/>
        <v>129547.48</v>
      </c>
      <c r="AH1329" s="10">
        <v>129547.48</v>
      </c>
      <c r="AI1329" s="10">
        <v>4947.6400000000003</v>
      </c>
      <c r="AJ1329" s="10">
        <v>0</v>
      </c>
      <c r="AK1329" s="10">
        <v>0</v>
      </c>
      <c r="AL1329" s="9">
        <f t="shared" si="123"/>
        <v>124599.84</v>
      </c>
      <c r="AM1329" s="1"/>
      <c r="AN1329" s="1"/>
      <c r="AO1329" s="12" t="e">
        <f>AB1329/#REF!</f>
        <v>#REF!</v>
      </c>
      <c r="AP1329" s="1"/>
      <c r="AQ1329" s="11">
        <v>42104</v>
      </c>
      <c r="AR1329" s="1" t="s">
        <v>3702</v>
      </c>
      <c r="AS1329" s="11">
        <v>42105</v>
      </c>
      <c r="AT1329" s="1" t="s">
        <v>49</v>
      </c>
      <c r="AU1329" s="1" t="s">
        <v>4171</v>
      </c>
    </row>
    <row r="1330" spans="1:47" ht="15" customHeight="1" x14ac:dyDescent="0.25">
      <c r="A1330" s="1">
        <v>1326</v>
      </c>
      <c r="B1330" s="1" t="s">
        <v>1258</v>
      </c>
      <c r="C1330" s="1" t="s">
        <v>38</v>
      </c>
      <c r="D1330" s="1">
        <v>9103551128</v>
      </c>
      <c r="E1330" s="5">
        <v>42036</v>
      </c>
      <c r="F1330" s="1" t="s">
        <v>2891</v>
      </c>
      <c r="G1330" s="1" t="s">
        <v>40</v>
      </c>
      <c r="H1330" s="1" t="s">
        <v>41</v>
      </c>
      <c r="I1330" s="1" t="s">
        <v>2809</v>
      </c>
      <c r="J1330" s="1" t="s">
        <v>386</v>
      </c>
      <c r="K1330" s="1">
        <v>38237090</v>
      </c>
      <c r="L1330" s="6">
        <v>134.65</v>
      </c>
      <c r="M1330" s="1" t="s">
        <v>70</v>
      </c>
      <c r="N1330" s="7" t="s">
        <v>52</v>
      </c>
      <c r="O1330" s="1" t="s">
        <v>53</v>
      </c>
      <c r="P1330" s="8">
        <v>1285</v>
      </c>
      <c r="Q1330" s="17">
        <f t="shared" si="121"/>
        <v>173025.25</v>
      </c>
      <c r="R1330" s="9">
        <v>5250</v>
      </c>
      <c r="S1330" s="9">
        <v>0</v>
      </c>
      <c r="T1330" s="9">
        <v>0</v>
      </c>
      <c r="U1330" s="10">
        <v>0</v>
      </c>
      <c r="V1330" s="1" t="s">
        <v>46</v>
      </c>
      <c r="W1330" s="1" t="s">
        <v>241</v>
      </c>
      <c r="X1330" s="1">
        <v>7438856</v>
      </c>
      <c r="Y1330" s="11">
        <v>42031</v>
      </c>
      <c r="Z1330" s="11">
        <v>42032</v>
      </c>
      <c r="AA1330" s="9">
        <f t="shared" si="118"/>
        <v>167775.25</v>
      </c>
      <c r="AB1330" s="12">
        <v>61.3</v>
      </c>
      <c r="AC1330" s="9">
        <f t="shared" si="119"/>
        <v>10606447.824999999</v>
      </c>
      <c r="AD1330" s="9">
        <f t="shared" si="120"/>
        <v>10284622.824999999</v>
      </c>
      <c r="AE1330" s="1" t="s">
        <v>48</v>
      </c>
      <c r="AF1330" s="1" t="s">
        <v>53</v>
      </c>
      <c r="AG1330" s="4">
        <f t="shared" si="122"/>
        <v>173025.25</v>
      </c>
      <c r="AH1330" s="10">
        <v>173025.25</v>
      </c>
      <c r="AI1330" s="10">
        <v>5075</v>
      </c>
      <c r="AJ1330" s="10">
        <v>0</v>
      </c>
      <c r="AK1330" s="10">
        <v>0</v>
      </c>
      <c r="AL1330" s="9">
        <f t="shared" si="123"/>
        <v>167950.25</v>
      </c>
      <c r="AM1330" s="1"/>
      <c r="AN1330" s="1"/>
      <c r="AO1330" s="12" t="e">
        <f>AB1330/#REF!</f>
        <v>#REF!</v>
      </c>
      <c r="AP1330" s="1"/>
      <c r="AQ1330" s="11">
        <v>42094</v>
      </c>
      <c r="AR1330" s="1" t="s">
        <v>3519</v>
      </c>
      <c r="AS1330" s="11">
        <v>42098</v>
      </c>
      <c r="AT1330" s="1" t="s">
        <v>49</v>
      </c>
      <c r="AU1330" s="1" t="s">
        <v>4171</v>
      </c>
    </row>
    <row r="1331" spans="1:47" ht="15" customHeight="1" x14ac:dyDescent="0.25">
      <c r="A1331" s="1">
        <v>1327</v>
      </c>
      <c r="B1331" s="1" t="s">
        <v>1258</v>
      </c>
      <c r="C1331" s="1" t="s">
        <v>38</v>
      </c>
      <c r="D1331" s="1">
        <v>9103551129</v>
      </c>
      <c r="E1331" s="5">
        <v>42035</v>
      </c>
      <c r="F1331" s="1" t="s">
        <v>2892</v>
      </c>
      <c r="G1331" s="1" t="s">
        <v>40</v>
      </c>
      <c r="H1331" s="1" t="s">
        <v>41</v>
      </c>
      <c r="I1331" s="1" t="s">
        <v>2809</v>
      </c>
      <c r="J1331" s="1" t="s">
        <v>187</v>
      </c>
      <c r="K1331" s="1">
        <v>38237090</v>
      </c>
      <c r="L1331" s="6">
        <v>36.28</v>
      </c>
      <c r="M1331" s="1" t="s">
        <v>70</v>
      </c>
      <c r="N1331" s="7" t="s">
        <v>44</v>
      </c>
      <c r="O1331" s="1" t="s">
        <v>53</v>
      </c>
      <c r="P1331" s="8">
        <v>1694</v>
      </c>
      <c r="Q1331" s="17">
        <f t="shared" si="121"/>
        <v>61458.32</v>
      </c>
      <c r="R1331" s="9">
        <v>6000</v>
      </c>
      <c r="S1331" s="9">
        <v>8.7899999999999991</v>
      </c>
      <c r="T1331" s="9">
        <v>0</v>
      </c>
      <c r="U1331" s="10">
        <v>0</v>
      </c>
      <c r="V1331" s="1" t="s">
        <v>46</v>
      </c>
      <c r="W1331" s="1" t="s">
        <v>188</v>
      </c>
      <c r="X1331" s="1">
        <v>7448230</v>
      </c>
      <c r="Y1331" s="11">
        <v>42032</v>
      </c>
      <c r="Z1331" s="11">
        <v>42032</v>
      </c>
      <c r="AA1331" s="9">
        <f t="shared" si="118"/>
        <v>55449.53</v>
      </c>
      <c r="AB1331" s="12">
        <v>61.3</v>
      </c>
      <c r="AC1331" s="9">
        <f t="shared" si="119"/>
        <v>3767395.0159999998</v>
      </c>
      <c r="AD1331" s="9">
        <f t="shared" si="120"/>
        <v>3399056.1889999998</v>
      </c>
      <c r="AE1331" s="1" t="s">
        <v>48</v>
      </c>
      <c r="AF1331" s="1" t="s">
        <v>53</v>
      </c>
      <c r="AG1331" s="4">
        <f t="shared" si="122"/>
        <v>61458.32</v>
      </c>
      <c r="AH1331" s="10">
        <v>61458.32</v>
      </c>
      <c r="AI1331" s="10">
        <v>6242</v>
      </c>
      <c r="AJ1331" s="10">
        <v>8.7899999999999991</v>
      </c>
      <c r="AK1331" s="10">
        <v>0</v>
      </c>
      <c r="AL1331" s="9">
        <f t="shared" si="123"/>
        <v>55207.53</v>
      </c>
      <c r="AM1331" s="1"/>
      <c r="AN1331" s="1"/>
      <c r="AO1331" s="12" t="e">
        <f>AB1331/#REF!</f>
        <v>#REF!</v>
      </c>
      <c r="AP1331" s="1"/>
      <c r="AQ1331" s="11">
        <v>42123</v>
      </c>
      <c r="AR1331" s="1" t="s">
        <v>3520</v>
      </c>
      <c r="AS1331" s="11">
        <v>42124</v>
      </c>
      <c r="AT1331" s="1" t="s">
        <v>49</v>
      </c>
      <c r="AU1331" s="1" t="s">
        <v>4171</v>
      </c>
    </row>
    <row r="1332" spans="1:47" ht="15" customHeight="1" x14ac:dyDescent="0.25">
      <c r="A1332" s="1">
        <v>1328</v>
      </c>
      <c r="B1332" s="1" t="s">
        <v>1258</v>
      </c>
      <c r="C1332" s="1" t="s">
        <v>38</v>
      </c>
      <c r="D1332" s="1">
        <v>9103551130</v>
      </c>
      <c r="E1332" s="5">
        <v>42036</v>
      </c>
      <c r="F1332" s="1" t="s">
        <v>2893</v>
      </c>
      <c r="G1332" s="1" t="s">
        <v>40</v>
      </c>
      <c r="H1332" s="1" t="s">
        <v>41</v>
      </c>
      <c r="I1332" s="1" t="s">
        <v>2809</v>
      </c>
      <c r="J1332" s="1" t="s">
        <v>187</v>
      </c>
      <c r="K1332" s="1">
        <v>38237090</v>
      </c>
      <c r="L1332" s="6">
        <v>18.399999999999999</v>
      </c>
      <c r="M1332" s="1" t="s">
        <v>70</v>
      </c>
      <c r="N1332" s="7" t="s">
        <v>44</v>
      </c>
      <c r="O1332" s="1" t="s">
        <v>53</v>
      </c>
      <c r="P1332" s="8">
        <v>1495</v>
      </c>
      <c r="Q1332" s="17">
        <f t="shared" si="121"/>
        <v>27507.999999999996</v>
      </c>
      <c r="R1332" s="9">
        <v>2800</v>
      </c>
      <c r="S1332" s="9">
        <v>3.93</v>
      </c>
      <c r="T1332" s="9">
        <v>0</v>
      </c>
      <c r="U1332" s="10">
        <v>0</v>
      </c>
      <c r="V1332" s="1" t="s">
        <v>46</v>
      </c>
      <c r="W1332" s="1" t="s">
        <v>56</v>
      </c>
      <c r="X1332" s="1">
        <v>7455315</v>
      </c>
      <c r="Y1332" s="11">
        <v>42032</v>
      </c>
      <c r="Z1332" s="11">
        <v>42033</v>
      </c>
      <c r="AA1332" s="9">
        <f t="shared" si="118"/>
        <v>24704.069999999996</v>
      </c>
      <c r="AB1332" s="12">
        <v>61.3</v>
      </c>
      <c r="AC1332" s="9">
        <f t="shared" si="119"/>
        <v>1686240.3999999997</v>
      </c>
      <c r="AD1332" s="9">
        <f t="shared" si="120"/>
        <v>1514359.4909999997</v>
      </c>
      <c r="AE1332" s="1" t="s">
        <v>48</v>
      </c>
      <c r="AF1332" s="1" t="s">
        <v>53</v>
      </c>
      <c r="AG1332" s="4">
        <f t="shared" si="122"/>
        <v>27507.999999999996</v>
      </c>
      <c r="AH1332" s="10">
        <v>27508</v>
      </c>
      <c r="AI1332" s="10">
        <v>2800</v>
      </c>
      <c r="AJ1332" s="10">
        <v>3.93</v>
      </c>
      <c r="AK1332" s="10">
        <v>0</v>
      </c>
      <c r="AL1332" s="9">
        <f t="shared" si="123"/>
        <v>24704.07</v>
      </c>
      <c r="AM1332" s="1"/>
      <c r="AN1332" s="1"/>
      <c r="AO1332" s="12" t="e">
        <f>AB1332/#REF!</f>
        <v>#REF!</v>
      </c>
      <c r="AP1332" s="1"/>
      <c r="AQ1332" s="11">
        <v>42123</v>
      </c>
      <c r="AR1332" s="1" t="s">
        <v>3521</v>
      </c>
      <c r="AS1332" s="11">
        <v>42124</v>
      </c>
      <c r="AT1332" s="1" t="s">
        <v>49</v>
      </c>
      <c r="AU1332" s="1" t="s">
        <v>4171</v>
      </c>
    </row>
    <row r="1333" spans="1:47" ht="15" customHeight="1" x14ac:dyDescent="0.25">
      <c r="A1333" s="1">
        <v>1329</v>
      </c>
      <c r="B1333" s="1" t="s">
        <v>1258</v>
      </c>
      <c r="C1333" s="1" t="s">
        <v>38</v>
      </c>
      <c r="D1333" s="1">
        <v>9103551132</v>
      </c>
      <c r="E1333" s="5">
        <v>42037</v>
      </c>
      <c r="F1333" s="1" t="s">
        <v>2894</v>
      </c>
      <c r="G1333" s="1" t="s">
        <v>40</v>
      </c>
      <c r="H1333" s="1" t="s">
        <v>41</v>
      </c>
      <c r="I1333" s="1" t="s">
        <v>2809</v>
      </c>
      <c r="J1333" s="1" t="s">
        <v>78</v>
      </c>
      <c r="K1333" s="1">
        <v>38237090</v>
      </c>
      <c r="L1333" s="6">
        <v>19.420000000000002</v>
      </c>
      <c r="M1333" s="1" t="s">
        <v>70</v>
      </c>
      <c r="N1333" s="7" t="s">
        <v>67</v>
      </c>
      <c r="O1333" s="1" t="s">
        <v>53</v>
      </c>
      <c r="P1333" s="8">
        <v>1430</v>
      </c>
      <c r="Q1333" s="17">
        <f t="shared" si="121"/>
        <v>27770.600000000002</v>
      </c>
      <c r="R1333" s="9">
        <v>0</v>
      </c>
      <c r="S1333" s="9">
        <v>0</v>
      </c>
      <c r="T1333" s="9">
        <v>0</v>
      </c>
      <c r="U1333" s="10">
        <v>0</v>
      </c>
      <c r="V1333" s="1" t="s">
        <v>46</v>
      </c>
      <c r="W1333" s="1" t="s">
        <v>56</v>
      </c>
      <c r="X1333" s="1">
        <v>7464798</v>
      </c>
      <c r="Y1333" s="11">
        <v>42032</v>
      </c>
      <c r="Z1333" s="11">
        <v>42033</v>
      </c>
      <c r="AA1333" s="9">
        <f t="shared" si="118"/>
        <v>27770.600000000002</v>
      </c>
      <c r="AB1333" s="12">
        <v>61.3</v>
      </c>
      <c r="AC1333" s="9">
        <f t="shared" si="119"/>
        <v>1702337.78</v>
      </c>
      <c r="AD1333" s="9">
        <f t="shared" si="120"/>
        <v>1702337.78</v>
      </c>
      <c r="AE1333" s="1" t="s">
        <v>48</v>
      </c>
      <c r="AF1333" s="1" t="s">
        <v>53</v>
      </c>
      <c r="AG1333" s="4">
        <f t="shared" si="122"/>
        <v>27770.600000000002</v>
      </c>
      <c r="AH1333" s="10">
        <v>27770.6</v>
      </c>
      <c r="AI1333" s="10">
        <v>0</v>
      </c>
      <c r="AJ1333" s="10">
        <v>0</v>
      </c>
      <c r="AK1333" s="10">
        <v>0</v>
      </c>
      <c r="AL1333" s="9">
        <f t="shared" si="123"/>
        <v>27770.6</v>
      </c>
      <c r="AM1333" s="1"/>
      <c r="AN1333" s="1"/>
      <c r="AO1333" s="12" t="e">
        <f>AB1333/#REF!</f>
        <v>#REF!</v>
      </c>
      <c r="AP1333" s="1"/>
      <c r="AQ1333" s="11">
        <v>42068</v>
      </c>
      <c r="AR1333" s="1" t="s">
        <v>3522</v>
      </c>
      <c r="AS1333" s="11">
        <v>42070</v>
      </c>
      <c r="AT1333" s="1" t="s">
        <v>49</v>
      </c>
      <c r="AU1333" s="1" t="s">
        <v>4171</v>
      </c>
    </row>
    <row r="1334" spans="1:47" ht="15" customHeight="1" x14ac:dyDescent="0.25">
      <c r="A1334" s="1">
        <v>1330</v>
      </c>
      <c r="B1334" s="1" t="s">
        <v>1258</v>
      </c>
      <c r="C1334" s="1" t="s">
        <v>38</v>
      </c>
      <c r="D1334" s="1">
        <v>9103551133</v>
      </c>
      <c r="E1334" s="5">
        <v>42037</v>
      </c>
      <c r="F1334" s="1" t="s">
        <v>2895</v>
      </c>
      <c r="G1334" s="1" t="s">
        <v>40</v>
      </c>
      <c r="H1334" s="1" t="s">
        <v>41</v>
      </c>
      <c r="I1334" s="1" t="s">
        <v>2809</v>
      </c>
      <c r="J1334" s="1" t="s">
        <v>78</v>
      </c>
      <c r="K1334" s="1">
        <v>38237090</v>
      </c>
      <c r="L1334" s="6">
        <v>18.690000000000001</v>
      </c>
      <c r="M1334" s="1" t="s">
        <v>70</v>
      </c>
      <c r="N1334" s="7" t="s">
        <v>67</v>
      </c>
      <c r="O1334" s="1" t="s">
        <v>53</v>
      </c>
      <c r="P1334" s="8">
        <v>1430</v>
      </c>
      <c r="Q1334" s="17">
        <f t="shared" si="121"/>
        <v>26726.7</v>
      </c>
      <c r="R1334" s="9">
        <v>0</v>
      </c>
      <c r="S1334" s="9">
        <v>0</v>
      </c>
      <c r="T1334" s="9">
        <v>0</v>
      </c>
      <c r="U1334" s="10">
        <v>0</v>
      </c>
      <c r="V1334" s="1" t="s">
        <v>46</v>
      </c>
      <c r="W1334" s="1" t="s">
        <v>56</v>
      </c>
      <c r="X1334" s="1">
        <v>7480211</v>
      </c>
      <c r="Y1334" s="11">
        <v>42033</v>
      </c>
      <c r="Z1334" s="11">
        <v>42034</v>
      </c>
      <c r="AA1334" s="9">
        <f t="shared" si="118"/>
        <v>26726.7</v>
      </c>
      <c r="AB1334" s="12">
        <v>61.3</v>
      </c>
      <c r="AC1334" s="9">
        <f t="shared" si="119"/>
        <v>1638346.71</v>
      </c>
      <c r="AD1334" s="9">
        <f t="shared" si="120"/>
        <v>1638346.71</v>
      </c>
      <c r="AE1334" s="1" t="s">
        <v>48</v>
      </c>
      <c r="AF1334" s="1" t="s">
        <v>53</v>
      </c>
      <c r="AG1334" s="4">
        <f t="shared" si="122"/>
        <v>26726.7</v>
      </c>
      <c r="AH1334" s="10">
        <v>26726.7</v>
      </c>
      <c r="AI1334" s="10">
        <v>0</v>
      </c>
      <c r="AJ1334" s="10">
        <v>0</v>
      </c>
      <c r="AK1334" s="10">
        <v>0</v>
      </c>
      <c r="AL1334" s="9">
        <f t="shared" si="123"/>
        <v>26726.7</v>
      </c>
      <c r="AM1334" s="1"/>
      <c r="AN1334" s="1"/>
      <c r="AO1334" s="12" t="e">
        <f>AB1334/#REF!</f>
        <v>#REF!</v>
      </c>
      <c r="AP1334" s="1"/>
      <c r="AQ1334" s="11">
        <v>42068</v>
      </c>
      <c r="AR1334" s="1" t="s">
        <v>3523</v>
      </c>
      <c r="AS1334" s="11">
        <v>42070</v>
      </c>
      <c r="AT1334" s="1" t="s">
        <v>49</v>
      </c>
      <c r="AU1334" s="1" t="s">
        <v>4171</v>
      </c>
    </row>
    <row r="1335" spans="1:47" ht="15" customHeight="1" x14ac:dyDescent="0.25">
      <c r="A1335" s="1">
        <v>1331</v>
      </c>
      <c r="B1335" s="1" t="s">
        <v>1258</v>
      </c>
      <c r="C1335" s="1" t="s">
        <v>38</v>
      </c>
      <c r="D1335" s="1">
        <v>9103551134</v>
      </c>
      <c r="E1335" s="5">
        <v>42036</v>
      </c>
      <c r="F1335" s="1" t="s">
        <v>2896</v>
      </c>
      <c r="G1335" s="1" t="s">
        <v>40</v>
      </c>
      <c r="H1335" s="1" t="s">
        <v>41</v>
      </c>
      <c r="I1335" s="1" t="s">
        <v>2809</v>
      </c>
      <c r="J1335" s="1" t="s">
        <v>76</v>
      </c>
      <c r="K1335" s="1">
        <v>29157010</v>
      </c>
      <c r="L1335" s="6">
        <v>136.53</v>
      </c>
      <c r="M1335" s="1" t="s">
        <v>70</v>
      </c>
      <c r="N1335" s="7" t="s">
        <v>44</v>
      </c>
      <c r="O1335" s="1" t="s">
        <v>53</v>
      </c>
      <c r="P1335" s="8">
        <v>1040</v>
      </c>
      <c r="Q1335" s="17">
        <f t="shared" si="121"/>
        <v>141991.20000000001</v>
      </c>
      <c r="R1335" s="9">
        <v>2625</v>
      </c>
      <c r="S1335" s="9">
        <v>20.3</v>
      </c>
      <c r="T1335" s="9">
        <v>0</v>
      </c>
      <c r="U1335" s="10">
        <v>0</v>
      </c>
      <c r="V1335" s="1" t="s">
        <v>46</v>
      </c>
      <c r="W1335" s="1" t="s">
        <v>492</v>
      </c>
      <c r="X1335" s="1">
        <v>7466594</v>
      </c>
      <c r="Y1335" s="11">
        <v>42032</v>
      </c>
      <c r="Z1335" s="11">
        <v>42033</v>
      </c>
      <c r="AA1335" s="9">
        <f t="shared" si="118"/>
        <v>139345.90000000002</v>
      </c>
      <c r="AB1335" s="12">
        <v>61.3</v>
      </c>
      <c r="AC1335" s="9">
        <f t="shared" si="119"/>
        <v>8704060.5600000005</v>
      </c>
      <c r="AD1335" s="9">
        <f t="shared" si="120"/>
        <v>8541903.6700000018</v>
      </c>
      <c r="AE1335" s="1"/>
      <c r="AF1335" s="1" t="s">
        <v>53</v>
      </c>
      <c r="AG1335" s="4">
        <f t="shared" si="122"/>
        <v>141991.20000000001</v>
      </c>
      <c r="AH1335" s="10">
        <v>141971.20000000001</v>
      </c>
      <c r="AI1335" s="10"/>
      <c r="AJ1335" s="10"/>
      <c r="AK1335" s="10"/>
      <c r="AL1335" s="9">
        <f t="shared" si="123"/>
        <v>141971.20000000001</v>
      </c>
      <c r="AM1335" s="1"/>
      <c r="AN1335" s="1"/>
      <c r="AO1335" s="12" t="e">
        <f>AB1335/#REF!</f>
        <v>#REF!</v>
      </c>
      <c r="AP1335" s="1" t="s">
        <v>4246</v>
      </c>
      <c r="AQ1335" s="11">
        <v>42254</v>
      </c>
      <c r="AR1335" s="1" t="s">
        <v>4247</v>
      </c>
      <c r="AS1335" s="11">
        <v>42255</v>
      </c>
      <c r="AT1335" s="1" t="s">
        <v>49</v>
      </c>
      <c r="AU1335" s="1" t="s">
        <v>4171</v>
      </c>
    </row>
    <row r="1336" spans="1:47" ht="15" customHeight="1" x14ac:dyDescent="0.25">
      <c r="A1336" s="1">
        <v>1332</v>
      </c>
      <c r="B1336" s="1" t="s">
        <v>1258</v>
      </c>
      <c r="C1336" s="1" t="s">
        <v>38</v>
      </c>
      <c r="D1336" s="1">
        <v>9103551135</v>
      </c>
      <c r="E1336" s="5">
        <v>42033</v>
      </c>
      <c r="F1336" s="1" t="s">
        <v>2897</v>
      </c>
      <c r="G1336" s="1" t="s">
        <v>40</v>
      </c>
      <c r="H1336" s="1" t="s">
        <v>41</v>
      </c>
      <c r="I1336" s="1" t="s">
        <v>2809</v>
      </c>
      <c r="J1336" s="1" t="s">
        <v>2660</v>
      </c>
      <c r="K1336" s="1">
        <v>29051700</v>
      </c>
      <c r="L1336" s="6">
        <v>11</v>
      </c>
      <c r="M1336" s="1" t="s">
        <v>70</v>
      </c>
      <c r="N1336" s="7" t="s">
        <v>52</v>
      </c>
      <c r="O1336" s="1" t="s">
        <v>53</v>
      </c>
      <c r="P1336" s="8">
        <v>1600</v>
      </c>
      <c r="Q1336" s="17">
        <f t="shared" si="121"/>
        <v>17600</v>
      </c>
      <c r="R1336" s="9">
        <v>131</v>
      </c>
      <c r="S1336" s="9">
        <v>0</v>
      </c>
      <c r="T1336" s="9">
        <v>0</v>
      </c>
      <c r="U1336" s="10">
        <v>0</v>
      </c>
      <c r="V1336" s="1" t="s">
        <v>46</v>
      </c>
      <c r="W1336" s="1" t="s">
        <v>75</v>
      </c>
      <c r="X1336" s="1">
        <v>7487142</v>
      </c>
      <c r="Y1336" s="11">
        <v>42033</v>
      </c>
      <c r="Z1336" s="11">
        <v>42034</v>
      </c>
      <c r="AA1336" s="9">
        <f t="shared" si="118"/>
        <v>17469</v>
      </c>
      <c r="AB1336" s="12">
        <v>61.3</v>
      </c>
      <c r="AC1336" s="9">
        <f t="shared" si="119"/>
        <v>1078880</v>
      </c>
      <c r="AD1336" s="9">
        <f t="shared" si="120"/>
        <v>1070849.7</v>
      </c>
      <c r="AE1336" s="1" t="s">
        <v>48</v>
      </c>
      <c r="AF1336" s="1" t="s">
        <v>53</v>
      </c>
      <c r="AG1336" s="4">
        <f t="shared" si="122"/>
        <v>17600</v>
      </c>
      <c r="AH1336" s="10">
        <v>17600</v>
      </c>
      <c r="AI1336" s="9">
        <v>183</v>
      </c>
      <c r="AJ1336" s="9">
        <v>0</v>
      </c>
      <c r="AK1336" s="9">
        <v>0</v>
      </c>
      <c r="AL1336" s="9">
        <f t="shared" si="123"/>
        <v>17417</v>
      </c>
      <c r="AM1336" s="1"/>
      <c r="AN1336" s="1"/>
      <c r="AO1336" s="12" t="e">
        <f>AB1336/#REF!</f>
        <v>#REF!</v>
      </c>
      <c r="AP1336" s="1"/>
      <c r="AQ1336" s="11">
        <v>42072</v>
      </c>
      <c r="AR1336" s="1" t="s">
        <v>3524</v>
      </c>
      <c r="AS1336" s="11">
        <v>42073</v>
      </c>
      <c r="AT1336" s="1" t="s">
        <v>49</v>
      </c>
      <c r="AU1336" s="1" t="s">
        <v>4171</v>
      </c>
    </row>
    <row r="1337" spans="1:47" ht="15" customHeight="1" x14ac:dyDescent="0.25">
      <c r="A1337" s="1">
        <v>1333</v>
      </c>
      <c r="B1337" s="1" t="s">
        <v>1258</v>
      </c>
      <c r="C1337" s="1" t="s">
        <v>38</v>
      </c>
      <c r="D1337" s="1">
        <v>9103551136</v>
      </c>
      <c r="E1337" s="5">
        <v>42036</v>
      </c>
      <c r="F1337" s="1" t="s">
        <v>2898</v>
      </c>
      <c r="G1337" s="1" t="s">
        <v>40</v>
      </c>
      <c r="H1337" s="1" t="s">
        <v>41</v>
      </c>
      <c r="I1337" s="1" t="s">
        <v>2810</v>
      </c>
      <c r="J1337" s="1" t="s">
        <v>1116</v>
      </c>
      <c r="K1337" s="1">
        <v>38237090</v>
      </c>
      <c r="L1337" s="6">
        <v>207.14</v>
      </c>
      <c r="M1337" s="1" t="s">
        <v>70</v>
      </c>
      <c r="N1337" s="7" t="s">
        <v>67</v>
      </c>
      <c r="O1337" s="1" t="s">
        <v>1117</v>
      </c>
      <c r="P1337" s="8">
        <v>83850</v>
      </c>
      <c r="Q1337" s="17">
        <f t="shared" si="121"/>
        <v>17368689</v>
      </c>
      <c r="R1337" s="9">
        <v>0</v>
      </c>
      <c r="S1337" s="9">
        <v>0</v>
      </c>
      <c r="T1337" s="9">
        <v>1139386</v>
      </c>
      <c r="U1337" s="10">
        <v>0</v>
      </c>
      <c r="V1337" s="1" t="s">
        <v>46</v>
      </c>
      <c r="W1337" s="1" t="s">
        <v>361</v>
      </c>
      <c r="X1337" s="1">
        <v>7487182</v>
      </c>
      <c r="Y1337" s="11">
        <v>42033</v>
      </c>
      <c r="Z1337" s="11">
        <v>42034</v>
      </c>
      <c r="AA1337" s="9">
        <f t="shared" si="118"/>
        <v>17368689</v>
      </c>
      <c r="AB1337" s="12">
        <v>1</v>
      </c>
      <c r="AC1337" s="9">
        <f t="shared" si="119"/>
        <v>17368689</v>
      </c>
      <c r="AD1337" s="9">
        <f t="shared" si="120"/>
        <v>17368689</v>
      </c>
      <c r="AE1337" s="1" t="s">
        <v>4162</v>
      </c>
      <c r="AF1337" s="1" t="s">
        <v>1117</v>
      </c>
      <c r="AG1337" s="4">
        <f t="shared" si="122"/>
        <v>17368689</v>
      </c>
      <c r="AH1337" s="10">
        <v>16994801.300000001</v>
      </c>
      <c r="AI1337" s="10"/>
      <c r="AJ1337" s="10"/>
      <c r="AK1337" s="10"/>
      <c r="AL1337" s="9">
        <f t="shared" si="123"/>
        <v>16994801.300000001</v>
      </c>
      <c r="AM1337" s="1"/>
      <c r="AN1337" s="1"/>
      <c r="AO1337" s="12"/>
      <c r="AP1337" s="1" t="s">
        <v>4036</v>
      </c>
      <c r="AQ1337" s="11" t="s">
        <v>4015</v>
      </c>
      <c r="AR1337" s="1" t="s">
        <v>4035</v>
      </c>
      <c r="AS1337" s="1" t="s">
        <v>4034</v>
      </c>
      <c r="AT1337" s="1" t="s">
        <v>49</v>
      </c>
      <c r="AU1337" s="1" t="s">
        <v>4171</v>
      </c>
    </row>
    <row r="1338" spans="1:47" ht="15" customHeight="1" x14ac:dyDescent="0.25">
      <c r="A1338" s="1">
        <v>1334</v>
      </c>
      <c r="B1338" s="1" t="s">
        <v>1258</v>
      </c>
      <c r="C1338" s="1" t="s">
        <v>38</v>
      </c>
      <c r="D1338" s="1">
        <v>9103551137</v>
      </c>
      <c r="E1338" s="5">
        <v>42033</v>
      </c>
      <c r="F1338" s="1" t="s">
        <v>2899</v>
      </c>
      <c r="G1338" s="1" t="s">
        <v>40</v>
      </c>
      <c r="H1338" s="1" t="s">
        <v>41</v>
      </c>
      <c r="I1338" s="1" t="s">
        <v>2809</v>
      </c>
      <c r="J1338" s="1" t="s">
        <v>2660</v>
      </c>
      <c r="K1338" s="1">
        <v>29051700</v>
      </c>
      <c r="L1338" s="6">
        <v>11</v>
      </c>
      <c r="M1338" s="1" t="s">
        <v>70</v>
      </c>
      <c r="N1338" s="7" t="s">
        <v>52</v>
      </c>
      <c r="O1338" s="1" t="s">
        <v>53</v>
      </c>
      <c r="P1338" s="8">
        <v>1570</v>
      </c>
      <c r="Q1338" s="17">
        <f t="shared" si="121"/>
        <v>17270</v>
      </c>
      <c r="R1338" s="9">
        <v>131</v>
      </c>
      <c r="S1338" s="9">
        <v>0</v>
      </c>
      <c r="T1338" s="9">
        <v>0</v>
      </c>
      <c r="U1338" s="10">
        <v>0</v>
      </c>
      <c r="V1338" s="1" t="s">
        <v>46</v>
      </c>
      <c r="W1338" s="1" t="s">
        <v>75</v>
      </c>
      <c r="X1338" s="1">
        <v>7491545</v>
      </c>
      <c r="Y1338" s="11">
        <v>42033</v>
      </c>
      <c r="Z1338" s="11">
        <v>42034</v>
      </c>
      <c r="AA1338" s="9">
        <f t="shared" si="118"/>
        <v>17139</v>
      </c>
      <c r="AB1338" s="12">
        <v>61.3</v>
      </c>
      <c r="AC1338" s="9">
        <f t="shared" si="119"/>
        <v>1058651</v>
      </c>
      <c r="AD1338" s="9">
        <f t="shared" si="120"/>
        <v>1050620.7</v>
      </c>
      <c r="AE1338" s="1" t="s">
        <v>48</v>
      </c>
      <c r="AF1338" s="1" t="s">
        <v>53</v>
      </c>
      <c r="AG1338" s="4">
        <f t="shared" si="122"/>
        <v>17270</v>
      </c>
      <c r="AH1338" s="10">
        <v>17270</v>
      </c>
      <c r="AI1338" s="9">
        <v>183</v>
      </c>
      <c r="AJ1338" s="9">
        <v>0</v>
      </c>
      <c r="AK1338" s="9">
        <v>0</v>
      </c>
      <c r="AL1338" s="9">
        <f t="shared" si="123"/>
        <v>17087</v>
      </c>
      <c r="AM1338" s="1"/>
      <c r="AN1338" s="1"/>
      <c r="AO1338" s="12" t="e">
        <f>AB1338/#REF!</f>
        <v>#REF!</v>
      </c>
      <c r="AP1338" s="1"/>
      <c r="AQ1338" s="11">
        <v>42072</v>
      </c>
      <c r="AR1338" s="1" t="s">
        <v>3525</v>
      </c>
      <c r="AS1338" s="11">
        <v>42073</v>
      </c>
      <c r="AT1338" s="1" t="s">
        <v>49</v>
      </c>
      <c r="AU1338" s="1" t="s">
        <v>4171</v>
      </c>
    </row>
    <row r="1339" spans="1:47" ht="15" customHeight="1" x14ac:dyDescent="0.25">
      <c r="A1339" s="1">
        <v>1335</v>
      </c>
      <c r="B1339" s="1" t="s">
        <v>1258</v>
      </c>
      <c r="C1339" s="1" t="s">
        <v>38</v>
      </c>
      <c r="D1339" s="1">
        <v>9103551138</v>
      </c>
      <c r="E1339" s="5">
        <v>42036</v>
      </c>
      <c r="F1339" s="1" t="s">
        <v>2900</v>
      </c>
      <c r="G1339" s="1" t="s">
        <v>40</v>
      </c>
      <c r="H1339" s="1" t="s">
        <v>41</v>
      </c>
      <c r="I1339" s="1" t="s">
        <v>2809</v>
      </c>
      <c r="J1339" s="1" t="s">
        <v>187</v>
      </c>
      <c r="K1339" s="1">
        <v>38237090</v>
      </c>
      <c r="L1339" s="6">
        <v>18.23</v>
      </c>
      <c r="M1339" s="1" t="s">
        <v>70</v>
      </c>
      <c r="N1339" s="7" t="s">
        <v>44</v>
      </c>
      <c r="O1339" s="1" t="s">
        <v>53</v>
      </c>
      <c r="P1339" s="8">
        <v>1495</v>
      </c>
      <c r="Q1339" s="17">
        <f t="shared" si="121"/>
        <v>27253.850000000002</v>
      </c>
      <c r="R1339" s="9">
        <v>2800</v>
      </c>
      <c r="S1339" s="9">
        <v>3.9</v>
      </c>
      <c r="T1339" s="9">
        <v>0</v>
      </c>
      <c r="U1339" s="10">
        <v>0</v>
      </c>
      <c r="V1339" s="1" t="s">
        <v>46</v>
      </c>
      <c r="W1339" s="1" t="s">
        <v>56</v>
      </c>
      <c r="X1339" s="1">
        <v>7494668</v>
      </c>
      <c r="Y1339" s="11">
        <v>42033</v>
      </c>
      <c r="Z1339" s="11">
        <v>42034</v>
      </c>
      <c r="AA1339" s="9">
        <f t="shared" si="118"/>
        <v>24449.95</v>
      </c>
      <c r="AB1339" s="12">
        <v>61.3</v>
      </c>
      <c r="AC1339" s="9">
        <f t="shared" si="119"/>
        <v>1670661.0050000001</v>
      </c>
      <c r="AD1339" s="9">
        <f t="shared" si="120"/>
        <v>1498781.9350000001</v>
      </c>
      <c r="AE1339" s="1" t="s">
        <v>48</v>
      </c>
      <c r="AF1339" s="1" t="s">
        <v>53</v>
      </c>
      <c r="AG1339" s="4">
        <f t="shared" si="122"/>
        <v>27253.850000000002</v>
      </c>
      <c r="AH1339" s="10">
        <v>27253.85</v>
      </c>
      <c r="AI1339" s="10">
        <v>2800</v>
      </c>
      <c r="AJ1339" s="10">
        <v>3.9</v>
      </c>
      <c r="AK1339" s="10">
        <v>0</v>
      </c>
      <c r="AL1339" s="9">
        <f t="shared" si="123"/>
        <v>24449.949999999997</v>
      </c>
      <c r="AM1339" s="1"/>
      <c r="AN1339" s="1"/>
      <c r="AO1339" s="12" t="e">
        <f>AB1339/#REF!</f>
        <v>#REF!</v>
      </c>
      <c r="AP1339" s="1"/>
      <c r="AQ1339" s="11">
        <v>42123</v>
      </c>
      <c r="AR1339" s="1" t="s">
        <v>3526</v>
      </c>
      <c r="AS1339" s="11">
        <v>42124</v>
      </c>
      <c r="AT1339" s="1" t="s">
        <v>49</v>
      </c>
      <c r="AU1339" s="1" t="s">
        <v>4171</v>
      </c>
    </row>
    <row r="1340" spans="1:47" ht="15" customHeight="1" x14ac:dyDescent="0.25">
      <c r="A1340" s="1">
        <v>1336</v>
      </c>
      <c r="B1340" s="1" t="s">
        <v>1258</v>
      </c>
      <c r="C1340" s="1" t="s">
        <v>38</v>
      </c>
      <c r="D1340" s="1">
        <v>9103551139</v>
      </c>
      <c r="E1340" s="5">
        <v>42036</v>
      </c>
      <c r="F1340" s="1" t="s">
        <v>2901</v>
      </c>
      <c r="G1340" s="1" t="s">
        <v>40</v>
      </c>
      <c r="H1340" s="1" t="s">
        <v>41</v>
      </c>
      <c r="I1340" s="1" t="s">
        <v>2810</v>
      </c>
      <c r="J1340" s="1" t="s">
        <v>1116</v>
      </c>
      <c r="K1340" s="1">
        <v>38237090</v>
      </c>
      <c r="L1340" s="6">
        <v>18.760000000000002</v>
      </c>
      <c r="M1340" s="1" t="s">
        <v>70</v>
      </c>
      <c r="N1340" s="7" t="s">
        <v>67</v>
      </c>
      <c r="O1340" s="1" t="s">
        <v>1117</v>
      </c>
      <c r="P1340" s="8">
        <v>87000</v>
      </c>
      <c r="Q1340" s="17">
        <f t="shared" si="121"/>
        <v>1632120.0000000002</v>
      </c>
      <c r="R1340" s="9">
        <v>0</v>
      </c>
      <c r="S1340" s="9">
        <v>0</v>
      </c>
      <c r="T1340" s="9">
        <v>103182.63</v>
      </c>
      <c r="U1340" s="10">
        <v>0</v>
      </c>
      <c r="V1340" s="1" t="s">
        <v>46</v>
      </c>
      <c r="W1340" s="1" t="s">
        <v>361</v>
      </c>
      <c r="X1340" s="1">
        <v>7507374</v>
      </c>
      <c r="Y1340" s="11">
        <v>42034</v>
      </c>
      <c r="Z1340" s="11">
        <v>42035</v>
      </c>
      <c r="AA1340" s="9">
        <f t="shared" si="118"/>
        <v>1632120.0000000002</v>
      </c>
      <c r="AB1340" s="12">
        <v>1</v>
      </c>
      <c r="AC1340" s="9">
        <f t="shared" si="119"/>
        <v>1632120.0000000002</v>
      </c>
      <c r="AD1340" s="9">
        <f t="shared" si="120"/>
        <v>1632120.0000000002</v>
      </c>
      <c r="AE1340" s="1" t="s">
        <v>4162</v>
      </c>
      <c r="AF1340" s="1" t="s">
        <v>1117</v>
      </c>
      <c r="AG1340" s="4">
        <f t="shared" si="122"/>
        <v>1632120.0000000002</v>
      </c>
      <c r="AH1340" s="10">
        <v>1632120</v>
      </c>
      <c r="AI1340" s="10"/>
      <c r="AJ1340" s="10"/>
      <c r="AK1340" s="10"/>
      <c r="AL1340" s="9">
        <f t="shared" si="123"/>
        <v>1632120</v>
      </c>
      <c r="AM1340" s="1"/>
      <c r="AN1340" s="1"/>
      <c r="AO1340" s="12"/>
      <c r="AP1340" s="1" t="s">
        <v>4033</v>
      </c>
      <c r="AQ1340" s="11" t="s">
        <v>4034</v>
      </c>
      <c r="AR1340" s="1" t="s">
        <v>4032</v>
      </c>
      <c r="AS1340" s="1" t="s">
        <v>3987</v>
      </c>
      <c r="AT1340" s="1" t="s">
        <v>49</v>
      </c>
      <c r="AU1340" s="1" t="s">
        <v>4171</v>
      </c>
    </row>
    <row r="1341" spans="1:47" ht="15" customHeight="1" x14ac:dyDescent="0.25">
      <c r="A1341" s="1">
        <v>1337</v>
      </c>
      <c r="B1341" s="1" t="s">
        <v>1258</v>
      </c>
      <c r="C1341" s="1" t="s">
        <v>38</v>
      </c>
      <c r="D1341" s="1">
        <v>9103551140</v>
      </c>
      <c r="E1341" s="5">
        <v>42037</v>
      </c>
      <c r="F1341" s="1" t="s">
        <v>2902</v>
      </c>
      <c r="G1341" s="1" t="s">
        <v>40</v>
      </c>
      <c r="H1341" s="1" t="s">
        <v>41</v>
      </c>
      <c r="I1341" s="1" t="s">
        <v>2809</v>
      </c>
      <c r="J1341" s="1" t="s">
        <v>187</v>
      </c>
      <c r="K1341" s="1">
        <v>29051700</v>
      </c>
      <c r="L1341" s="6">
        <v>17.989999999999998</v>
      </c>
      <c r="M1341" s="1" t="s">
        <v>70</v>
      </c>
      <c r="N1341" s="7" t="s">
        <v>44</v>
      </c>
      <c r="O1341" s="1" t="s">
        <v>53</v>
      </c>
      <c r="P1341" s="8">
        <v>2343</v>
      </c>
      <c r="Q1341" s="17">
        <f t="shared" si="121"/>
        <v>42150.57</v>
      </c>
      <c r="R1341" s="9">
        <v>4350</v>
      </c>
      <c r="S1341" s="9">
        <v>6.03</v>
      </c>
      <c r="T1341" s="9">
        <v>0</v>
      </c>
      <c r="U1341" s="10">
        <v>0</v>
      </c>
      <c r="V1341" s="1" t="s">
        <v>46</v>
      </c>
      <c r="W1341" s="1" t="s">
        <v>56</v>
      </c>
      <c r="X1341" s="1">
        <v>7508277</v>
      </c>
      <c r="Y1341" s="11">
        <v>42034</v>
      </c>
      <c r="Z1341" s="11">
        <v>42035</v>
      </c>
      <c r="AA1341" s="9">
        <f t="shared" si="118"/>
        <v>37794.54</v>
      </c>
      <c r="AB1341" s="12">
        <v>61.3</v>
      </c>
      <c r="AC1341" s="9">
        <f t="shared" si="119"/>
        <v>2583829.9409999996</v>
      </c>
      <c r="AD1341" s="9">
        <f t="shared" si="120"/>
        <v>2316805.3020000001</v>
      </c>
      <c r="AE1341" s="1" t="s">
        <v>48</v>
      </c>
      <c r="AF1341" s="1" t="s">
        <v>53</v>
      </c>
      <c r="AG1341" s="4">
        <f t="shared" si="122"/>
        <v>42150.57</v>
      </c>
      <c r="AH1341" s="10">
        <v>42150.57</v>
      </c>
      <c r="AI1341" s="9">
        <v>4300</v>
      </c>
      <c r="AJ1341" s="9">
        <v>6.03</v>
      </c>
      <c r="AK1341" s="9">
        <v>0</v>
      </c>
      <c r="AL1341" s="9">
        <f t="shared" si="123"/>
        <v>37844.54</v>
      </c>
      <c r="AM1341" s="1"/>
      <c r="AN1341" s="1"/>
      <c r="AO1341" s="12" t="e">
        <f>AB1341/#REF!</f>
        <v>#REF!</v>
      </c>
      <c r="AP1341" s="1"/>
      <c r="AQ1341" s="11">
        <v>42123</v>
      </c>
      <c r="AR1341" s="1" t="s">
        <v>3527</v>
      </c>
      <c r="AS1341" s="11">
        <v>42124</v>
      </c>
      <c r="AT1341" s="1" t="s">
        <v>49</v>
      </c>
      <c r="AU1341" s="1" t="s">
        <v>4171</v>
      </c>
    </row>
    <row r="1342" spans="1:47" ht="15" customHeight="1" x14ac:dyDescent="0.25">
      <c r="A1342" s="1">
        <v>1338</v>
      </c>
      <c r="B1342" s="1" t="s">
        <v>1258</v>
      </c>
      <c r="C1342" s="1" t="s">
        <v>38</v>
      </c>
      <c r="D1342" s="1">
        <v>9103551141</v>
      </c>
      <c r="E1342" s="5">
        <v>42037</v>
      </c>
      <c r="F1342" s="1" t="s">
        <v>2903</v>
      </c>
      <c r="G1342" s="1" t="s">
        <v>40</v>
      </c>
      <c r="H1342" s="1" t="s">
        <v>41</v>
      </c>
      <c r="I1342" s="1" t="s">
        <v>2809</v>
      </c>
      <c r="J1342" s="1" t="s">
        <v>76</v>
      </c>
      <c r="K1342" s="1">
        <v>29157010</v>
      </c>
      <c r="L1342" s="6">
        <v>38.94</v>
      </c>
      <c r="M1342" s="1" t="s">
        <v>70</v>
      </c>
      <c r="N1342" s="7" t="s">
        <v>44</v>
      </c>
      <c r="O1342" s="1" t="s">
        <v>53</v>
      </c>
      <c r="P1342" s="8">
        <v>1040</v>
      </c>
      <c r="Q1342" s="17">
        <f t="shared" si="121"/>
        <v>40497.599999999999</v>
      </c>
      <c r="R1342" s="9">
        <v>750</v>
      </c>
      <c r="S1342" s="9">
        <v>5.79</v>
      </c>
      <c r="T1342" s="9">
        <v>0</v>
      </c>
      <c r="U1342" s="10">
        <v>0</v>
      </c>
      <c r="V1342" s="1" t="s">
        <v>46</v>
      </c>
      <c r="W1342" s="1" t="s">
        <v>492</v>
      </c>
      <c r="X1342" s="1">
        <v>7513278</v>
      </c>
      <c r="Y1342" s="11">
        <v>42034</v>
      </c>
      <c r="Z1342" s="11">
        <v>42035</v>
      </c>
      <c r="AA1342" s="9">
        <f t="shared" si="118"/>
        <v>39741.81</v>
      </c>
      <c r="AB1342" s="12">
        <v>61.3</v>
      </c>
      <c r="AC1342" s="9">
        <f t="shared" si="119"/>
        <v>2482502.88</v>
      </c>
      <c r="AD1342" s="9">
        <f t="shared" si="120"/>
        <v>2436172.9529999997</v>
      </c>
      <c r="AE1342" s="1"/>
      <c r="AF1342" s="1" t="s">
        <v>53</v>
      </c>
      <c r="AG1342" s="4">
        <f t="shared" si="122"/>
        <v>40497.599999999999</v>
      </c>
      <c r="AH1342" s="10">
        <v>40482.6</v>
      </c>
      <c r="AI1342" s="10"/>
      <c r="AJ1342" s="10"/>
      <c r="AK1342" s="10"/>
      <c r="AL1342" s="9">
        <f t="shared" si="123"/>
        <v>40482.6</v>
      </c>
      <c r="AM1342" s="1"/>
      <c r="AN1342" s="1"/>
      <c r="AO1342" s="12" t="e">
        <f>AB1342/#REF!</f>
        <v>#REF!</v>
      </c>
      <c r="AP1342" s="1" t="s">
        <v>4248</v>
      </c>
      <c r="AQ1342" s="11">
        <v>42194</v>
      </c>
      <c r="AR1342" s="1" t="s">
        <v>4249</v>
      </c>
      <c r="AS1342" s="11">
        <v>42195</v>
      </c>
      <c r="AT1342" s="1" t="s">
        <v>49</v>
      </c>
      <c r="AU1342" s="1" t="s">
        <v>4171</v>
      </c>
    </row>
    <row r="1343" spans="1:47" ht="15" customHeight="1" x14ac:dyDescent="0.25">
      <c r="A1343" s="1">
        <v>1339</v>
      </c>
      <c r="B1343" s="1" t="s">
        <v>1258</v>
      </c>
      <c r="C1343" s="1" t="s">
        <v>38</v>
      </c>
      <c r="D1343" s="1">
        <v>9103551142</v>
      </c>
      <c r="E1343" s="5">
        <v>42034</v>
      </c>
      <c r="F1343" s="1" t="s">
        <v>2904</v>
      </c>
      <c r="G1343" s="1" t="s">
        <v>40</v>
      </c>
      <c r="H1343" s="1" t="s">
        <v>41</v>
      </c>
      <c r="I1343" s="1" t="s">
        <v>2809</v>
      </c>
      <c r="J1343" s="1" t="s">
        <v>2660</v>
      </c>
      <c r="K1343" s="1">
        <v>38237090</v>
      </c>
      <c r="L1343" s="6">
        <v>18.8</v>
      </c>
      <c r="M1343" s="1" t="s">
        <v>70</v>
      </c>
      <c r="N1343" s="7" t="s">
        <v>52</v>
      </c>
      <c r="O1343" s="1" t="s">
        <v>53</v>
      </c>
      <c r="P1343" s="8">
        <v>1235</v>
      </c>
      <c r="Q1343" s="17">
        <f t="shared" si="121"/>
        <v>23218</v>
      </c>
      <c r="R1343" s="9">
        <v>850</v>
      </c>
      <c r="S1343" s="9">
        <v>0</v>
      </c>
      <c r="T1343" s="9">
        <v>0</v>
      </c>
      <c r="U1343" s="10">
        <v>0</v>
      </c>
      <c r="V1343" s="1" t="s">
        <v>46</v>
      </c>
      <c r="W1343" s="1" t="s">
        <v>64</v>
      </c>
      <c r="X1343" s="1">
        <v>7515664</v>
      </c>
      <c r="Y1343" s="11">
        <v>42034</v>
      </c>
      <c r="Z1343" s="11">
        <v>42035</v>
      </c>
      <c r="AA1343" s="9">
        <f t="shared" si="118"/>
        <v>22368</v>
      </c>
      <c r="AB1343" s="12">
        <v>61.3</v>
      </c>
      <c r="AC1343" s="9">
        <f t="shared" si="119"/>
        <v>1423263.4</v>
      </c>
      <c r="AD1343" s="9">
        <f t="shared" si="120"/>
        <v>1371158.4</v>
      </c>
      <c r="AE1343" s="1" t="s">
        <v>48</v>
      </c>
      <c r="AF1343" s="1" t="s">
        <v>53</v>
      </c>
      <c r="AG1343" s="4">
        <f t="shared" si="122"/>
        <v>23218</v>
      </c>
      <c r="AH1343" s="10">
        <v>23218</v>
      </c>
      <c r="AI1343" s="10">
        <v>760</v>
      </c>
      <c r="AJ1343" s="10">
        <v>0</v>
      </c>
      <c r="AK1343" s="10">
        <v>0</v>
      </c>
      <c r="AL1343" s="9">
        <f t="shared" si="123"/>
        <v>22458</v>
      </c>
      <c r="AM1343" s="1"/>
      <c r="AN1343" s="1"/>
      <c r="AO1343" s="12" t="e">
        <f>AB1343/#REF!</f>
        <v>#REF!</v>
      </c>
      <c r="AP1343" s="1"/>
      <c r="AQ1343" s="11">
        <v>42072</v>
      </c>
      <c r="AR1343" s="1" t="s">
        <v>3528</v>
      </c>
      <c r="AS1343" s="11">
        <v>42073</v>
      </c>
      <c r="AT1343" s="1" t="s">
        <v>49</v>
      </c>
      <c r="AU1343" s="1" t="s">
        <v>4171</v>
      </c>
    </row>
    <row r="1344" spans="1:47" ht="15" customHeight="1" x14ac:dyDescent="0.25">
      <c r="A1344" s="1">
        <v>1340</v>
      </c>
      <c r="B1344" s="1" t="s">
        <v>1258</v>
      </c>
      <c r="C1344" s="1" t="s">
        <v>38</v>
      </c>
      <c r="D1344" s="1">
        <v>9103551143</v>
      </c>
      <c r="E1344" s="5">
        <v>42035</v>
      </c>
      <c r="F1344" s="1" t="s">
        <v>2905</v>
      </c>
      <c r="G1344" s="1" t="s">
        <v>40</v>
      </c>
      <c r="H1344" s="1" t="s">
        <v>41</v>
      </c>
      <c r="I1344" s="1" t="s">
        <v>2809</v>
      </c>
      <c r="J1344" s="1" t="s">
        <v>2660</v>
      </c>
      <c r="K1344" s="1">
        <v>38237090</v>
      </c>
      <c r="L1344" s="6">
        <v>22</v>
      </c>
      <c r="M1344" s="1" t="s">
        <v>70</v>
      </c>
      <c r="N1344" s="7" t="s">
        <v>52</v>
      </c>
      <c r="O1344" s="1" t="s">
        <v>53</v>
      </c>
      <c r="P1344" s="8">
        <v>3520</v>
      </c>
      <c r="Q1344" s="17">
        <f t="shared" si="121"/>
        <v>77440</v>
      </c>
      <c r="R1344" s="9">
        <v>262</v>
      </c>
      <c r="S1344" s="9">
        <v>0</v>
      </c>
      <c r="T1344" s="9">
        <v>0</v>
      </c>
      <c r="U1344" s="10">
        <v>0</v>
      </c>
      <c r="V1344" s="1" t="s">
        <v>46</v>
      </c>
      <c r="W1344" s="1" t="s">
        <v>75</v>
      </c>
      <c r="X1344" s="1">
        <v>7540329</v>
      </c>
      <c r="Y1344" s="11">
        <v>42035</v>
      </c>
      <c r="Z1344" s="11">
        <v>42037</v>
      </c>
      <c r="AA1344" s="9">
        <f t="shared" ref="AA1344:AA1409" si="124">Q1344-R1344-S1344</f>
        <v>77178</v>
      </c>
      <c r="AB1344" s="12">
        <v>61.3</v>
      </c>
      <c r="AC1344" s="9">
        <f t="shared" si="119"/>
        <v>4747072</v>
      </c>
      <c r="AD1344" s="9">
        <f t="shared" si="120"/>
        <v>4731011.3999999994</v>
      </c>
      <c r="AE1344" s="1" t="s">
        <v>48</v>
      </c>
      <c r="AF1344" s="1" t="s">
        <v>53</v>
      </c>
      <c r="AG1344" s="4">
        <f t="shared" si="122"/>
        <v>77440</v>
      </c>
      <c r="AH1344" s="10">
        <v>77440</v>
      </c>
      <c r="AI1344" s="10">
        <v>336</v>
      </c>
      <c r="AJ1344" s="10">
        <v>0</v>
      </c>
      <c r="AK1344" s="10">
        <v>0</v>
      </c>
      <c r="AL1344" s="9">
        <f t="shared" si="123"/>
        <v>77104</v>
      </c>
      <c r="AM1344" s="1"/>
      <c r="AN1344" s="1"/>
      <c r="AO1344" s="12" t="e">
        <f>AB1344/#REF!</f>
        <v>#REF!</v>
      </c>
      <c r="AP1344" s="1"/>
      <c r="AQ1344" s="11">
        <v>42072</v>
      </c>
      <c r="AR1344" s="1" t="s">
        <v>3529</v>
      </c>
      <c r="AS1344" s="11">
        <v>42073</v>
      </c>
      <c r="AT1344" s="1" t="s">
        <v>49</v>
      </c>
      <c r="AU1344" s="1" t="s">
        <v>4171</v>
      </c>
    </row>
    <row r="1345" spans="1:47" ht="15" customHeight="1" x14ac:dyDescent="0.25">
      <c r="A1345" s="1">
        <v>1340</v>
      </c>
      <c r="B1345" s="1" t="s">
        <v>1258</v>
      </c>
      <c r="C1345" s="1" t="s">
        <v>38</v>
      </c>
      <c r="D1345" s="1">
        <v>9103551144</v>
      </c>
      <c r="E1345" s="5">
        <v>42040</v>
      </c>
      <c r="F1345" s="1" t="s">
        <v>4356</v>
      </c>
      <c r="G1345" s="1"/>
      <c r="H1345" s="1"/>
      <c r="I1345" s="1"/>
      <c r="J1345" s="1" t="s">
        <v>3734</v>
      </c>
      <c r="K1345" s="1"/>
      <c r="L1345" s="6">
        <v>24</v>
      </c>
      <c r="M1345" s="1" t="s">
        <v>70</v>
      </c>
      <c r="N1345" s="7" t="s">
        <v>44</v>
      </c>
      <c r="O1345" s="1" t="s">
        <v>53</v>
      </c>
      <c r="P1345" s="8">
        <v>1580</v>
      </c>
      <c r="Q1345" s="17">
        <f t="shared" si="121"/>
        <v>37920</v>
      </c>
      <c r="R1345" s="9"/>
      <c r="S1345" s="9"/>
      <c r="T1345" s="9"/>
      <c r="U1345" s="10"/>
      <c r="V1345" s="1"/>
      <c r="W1345" s="1" t="s">
        <v>790</v>
      </c>
      <c r="X1345" s="1">
        <v>7543697</v>
      </c>
      <c r="Y1345" s="11">
        <v>42035</v>
      </c>
      <c r="Z1345" s="11"/>
      <c r="AA1345" s="9"/>
      <c r="AB1345" s="12"/>
      <c r="AC1345" s="9"/>
      <c r="AD1345" s="9"/>
      <c r="AE1345" s="1"/>
      <c r="AF1345" s="1" t="s">
        <v>53</v>
      </c>
      <c r="AG1345" s="4">
        <f t="shared" si="122"/>
        <v>37920</v>
      </c>
      <c r="AH1345" s="10">
        <v>37920</v>
      </c>
      <c r="AI1345" s="10"/>
      <c r="AJ1345" s="10"/>
      <c r="AK1345" s="10"/>
      <c r="AL1345" s="9"/>
      <c r="AM1345" s="1"/>
      <c r="AN1345" s="1"/>
      <c r="AO1345" s="12"/>
      <c r="AP1345" s="1" t="s">
        <v>4358</v>
      </c>
      <c r="AQ1345" s="11">
        <v>42088</v>
      </c>
      <c r="AR1345" s="1" t="s">
        <v>4357</v>
      </c>
      <c r="AS1345" s="11">
        <v>42090</v>
      </c>
      <c r="AT1345" s="1" t="s">
        <v>49</v>
      </c>
      <c r="AU1345" s="1" t="s">
        <v>4171</v>
      </c>
    </row>
    <row r="1346" spans="1:47" ht="15" customHeight="1" x14ac:dyDescent="0.25">
      <c r="A1346" s="1">
        <v>1341</v>
      </c>
      <c r="B1346" s="1" t="s">
        <v>1258</v>
      </c>
      <c r="C1346" s="1" t="s">
        <v>38</v>
      </c>
      <c r="D1346" s="1">
        <v>9103551145</v>
      </c>
      <c r="E1346" s="5">
        <v>42040</v>
      </c>
      <c r="F1346" s="1" t="s">
        <v>2906</v>
      </c>
      <c r="G1346" s="1" t="s">
        <v>40</v>
      </c>
      <c r="H1346" s="1" t="s">
        <v>41</v>
      </c>
      <c r="I1346" s="1" t="s">
        <v>2809</v>
      </c>
      <c r="J1346" s="1" t="s">
        <v>2740</v>
      </c>
      <c r="K1346" s="1">
        <v>38237090</v>
      </c>
      <c r="L1346" s="6">
        <v>12</v>
      </c>
      <c r="M1346" s="1" t="s">
        <v>70</v>
      </c>
      <c r="N1346" s="7" t="s">
        <v>44</v>
      </c>
      <c r="O1346" s="1" t="s">
        <v>53</v>
      </c>
      <c r="P1346" s="8">
        <v>1500</v>
      </c>
      <c r="Q1346" s="17">
        <f t="shared" si="121"/>
        <v>18000</v>
      </c>
      <c r="R1346" s="9">
        <v>750</v>
      </c>
      <c r="S1346" s="9">
        <v>2.57</v>
      </c>
      <c r="T1346" s="9">
        <v>0</v>
      </c>
      <c r="U1346" s="10">
        <v>0</v>
      </c>
      <c r="V1346" s="1" t="s">
        <v>46</v>
      </c>
      <c r="W1346" s="1" t="s">
        <v>205</v>
      </c>
      <c r="X1346" s="3">
        <v>7544049</v>
      </c>
      <c r="Y1346" s="11">
        <v>42035</v>
      </c>
      <c r="Z1346" s="11">
        <v>42037</v>
      </c>
      <c r="AA1346" s="9">
        <f t="shared" si="124"/>
        <v>17247.43</v>
      </c>
      <c r="AB1346" s="12">
        <v>61.3</v>
      </c>
      <c r="AC1346" s="9">
        <f t="shared" si="119"/>
        <v>1103400</v>
      </c>
      <c r="AD1346" s="9">
        <f t="shared" si="120"/>
        <v>1057267.459</v>
      </c>
      <c r="AE1346" s="1" t="s">
        <v>284</v>
      </c>
      <c r="AF1346" s="1" t="s">
        <v>53</v>
      </c>
      <c r="AG1346" s="4">
        <f t="shared" si="122"/>
        <v>18000</v>
      </c>
      <c r="AH1346" s="10">
        <v>17987</v>
      </c>
      <c r="AI1346" s="10">
        <v>790.5</v>
      </c>
      <c r="AJ1346" s="10">
        <v>2.57</v>
      </c>
      <c r="AK1346" s="10">
        <v>0</v>
      </c>
      <c r="AL1346" s="9">
        <f t="shared" ref="AL1346:AL1389" si="125">AH1346-(AI1346+AJ1346+AK1346)</f>
        <v>17193.93</v>
      </c>
      <c r="AM1346" s="1"/>
      <c r="AN1346" s="1"/>
      <c r="AO1346" s="12" t="e">
        <f>AB1346/#REF!</f>
        <v>#REF!</v>
      </c>
      <c r="AP1346" s="1"/>
      <c r="AQ1346" s="11">
        <v>42060</v>
      </c>
      <c r="AR1346" s="1" t="s">
        <v>3530</v>
      </c>
      <c r="AS1346" s="11">
        <v>42060</v>
      </c>
      <c r="AT1346" s="1" t="s">
        <v>49</v>
      </c>
      <c r="AU1346" s="1" t="s">
        <v>4171</v>
      </c>
    </row>
    <row r="1347" spans="1:47" ht="15" customHeight="1" x14ac:dyDescent="0.25">
      <c r="A1347" s="1">
        <v>1342</v>
      </c>
      <c r="B1347" s="1" t="s">
        <v>1258</v>
      </c>
      <c r="C1347" s="1" t="s">
        <v>38</v>
      </c>
      <c r="D1347" s="1">
        <v>9103551146</v>
      </c>
      <c r="E1347" s="5">
        <v>42048</v>
      </c>
      <c r="F1347" s="1" t="s">
        <v>2907</v>
      </c>
      <c r="G1347" s="1" t="s">
        <v>40</v>
      </c>
      <c r="H1347" s="1" t="s">
        <v>41</v>
      </c>
      <c r="I1347" s="1" t="s">
        <v>2809</v>
      </c>
      <c r="J1347" s="1" t="s">
        <v>187</v>
      </c>
      <c r="K1347" s="1">
        <v>38237090</v>
      </c>
      <c r="L1347" s="6">
        <v>18.14</v>
      </c>
      <c r="M1347" s="1" t="s">
        <v>70</v>
      </c>
      <c r="N1347" s="7" t="s">
        <v>44</v>
      </c>
      <c r="O1347" s="1" t="s">
        <v>53</v>
      </c>
      <c r="P1347" s="8">
        <v>1567</v>
      </c>
      <c r="Q1347" s="17">
        <f t="shared" si="121"/>
        <v>28425.38</v>
      </c>
      <c r="R1347" s="9">
        <v>2555</v>
      </c>
      <c r="S1347" s="9">
        <v>4.0599999999999996</v>
      </c>
      <c r="T1347" s="9">
        <v>0</v>
      </c>
      <c r="U1347" s="10">
        <v>0</v>
      </c>
      <c r="V1347" s="1" t="s">
        <v>46</v>
      </c>
      <c r="W1347" s="1" t="s">
        <v>56</v>
      </c>
      <c r="X1347" s="1">
        <v>7544250</v>
      </c>
      <c r="Y1347" s="11">
        <v>42035</v>
      </c>
      <c r="Z1347" s="11">
        <v>42037</v>
      </c>
      <c r="AA1347" s="9">
        <f t="shared" si="124"/>
        <v>25866.32</v>
      </c>
      <c r="AB1347" s="12">
        <v>61.3</v>
      </c>
      <c r="AC1347" s="9">
        <f t="shared" si="119"/>
        <v>1742475.794</v>
      </c>
      <c r="AD1347" s="9">
        <f t="shared" si="120"/>
        <v>1585605.416</v>
      </c>
      <c r="AE1347" s="1" t="s">
        <v>48</v>
      </c>
      <c r="AF1347" s="1" t="s">
        <v>53</v>
      </c>
      <c r="AG1347" s="4">
        <f t="shared" si="122"/>
        <v>28425.38</v>
      </c>
      <c r="AH1347" s="10">
        <v>28425.38</v>
      </c>
      <c r="AI1347" s="10">
        <v>2825</v>
      </c>
      <c r="AJ1347" s="10">
        <v>4.0599999999999996</v>
      </c>
      <c r="AK1347" s="10">
        <v>0</v>
      </c>
      <c r="AL1347" s="9">
        <f t="shared" si="125"/>
        <v>25596.32</v>
      </c>
      <c r="AM1347" s="1"/>
      <c r="AN1347" s="1"/>
      <c r="AO1347" s="12" t="e">
        <f>AB1347/#REF!</f>
        <v>#REF!</v>
      </c>
      <c r="AP1347" s="1"/>
      <c r="AQ1347" s="11">
        <v>42123</v>
      </c>
      <c r="AR1347" s="1" t="s">
        <v>3531</v>
      </c>
      <c r="AS1347" s="11">
        <v>42124</v>
      </c>
      <c r="AT1347" s="1" t="s">
        <v>49</v>
      </c>
      <c r="AU1347" s="1" t="s">
        <v>4171</v>
      </c>
    </row>
    <row r="1348" spans="1:47" ht="15" customHeight="1" x14ac:dyDescent="0.25">
      <c r="A1348" s="1">
        <v>1343</v>
      </c>
      <c r="B1348" s="1" t="s">
        <v>1258</v>
      </c>
      <c r="C1348" s="1" t="s">
        <v>38</v>
      </c>
      <c r="D1348" s="1">
        <v>9103551147</v>
      </c>
      <c r="E1348" s="5">
        <v>42041</v>
      </c>
      <c r="F1348" s="1" t="s">
        <v>2908</v>
      </c>
      <c r="G1348" s="1" t="s">
        <v>40</v>
      </c>
      <c r="H1348" s="1" t="s">
        <v>41</v>
      </c>
      <c r="I1348" s="1" t="s">
        <v>2809</v>
      </c>
      <c r="J1348" s="1" t="s">
        <v>187</v>
      </c>
      <c r="K1348" s="1">
        <v>29051700</v>
      </c>
      <c r="L1348" s="6">
        <v>36.28</v>
      </c>
      <c r="M1348" s="1" t="s">
        <v>70</v>
      </c>
      <c r="N1348" s="7" t="s">
        <v>44</v>
      </c>
      <c r="O1348" s="1" t="s">
        <v>53</v>
      </c>
      <c r="P1348" s="8">
        <v>1672</v>
      </c>
      <c r="Q1348" s="17">
        <f t="shared" si="121"/>
        <v>60660.160000000003</v>
      </c>
      <c r="R1348" s="9">
        <v>5300</v>
      </c>
      <c r="S1348" s="9">
        <v>8.67</v>
      </c>
      <c r="T1348" s="9">
        <v>0</v>
      </c>
      <c r="U1348" s="10">
        <v>0</v>
      </c>
      <c r="V1348" s="1" t="s">
        <v>46</v>
      </c>
      <c r="W1348" s="1" t="s">
        <v>56</v>
      </c>
      <c r="X1348" s="1">
        <v>7543540</v>
      </c>
      <c r="Y1348" s="11">
        <v>42035</v>
      </c>
      <c r="Z1348" s="11">
        <v>42038</v>
      </c>
      <c r="AA1348" s="9">
        <f t="shared" si="124"/>
        <v>55351.490000000005</v>
      </c>
      <c r="AB1348" s="12">
        <v>61.3</v>
      </c>
      <c r="AC1348" s="9">
        <f t="shared" si="119"/>
        <v>3718467.8080000002</v>
      </c>
      <c r="AD1348" s="9">
        <f t="shared" si="120"/>
        <v>3393046.3370000003</v>
      </c>
      <c r="AE1348" s="1" t="s">
        <v>48</v>
      </c>
      <c r="AF1348" s="1" t="s">
        <v>53</v>
      </c>
      <c r="AG1348" s="4">
        <f t="shared" si="122"/>
        <v>60660.160000000003</v>
      </c>
      <c r="AH1348" s="10">
        <v>60660.160000000003</v>
      </c>
      <c r="AI1348" s="9">
        <v>5150</v>
      </c>
      <c r="AJ1348" s="9">
        <v>8.67</v>
      </c>
      <c r="AK1348" s="9">
        <v>0</v>
      </c>
      <c r="AL1348" s="9">
        <f t="shared" si="125"/>
        <v>55501.490000000005</v>
      </c>
      <c r="AM1348" s="1"/>
      <c r="AN1348" s="1"/>
      <c r="AO1348" s="12" t="e">
        <f>AB1348/#REF!</f>
        <v>#REF!</v>
      </c>
      <c r="AP1348" s="1"/>
      <c r="AQ1348" s="11">
        <v>42123</v>
      </c>
      <c r="AR1348" s="1" t="s">
        <v>3532</v>
      </c>
      <c r="AS1348" s="11">
        <v>42124</v>
      </c>
      <c r="AT1348" s="1" t="s">
        <v>49</v>
      </c>
      <c r="AU1348" s="1" t="s">
        <v>4171</v>
      </c>
    </row>
    <row r="1349" spans="1:47" ht="15" customHeight="1" x14ac:dyDescent="0.25">
      <c r="A1349" s="1">
        <v>1344</v>
      </c>
      <c r="B1349" s="1" t="s">
        <v>1258</v>
      </c>
      <c r="C1349" s="1" t="s">
        <v>38</v>
      </c>
      <c r="D1349" s="1">
        <v>9103551155</v>
      </c>
      <c r="E1349" s="5">
        <v>42041</v>
      </c>
      <c r="F1349" s="1" t="s">
        <v>2909</v>
      </c>
      <c r="G1349" s="1" t="s">
        <v>40</v>
      </c>
      <c r="H1349" s="1" t="s">
        <v>41</v>
      </c>
      <c r="I1349" s="1" t="s">
        <v>2809</v>
      </c>
      <c r="J1349" s="1" t="s">
        <v>187</v>
      </c>
      <c r="K1349" s="1">
        <v>29051700</v>
      </c>
      <c r="L1349" s="6">
        <v>18.14</v>
      </c>
      <c r="M1349" s="1" t="s">
        <v>70</v>
      </c>
      <c r="N1349" s="7" t="s">
        <v>44</v>
      </c>
      <c r="O1349" s="1" t="s">
        <v>53</v>
      </c>
      <c r="P1349" s="8">
        <v>1672</v>
      </c>
      <c r="Q1349" s="17">
        <f t="shared" si="121"/>
        <v>30330.080000000002</v>
      </c>
      <c r="R1349" s="9">
        <v>2650</v>
      </c>
      <c r="S1349" s="9">
        <v>4.34</v>
      </c>
      <c r="T1349" s="9">
        <v>0</v>
      </c>
      <c r="U1349" s="10">
        <v>0</v>
      </c>
      <c r="V1349" s="1" t="s">
        <v>46</v>
      </c>
      <c r="W1349" s="1" t="s">
        <v>56</v>
      </c>
      <c r="X1349" s="1">
        <v>7571243</v>
      </c>
      <c r="Y1349" s="11">
        <v>42037</v>
      </c>
      <c r="Z1349" s="11">
        <v>42038</v>
      </c>
      <c r="AA1349" s="9">
        <f t="shared" si="124"/>
        <v>27675.74</v>
      </c>
      <c r="AB1349" s="12">
        <v>61.3</v>
      </c>
      <c r="AC1349" s="9">
        <f t="shared" si="119"/>
        <v>1859233.9040000001</v>
      </c>
      <c r="AD1349" s="9">
        <f t="shared" si="120"/>
        <v>1696522.862</v>
      </c>
      <c r="AE1349" s="1" t="s">
        <v>48</v>
      </c>
      <c r="AF1349" s="1" t="s">
        <v>53</v>
      </c>
      <c r="AG1349" s="4">
        <f t="shared" si="122"/>
        <v>30330.080000000002</v>
      </c>
      <c r="AH1349" s="10">
        <v>30330.080000000002</v>
      </c>
      <c r="AI1349" s="9">
        <v>2605</v>
      </c>
      <c r="AJ1349" s="9">
        <v>4.34</v>
      </c>
      <c r="AK1349" s="9">
        <v>0</v>
      </c>
      <c r="AL1349" s="9">
        <f t="shared" si="125"/>
        <v>27720.74</v>
      </c>
      <c r="AM1349" s="1"/>
      <c r="AN1349" s="1"/>
      <c r="AO1349" s="12" t="e">
        <f>AB1349/#REF!</f>
        <v>#REF!</v>
      </c>
      <c r="AP1349" s="1"/>
      <c r="AQ1349" s="11">
        <v>42123</v>
      </c>
      <c r="AR1349" s="1" t="s">
        <v>3533</v>
      </c>
      <c r="AS1349" s="11">
        <v>42124</v>
      </c>
      <c r="AT1349" s="1" t="s">
        <v>49</v>
      </c>
      <c r="AU1349" s="1" t="s">
        <v>4171</v>
      </c>
    </row>
    <row r="1350" spans="1:47" ht="15" customHeight="1" x14ac:dyDescent="0.25">
      <c r="A1350" s="1">
        <v>1345</v>
      </c>
      <c r="B1350" s="1" t="s">
        <v>1258</v>
      </c>
      <c r="C1350" s="1" t="s">
        <v>38</v>
      </c>
      <c r="D1350" s="1">
        <v>9103551148</v>
      </c>
      <c r="E1350" s="5">
        <v>42040</v>
      </c>
      <c r="F1350" s="1" t="s">
        <v>2910</v>
      </c>
      <c r="G1350" s="1" t="s">
        <v>40</v>
      </c>
      <c r="H1350" s="1" t="s">
        <v>41</v>
      </c>
      <c r="I1350" s="1" t="s">
        <v>2809</v>
      </c>
      <c r="J1350" s="1" t="s">
        <v>2468</v>
      </c>
      <c r="K1350" s="1">
        <v>38237090</v>
      </c>
      <c r="L1350" s="6">
        <v>21</v>
      </c>
      <c r="M1350" s="1" t="s">
        <v>70</v>
      </c>
      <c r="N1350" s="7" t="s">
        <v>52</v>
      </c>
      <c r="O1350" s="1" t="s">
        <v>45</v>
      </c>
      <c r="P1350" s="8">
        <v>1351</v>
      </c>
      <c r="Q1350" s="17">
        <f t="shared" si="121"/>
        <v>28371</v>
      </c>
      <c r="R1350" s="9">
        <v>1462.8425</v>
      </c>
      <c r="S1350" s="9">
        <v>0</v>
      </c>
      <c r="T1350" s="9">
        <v>0</v>
      </c>
      <c r="U1350" s="10">
        <v>0</v>
      </c>
      <c r="V1350" s="1" t="s">
        <v>46</v>
      </c>
      <c r="W1350" s="1" t="s">
        <v>123</v>
      </c>
      <c r="X1350" s="1">
        <v>7560463</v>
      </c>
      <c r="Y1350" s="11">
        <v>42037</v>
      </c>
      <c r="Z1350" s="11">
        <v>42038</v>
      </c>
      <c r="AA1350" s="9">
        <f t="shared" si="124"/>
        <v>26908.157500000001</v>
      </c>
      <c r="AB1350" s="12">
        <v>68.2</v>
      </c>
      <c r="AC1350" s="9">
        <f t="shared" si="119"/>
        <v>1934902.2000000002</v>
      </c>
      <c r="AD1350" s="9">
        <f t="shared" si="120"/>
        <v>1835136.3415000001</v>
      </c>
      <c r="AE1350" s="1" t="s">
        <v>48</v>
      </c>
      <c r="AF1350" s="1" t="s">
        <v>45</v>
      </c>
      <c r="AG1350" s="4">
        <f t="shared" si="122"/>
        <v>28371</v>
      </c>
      <c r="AH1350" s="10">
        <v>28330</v>
      </c>
      <c r="AI1350" s="10">
        <v>1493.5</v>
      </c>
      <c r="AJ1350" s="10">
        <v>0</v>
      </c>
      <c r="AK1350" s="10">
        <v>0</v>
      </c>
      <c r="AL1350" s="9">
        <f t="shared" si="125"/>
        <v>26836.5</v>
      </c>
      <c r="AM1350" s="1"/>
      <c r="AN1350" s="1"/>
      <c r="AO1350" s="12" t="e">
        <f>AB1350/#REF!</f>
        <v>#REF!</v>
      </c>
      <c r="AP1350" s="1"/>
      <c r="AQ1350" s="11">
        <v>42089</v>
      </c>
      <c r="AR1350" s="1" t="s">
        <v>3703</v>
      </c>
      <c r="AS1350" s="11">
        <v>42070</v>
      </c>
      <c r="AT1350" s="1" t="s">
        <v>49</v>
      </c>
      <c r="AU1350" s="1" t="s">
        <v>4171</v>
      </c>
    </row>
    <row r="1351" spans="1:47" ht="15" customHeight="1" x14ac:dyDescent="0.25">
      <c r="A1351" s="1">
        <v>1346</v>
      </c>
      <c r="B1351" s="1" t="s">
        <v>1258</v>
      </c>
      <c r="C1351" s="1" t="s">
        <v>38</v>
      </c>
      <c r="D1351" s="1">
        <v>9103551148</v>
      </c>
      <c r="E1351" s="5">
        <v>42040</v>
      </c>
      <c r="F1351" s="1" t="s">
        <v>2910</v>
      </c>
      <c r="G1351" s="1" t="s">
        <v>40</v>
      </c>
      <c r="H1351" s="1" t="s">
        <v>41</v>
      </c>
      <c r="I1351" s="1" t="s">
        <v>2809</v>
      </c>
      <c r="J1351" s="1" t="s">
        <v>2468</v>
      </c>
      <c r="K1351" s="1">
        <v>29051700</v>
      </c>
      <c r="L1351" s="6">
        <v>2.9</v>
      </c>
      <c r="M1351" s="1" t="s">
        <v>70</v>
      </c>
      <c r="N1351" s="7" t="s">
        <v>52</v>
      </c>
      <c r="O1351" s="1" t="s">
        <v>45</v>
      </c>
      <c r="P1351" s="8">
        <v>1462</v>
      </c>
      <c r="Q1351" s="17">
        <f t="shared" si="121"/>
        <v>4239.8</v>
      </c>
      <c r="R1351" s="9">
        <v>202.01158000000001</v>
      </c>
      <c r="S1351" s="9">
        <v>0</v>
      </c>
      <c r="T1351" s="9">
        <v>0</v>
      </c>
      <c r="U1351" s="10">
        <v>0</v>
      </c>
      <c r="V1351" s="1" t="s">
        <v>46</v>
      </c>
      <c r="W1351" s="1" t="s">
        <v>123</v>
      </c>
      <c r="X1351" s="1">
        <v>7560463</v>
      </c>
      <c r="Y1351" s="11">
        <v>42037</v>
      </c>
      <c r="Z1351" s="11">
        <v>42038</v>
      </c>
      <c r="AA1351" s="9">
        <f t="shared" si="124"/>
        <v>4037.7884200000003</v>
      </c>
      <c r="AB1351" s="12">
        <v>68.2</v>
      </c>
      <c r="AC1351" s="9">
        <f t="shared" si="119"/>
        <v>289154.36000000004</v>
      </c>
      <c r="AD1351" s="9">
        <f t="shared" si="120"/>
        <v>275377.17024400004</v>
      </c>
      <c r="AE1351" s="1" t="s">
        <v>48</v>
      </c>
      <c r="AF1351" s="1" t="s">
        <v>45</v>
      </c>
      <c r="AG1351" s="4">
        <f t="shared" si="122"/>
        <v>4239.8</v>
      </c>
      <c r="AH1351" s="10">
        <v>4210</v>
      </c>
      <c r="AI1351" s="10">
        <v>221.95</v>
      </c>
      <c r="AJ1351" s="10">
        <v>0</v>
      </c>
      <c r="AK1351" s="10">
        <v>0</v>
      </c>
      <c r="AL1351" s="9">
        <f t="shared" si="125"/>
        <v>3988.05</v>
      </c>
      <c r="AM1351" s="1"/>
      <c r="AN1351" s="1"/>
      <c r="AO1351" s="12" t="e">
        <f>AB1351/#REF!</f>
        <v>#REF!</v>
      </c>
      <c r="AP1351" s="1"/>
      <c r="AQ1351" s="11">
        <v>42089</v>
      </c>
      <c r="AR1351" s="1" t="s">
        <v>3703</v>
      </c>
      <c r="AS1351" s="11">
        <v>42070</v>
      </c>
      <c r="AT1351" s="1" t="s">
        <v>49</v>
      </c>
      <c r="AU1351" s="1" t="s">
        <v>4171</v>
      </c>
    </row>
    <row r="1352" spans="1:47" ht="15" customHeight="1" x14ac:dyDescent="0.25">
      <c r="A1352" s="1">
        <v>1347</v>
      </c>
      <c r="B1352" s="1" t="s">
        <v>1258</v>
      </c>
      <c r="C1352" s="1" t="s">
        <v>38</v>
      </c>
      <c r="D1352" s="1">
        <v>9103551148</v>
      </c>
      <c r="E1352" s="5">
        <v>42040</v>
      </c>
      <c r="F1352" s="1" t="s">
        <v>2910</v>
      </c>
      <c r="G1352" s="1" t="s">
        <v>40</v>
      </c>
      <c r="H1352" s="1" t="s">
        <v>41</v>
      </c>
      <c r="I1352" s="1" t="s">
        <v>2809</v>
      </c>
      <c r="J1352" s="1" t="s">
        <v>2468</v>
      </c>
      <c r="K1352" s="1">
        <v>38237090</v>
      </c>
      <c r="L1352" s="6">
        <v>0.1</v>
      </c>
      <c r="M1352" s="1" t="s">
        <v>70</v>
      </c>
      <c r="N1352" s="7" t="s">
        <v>52</v>
      </c>
      <c r="O1352" s="1" t="s">
        <v>45</v>
      </c>
      <c r="P1352" s="8">
        <v>1351</v>
      </c>
      <c r="Q1352" s="17">
        <f t="shared" si="121"/>
        <v>135.1</v>
      </c>
      <c r="R1352" s="9">
        <v>6.9659000000000004</v>
      </c>
      <c r="S1352" s="9">
        <v>0</v>
      </c>
      <c r="T1352" s="9">
        <v>0</v>
      </c>
      <c r="U1352" s="10">
        <v>0</v>
      </c>
      <c r="V1352" s="1" t="s">
        <v>46</v>
      </c>
      <c r="W1352" s="1" t="s">
        <v>123</v>
      </c>
      <c r="X1352" s="1">
        <v>7560463</v>
      </c>
      <c r="Y1352" s="11">
        <v>42037</v>
      </c>
      <c r="Z1352" s="11">
        <v>42038</v>
      </c>
      <c r="AA1352" s="9">
        <f t="shared" si="124"/>
        <v>128.13409999999999</v>
      </c>
      <c r="AB1352" s="12">
        <v>68.2</v>
      </c>
      <c r="AC1352" s="9">
        <f t="shared" si="119"/>
        <v>9213.82</v>
      </c>
      <c r="AD1352" s="9">
        <f t="shared" si="120"/>
        <v>8738.7456199999997</v>
      </c>
      <c r="AE1352" s="1" t="s">
        <v>48</v>
      </c>
      <c r="AF1352" s="1" t="s">
        <v>45</v>
      </c>
      <c r="AG1352" s="4">
        <f t="shared" si="122"/>
        <v>135.1</v>
      </c>
      <c r="AH1352" s="10">
        <v>130.41</v>
      </c>
      <c r="AI1352" s="10">
        <v>6.87</v>
      </c>
      <c r="AJ1352" s="10">
        <v>0</v>
      </c>
      <c r="AK1352" s="10">
        <v>0</v>
      </c>
      <c r="AL1352" s="9">
        <f t="shared" si="125"/>
        <v>123.53999999999999</v>
      </c>
      <c r="AM1352" s="1"/>
      <c r="AN1352" s="1"/>
      <c r="AO1352" s="12" t="e">
        <f>AB1352/#REF!</f>
        <v>#REF!</v>
      </c>
      <c r="AP1352" s="1"/>
      <c r="AQ1352" s="11">
        <v>42089</v>
      </c>
      <c r="AR1352" s="1" t="s">
        <v>3703</v>
      </c>
      <c r="AS1352" s="11">
        <v>42070</v>
      </c>
      <c r="AT1352" s="1" t="s">
        <v>49</v>
      </c>
      <c r="AU1352" s="1" t="s">
        <v>4171</v>
      </c>
    </row>
    <row r="1353" spans="1:47" ht="15" customHeight="1" x14ac:dyDescent="0.25">
      <c r="A1353" s="1">
        <v>1348</v>
      </c>
      <c r="B1353" s="1" t="s">
        <v>1258</v>
      </c>
      <c r="C1353" s="1" t="s">
        <v>38</v>
      </c>
      <c r="D1353" s="1">
        <v>9103551149</v>
      </c>
      <c r="E1353" s="5">
        <v>42037</v>
      </c>
      <c r="F1353" s="1" t="s">
        <v>2911</v>
      </c>
      <c r="G1353" s="1" t="s">
        <v>40</v>
      </c>
      <c r="H1353" s="1" t="s">
        <v>41</v>
      </c>
      <c r="I1353" s="1" t="s">
        <v>2809</v>
      </c>
      <c r="J1353" s="1" t="s">
        <v>2773</v>
      </c>
      <c r="K1353" s="1">
        <v>38231200</v>
      </c>
      <c r="L1353" s="6">
        <v>19.920000000000002</v>
      </c>
      <c r="M1353" s="1" t="s">
        <v>70</v>
      </c>
      <c r="N1353" s="7" t="s">
        <v>44</v>
      </c>
      <c r="O1353" s="1" t="s">
        <v>53</v>
      </c>
      <c r="P1353" s="8">
        <v>1130</v>
      </c>
      <c r="Q1353" s="17">
        <f t="shared" si="121"/>
        <v>22509.600000000002</v>
      </c>
      <c r="R1353" s="9">
        <v>600</v>
      </c>
      <c r="S1353" s="9">
        <v>3.22</v>
      </c>
      <c r="T1353" s="9">
        <v>0</v>
      </c>
      <c r="U1353" s="10">
        <v>0</v>
      </c>
      <c r="V1353" s="1" t="s">
        <v>46</v>
      </c>
      <c r="W1353" s="1" t="s">
        <v>72</v>
      </c>
      <c r="X1353" s="1">
        <v>7565417</v>
      </c>
      <c r="Y1353" s="11">
        <v>42037</v>
      </c>
      <c r="Z1353" s="11">
        <v>42038</v>
      </c>
      <c r="AA1353" s="9">
        <f t="shared" si="124"/>
        <v>21906.38</v>
      </c>
      <c r="AB1353" s="12">
        <v>61.3</v>
      </c>
      <c r="AC1353" s="9">
        <f t="shared" si="119"/>
        <v>1379838.48</v>
      </c>
      <c r="AD1353" s="9">
        <f t="shared" si="120"/>
        <v>1342861.094</v>
      </c>
      <c r="AE1353" s="1" t="s">
        <v>48</v>
      </c>
      <c r="AF1353" s="1" t="s">
        <v>53</v>
      </c>
      <c r="AG1353" s="4">
        <f t="shared" si="122"/>
        <v>22509.600000000002</v>
      </c>
      <c r="AH1353" s="10">
        <v>22389.599999999999</v>
      </c>
      <c r="AI1353" s="10">
        <v>111</v>
      </c>
      <c r="AJ1353" s="10">
        <v>3.22</v>
      </c>
      <c r="AK1353" s="10">
        <v>0</v>
      </c>
      <c r="AL1353" s="9">
        <f t="shared" si="125"/>
        <v>22275.379999999997</v>
      </c>
      <c r="AM1353" s="1"/>
      <c r="AN1353" s="1"/>
      <c r="AO1353" s="12" t="e">
        <f>AB1353/#REF!</f>
        <v>#REF!</v>
      </c>
      <c r="AP1353" s="1"/>
      <c r="AQ1353" s="11">
        <v>42053</v>
      </c>
      <c r="AR1353" s="1" t="s">
        <v>3534</v>
      </c>
      <c r="AS1353" s="11">
        <v>42055</v>
      </c>
      <c r="AT1353" s="1" t="s">
        <v>49</v>
      </c>
      <c r="AU1353" s="1" t="s">
        <v>4171</v>
      </c>
    </row>
    <row r="1354" spans="1:47" ht="15" customHeight="1" x14ac:dyDescent="0.25">
      <c r="A1354" s="1">
        <v>1349</v>
      </c>
      <c r="B1354" s="1" t="s">
        <v>1258</v>
      </c>
      <c r="C1354" s="1" t="s">
        <v>38</v>
      </c>
      <c r="D1354" s="1">
        <v>9103551150</v>
      </c>
      <c r="E1354" s="5">
        <v>42039</v>
      </c>
      <c r="F1354" s="1" t="s">
        <v>2912</v>
      </c>
      <c r="G1354" s="1" t="s">
        <v>40</v>
      </c>
      <c r="H1354" s="1" t="s">
        <v>41</v>
      </c>
      <c r="I1354" s="1" t="s">
        <v>2809</v>
      </c>
      <c r="J1354" s="1" t="s">
        <v>2913</v>
      </c>
      <c r="K1354" s="1">
        <v>38237090</v>
      </c>
      <c r="L1354" s="6">
        <v>28.5</v>
      </c>
      <c r="M1354" s="1" t="s">
        <v>70</v>
      </c>
      <c r="N1354" s="7" t="s">
        <v>44</v>
      </c>
      <c r="O1354" s="1" t="s">
        <v>53</v>
      </c>
      <c r="P1354" s="8">
        <v>1720</v>
      </c>
      <c r="Q1354" s="17">
        <f t="shared" si="121"/>
        <v>49020</v>
      </c>
      <c r="R1354" s="9">
        <v>1900</v>
      </c>
      <c r="S1354" s="9">
        <v>7.0465200000000001</v>
      </c>
      <c r="T1354" s="9">
        <v>0</v>
      </c>
      <c r="U1354" s="10">
        <v>0</v>
      </c>
      <c r="V1354" s="1" t="s">
        <v>46</v>
      </c>
      <c r="W1354" s="1" t="s">
        <v>137</v>
      </c>
      <c r="X1354" s="1">
        <v>7568179</v>
      </c>
      <c r="Y1354" s="11">
        <v>42037</v>
      </c>
      <c r="Z1354" s="11">
        <v>42038</v>
      </c>
      <c r="AA1354" s="9">
        <f t="shared" si="124"/>
        <v>47112.953479999996</v>
      </c>
      <c r="AB1354" s="12">
        <v>61.3</v>
      </c>
      <c r="AC1354" s="9">
        <f t="shared" si="119"/>
        <v>3004926</v>
      </c>
      <c r="AD1354" s="9">
        <f t="shared" si="120"/>
        <v>2888024.0483239996</v>
      </c>
      <c r="AE1354" s="1" t="s">
        <v>48</v>
      </c>
      <c r="AF1354" s="1" t="s">
        <v>53</v>
      </c>
      <c r="AG1354" s="4">
        <f t="shared" si="122"/>
        <v>49020</v>
      </c>
      <c r="AH1354" s="10">
        <v>48995</v>
      </c>
      <c r="AI1354" s="10">
        <v>1890.59</v>
      </c>
      <c r="AJ1354" s="10">
        <v>7.01</v>
      </c>
      <c r="AK1354" s="10">
        <v>0</v>
      </c>
      <c r="AL1354" s="9">
        <f t="shared" si="125"/>
        <v>47097.4</v>
      </c>
      <c r="AM1354" s="1"/>
      <c r="AN1354" s="1"/>
      <c r="AO1354" s="12" t="e">
        <f>AB1354/#REF!</f>
        <v>#REF!</v>
      </c>
      <c r="AP1354" s="1"/>
      <c r="AQ1354" s="11">
        <v>42100</v>
      </c>
      <c r="AR1354" s="1" t="s">
        <v>3535</v>
      </c>
      <c r="AS1354" s="11">
        <v>42101</v>
      </c>
      <c r="AT1354" s="1" t="s">
        <v>49</v>
      </c>
      <c r="AU1354" s="1" t="s">
        <v>4171</v>
      </c>
    </row>
    <row r="1355" spans="1:47" ht="15" customHeight="1" x14ac:dyDescent="0.25">
      <c r="A1355" s="1">
        <v>1350</v>
      </c>
      <c r="B1355" s="1" t="s">
        <v>1258</v>
      </c>
      <c r="C1355" s="1" t="s">
        <v>38</v>
      </c>
      <c r="D1355" s="1">
        <v>9103551150</v>
      </c>
      <c r="E1355" s="5">
        <v>42039</v>
      </c>
      <c r="F1355" s="1" t="s">
        <v>2912</v>
      </c>
      <c r="G1355" s="1" t="s">
        <v>40</v>
      </c>
      <c r="H1355" s="1" t="s">
        <v>41</v>
      </c>
      <c r="I1355" s="1" t="s">
        <v>2809</v>
      </c>
      <c r="J1355" s="1" t="s">
        <v>2913</v>
      </c>
      <c r="K1355" s="1">
        <v>29051700</v>
      </c>
      <c r="L1355" s="6">
        <v>6</v>
      </c>
      <c r="M1355" s="1" t="s">
        <v>70</v>
      </c>
      <c r="N1355" s="7" t="s">
        <v>44</v>
      </c>
      <c r="O1355" s="1" t="s">
        <v>53</v>
      </c>
      <c r="P1355" s="8">
        <v>1770</v>
      </c>
      <c r="Q1355" s="17">
        <f t="shared" si="121"/>
        <v>10620</v>
      </c>
      <c r="R1355" s="9">
        <v>400</v>
      </c>
      <c r="S1355" s="9">
        <v>1.48</v>
      </c>
      <c r="T1355" s="9">
        <v>0</v>
      </c>
      <c r="U1355" s="10">
        <v>0</v>
      </c>
      <c r="V1355" s="1" t="s">
        <v>46</v>
      </c>
      <c r="W1355" s="1" t="s">
        <v>137</v>
      </c>
      <c r="X1355" s="1">
        <v>7568179</v>
      </c>
      <c r="Y1355" s="11">
        <v>42037</v>
      </c>
      <c r="Z1355" s="11">
        <v>42038</v>
      </c>
      <c r="AA1355" s="9">
        <f t="shared" si="124"/>
        <v>10218.52</v>
      </c>
      <c r="AB1355" s="12">
        <v>61.3</v>
      </c>
      <c r="AC1355" s="9">
        <f t="shared" si="119"/>
        <v>651006</v>
      </c>
      <c r="AD1355" s="9">
        <f t="shared" si="120"/>
        <v>626395.27599999995</v>
      </c>
      <c r="AE1355" s="1" t="s">
        <v>48</v>
      </c>
      <c r="AF1355" s="1" t="s">
        <v>53</v>
      </c>
      <c r="AG1355" s="4">
        <f t="shared" si="122"/>
        <v>10620</v>
      </c>
      <c r="AH1355" s="10">
        <v>10610</v>
      </c>
      <c r="AI1355" s="10">
        <v>409.41</v>
      </c>
      <c r="AJ1355" s="10">
        <v>1.52</v>
      </c>
      <c r="AK1355" s="10">
        <v>0</v>
      </c>
      <c r="AL1355" s="9">
        <f t="shared" si="125"/>
        <v>10199.07</v>
      </c>
      <c r="AM1355" s="1"/>
      <c r="AN1355" s="1"/>
      <c r="AO1355" s="12" t="e">
        <f>AB1355/#REF!</f>
        <v>#REF!</v>
      </c>
      <c r="AP1355" s="1"/>
      <c r="AQ1355" s="11">
        <v>42100</v>
      </c>
      <c r="AR1355" s="1" t="s">
        <v>3535</v>
      </c>
      <c r="AS1355" s="11">
        <v>42101</v>
      </c>
      <c r="AT1355" s="1" t="s">
        <v>49</v>
      </c>
      <c r="AU1355" s="1" t="s">
        <v>4171</v>
      </c>
    </row>
    <row r="1356" spans="1:47" ht="15" customHeight="1" x14ac:dyDescent="0.25">
      <c r="A1356" s="1">
        <v>1351</v>
      </c>
      <c r="B1356" s="1" t="s">
        <v>1258</v>
      </c>
      <c r="C1356" s="1" t="s">
        <v>38</v>
      </c>
      <c r="D1356" s="1">
        <v>9103551151</v>
      </c>
      <c r="E1356" s="5">
        <v>42041</v>
      </c>
      <c r="F1356" s="1" t="s">
        <v>2914</v>
      </c>
      <c r="G1356" s="1" t="s">
        <v>40</v>
      </c>
      <c r="H1356" s="1" t="s">
        <v>41</v>
      </c>
      <c r="I1356" s="1" t="s">
        <v>2809</v>
      </c>
      <c r="J1356" s="1" t="s">
        <v>187</v>
      </c>
      <c r="K1356" s="1">
        <v>29161990</v>
      </c>
      <c r="L1356" s="6">
        <v>16</v>
      </c>
      <c r="M1356" s="1" t="s">
        <v>70</v>
      </c>
      <c r="N1356" s="7" t="s">
        <v>44</v>
      </c>
      <c r="O1356" s="1" t="s">
        <v>53</v>
      </c>
      <c r="P1356" s="8">
        <v>2994</v>
      </c>
      <c r="Q1356" s="17">
        <f t="shared" si="121"/>
        <v>47904</v>
      </c>
      <c r="R1356" s="9">
        <v>3410</v>
      </c>
      <c r="S1356" s="9">
        <v>6.85</v>
      </c>
      <c r="T1356" s="9">
        <v>0</v>
      </c>
      <c r="U1356" s="10">
        <v>0</v>
      </c>
      <c r="V1356" s="1" t="s">
        <v>46</v>
      </c>
      <c r="W1356" s="1" t="s">
        <v>56</v>
      </c>
      <c r="X1356" s="1">
        <v>7570508</v>
      </c>
      <c r="Y1356" s="11">
        <v>42037</v>
      </c>
      <c r="Z1356" s="11">
        <v>42038</v>
      </c>
      <c r="AA1356" s="9">
        <f t="shared" si="124"/>
        <v>44487.15</v>
      </c>
      <c r="AB1356" s="12">
        <v>61.3</v>
      </c>
      <c r="AC1356" s="9">
        <f t="shared" si="119"/>
        <v>2936515.1999999997</v>
      </c>
      <c r="AD1356" s="9">
        <f t="shared" si="120"/>
        <v>2727062.2949999999</v>
      </c>
      <c r="AE1356" s="1" t="s">
        <v>48</v>
      </c>
      <c r="AF1356" s="1" t="s">
        <v>53</v>
      </c>
      <c r="AG1356" s="4">
        <f t="shared" si="122"/>
        <v>47904</v>
      </c>
      <c r="AH1356" s="10">
        <v>47904</v>
      </c>
      <c r="AI1356" s="10">
        <v>3440</v>
      </c>
      <c r="AJ1356" s="10">
        <v>6.85</v>
      </c>
      <c r="AK1356" s="10"/>
      <c r="AL1356" s="9">
        <f t="shared" si="125"/>
        <v>44457.15</v>
      </c>
      <c r="AM1356" s="1"/>
      <c r="AN1356" s="1"/>
      <c r="AO1356" s="12" t="e">
        <f>AB1356/#REF!</f>
        <v>#REF!</v>
      </c>
      <c r="AP1356" s="1"/>
      <c r="AQ1356" s="11">
        <v>42123</v>
      </c>
      <c r="AR1356" s="1" t="s">
        <v>3536</v>
      </c>
      <c r="AS1356" s="11">
        <v>42124</v>
      </c>
      <c r="AT1356" s="1" t="s">
        <v>49</v>
      </c>
      <c r="AU1356" s="1" t="s">
        <v>4171</v>
      </c>
    </row>
    <row r="1357" spans="1:47" ht="15" customHeight="1" x14ac:dyDescent="0.25">
      <c r="A1357" s="1">
        <v>1352</v>
      </c>
      <c r="B1357" s="1" t="s">
        <v>1258</v>
      </c>
      <c r="C1357" s="1" t="s">
        <v>38</v>
      </c>
      <c r="D1357" s="1" t="s">
        <v>2916</v>
      </c>
      <c r="E1357" s="5">
        <v>42037</v>
      </c>
      <c r="F1357" s="1" t="s">
        <v>2915</v>
      </c>
      <c r="G1357" s="1" t="s">
        <v>40</v>
      </c>
      <c r="H1357" s="1" t="s">
        <v>41</v>
      </c>
      <c r="I1357" s="1" t="s">
        <v>2809</v>
      </c>
      <c r="J1357" s="1" t="s">
        <v>78</v>
      </c>
      <c r="K1357" s="1">
        <v>29051700</v>
      </c>
      <c r="L1357" s="6">
        <v>37.9</v>
      </c>
      <c r="M1357" s="1" t="s">
        <v>70</v>
      </c>
      <c r="N1357" s="7" t="s">
        <v>67</v>
      </c>
      <c r="O1357" s="1" t="s">
        <v>53</v>
      </c>
      <c r="P1357" s="8">
        <v>1505</v>
      </c>
      <c r="Q1357" s="17">
        <f t="shared" si="121"/>
        <v>57039.5</v>
      </c>
      <c r="R1357" s="9">
        <v>0</v>
      </c>
      <c r="S1357" s="9">
        <v>0</v>
      </c>
      <c r="T1357" s="9">
        <v>0</v>
      </c>
      <c r="U1357" s="10">
        <v>0</v>
      </c>
      <c r="V1357" s="1" t="s">
        <v>46</v>
      </c>
      <c r="W1357" s="1" t="s">
        <v>56</v>
      </c>
      <c r="X1357" s="1">
        <v>7469732</v>
      </c>
      <c r="Y1357" s="11">
        <v>42032</v>
      </c>
      <c r="Z1357" s="11">
        <v>42033</v>
      </c>
      <c r="AA1357" s="9">
        <f t="shared" si="124"/>
        <v>57039.5</v>
      </c>
      <c r="AB1357" s="12">
        <v>61.3</v>
      </c>
      <c r="AC1357" s="9">
        <f t="shared" si="119"/>
        <v>3496521.3499999996</v>
      </c>
      <c r="AD1357" s="9">
        <f t="shared" si="120"/>
        <v>3496521.3499999996</v>
      </c>
      <c r="AE1357" s="1" t="s">
        <v>48</v>
      </c>
      <c r="AF1357" s="1" t="s">
        <v>53</v>
      </c>
      <c r="AG1357" s="4">
        <f t="shared" si="122"/>
        <v>57039.5</v>
      </c>
      <c r="AH1357" s="10">
        <v>57039.5</v>
      </c>
      <c r="AI1357" s="10">
        <v>0</v>
      </c>
      <c r="AJ1357" s="10">
        <v>0</v>
      </c>
      <c r="AK1357" s="10">
        <v>0</v>
      </c>
      <c r="AL1357" s="9">
        <f t="shared" si="125"/>
        <v>57039.5</v>
      </c>
      <c r="AM1357" s="1"/>
      <c r="AN1357" s="1"/>
      <c r="AO1357" s="12" t="e">
        <f>AB1357/#REF!</f>
        <v>#REF!</v>
      </c>
      <c r="AP1357" s="1"/>
      <c r="AQ1357" s="11">
        <v>42080</v>
      </c>
      <c r="AR1357" s="1" t="s">
        <v>3537</v>
      </c>
      <c r="AS1357" s="11">
        <v>42081</v>
      </c>
      <c r="AT1357" s="1" t="s">
        <v>49</v>
      </c>
      <c r="AU1357" s="1" t="s">
        <v>4171</v>
      </c>
    </row>
    <row r="1358" spans="1:47" ht="15" customHeight="1" x14ac:dyDescent="0.25">
      <c r="A1358" s="1">
        <v>1353</v>
      </c>
      <c r="B1358" s="1" t="s">
        <v>1258</v>
      </c>
      <c r="C1358" s="1" t="s">
        <v>38</v>
      </c>
      <c r="D1358" s="1">
        <v>9103551156</v>
      </c>
      <c r="E1358" s="5">
        <v>42043</v>
      </c>
      <c r="F1358" s="1" t="s">
        <v>2917</v>
      </c>
      <c r="G1358" s="1" t="s">
        <v>40</v>
      </c>
      <c r="H1358" s="1" t="s">
        <v>41</v>
      </c>
      <c r="I1358" s="1" t="s">
        <v>2809</v>
      </c>
      <c r="J1358" s="1" t="s">
        <v>76</v>
      </c>
      <c r="K1358" s="1">
        <v>29157010</v>
      </c>
      <c r="L1358" s="6">
        <v>132.13</v>
      </c>
      <c r="M1358" s="1" t="s">
        <v>70</v>
      </c>
      <c r="N1358" s="7" t="s">
        <v>44</v>
      </c>
      <c r="O1358" s="1" t="s">
        <v>53</v>
      </c>
      <c r="P1358" s="8">
        <v>1040</v>
      </c>
      <c r="Q1358" s="17">
        <f t="shared" si="121"/>
        <v>137415.19999999998</v>
      </c>
      <c r="R1358" s="9">
        <v>2625</v>
      </c>
      <c r="S1358" s="9">
        <v>19.649999999999999</v>
      </c>
      <c r="T1358" s="9">
        <v>0</v>
      </c>
      <c r="U1358" s="10">
        <v>0</v>
      </c>
      <c r="V1358" s="1" t="s">
        <v>46</v>
      </c>
      <c r="W1358" s="1" t="s">
        <v>492</v>
      </c>
      <c r="X1358" s="1">
        <v>7587190</v>
      </c>
      <c r="Y1358" s="11">
        <v>42038</v>
      </c>
      <c r="Z1358" s="11">
        <v>42039</v>
      </c>
      <c r="AA1358" s="9">
        <f t="shared" si="124"/>
        <v>134770.54999999999</v>
      </c>
      <c r="AB1358" s="12">
        <v>61.3</v>
      </c>
      <c r="AC1358" s="9">
        <f t="shared" si="119"/>
        <v>8423551.7599999979</v>
      </c>
      <c r="AD1358" s="9">
        <f t="shared" si="120"/>
        <v>8261434.7149999989</v>
      </c>
      <c r="AE1358" s="1"/>
      <c r="AF1358" s="1" t="s">
        <v>53</v>
      </c>
      <c r="AG1358" s="4">
        <f t="shared" si="122"/>
        <v>137415.19999999998</v>
      </c>
      <c r="AH1358" s="10">
        <f>110869.4+26545.8</f>
        <v>137415.19999999998</v>
      </c>
      <c r="AI1358" s="10"/>
      <c r="AJ1358" s="10"/>
      <c r="AK1358" s="10"/>
      <c r="AL1358" s="9">
        <f t="shared" si="125"/>
        <v>137415.19999999998</v>
      </c>
      <c r="AM1358" s="1"/>
      <c r="AN1358" s="1"/>
      <c r="AO1358" s="12" t="e">
        <f>AB1358/#REF!</f>
        <v>#REF!</v>
      </c>
      <c r="AP1358" s="1" t="s">
        <v>4250</v>
      </c>
      <c r="AQ1358" s="11" t="s">
        <v>4251</v>
      </c>
      <c r="AR1358" s="1" t="s">
        <v>4252</v>
      </c>
      <c r="AS1358" s="1" t="s">
        <v>4253</v>
      </c>
      <c r="AT1358" s="1" t="s">
        <v>49</v>
      </c>
      <c r="AU1358" s="1" t="s">
        <v>4171</v>
      </c>
    </row>
    <row r="1359" spans="1:47" ht="15" customHeight="1" x14ac:dyDescent="0.25">
      <c r="A1359" s="1">
        <v>1354</v>
      </c>
      <c r="B1359" s="1" t="s">
        <v>1258</v>
      </c>
      <c r="C1359" s="1" t="s">
        <v>38</v>
      </c>
      <c r="D1359" s="1">
        <v>9103551156</v>
      </c>
      <c r="E1359" s="5">
        <v>42043</v>
      </c>
      <c r="F1359" s="1" t="s">
        <v>2918</v>
      </c>
      <c r="G1359" s="1" t="s">
        <v>40</v>
      </c>
      <c r="H1359" s="1" t="s">
        <v>41</v>
      </c>
      <c r="I1359" s="1" t="s">
        <v>2809</v>
      </c>
      <c r="J1359" s="1" t="s">
        <v>76</v>
      </c>
      <c r="K1359" s="1">
        <v>29157010</v>
      </c>
      <c r="L1359" s="6">
        <v>37.64</v>
      </c>
      <c r="M1359" s="1" t="s">
        <v>70</v>
      </c>
      <c r="N1359" s="7" t="s">
        <v>44</v>
      </c>
      <c r="O1359" s="1" t="s">
        <v>53</v>
      </c>
      <c r="P1359" s="8">
        <v>1040</v>
      </c>
      <c r="Q1359" s="17">
        <f t="shared" si="121"/>
        <v>39145.599999999999</v>
      </c>
      <c r="R1359" s="9">
        <v>750</v>
      </c>
      <c r="S1359" s="9">
        <v>5.6</v>
      </c>
      <c r="T1359" s="9">
        <v>0</v>
      </c>
      <c r="U1359" s="10">
        <v>0</v>
      </c>
      <c r="V1359" s="1" t="s">
        <v>46</v>
      </c>
      <c r="W1359" s="1" t="s">
        <v>492</v>
      </c>
      <c r="X1359" s="1">
        <v>7596336</v>
      </c>
      <c r="Y1359" s="11">
        <v>42038</v>
      </c>
      <c r="Z1359" s="11">
        <v>42039</v>
      </c>
      <c r="AA1359" s="9">
        <f t="shared" si="124"/>
        <v>38390</v>
      </c>
      <c r="AB1359" s="12">
        <v>61.3</v>
      </c>
      <c r="AC1359" s="9">
        <f t="shared" si="119"/>
        <v>2399625.2799999998</v>
      </c>
      <c r="AD1359" s="9">
        <f t="shared" si="120"/>
        <v>2353307</v>
      </c>
      <c r="AE1359" s="1"/>
      <c r="AF1359" s="1" t="s">
        <v>53</v>
      </c>
      <c r="AG1359" s="4">
        <f t="shared" si="122"/>
        <v>39145.599999999999</v>
      </c>
      <c r="AH1359" s="10">
        <v>39145.599999999999</v>
      </c>
      <c r="AI1359" s="10"/>
      <c r="AJ1359" s="10"/>
      <c r="AK1359" s="10"/>
      <c r="AL1359" s="9">
        <f t="shared" si="125"/>
        <v>39145.599999999999</v>
      </c>
      <c r="AM1359" s="1"/>
      <c r="AN1359" s="1"/>
      <c r="AO1359" s="12" t="e">
        <f>AB1359/#REF!</f>
        <v>#REF!</v>
      </c>
      <c r="AP1359" s="1" t="s">
        <v>4250</v>
      </c>
      <c r="AQ1359" s="11">
        <v>42258</v>
      </c>
      <c r="AR1359" s="1" t="s">
        <v>4254</v>
      </c>
      <c r="AS1359" s="11">
        <v>42261</v>
      </c>
      <c r="AT1359" s="1" t="s">
        <v>49</v>
      </c>
      <c r="AU1359" s="1" t="s">
        <v>4171</v>
      </c>
    </row>
    <row r="1360" spans="1:47" ht="15" customHeight="1" x14ac:dyDescent="0.25">
      <c r="A1360" s="1">
        <v>1355</v>
      </c>
      <c r="B1360" s="1" t="s">
        <v>1258</v>
      </c>
      <c r="C1360" s="1" t="s">
        <v>38</v>
      </c>
      <c r="D1360" s="1">
        <v>9103551157</v>
      </c>
      <c r="E1360" s="5">
        <v>42044</v>
      </c>
      <c r="F1360" s="1" t="s">
        <v>2919</v>
      </c>
      <c r="G1360" s="1" t="s">
        <v>40</v>
      </c>
      <c r="H1360" s="1" t="s">
        <v>41</v>
      </c>
      <c r="I1360" s="1" t="s">
        <v>2809</v>
      </c>
      <c r="J1360" s="1" t="s">
        <v>187</v>
      </c>
      <c r="K1360" s="1">
        <v>38237090</v>
      </c>
      <c r="L1360" s="6">
        <v>18.510000000000002</v>
      </c>
      <c r="M1360" s="1" t="s">
        <v>70</v>
      </c>
      <c r="N1360" s="7" t="s">
        <v>44</v>
      </c>
      <c r="O1360" s="1" t="s">
        <v>53</v>
      </c>
      <c r="P1360" s="8">
        <v>1495</v>
      </c>
      <c r="Q1360" s="17">
        <f t="shared" si="121"/>
        <v>27672.45</v>
      </c>
      <c r="R1360" s="9">
        <v>2800</v>
      </c>
      <c r="S1360" s="9">
        <v>3.96</v>
      </c>
      <c r="T1360" s="9">
        <v>0</v>
      </c>
      <c r="U1360" s="10">
        <v>0</v>
      </c>
      <c r="V1360" s="1" t="s">
        <v>46</v>
      </c>
      <c r="W1360" s="1" t="s">
        <v>56</v>
      </c>
      <c r="X1360" s="1">
        <v>7613666</v>
      </c>
      <c r="Y1360" s="11">
        <v>42039</v>
      </c>
      <c r="Z1360" s="11">
        <v>42040</v>
      </c>
      <c r="AA1360" s="9">
        <f t="shared" si="124"/>
        <v>24868.49</v>
      </c>
      <c r="AB1360" s="12">
        <v>61.3</v>
      </c>
      <c r="AC1360" s="9">
        <f t="shared" si="119"/>
        <v>1696321.1850000001</v>
      </c>
      <c r="AD1360" s="9">
        <f t="shared" si="120"/>
        <v>1524438.4369999999</v>
      </c>
      <c r="AE1360" s="1" t="s">
        <v>48</v>
      </c>
      <c r="AF1360" s="1" t="s">
        <v>53</v>
      </c>
      <c r="AG1360" s="4">
        <f t="shared" si="122"/>
        <v>27672.45</v>
      </c>
      <c r="AH1360" s="10">
        <v>27672.45</v>
      </c>
      <c r="AI1360" s="10">
        <v>2800</v>
      </c>
      <c r="AJ1360" s="10">
        <v>3.96</v>
      </c>
      <c r="AK1360" s="10">
        <v>0</v>
      </c>
      <c r="AL1360" s="9">
        <f t="shared" si="125"/>
        <v>24868.49</v>
      </c>
      <c r="AM1360" s="1"/>
      <c r="AN1360" s="1"/>
      <c r="AO1360" s="12" t="e">
        <f>AB1360/#REF!</f>
        <v>#REF!</v>
      </c>
      <c r="AP1360" s="1"/>
      <c r="AQ1360" s="11">
        <v>42123</v>
      </c>
      <c r="AR1360" s="1" t="s">
        <v>3538</v>
      </c>
      <c r="AS1360" s="11">
        <v>42124</v>
      </c>
      <c r="AT1360" s="1" t="s">
        <v>49</v>
      </c>
      <c r="AU1360" s="1" t="s">
        <v>4171</v>
      </c>
    </row>
    <row r="1361" spans="1:47" ht="15" customHeight="1" x14ac:dyDescent="0.25">
      <c r="A1361" s="1">
        <v>1356</v>
      </c>
      <c r="B1361" s="1" t="s">
        <v>1258</v>
      </c>
      <c r="C1361" s="1" t="s">
        <v>38</v>
      </c>
      <c r="D1361" s="1">
        <v>9103551158</v>
      </c>
      <c r="E1361" s="5">
        <v>42045</v>
      </c>
      <c r="F1361" s="1" t="s">
        <v>2920</v>
      </c>
      <c r="G1361" s="1" t="s">
        <v>40</v>
      </c>
      <c r="H1361" s="1" t="s">
        <v>41</v>
      </c>
      <c r="I1361" s="1" t="s">
        <v>2809</v>
      </c>
      <c r="J1361" s="1" t="s">
        <v>2153</v>
      </c>
      <c r="K1361" s="1">
        <v>29159020</v>
      </c>
      <c r="L1361" s="6">
        <v>39.94</v>
      </c>
      <c r="M1361" s="1" t="s">
        <v>70</v>
      </c>
      <c r="N1361" s="7" t="s">
        <v>44</v>
      </c>
      <c r="O1361" s="1" t="s">
        <v>45</v>
      </c>
      <c r="P1361" s="8">
        <v>3470</v>
      </c>
      <c r="Q1361" s="17">
        <f t="shared" si="121"/>
        <v>138591.79999999999</v>
      </c>
      <c r="R1361" s="9">
        <v>1932.48</v>
      </c>
      <c r="S1361" s="9">
        <v>19.82</v>
      </c>
      <c r="T1361" s="9">
        <v>0</v>
      </c>
      <c r="U1361" s="10">
        <v>0</v>
      </c>
      <c r="V1361" s="1" t="s">
        <v>46</v>
      </c>
      <c r="W1361" s="1" t="s">
        <v>47</v>
      </c>
      <c r="X1361" s="1">
        <v>7618145</v>
      </c>
      <c r="Y1361" s="11">
        <v>42039</v>
      </c>
      <c r="Z1361" s="11">
        <v>42041</v>
      </c>
      <c r="AA1361" s="9">
        <f t="shared" si="124"/>
        <v>136639.49999999997</v>
      </c>
      <c r="AB1361" s="12">
        <v>68.2</v>
      </c>
      <c r="AC1361" s="9">
        <f t="shared" si="119"/>
        <v>9451960.7599999998</v>
      </c>
      <c r="AD1361" s="9">
        <f t="shared" si="120"/>
        <v>9318813.8999999985</v>
      </c>
      <c r="AE1361" s="1" t="s">
        <v>48</v>
      </c>
      <c r="AF1361" s="1" t="s">
        <v>45</v>
      </c>
      <c r="AG1361" s="4">
        <f t="shared" si="122"/>
        <v>138591.79999999999</v>
      </c>
      <c r="AH1361" s="10">
        <v>138591.79999999999</v>
      </c>
      <c r="AI1361" s="9">
        <v>1932.41</v>
      </c>
      <c r="AJ1361" s="9">
        <v>19.82</v>
      </c>
      <c r="AK1361" s="9">
        <v>0</v>
      </c>
      <c r="AL1361" s="9">
        <f t="shared" si="125"/>
        <v>136639.56999999998</v>
      </c>
      <c r="AM1361" s="1"/>
      <c r="AN1361" s="1"/>
      <c r="AO1361" s="12" t="e">
        <f>AB1361/#REF!</f>
        <v>#REF!</v>
      </c>
      <c r="AP1361" s="1"/>
      <c r="AQ1361" s="11">
        <v>42080</v>
      </c>
      <c r="AR1361" s="1" t="s">
        <v>3704</v>
      </c>
      <c r="AS1361" s="11">
        <v>42081</v>
      </c>
      <c r="AT1361" s="1" t="s">
        <v>49</v>
      </c>
      <c r="AU1361" s="1" t="s">
        <v>4171</v>
      </c>
    </row>
    <row r="1362" spans="1:47" ht="15" customHeight="1" x14ac:dyDescent="0.25">
      <c r="A1362" s="1">
        <v>1357</v>
      </c>
      <c r="B1362" s="1" t="s">
        <v>1258</v>
      </c>
      <c r="C1362" s="1" t="s">
        <v>38</v>
      </c>
      <c r="D1362" s="1" t="s">
        <v>2984</v>
      </c>
      <c r="E1362" s="5">
        <v>42043</v>
      </c>
      <c r="F1362" s="1" t="s">
        <v>2985</v>
      </c>
      <c r="G1362" s="1" t="s">
        <v>40</v>
      </c>
      <c r="H1362" s="1" t="s">
        <v>41</v>
      </c>
      <c r="I1362" s="1" t="s">
        <v>2809</v>
      </c>
      <c r="J1362" s="1" t="s">
        <v>200</v>
      </c>
      <c r="K1362" s="1">
        <v>29157010</v>
      </c>
      <c r="L1362" s="6">
        <v>38.909999999999997</v>
      </c>
      <c r="M1362" s="1" t="s">
        <v>70</v>
      </c>
      <c r="N1362" s="7" t="s">
        <v>44</v>
      </c>
      <c r="O1362" s="1" t="s">
        <v>53</v>
      </c>
      <c r="P1362" s="8">
        <v>1030</v>
      </c>
      <c r="Q1362" s="17">
        <f t="shared" si="121"/>
        <v>40077.299999999996</v>
      </c>
      <c r="R1362" s="9">
        <v>1600</v>
      </c>
      <c r="S1362" s="9">
        <v>5.73</v>
      </c>
      <c r="T1362" s="9">
        <v>778.2</v>
      </c>
      <c r="U1362" s="10">
        <v>0</v>
      </c>
      <c r="V1362" s="1" t="s">
        <v>46</v>
      </c>
      <c r="W1362" s="1" t="s">
        <v>59</v>
      </c>
      <c r="X1362" s="1">
        <v>7619841</v>
      </c>
      <c r="Y1362" s="11">
        <v>42039</v>
      </c>
      <c r="Z1362" s="11">
        <v>42040</v>
      </c>
      <c r="AA1362" s="9">
        <f t="shared" si="124"/>
        <v>38471.569999999992</v>
      </c>
      <c r="AB1362" s="12">
        <v>61.3</v>
      </c>
      <c r="AC1362" s="9">
        <f t="shared" si="119"/>
        <v>2456738.4899999998</v>
      </c>
      <c r="AD1362" s="9">
        <f t="shared" si="120"/>
        <v>2358307.2409999995</v>
      </c>
      <c r="AE1362" s="1" t="s">
        <v>51</v>
      </c>
      <c r="AF1362" s="1" t="s">
        <v>53</v>
      </c>
      <c r="AG1362" s="4">
        <f t="shared" si="122"/>
        <v>40077.299999999996</v>
      </c>
      <c r="AH1362" s="10">
        <v>40077</v>
      </c>
      <c r="AI1362" s="9">
        <v>1600</v>
      </c>
      <c r="AJ1362" s="9">
        <v>5.73</v>
      </c>
      <c r="AK1362" s="9">
        <v>778.2</v>
      </c>
      <c r="AL1362" s="9">
        <f t="shared" si="125"/>
        <v>37693.07</v>
      </c>
      <c r="AM1362" s="1"/>
      <c r="AN1362" s="1"/>
      <c r="AO1362" s="12" t="e">
        <f>AB1362/#REF!</f>
        <v>#REF!</v>
      </c>
      <c r="AP1362" s="1"/>
      <c r="AQ1362" s="11">
        <v>42067</v>
      </c>
      <c r="AR1362" s="1" t="s">
        <v>3660</v>
      </c>
      <c r="AS1362" s="11">
        <v>42067</v>
      </c>
      <c r="AT1362" s="1" t="s">
        <v>49</v>
      </c>
      <c r="AU1362" s="1" t="s">
        <v>4171</v>
      </c>
    </row>
    <row r="1363" spans="1:47" ht="15" customHeight="1" x14ac:dyDescent="0.25">
      <c r="A1363" s="1">
        <v>1358</v>
      </c>
      <c r="B1363" s="1" t="s">
        <v>1258</v>
      </c>
      <c r="C1363" s="1" t="s">
        <v>38</v>
      </c>
      <c r="D1363" s="1" t="s">
        <v>2984</v>
      </c>
      <c r="E1363" s="5">
        <v>42043</v>
      </c>
      <c r="F1363" s="1" t="s">
        <v>2986</v>
      </c>
      <c r="G1363" s="1" t="s">
        <v>40</v>
      </c>
      <c r="H1363" s="1" t="s">
        <v>41</v>
      </c>
      <c r="I1363" s="1" t="s">
        <v>2809</v>
      </c>
      <c r="J1363" s="1" t="s">
        <v>200</v>
      </c>
      <c r="K1363" s="1">
        <v>29157010</v>
      </c>
      <c r="L1363" s="6">
        <v>77.58</v>
      </c>
      <c r="M1363" s="1" t="s">
        <v>70</v>
      </c>
      <c r="N1363" s="7" t="s">
        <v>44</v>
      </c>
      <c r="O1363" s="1" t="s">
        <v>53</v>
      </c>
      <c r="P1363" s="8">
        <v>1030</v>
      </c>
      <c r="Q1363" s="17">
        <f t="shared" si="121"/>
        <v>79907.399999999994</v>
      </c>
      <c r="R1363" s="9">
        <v>3200</v>
      </c>
      <c r="S1363" s="9">
        <v>11.43</v>
      </c>
      <c r="T1363" s="9">
        <v>1551.6</v>
      </c>
      <c r="U1363" s="10">
        <v>0</v>
      </c>
      <c r="V1363" s="1" t="s">
        <v>46</v>
      </c>
      <c r="W1363" s="1" t="s">
        <v>59</v>
      </c>
      <c r="X1363" s="1">
        <v>7632405</v>
      </c>
      <c r="Y1363" s="11">
        <v>42040</v>
      </c>
      <c r="Z1363" s="11">
        <v>42041</v>
      </c>
      <c r="AA1363" s="9">
        <f t="shared" si="124"/>
        <v>76695.97</v>
      </c>
      <c r="AB1363" s="12">
        <v>61.3</v>
      </c>
      <c r="AC1363" s="9">
        <f t="shared" si="119"/>
        <v>4898323.6199999992</v>
      </c>
      <c r="AD1363" s="9">
        <f t="shared" si="120"/>
        <v>4701462.9610000001</v>
      </c>
      <c r="AE1363" s="1" t="s">
        <v>51</v>
      </c>
      <c r="AF1363" s="1" t="s">
        <v>53</v>
      </c>
      <c r="AG1363" s="4">
        <f t="shared" si="122"/>
        <v>79907.399999999994</v>
      </c>
      <c r="AH1363" s="10">
        <v>79907</v>
      </c>
      <c r="AI1363" s="9">
        <v>3200</v>
      </c>
      <c r="AJ1363" s="9">
        <v>11.43</v>
      </c>
      <c r="AK1363" s="9">
        <v>1551.6</v>
      </c>
      <c r="AL1363" s="9">
        <f t="shared" si="125"/>
        <v>75143.97</v>
      </c>
      <c r="AM1363" s="1"/>
      <c r="AN1363" s="1"/>
      <c r="AO1363" s="12" t="e">
        <f>AB1363/#REF!</f>
        <v>#REF!</v>
      </c>
      <c r="AP1363" s="1"/>
      <c r="AQ1363" s="11">
        <v>42067</v>
      </c>
      <c r="AR1363" s="1" t="s">
        <v>3661</v>
      </c>
      <c r="AS1363" s="11">
        <v>42067</v>
      </c>
      <c r="AT1363" s="1" t="s">
        <v>49</v>
      </c>
      <c r="AU1363" s="1" t="s">
        <v>4171</v>
      </c>
    </row>
    <row r="1364" spans="1:47" ht="15" customHeight="1" x14ac:dyDescent="0.25">
      <c r="A1364" s="1">
        <v>1359</v>
      </c>
      <c r="B1364" s="1" t="s">
        <v>1258</v>
      </c>
      <c r="C1364" s="1" t="s">
        <v>38</v>
      </c>
      <c r="D1364" s="1">
        <v>9103551162</v>
      </c>
      <c r="E1364" s="5">
        <v>42051</v>
      </c>
      <c r="F1364" s="1" t="s">
        <v>2987</v>
      </c>
      <c r="G1364" s="1" t="s">
        <v>40</v>
      </c>
      <c r="H1364" s="1" t="s">
        <v>41</v>
      </c>
      <c r="I1364" s="1" t="s">
        <v>2809</v>
      </c>
      <c r="J1364" s="1" t="s">
        <v>187</v>
      </c>
      <c r="K1364" s="1">
        <v>38237090</v>
      </c>
      <c r="L1364" s="6">
        <v>18.399999999999999</v>
      </c>
      <c r="M1364" s="1" t="s">
        <v>70</v>
      </c>
      <c r="N1364" s="7" t="s">
        <v>44</v>
      </c>
      <c r="O1364" s="1" t="s">
        <v>53</v>
      </c>
      <c r="P1364" s="8">
        <v>1563</v>
      </c>
      <c r="Q1364" s="17">
        <f t="shared" si="121"/>
        <v>28759.199999999997</v>
      </c>
      <c r="R1364" s="9">
        <v>4350</v>
      </c>
      <c r="S1364" s="9">
        <v>4.1100000000000003</v>
      </c>
      <c r="T1364" s="9">
        <v>0</v>
      </c>
      <c r="U1364" s="10">
        <v>0</v>
      </c>
      <c r="V1364" s="1" t="s">
        <v>46</v>
      </c>
      <c r="W1364" s="1" t="s">
        <v>56</v>
      </c>
      <c r="X1364" s="1">
        <v>7640264</v>
      </c>
      <c r="Y1364" s="11">
        <v>42040</v>
      </c>
      <c r="Z1364" s="11">
        <v>42042</v>
      </c>
      <c r="AA1364" s="9">
        <f t="shared" si="124"/>
        <v>24405.089999999997</v>
      </c>
      <c r="AB1364" s="12">
        <v>61.3</v>
      </c>
      <c r="AC1364" s="9">
        <f t="shared" ref="AC1364:AC1433" si="126">+Q1364*AB1364</f>
        <v>1762938.9599999997</v>
      </c>
      <c r="AD1364" s="9">
        <f t="shared" ref="AD1364:AD1433" si="127">+AA1364*AB1364</f>
        <v>1496032.0169999998</v>
      </c>
      <c r="AE1364" s="1" t="s">
        <v>48</v>
      </c>
      <c r="AF1364" s="1" t="s">
        <v>53</v>
      </c>
      <c r="AG1364" s="4">
        <f t="shared" si="122"/>
        <v>28759.199999999997</v>
      </c>
      <c r="AH1364" s="10">
        <v>28759.200000000001</v>
      </c>
      <c r="AI1364" s="10">
        <v>4250</v>
      </c>
      <c r="AJ1364" s="10">
        <v>4.1100000000000003</v>
      </c>
      <c r="AK1364" s="10">
        <v>0</v>
      </c>
      <c r="AL1364" s="9">
        <f t="shared" si="125"/>
        <v>24505.09</v>
      </c>
      <c r="AM1364" s="1"/>
      <c r="AN1364" s="1"/>
      <c r="AO1364" s="12" t="e">
        <f>AB1364/#REF!</f>
        <v>#REF!</v>
      </c>
      <c r="AP1364" s="1"/>
      <c r="AQ1364" s="11">
        <v>42123</v>
      </c>
      <c r="AR1364" s="1" t="s">
        <v>3539</v>
      </c>
      <c r="AS1364" s="11">
        <v>42124</v>
      </c>
      <c r="AT1364" s="1" t="s">
        <v>49</v>
      </c>
      <c r="AU1364" s="1" t="s">
        <v>4171</v>
      </c>
    </row>
    <row r="1365" spans="1:47" ht="15" customHeight="1" x14ac:dyDescent="0.25">
      <c r="A1365" s="1">
        <v>1360</v>
      </c>
      <c r="B1365" s="1" t="s">
        <v>1258</v>
      </c>
      <c r="C1365" s="1" t="s">
        <v>38</v>
      </c>
      <c r="D1365" s="1">
        <v>9103551163</v>
      </c>
      <c r="E1365" s="5">
        <v>42047</v>
      </c>
      <c r="F1365" s="1" t="s">
        <v>2988</v>
      </c>
      <c r="G1365" s="1" t="s">
        <v>40</v>
      </c>
      <c r="H1365" s="1" t="s">
        <v>41</v>
      </c>
      <c r="I1365" s="1" t="s">
        <v>2809</v>
      </c>
      <c r="J1365" s="1" t="s">
        <v>2690</v>
      </c>
      <c r="K1365" s="1">
        <v>29051700</v>
      </c>
      <c r="L1365" s="6">
        <v>17.600000000000001</v>
      </c>
      <c r="M1365" s="1" t="s">
        <v>70</v>
      </c>
      <c r="N1365" s="7" t="s">
        <v>44</v>
      </c>
      <c r="O1365" s="1" t="s">
        <v>53</v>
      </c>
      <c r="P1365" s="8">
        <v>1950</v>
      </c>
      <c r="Q1365" s="17">
        <f t="shared" si="121"/>
        <v>34320</v>
      </c>
      <c r="R1365" s="9">
        <v>1050</v>
      </c>
      <c r="S1365" s="9">
        <v>4.91</v>
      </c>
      <c r="T1365" s="9">
        <v>0</v>
      </c>
      <c r="U1365" s="10">
        <v>0</v>
      </c>
      <c r="V1365" s="1" t="s">
        <v>46</v>
      </c>
      <c r="W1365" s="1" t="s">
        <v>205</v>
      </c>
      <c r="X1365" s="1">
        <v>7656067</v>
      </c>
      <c r="Y1365" s="11">
        <v>42040</v>
      </c>
      <c r="Z1365" s="11">
        <v>42042</v>
      </c>
      <c r="AA1365" s="9">
        <f t="shared" si="124"/>
        <v>33265.089999999997</v>
      </c>
      <c r="AB1365" s="12">
        <v>61.45</v>
      </c>
      <c r="AC1365" s="9">
        <f t="shared" si="126"/>
        <v>2108964</v>
      </c>
      <c r="AD1365" s="9">
        <f t="shared" si="127"/>
        <v>2044139.7804999999</v>
      </c>
      <c r="AE1365" s="1" t="s">
        <v>48</v>
      </c>
      <c r="AF1365" s="1" t="s">
        <v>53</v>
      </c>
      <c r="AG1365" s="4">
        <f t="shared" si="122"/>
        <v>34320</v>
      </c>
      <c r="AH1365" s="10">
        <v>34320</v>
      </c>
      <c r="AI1365" s="9">
        <v>1100</v>
      </c>
      <c r="AJ1365" s="9">
        <v>4.91</v>
      </c>
      <c r="AK1365" s="9">
        <v>0</v>
      </c>
      <c r="AL1365" s="9">
        <f t="shared" si="125"/>
        <v>33215.089999999997</v>
      </c>
      <c r="AM1365" s="1"/>
      <c r="AN1365" s="1"/>
      <c r="AO1365" s="12" t="e">
        <f>AB1365/#REF!</f>
        <v>#REF!</v>
      </c>
      <c r="AP1365" s="1"/>
      <c r="AQ1365" s="11">
        <v>42066</v>
      </c>
      <c r="AR1365" s="1" t="s">
        <v>3540</v>
      </c>
      <c r="AS1365" s="11">
        <v>42067</v>
      </c>
      <c r="AT1365" s="1" t="s">
        <v>49</v>
      </c>
      <c r="AU1365" s="1" t="s">
        <v>4171</v>
      </c>
    </row>
    <row r="1366" spans="1:47" ht="15" customHeight="1" x14ac:dyDescent="0.25">
      <c r="A1366" s="1">
        <v>1361</v>
      </c>
      <c r="B1366" s="1" t="s">
        <v>1258</v>
      </c>
      <c r="C1366" s="1" t="s">
        <v>38</v>
      </c>
      <c r="D1366" s="1">
        <v>9103551164</v>
      </c>
      <c r="E1366" s="5">
        <v>42046</v>
      </c>
      <c r="F1366" s="1" t="s">
        <v>2989</v>
      </c>
      <c r="G1366" s="1" t="s">
        <v>40</v>
      </c>
      <c r="H1366" s="1" t="s">
        <v>41</v>
      </c>
      <c r="I1366" s="1" t="s">
        <v>2809</v>
      </c>
      <c r="J1366" s="1" t="s">
        <v>2759</v>
      </c>
      <c r="K1366" s="1">
        <v>38237090</v>
      </c>
      <c r="L1366" s="6">
        <v>15</v>
      </c>
      <c r="M1366" s="1" t="s">
        <v>70</v>
      </c>
      <c r="N1366" s="7" t="s">
        <v>44</v>
      </c>
      <c r="O1366" s="1" t="s">
        <v>53</v>
      </c>
      <c r="P1366" s="8">
        <v>1435</v>
      </c>
      <c r="Q1366" s="17">
        <f t="shared" si="121"/>
        <v>21525</v>
      </c>
      <c r="R1366" s="9">
        <v>100</v>
      </c>
      <c r="S1366" s="9">
        <v>3.08</v>
      </c>
      <c r="T1366" s="9">
        <v>0</v>
      </c>
      <c r="U1366" s="10">
        <v>0</v>
      </c>
      <c r="V1366" s="1" t="s">
        <v>46</v>
      </c>
      <c r="W1366" s="1" t="s">
        <v>72</v>
      </c>
      <c r="X1366" s="1">
        <v>7658419</v>
      </c>
      <c r="Y1366" s="11">
        <v>42041</v>
      </c>
      <c r="Z1366" s="11">
        <v>42042</v>
      </c>
      <c r="AA1366" s="9">
        <f t="shared" si="124"/>
        <v>21421.919999999998</v>
      </c>
      <c r="AB1366" s="12">
        <v>61.45</v>
      </c>
      <c r="AC1366" s="9">
        <f t="shared" si="126"/>
        <v>1322711.25</v>
      </c>
      <c r="AD1366" s="9">
        <f t="shared" si="127"/>
        <v>1316376.9839999999</v>
      </c>
      <c r="AE1366" s="1" t="s">
        <v>48</v>
      </c>
      <c r="AF1366" s="1" t="s">
        <v>53</v>
      </c>
      <c r="AG1366" s="4">
        <f t="shared" si="122"/>
        <v>21525</v>
      </c>
      <c r="AH1366" s="10">
        <v>21478</v>
      </c>
      <c r="AI1366" s="10">
        <v>80</v>
      </c>
      <c r="AJ1366" s="10">
        <v>3.08</v>
      </c>
      <c r="AK1366" s="10">
        <v>0</v>
      </c>
      <c r="AL1366" s="9">
        <f t="shared" si="125"/>
        <v>21394.92</v>
      </c>
      <c r="AM1366" s="1"/>
      <c r="AN1366" s="1"/>
      <c r="AO1366" s="12" t="e">
        <f>AB1366/#REF!</f>
        <v>#REF!</v>
      </c>
      <c r="AP1366" s="1"/>
      <c r="AQ1366" s="11">
        <v>42087</v>
      </c>
      <c r="AR1366" s="1" t="s">
        <v>3541</v>
      </c>
      <c r="AS1366" s="11">
        <v>42088</v>
      </c>
      <c r="AT1366" s="1" t="s">
        <v>49</v>
      </c>
      <c r="AU1366" s="1" t="s">
        <v>4171</v>
      </c>
    </row>
    <row r="1367" spans="1:47" ht="15" customHeight="1" x14ac:dyDescent="0.25">
      <c r="A1367" s="1">
        <v>1362</v>
      </c>
      <c r="B1367" s="1" t="s">
        <v>1258</v>
      </c>
      <c r="C1367" s="1" t="s">
        <v>38</v>
      </c>
      <c r="D1367" s="1">
        <v>9103551165</v>
      </c>
      <c r="E1367" s="5">
        <v>42048</v>
      </c>
      <c r="F1367" s="1" t="s">
        <v>2990</v>
      </c>
      <c r="G1367" s="1" t="s">
        <v>40</v>
      </c>
      <c r="H1367" s="1" t="s">
        <v>41</v>
      </c>
      <c r="I1367" s="1" t="s">
        <v>2809</v>
      </c>
      <c r="J1367" s="1" t="s">
        <v>76</v>
      </c>
      <c r="K1367" s="1">
        <v>29157010</v>
      </c>
      <c r="L1367" s="6">
        <v>15</v>
      </c>
      <c r="M1367" s="1" t="s">
        <v>70</v>
      </c>
      <c r="N1367" s="7" t="s">
        <v>67</v>
      </c>
      <c r="O1367" s="1" t="s">
        <v>53</v>
      </c>
      <c r="P1367" s="8">
        <v>1100</v>
      </c>
      <c r="Q1367" s="17">
        <f t="shared" si="121"/>
        <v>16500</v>
      </c>
      <c r="R1367" s="9">
        <v>0</v>
      </c>
      <c r="S1367" s="9">
        <v>0</v>
      </c>
      <c r="T1367" s="9">
        <v>0</v>
      </c>
      <c r="U1367" s="10">
        <v>0</v>
      </c>
      <c r="V1367" s="1" t="s">
        <v>46</v>
      </c>
      <c r="W1367" s="1" t="s">
        <v>690</v>
      </c>
      <c r="X1367" s="1">
        <v>7662808</v>
      </c>
      <c r="Y1367" s="11">
        <v>42041</v>
      </c>
      <c r="Z1367" s="11">
        <v>42044</v>
      </c>
      <c r="AA1367" s="9">
        <f t="shared" si="124"/>
        <v>16500</v>
      </c>
      <c r="AB1367" s="12">
        <v>61.45</v>
      </c>
      <c r="AC1367" s="9">
        <f t="shared" si="126"/>
        <v>1013925</v>
      </c>
      <c r="AD1367" s="9">
        <f t="shared" si="127"/>
        <v>1013925</v>
      </c>
      <c r="AE1367" s="1"/>
      <c r="AF1367" s="1" t="s">
        <v>53</v>
      </c>
      <c r="AG1367" s="4">
        <f t="shared" si="122"/>
        <v>16500</v>
      </c>
      <c r="AH1367" s="10">
        <v>16500</v>
      </c>
      <c r="AI1367" s="10"/>
      <c r="AJ1367" s="10"/>
      <c r="AK1367" s="10"/>
      <c r="AL1367" s="9">
        <f t="shared" si="125"/>
        <v>16500</v>
      </c>
      <c r="AM1367" s="1"/>
      <c r="AN1367" s="1"/>
      <c r="AO1367" s="12" t="e">
        <f>AB1367/#REF!</f>
        <v>#REF!</v>
      </c>
      <c r="AP1367" s="1" t="s">
        <v>4255</v>
      </c>
      <c r="AQ1367" s="11">
        <v>42194</v>
      </c>
      <c r="AR1367" s="1" t="s">
        <v>4256</v>
      </c>
      <c r="AS1367" s="11">
        <v>42195</v>
      </c>
      <c r="AT1367" s="1" t="s">
        <v>49</v>
      </c>
      <c r="AU1367" s="1" t="s">
        <v>4171</v>
      </c>
    </row>
    <row r="1368" spans="1:47" ht="15" customHeight="1" x14ac:dyDescent="0.25">
      <c r="A1368" s="1">
        <v>1363</v>
      </c>
      <c r="B1368" s="1" t="s">
        <v>1258</v>
      </c>
      <c r="C1368" s="1" t="s">
        <v>38</v>
      </c>
      <c r="D1368" s="1">
        <v>9103551166</v>
      </c>
      <c r="E1368" s="5">
        <v>42045</v>
      </c>
      <c r="F1368" s="1" t="s">
        <v>2991</v>
      </c>
      <c r="G1368" s="1" t="s">
        <v>40</v>
      </c>
      <c r="H1368" s="1" t="s">
        <v>41</v>
      </c>
      <c r="I1368" s="1" t="s">
        <v>2809</v>
      </c>
      <c r="J1368" s="1" t="s">
        <v>187</v>
      </c>
      <c r="K1368" s="1">
        <v>38237090</v>
      </c>
      <c r="L1368" s="6">
        <v>54</v>
      </c>
      <c r="M1368" s="1" t="s">
        <v>70</v>
      </c>
      <c r="N1368" s="7" t="s">
        <v>44</v>
      </c>
      <c r="O1368" s="1" t="s">
        <v>53</v>
      </c>
      <c r="P1368" s="8">
        <v>1704</v>
      </c>
      <c r="Q1368" s="17">
        <f t="shared" si="121"/>
        <v>92016</v>
      </c>
      <c r="R1368" s="9">
        <v>13050</v>
      </c>
      <c r="S1368" s="9">
        <v>13.16</v>
      </c>
      <c r="T1368" s="9">
        <v>0</v>
      </c>
      <c r="U1368" s="10">
        <v>0</v>
      </c>
      <c r="V1368" s="1" t="s">
        <v>46</v>
      </c>
      <c r="W1368" s="1" t="s">
        <v>56</v>
      </c>
      <c r="X1368" s="1">
        <v>7664928</v>
      </c>
      <c r="Y1368" s="11">
        <v>42041</v>
      </c>
      <c r="Z1368" s="11">
        <v>42044</v>
      </c>
      <c r="AA1368" s="9">
        <f t="shared" si="124"/>
        <v>78952.84</v>
      </c>
      <c r="AB1368" s="12">
        <v>61.45</v>
      </c>
      <c r="AC1368" s="9">
        <f t="shared" si="126"/>
        <v>5654383.2000000002</v>
      </c>
      <c r="AD1368" s="9">
        <f t="shared" si="127"/>
        <v>4851652.0180000002</v>
      </c>
      <c r="AE1368" s="1" t="s">
        <v>48</v>
      </c>
      <c r="AF1368" s="1" t="s">
        <v>53</v>
      </c>
      <c r="AG1368" s="4">
        <f t="shared" si="122"/>
        <v>92016</v>
      </c>
      <c r="AH1368" s="10">
        <v>92016</v>
      </c>
      <c r="AI1368" s="10">
        <v>12200</v>
      </c>
      <c r="AJ1368" s="10">
        <v>13.16</v>
      </c>
      <c r="AK1368" s="10">
        <v>0</v>
      </c>
      <c r="AL1368" s="9">
        <f t="shared" si="125"/>
        <v>79802.84</v>
      </c>
      <c r="AM1368" s="1"/>
      <c r="AN1368" s="1"/>
      <c r="AO1368" s="12" t="e">
        <f>AB1368/#REF!</f>
        <v>#REF!</v>
      </c>
      <c r="AP1368" s="1"/>
      <c r="AQ1368" s="11">
        <v>42123</v>
      </c>
      <c r="AR1368" s="1" t="s">
        <v>3542</v>
      </c>
      <c r="AS1368" s="11">
        <v>42124</v>
      </c>
      <c r="AT1368" s="1" t="s">
        <v>49</v>
      </c>
      <c r="AU1368" s="1" t="s">
        <v>4171</v>
      </c>
    </row>
    <row r="1369" spans="1:47" ht="15" customHeight="1" x14ac:dyDescent="0.25">
      <c r="A1369" s="1">
        <v>1364</v>
      </c>
      <c r="B1369" s="1" t="s">
        <v>1258</v>
      </c>
      <c r="C1369" s="1" t="s">
        <v>38</v>
      </c>
      <c r="D1369" s="1">
        <v>9103551167</v>
      </c>
      <c r="E1369" s="5">
        <v>42041</v>
      </c>
      <c r="F1369" s="1" t="s">
        <v>2992</v>
      </c>
      <c r="G1369" s="1" t="s">
        <v>40</v>
      </c>
      <c r="H1369" s="1" t="s">
        <v>41</v>
      </c>
      <c r="I1369" s="1" t="s">
        <v>2809</v>
      </c>
      <c r="J1369" s="1" t="s">
        <v>2660</v>
      </c>
      <c r="K1369" s="1">
        <v>38237090</v>
      </c>
      <c r="L1369" s="6">
        <v>38.979999999999997</v>
      </c>
      <c r="M1369" s="1" t="s">
        <v>70</v>
      </c>
      <c r="N1369" s="7" t="s">
        <v>52</v>
      </c>
      <c r="O1369" s="1" t="s">
        <v>53</v>
      </c>
      <c r="P1369" s="8">
        <v>1235</v>
      </c>
      <c r="Q1369" s="17">
        <f t="shared" si="121"/>
        <v>48140.299999999996</v>
      </c>
      <c r="R1369" s="9">
        <v>1520</v>
      </c>
      <c r="S1369" s="9">
        <v>0</v>
      </c>
      <c r="T1369" s="9">
        <v>0</v>
      </c>
      <c r="U1369" s="10">
        <v>0</v>
      </c>
      <c r="V1369" s="1" t="s">
        <v>46</v>
      </c>
      <c r="W1369" s="1" t="s">
        <v>64</v>
      </c>
      <c r="X1369" s="1">
        <v>7667145</v>
      </c>
      <c r="Y1369" s="11">
        <v>42041</v>
      </c>
      <c r="Z1369" s="11">
        <v>42044</v>
      </c>
      <c r="AA1369" s="9">
        <f t="shared" si="124"/>
        <v>46620.299999999996</v>
      </c>
      <c r="AB1369" s="12">
        <v>61.45</v>
      </c>
      <c r="AC1369" s="9">
        <f t="shared" si="126"/>
        <v>2958221.4350000001</v>
      </c>
      <c r="AD1369" s="9">
        <f t="shared" si="127"/>
        <v>2864817.4350000001</v>
      </c>
      <c r="AE1369" s="1" t="s">
        <v>48</v>
      </c>
      <c r="AF1369" s="1" t="s">
        <v>53</v>
      </c>
      <c r="AG1369" s="4">
        <f t="shared" si="122"/>
        <v>48140.299999999996</v>
      </c>
      <c r="AH1369" s="10">
        <v>48140.3</v>
      </c>
      <c r="AI1369" s="10">
        <v>1520</v>
      </c>
      <c r="AJ1369" s="10">
        <v>0</v>
      </c>
      <c r="AK1369" s="10">
        <v>0</v>
      </c>
      <c r="AL1369" s="9">
        <f t="shared" si="125"/>
        <v>46620.3</v>
      </c>
      <c r="AM1369" s="1"/>
      <c r="AN1369" s="1"/>
      <c r="AO1369" s="12" t="e">
        <f>AB1369/#REF!</f>
        <v>#REF!</v>
      </c>
      <c r="AP1369" s="1"/>
      <c r="AQ1369" s="11">
        <v>42079</v>
      </c>
      <c r="AR1369" s="1" t="s">
        <v>3543</v>
      </c>
      <c r="AS1369" s="11">
        <v>42080</v>
      </c>
      <c r="AT1369" s="1" t="s">
        <v>49</v>
      </c>
      <c r="AU1369" s="1" t="s">
        <v>4171</v>
      </c>
    </row>
    <row r="1370" spans="1:47" ht="15" customHeight="1" x14ac:dyDescent="0.25">
      <c r="A1370" s="1">
        <v>1365</v>
      </c>
      <c r="B1370" s="1" t="s">
        <v>1258</v>
      </c>
      <c r="C1370" s="1" t="s">
        <v>38</v>
      </c>
      <c r="D1370" s="1">
        <v>9103551168</v>
      </c>
      <c r="E1370" s="5">
        <v>42044</v>
      </c>
      <c r="F1370" s="1" t="s">
        <v>2993</v>
      </c>
      <c r="G1370" s="1" t="s">
        <v>40</v>
      </c>
      <c r="H1370" s="1" t="s">
        <v>41</v>
      </c>
      <c r="I1370" s="1" t="s">
        <v>2809</v>
      </c>
      <c r="J1370" s="1" t="s">
        <v>2641</v>
      </c>
      <c r="K1370" s="1">
        <v>29051700</v>
      </c>
      <c r="L1370" s="6">
        <v>75.930000000000007</v>
      </c>
      <c r="M1370" s="1" t="s">
        <v>70</v>
      </c>
      <c r="N1370" s="7" t="s">
        <v>44</v>
      </c>
      <c r="O1370" s="1" t="s">
        <v>53</v>
      </c>
      <c r="P1370" s="8">
        <v>1350</v>
      </c>
      <c r="Q1370" s="17">
        <f t="shared" si="121"/>
        <v>102505.50000000001</v>
      </c>
      <c r="R1370" s="9">
        <v>2100</v>
      </c>
      <c r="S1370" s="9">
        <v>14.66</v>
      </c>
      <c r="T1370" s="9">
        <v>0</v>
      </c>
      <c r="U1370" s="10">
        <v>0</v>
      </c>
      <c r="V1370" s="1" t="s">
        <v>46</v>
      </c>
      <c r="W1370" s="1" t="s">
        <v>54</v>
      </c>
      <c r="X1370" s="1">
        <v>7668722</v>
      </c>
      <c r="Y1370" s="11">
        <v>42041</v>
      </c>
      <c r="Z1370" s="11">
        <v>42042</v>
      </c>
      <c r="AA1370" s="9">
        <f t="shared" si="124"/>
        <v>100390.84000000001</v>
      </c>
      <c r="AB1370" s="12">
        <v>61.45</v>
      </c>
      <c r="AC1370" s="9">
        <f t="shared" si="126"/>
        <v>6298962.9750000015</v>
      </c>
      <c r="AD1370" s="9">
        <f t="shared" si="127"/>
        <v>6169017.1180000007</v>
      </c>
      <c r="AE1370" s="1" t="s">
        <v>48</v>
      </c>
      <c r="AF1370" s="1" t="s">
        <v>53</v>
      </c>
      <c r="AG1370" s="4">
        <f t="shared" si="122"/>
        <v>102505.50000000001</v>
      </c>
      <c r="AH1370" s="10">
        <v>102505.5</v>
      </c>
      <c r="AI1370" s="10">
        <v>1303.2</v>
      </c>
      <c r="AJ1370" s="10">
        <v>14.66</v>
      </c>
      <c r="AK1370" s="10">
        <v>0</v>
      </c>
      <c r="AL1370" s="9">
        <f t="shared" si="125"/>
        <v>101187.64</v>
      </c>
      <c r="AM1370" s="1"/>
      <c r="AN1370" s="1"/>
      <c r="AO1370" s="12" t="e">
        <f>AB1370/#REF!</f>
        <v>#REF!</v>
      </c>
      <c r="AP1370" s="1"/>
      <c r="AQ1370" s="11">
        <v>42136</v>
      </c>
      <c r="AR1370" s="1" t="s">
        <v>3669</v>
      </c>
      <c r="AS1370" s="11">
        <v>42139</v>
      </c>
      <c r="AT1370" s="1" t="s">
        <v>49</v>
      </c>
      <c r="AU1370" s="1" t="s">
        <v>4171</v>
      </c>
    </row>
    <row r="1371" spans="1:47" ht="15" customHeight="1" x14ac:dyDescent="0.25">
      <c r="A1371" s="1">
        <v>1366</v>
      </c>
      <c r="B1371" s="1" t="s">
        <v>1258</v>
      </c>
      <c r="C1371" s="1" t="s">
        <v>38</v>
      </c>
      <c r="D1371" s="1">
        <v>9103551168</v>
      </c>
      <c r="E1371" s="5">
        <v>42044</v>
      </c>
      <c r="F1371" s="1" t="s">
        <v>2994</v>
      </c>
      <c r="G1371" s="1" t="s">
        <v>40</v>
      </c>
      <c r="H1371" s="1" t="s">
        <v>41</v>
      </c>
      <c r="I1371" s="1" t="s">
        <v>2809</v>
      </c>
      <c r="J1371" s="1" t="s">
        <v>2641</v>
      </c>
      <c r="K1371" s="1">
        <v>29051700</v>
      </c>
      <c r="L1371" s="6">
        <v>18.75</v>
      </c>
      <c r="M1371" s="1" t="s">
        <v>70</v>
      </c>
      <c r="N1371" s="7" t="s">
        <v>44</v>
      </c>
      <c r="O1371" s="1" t="s">
        <v>53</v>
      </c>
      <c r="P1371" s="8">
        <v>1350</v>
      </c>
      <c r="Q1371" s="17">
        <f t="shared" si="121"/>
        <v>25312.5</v>
      </c>
      <c r="R1371" s="9">
        <v>525</v>
      </c>
      <c r="S1371" s="9">
        <v>3.62</v>
      </c>
      <c r="T1371" s="9">
        <v>0</v>
      </c>
      <c r="U1371" s="10">
        <v>0</v>
      </c>
      <c r="V1371" s="1" t="s">
        <v>46</v>
      </c>
      <c r="W1371" s="1" t="s">
        <v>54</v>
      </c>
      <c r="X1371" s="1">
        <v>7669339</v>
      </c>
      <c r="Y1371" s="11">
        <v>42041</v>
      </c>
      <c r="Z1371" s="11">
        <v>42042</v>
      </c>
      <c r="AA1371" s="9">
        <f t="shared" si="124"/>
        <v>24783.88</v>
      </c>
      <c r="AB1371" s="12">
        <v>61.45</v>
      </c>
      <c r="AC1371" s="9">
        <f t="shared" si="126"/>
        <v>1555453.125</v>
      </c>
      <c r="AD1371" s="9">
        <f t="shared" si="127"/>
        <v>1522969.4260000002</v>
      </c>
      <c r="AE1371" s="1" t="s">
        <v>48</v>
      </c>
      <c r="AF1371" s="1" t="s">
        <v>53</v>
      </c>
      <c r="AG1371" s="4">
        <f t="shared" si="122"/>
        <v>25312.5</v>
      </c>
      <c r="AH1371" s="10">
        <v>25312.5</v>
      </c>
      <c r="AI1371" s="10">
        <v>321.8</v>
      </c>
      <c r="AJ1371" s="10">
        <v>3.62</v>
      </c>
      <c r="AK1371" s="10">
        <v>0</v>
      </c>
      <c r="AL1371" s="9">
        <f t="shared" si="125"/>
        <v>24987.08</v>
      </c>
      <c r="AM1371" s="1"/>
      <c r="AN1371" s="1"/>
      <c r="AO1371" s="12" t="e">
        <f>AB1371/#REF!</f>
        <v>#REF!</v>
      </c>
      <c r="AP1371" s="1"/>
      <c r="AQ1371" s="11">
        <v>42136</v>
      </c>
      <c r="AR1371" s="1" t="s">
        <v>3671</v>
      </c>
      <c r="AS1371" s="11">
        <v>42139</v>
      </c>
      <c r="AT1371" s="1" t="s">
        <v>49</v>
      </c>
      <c r="AU1371" s="1" t="s">
        <v>4171</v>
      </c>
    </row>
    <row r="1372" spans="1:47" ht="15" customHeight="1" x14ac:dyDescent="0.25">
      <c r="A1372" s="1">
        <v>1367</v>
      </c>
      <c r="B1372" s="1" t="s">
        <v>1258</v>
      </c>
      <c r="C1372" s="1" t="s">
        <v>38</v>
      </c>
      <c r="D1372" s="1">
        <v>9103551169</v>
      </c>
      <c r="E1372" s="5">
        <v>42048</v>
      </c>
      <c r="F1372" s="1" t="s">
        <v>2995</v>
      </c>
      <c r="G1372" s="1" t="s">
        <v>40</v>
      </c>
      <c r="H1372" s="1" t="s">
        <v>41</v>
      </c>
      <c r="I1372" s="1" t="s">
        <v>2809</v>
      </c>
      <c r="J1372" s="1" t="s">
        <v>187</v>
      </c>
      <c r="K1372" s="1">
        <v>29051700</v>
      </c>
      <c r="L1372" s="6">
        <v>18.14</v>
      </c>
      <c r="M1372" s="1" t="s">
        <v>70</v>
      </c>
      <c r="N1372" s="7" t="s">
        <v>44</v>
      </c>
      <c r="O1372" s="1" t="s">
        <v>53</v>
      </c>
      <c r="P1372" s="8">
        <v>1672</v>
      </c>
      <c r="Q1372" s="17">
        <f t="shared" si="121"/>
        <v>30330.080000000002</v>
      </c>
      <c r="R1372" s="9">
        <v>2555</v>
      </c>
      <c r="S1372" s="9">
        <v>4.34</v>
      </c>
      <c r="T1372" s="9">
        <v>0</v>
      </c>
      <c r="U1372" s="10">
        <v>0</v>
      </c>
      <c r="V1372" s="1" t="s">
        <v>46</v>
      </c>
      <c r="W1372" s="1" t="s">
        <v>56</v>
      </c>
      <c r="X1372" s="1">
        <v>7680095</v>
      </c>
      <c r="Y1372" s="11">
        <v>42042</v>
      </c>
      <c r="Z1372" s="11">
        <v>42044</v>
      </c>
      <c r="AA1372" s="9">
        <f t="shared" si="124"/>
        <v>27770.74</v>
      </c>
      <c r="AB1372" s="12">
        <v>61.45</v>
      </c>
      <c r="AC1372" s="9">
        <f t="shared" si="126"/>
        <v>1863783.4160000002</v>
      </c>
      <c r="AD1372" s="9">
        <f t="shared" si="127"/>
        <v>1706511.9730000002</v>
      </c>
      <c r="AE1372" s="1" t="s">
        <v>48</v>
      </c>
      <c r="AF1372" s="1" t="s">
        <v>53</v>
      </c>
      <c r="AG1372" s="4">
        <f t="shared" si="122"/>
        <v>30330.080000000002</v>
      </c>
      <c r="AH1372" s="10">
        <v>30330.080000000002</v>
      </c>
      <c r="AI1372" s="9">
        <v>2575</v>
      </c>
      <c r="AJ1372" s="9">
        <v>4.34</v>
      </c>
      <c r="AK1372" s="9">
        <v>0</v>
      </c>
      <c r="AL1372" s="9">
        <f t="shared" si="125"/>
        <v>27750.74</v>
      </c>
      <c r="AM1372" s="1"/>
      <c r="AN1372" s="1"/>
      <c r="AO1372" s="12" t="e">
        <f>AB1372/#REF!</f>
        <v>#REF!</v>
      </c>
      <c r="AP1372" s="1"/>
      <c r="AQ1372" s="11">
        <v>42123</v>
      </c>
      <c r="AR1372" s="1" t="s">
        <v>3544</v>
      </c>
      <c r="AS1372" s="11">
        <v>42124</v>
      </c>
      <c r="AT1372" s="1" t="s">
        <v>49</v>
      </c>
      <c r="AU1372" s="1" t="s">
        <v>4171</v>
      </c>
    </row>
    <row r="1373" spans="1:47" ht="15" customHeight="1" x14ac:dyDescent="0.25">
      <c r="A1373" s="1">
        <v>1368</v>
      </c>
      <c r="B1373" s="1" t="s">
        <v>1258</v>
      </c>
      <c r="C1373" s="1" t="s">
        <v>38</v>
      </c>
      <c r="D1373" s="1">
        <v>9103551170</v>
      </c>
      <c r="E1373" s="5">
        <v>42048</v>
      </c>
      <c r="F1373" s="1" t="s">
        <v>2996</v>
      </c>
      <c r="G1373" s="1" t="s">
        <v>40</v>
      </c>
      <c r="H1373" s="1" t="s">
        <v>41</v>
      </c>
      <c r="I1373" s="1" t="s">
        <v>2809</v>
      </c>
      <c r="J1373" s="1" t="s">
        <v>187</v>
      </c>
      <c r="K1373" s="1">
        <v>38237090</v>
      </c>
      <c r="L1373" s="6">
        <v>18.14</v>
      </c>
      <c r="M1373" s="1" t="s">
        <v>70</v>
      </c>
      <c r="N1373" s="7" t="s">
        <v>44</v>
      </c>
      <c r="O1373" s="1" t="s">
        <v>53</v>
      </c>
      <c r="P1373" s="8">
        <v>1567</v>
      </c>
      <c r="Q1373" s="17">
        <f t="shared" ref="Q1373:Q1442" si="128">+L1373*P1373</f>
        <v>28425.38</v>
      </c>
      <c r="R1373" s="9">
        <v>2555</v>
      </c>
      <c r="S1373" s="9">
        <v>4.0599999999999996</v>
      </c>
      <c r="T1373" s="9">
        <v>0</v>
      </c>
      <c r="U1373" s="10">
        <v>0</v>
      </c>
      <c r="V1373" s="1" t="s">
        <v>46</v>
      </c>
      <c r="W1373" s="1" t="s">
        <v>56</v>
      </c>
      <c r="X1373" s="1">
        <v>7680277</v>
      </c>
      <c r="Y1373" s="11">
        <v>42042</v>
      </c>
      <c r="Z1373" s="11">
        <v>42044</v>
      </c>
      <c r="AA1373" s="9">
        <f t="shared" si="124"/>
        <v>25866.32</v>
      </c>
      <c r="AB1373" s="12">
        <v>61.45</v>
      </c>
      <c r="AC1373" s="9">
        <f t="shared" si="126"/>
        <v>1746739.6010000003</v>
      </c>
      <c r="AD1373" s="9">
        <f t="shared" si="127"/>
        <v>1589485.3640000001</v>
      </c>
      <c r="AE1373" s="1" t="s">
        <v>48</v>
      </c>
      <c r="AF1373" s="1" t="s">
        <v>53</v>
      </c>
      <c r="AG1373" s="4">
        <f t="shared" si="122"/>
        <v>28425.38</v>
      </c>
      <c r="AH1373" s="10">
        <v>28425.38</v>
      </c>
      <c r="AI1373" s="10">
        <v>2605</v>
      </c>
      <c r="AJ1373" s="10">
        <v>4.0599999999999996</v>
      </c>
      <c r="AK1373" s="10">
        <v>0</v>
      </c>
      <c r="AL1373" s="9">
        <f t="shared" si="125"/>
        <v>25816.32</v>
      </c>
      <c r="AM1373" s="1"/>
      <c r="AN1373" s="1"/>
      <c r="AO1373" s="12" t="e">
        <f>AB1373/#REF!</f>
        <v>#REF!</v>
      </c>
      <c r="AP1373" s="1"/>
      <c r="AQ1373" s="11">
        <v>42123</v>
      </c>
      <c r="AR1373" s="1" t="s">
        <v>3545</v>
      </c>
      <c r="AS1373" s="11">
        <v>42124</v>
      </c>
      <c r="AT1373" s="1" t="s">
        <v>49</v>
      </c>
      <c r="AU1373" s="1" t="s">
        <v>4171</v>
      </c>
    </row>
    <row r="1374" spans="1:47" ht="15" customHeight="1" x14ac:dyDescent="0.25">
      <c r="A1374" s="1">
        <v>1369</v>
      </c>
      <c r="B1374" s="1" t="s">
        <v>1258</v>
      </c>
      <c r="C1374" s="1" t="s">
        <v>38</v>
      </c>
      <c r="D1374" s="1">
        <v>9103551171</v>
      </c>
      <c r="E1374" s="5">
        <v>42051</v>
      </c>
      <c r="F1374" s="1" t="s">
        <v>2997</v>
      </c>
      <c r="G1374" s="1" t="s">
        <v>40</v>
      </c>
      <c r="H1374" s="1" t="s">
        <v>41</v>
      </c>
      <c r="I1374" s="1" t="s">
        <v>2809</v>
      </c>
      <c r="J1374" s="1" t="s">
        <v>2805</v>
      </c>
      <c r="K1374" s="1">
        <v>38237090</v>
      </c>
      <c r="L1374" s="6">
        <v>84</v>
      </c>
      <c r="M1374" s="1" t="s">
        <v>70</v>
      </c>
      <c r="N1374" s="7" t="s">
        <v>44</v>
      </c>
      <c r="O1374" s="1" t="s">
        <v>53</v>
      </c>
      <c r="P1374" s="8">
        <v>3700</v>
      </c>
      <c r="Q1374" s="17">
        <f t="shared" si="128"/>
        <v>310800</v>
      </c>
      <c r="R1374" s="9">
        <v>315</v>
      </c>
      <c r="S1374" s="9">
        <v>44.44</v>
      </c>
      <c r="T1374" s="9">
        <v>0</v>
      </c>
      <c r="U1374" s="10">
        <v>0</v>
      </c>
      <c r="V1374" s="1" t="s">
        <v>46</v>
      </c>
      <c r="W1374" s="1" t="s">
        <v>1756</v>
      </c>
      <c r="X1374" s="1">
        <v>7705109</v>
      </c>
      <c r="Y1374" s="11">
        <v>42044</v>
      </c>
      <c r="Z1374" s="11">
        <v>42046</v>
      </c>
      <c r="AA1374" s="9">
        <f t="shared" si="124"/>
        <v>310440.56</v>
      </c>
      <c r="AB1374" s="12">
        <v>61.45</v>
      </c>
      <c r="AC1374" s="9">
        <f t="shared" si="126"/>
        <v>19098660</v>
      </c>
      <c r="AD1374" s="9">
        <f t="shared" si="127"/>
        <v>19076572.412</v>
      </c>
      <c r="AE1374" s="1" t="s">
        <v>48</v>
      </c>
      <c r="AF1374" s="1" t="s">
        <v>53</v>
      </c>
      <c r="AG1374" s="4">
        <f t="shared" si="122"/>
        <v>310800</v>
      </c>
      <c r="AH1374" s="10">
        <v>310690</v>
      </c>
      <c r="AI1374" s="10">
        <v>175</v>
      </c>
      <c r="AJ1374" s="10">
        <v>44.44</v>
      </c>
      <c r="AK1374" s="10">
        <v>0</v>
      </c>
      <c r="AL1374" s="9">
        <f t="shared" si="125"/>
        <v>310470.56</v>
      </c>
      <c r="AM1374" s="1"/>
      <c r="AN1374" s="1"/>
      <c r="AO1374" s="12" t="e">
        <f>AB1374/#REF!</f>
        <v>#REF!</v>
      </c>
      <c r="AP1374" s="1"/>
      <c r="AQ1374" s="11">
        <v>42067</v>
      </c>
      <c r="AR1374" s="1" t="s">
        <v>3546</v>
      </c>
      <c r="AS1374" s="11">
        <v>42068</v>
      </c>
      <c r="AT1374" s="1" t="s">
        <v>49</v>
      </c>
      <c r="AU1374" s="1" t="s">
        <v>4171</v>
      </c>
    </row>
    <row r="1375" spans="1:47" ht="15" customHeight="1" x14ac:dyDescent="0.25">
      <c r="A1375" s="1">
        <v>1370</v>
      </c>
      <c r="B1375" s="1" t="s">
        <v>1258</v>
      </c>
      <c r="C1375" s="1" t="s">
        <v>38</v>
      </c>
      <c r="D1375" s="1" t="s">
        <v>2998</v>
      </c>
      <c r="E1375" s="5">
        <v>42048</v>
      </c>
      <c r="F1375" s="1" t="s">
        <v>2999</v>
      </c>
      <c r="G1375" s="1" t="s">
        <v>40</v>
      </c>
      <c r="H1375" s="1" t="s">
        <v>41</v>
      </c>
      <c r="I1375" s="1" t="s">
        <v>2809</v>
      </c>
      <c r="J1375" s="1" t="s">
        <v>187</v>
      </c>
      <c r="K1375" s="1">
        <v>29051700</v>
      </c>
      <c r="L1375" s="6">
        <v>18.14</v>
      </c>
      <c r="M1375" s="1" t="s">
        <v>70</v>
      </c>
      <c r="N1375" s="7" t="s">
        <v>44</v>
      </c>
      <c r="O1375" s="1" t="s">
        <v>53</v>
      </c>
      <c r="P1375" s="8">
        <v>1872</v>
      </c>
      <c r="Q1375" s="17">
        <f t="shared" si="128"/>
        <v>33958.080000000002</v>
      </c>
      <c r="R1375" s="9">
        <v>2600</v>
      </c>
      <c r="S1375" s="9">
        <v>4.8600000000000003</v>
      </c>
      <c r="T1375" s="9">
        <v>0</v>
      </c>
      <c r="U1375" s="10">
        <v>0</v>
      </c>
      <c r="V1375" s="1" t="s">
        <v>46</v>
      </c>
      <c r="W1375" s="1" t="s">
        <v>56</v>
      </c>
      <c r="X1375" s="1">
        <v>7701151</v>
      </c>
      <c r="Y1375" s="11">
        <v>42044</v>
      </c>
      <c r="Z1375" s="11">
        <v>42045</v>
      </c>
      <c r="AA1375" s="9">
        <f t="shared" si="124"/>
        <v>31353.22</v>
      </c>
      <c r="AB1375" s="12">
        <v>61.45</v>
      </c>
      <c r="AC1375" s="9">
        <f t="shared" si="126"/>
        <v>2086724.0160000003</v>
      </c>
      <c r="AD1375" s="9">
        <f t="shared" si="127"/>
        <v>1926655.3690000002</v>
      </c>
      <c r="AE1375" s="1" t="s">
        <v>48</v>
      </c>
      <c r="AF1375" s="1" t="s">
        <v>53</v>
      </c>
      <c r="AG1375" s="4">
        <f t="shared" si="122"/>
        <v>33958.080000000002</v>
      </c>
      <c r="AH1375" s="10">
        <v>33958.080000000002</v>
      </c>
      <c r="AI1375" s="9">
        <v>2590</v>
      </c>
      <c r="AJ1375" s="9">
        <v>4.8600000000000003</v>
      </c>
      <c r="AK1375" s="10">
        <v>0</v>
      </c>
      <c r="AL1375" s="9">
        <f t="shared" si="125"/>
        <v>31363.22</v>
      </c>
      <c r="AM1375" s="1"/>
      <c r="AN1375" s="1"/>
      <c r="AO1375" s="12" t="e">
        <f>AB1375/#REF!</f>
        <v>#REF!</v>
      </c>
      <c r="AP1375" s="1"/>
      <c r="AQ1375" s="11">
        <v>42123</v>
      </c>
      <c r="AR1375" s="1" t="s">
        <v>3547</v>
      </c>
      <c r="AS1375" s="11">
        <v>42124</v>
      </c>
      <c r="AT1375" s="1" t="s">
        <v>49</v>
      </c>
      <c r="AU1375" s="1" t="s">
        <v>4171</v>
      </c>
    </row>
    <row r="1376" spans="1:47" ht="15" customHeight="1" x14ac:dyDescent="0.25">
      <c r="A1376" s="1">
        <v>1371</v>
      </c>
      <c r="B1376" s="1" t="s">
        <v>1258</v>
      </c>
      <c r="C1376" s="1" t="s">
        <v>38</v>
      </c>
      <c r="D1376" s="1" t="s">
        <v>2998</v>
      </c>
      <c r="E1376" s="5">
        <v>42048</v>
      </c>
      <c r="F1376" s="1" t="s">
        <v>3000</v>
      </c>
      <c r="G1376" s="1" t="s">
        <v>40</v>
      </c>
      <c r="H1376" s="1" t="s">
        <v>41</v>
      </c>
      <c r="I1376" s="1" t="s">
        <v>2809</v>
      </c>
      <c r="J1376" s="1" t="s">
        <v>187</v>
      </c>
      <c r="K1376" s="1">
        <v>29051700</v>
      </c>
      <c r="L1376" s="6">
        <v>18.14</v>
      </c>
      <c r="M1376" s="1" t="s">
        <v>70</v>
      </c>
      <c r="N1376" s="7" t="s">
        <v>44</v>
      </c>
      <c r="O1376" s="1" t="s">
        <v>53</v>
      </c>
      <c r="P1376" s="8">
        <v>1872</v>
      </c>
      <c r="Q1376" s="17">
        <f t="shared" si="128"/>
        <v>33958.080000000002</v>
      </c>
      <c r="R1376" s="9">
        <v>2600</v>
      </c>
      <c r="S1376" s="9">
        <v>4.8600000000000003</v>
      </c>
      <c r="T1376" s="9">
        <v>0</v>
      </c>
      <c r="U1376" s="10">
        <v>0</v>
      </c>
      <c r="V1376" s="1" t="s">
        <v>46</v>
      </c>
      <c r="W1376" s="1" t="s">
        <v>56</v>
      </c>
      <c r="X1376" s="1">
        <v>7726101</v>
      </c>
      <c r="Y1376" s="11">
        <v>42045</v>
      </c>
      <c r="Z1376" s="11">
        <v>42047</v>
      </c>
      <c r="AA1376" s="9">
        <f t="shared" si="124"/>
        <v>31353.22</v>
      </c>
      <c r="AB1376" s="12">
        <v>61.45</v>
      </c>
      <c r="AC1376" s="9">
        <f t="shared" si="126"/>
        <v>2086724.0160000003</v>
      </c>
      <c r="AD1376" s="9">
        <f t="shared" si="127"/>
        <v>1926655.3690000002</v>
      </c>
      <c r="AE1376" s="1" t="s">
        <v>48</v>
      </c>
      <c r="AF1376" s="1" t="s">
        <v>53</v>
      </c>
      <c r="AG1376" s="4">
        <f t="shared" si="122"/>
        <v>33958.080000000002</v>
      </c>
      <c r="AH1376" s="10">
        <v>33958.080000000002</v>
      </c>
      <c r="AI1376" s="9">
        <v>2590</v>
      </c>
      <c r="AJ1376" s="9">
        <v>4.8499999999999996</v>
      </c>
      <c r="AK1376" s="10">
        <v>0</v>
      </c>
      <c r="AL1376" s="9">
        <f t="shared" si="125"/>
        <v>31363.230000000003</v>
      </c>
      <c r="AM1376" s="1"/>
      <c r="AN1376" s="1"/>
      <c r="AO1376" s="12" t="e">
        <f>AB1376/#REF!</f>
        <v>#REF!</v>
      </c>
      <c r="AP1376" s="1"/>
      <c r="AQ1376" s="11">
        <v>42123</v>
      </c>
      <c r="AR1376" s="1" t="s">
        <v>3548</v>
      </c>
      <c r="AS1376" s="11">
        <v>42124</v>
      </c>
      <c r="AT1376" s="1" t="s">
        <v>49</v>
      </c>
      <c r="AU1376" s="1" t="s">
        <v>4171</v>
      </c>
    </row>
    <row r="1377" spans="1:47" ht="15" customHeight="1" x14ac:dyDescent="0.25">
      <c r="A1377" s="1">
        <v>1372</v>
      </c>
      <c r="B1377" s="1" t="s">
        <v>1258</v>
      </c>
      <c r="C1377" s="1" t="s">
        <v>38</v>
      </c>
      <c r="D1377" s="1">
        <v>9103551174</v>
      </c>
      <c r="E1377" s="5">
        <v>42050</v>
      </c>
      <c r="F1377" s="1" t="s">
        <v>3284</v>
      </c>
      <c r="G1377" s="1" t="s">
        <v>40</v>
      </c>
      <c r="H1377" s="1" t="s">
        <v>41</v>
      </c>
      <c r="I1377" s="1" t="s">
        <v>2809</v>
      </c>
      <c r="J1377" s="1" t="s">
        <v>3285</v>
      </c>
      <c r="K1377" s="1">
        <v>38231190</v>
      </c>
      <c r="L1377" s="6">
        <v>10</v>
      </c>
      <c r="M1377" s="1" t="s">
        <v>70</v>
      </c>
      <c r="N1377" s="7" t="s">
        <v>44</v>
      </c>
      <c r="O1377" s="1" t="s">
        <v>53</v>
      </c>
      <c r="P1377" s="8">
        <v>925</v>
      </c>
      <c r="Q1377" s="17">
        <f t="shared" si="128"/>
        <v>9250</v>
      </c>
      <c r="R1377" s="9">
        <v>250</v>
      </c>
      <c r="S1377" s="9">
        <v>1.32</v>
      </c>
      <c r="T1377" s="9">
        <v>0</v>
      </c>
      <c r="U1377" s="10">
        <v>0</v>
      </c>
      <c r="V1377" s="1" t="s">
        <v>46</v>
      </c>
      <c r="W1377" s="1" t="s">
        <v>2679</v>
      </c>
      <c r="X1377" s="1">
        <v>7726455</v>
      </c>
      <c r="Y1377" s="11">
        <v>42045</v>
      </c>
      <c r="Z1377" s="11">
        <v>42046</v>
      </c>
      <c r="AA1377" s="9">
        <f t="shared" si="124"/>
        <v>8998.68</v>
      </c>
      <c r="AB1377" s="12">
        <v>61.45</v>
      </c>
      <c r="AC1377" s="9">
        <f t="shared" si="126"/>
        <v>568412.5</v>
      </c>
      <c r="AD1377" s="9">
        <f t="shared" si="127"/>
        <v>552968.88600000006</v>
      </c>
      <c r="AE1377" s="1" t="s">
        <v>48</v>
      </c>
      <c r="AF1377" s="1" t="s">
        <v>53</v>
      </c>
      <c r="AG1377" s="4">
        <f t="shared" si="122"/>
        <v>9250</v>
      </c>
      <c r="AH1377" s="10">
        <v>9235</v>
      </c>
      <c r="AI1377" s="10">
        <v>250</v>
      </c>
      <c r="AJ1377" s="10">
        <v>1.32</v>
      </c>
      <c r="AK1377" s="10">
        <v>0</v>
      </c>
      <c r="AL1377" s="9">
        <f t="shared" si="125"/>
        <v>8983.68</v>
      </c>
      <c r="AM1377" s="1"/>
      <c r="AN1377" s="1"/>
      <c r="AO1377" s="12" t="e">
        <f>AB1377/#REF!</f>
        <v>#REF!</v>
      </c>
      <c r="AP1377" s="1"/>
      <c r="AQ1377" s="11">
        <v>42089</v>
      </c>
      <c r="AR1377" s="1" t="s">
        <v>3549</v>
      </c>
      <c r="AS1377" s="11">
        <v>42090</v>
      </c>
      <c r="AT1377" s="1" t="s">
        <v>49</v>
      </c>
      <c r="AU1377" s="1" t="s">
        <v>4171</v>
      </c>
    </row>
    <row r="1378" spans="1:47" ht="15" customHeight="1" x14ac:dyDescent="0.25">
      <c r="A1378" s="1">
        <v>1373</v>
      </c>
      <c r="B1378" s="1" t="s">
        <v>1258</v>
      </c>
      <c r="C1378" s="1" t="s">
        <v>38</v>
      </c>
      <c r="D1378" s="1" t="s">
        <v>3001</v>
      </c>
      <c r="E1378" s="5">
        <v>42051</v>
      </c>
      <c r="F1378" s="1" t="s">
        <v>3002</v>
      </c>
      <c r="G1378" s="1" t="s">
        <v>40</v>
      </c>
      <c r="H1378" s="1" t="s">
        <v>41</v>
      </c>
      <c r="I1378" s="1" t="s">
        <v>2809</v>
      </c>
      <c r="J1378" s="1" t="s">
        <v>2805</v>
      </c>
      <c r="K1378" s="1">
        <v>38237090</v>
      </c>
      <c r="L1378" s="6">
        <v>96</v>
      </c>
      <c r="M1378" s="1" t="s">
        <v>70</v>
      </c>
      <c r="N1378" s="7" t="s">
        <v>44</v>
      </c>
      <c r="O1378" s="1" t="s">
        <v>53</v>
      </c>
      <c r="P1378" s="8">
        <v>3700</v>
      </c>
      <c r="Q1378" s="17">
        <f t="shared" si="128"/>
        <v>355200</v>
      </c>
      <c r="R1378" s="9">
        <v>320</v>
      </c>
      <c r="S1378" s="9">
        <v>50.79</v>
      </c>
      <c r="T1378" s="9">
        <v>0</v>
      </c>
      <c r="U1378" s="10">
        <v>0</v>
      </c>
      <c r="V1378" s="1" t="s">
        <v>46</v>
      </c>
      <c r="W1378" s="1" t="s">
        <v>1756</v>
      </c>
      <c r="X1378" s="1">
        <v>7731558</v>
      </c>
      <c r="Y1378" s="11">
        <v>42045</v>
      </c>
      <c r="Z1378" s="11">
        <v>42048</v>
      </c>
      <c r="AA1378" s="9">
        <f t="shared" si="124"/>
        <v>354829.21</v>
      </c>
      <c r="AB1378" s="12">
        <v>61.45</v>
      </c>
      <c r="AC1378" s="9">
        <f t="shared" si="126"/>
        <v>21827040</v>
      </c>
      <c r="AD1378" s="9">
        <f t="shared" si="127"/>
        <v>21804254.954500001</v>
      </c>
      <c r="AE1378" s="1" t="s">
        <v>48</v>
      </c>
      <c r="AF1378" s="1" t="s">
        <v>53</v>
      </c>
      <c r="AG1378" s="4">
        <f t="shared" si="122"/>
        <v>355200</v>
      </c>
      <c r="AH1378" s="10">
        <v>355200</v>
      </c>
      <c r="AI1378" s="10">
        <v>200</v>
      </c>
      <c r="AJ1378" s="10">
        <v>50.79</v>
      </c>
      <c r="AK1378" s="10">
        <v>0</v>
      </c>
      <c r="AL1378" s="9">
        <f t="shared" si="125"/>
        <v>354949.21</v>
      </c>
      <c r="AM1378" s="1"/>
      <c r="AN1378" s="1"/>
      <c r="AO1378" s="12" t="e">
        <f>AB1378/#REF!</f>
        <v>#REF!</v>
      </c>
      <c r="AP1378" s="1"/>
      <c r="AQ1378" s="11">
        <v>42075</v>
      </c>
      <c r="AR1378" s="1" t="s">
        <v>3550</v>
      </c>
      <c r="AS1378" s="11">
        <v>42076</v>
      </c>
      <c r="AT1378" s="1" t="s">
        <v>49</v>
      </c>
      <c r="AU1378" s="1" t="s">
        <v>4171</v>
      </c>
    </row>
    <row r="1379" spans="1:47" ht="15" customHeight="1" x14ac:dyDescent="0.25">
      <c r="A1379" s="1">
        <v>1374</v>
      </c>
      <c r="B1379" s="1" t="s">
        <v>1258</v>
      </c>
      <c r="C1379" s="1" t="s">
        <v>38</v>
      </c>
      <c r="D1379" s="1" t="s">
        <v>3001</v>
      </c>
      <c r="E1379" s="5">
        <v>42051</v>
      </c>
      <c r="F1379" s="1" t="s">
        <v>3003</v>
      </c>
      <c r="G1379" s="1" t="s">
        <v>40</v>
      </c>
      <c r="H1379" s="1" t="s">
        <v>41</v>
      </c>
      <c r="I1379" s="1" t="s">
        <v>2809</v>
      </c>
      <c r="J1379" s="1" t="s">
        <v>2805</v>
      </c>
      <c r="K1379" s="1">
        <v>38237090</v>
      </c>
      <c r="L1379" s="6">
        <v>36</v>
      </c>
      <c r="M1379" s="1" t="s">
        <v>70</v>
      </c>
      <c r="N1379" s="7" t="s">
        <v>44</v>
      </c>
      <c r="O1379" s="1" t="s">
        <v>53</v>
      </c>
      <c r="P1379" s="8">
        <v>3700</v>
      </c>
      <c r="Q1379" s="17">
        <f t="shared" si="128"/>
        <v>133200</v>
      </c>
      <c r="R1379" s="9">
        <v>120</v>
      </c>
      <c r="S1379" s="9">
        <v>19.05</v>
      </c>
      <c r="T1379" s="9">
        <v>0</v>
      </c>
      <c r="U1379" s="10">
        <v>0</v>
      </c>
      <c r="V1379" s="1" t="s">
        <v>46</v>
      </c>
      <c r="W1379" s="1" t="s">
        <v>1756</v>
      </c>
      <c r="X1379" s="1">
        <v>7745569</v>
      </c>
      <c r="Y1379" s="11">
        <v>42046</v>
      </c>
      <c r="Z1379" s="11">
        <v>42048</v>
      </c>
      <c r="AA1379" s="9">
        <f t="shared" si="124"/>
        <v>133060.95000000001</v>
      </c>
      <c r="AB1379" s="12">
        <v>61.45</v>
      </c>
      <c r="AC1379" s="9">
        <f t="shared" si="126"/>
        <v>8185140</v>
      </c>
      <c r="AD1379" s="9">
        <f t="shared" si="127"/>
        <v>8176595.3775000013</v>
      </c>
      <c r="AE1379" s="1" t="s">
        <v>48</v>
      </c>
      <c r="AF1379" s="1" t="s">
        <v>53</v>
      </c>
      <c r="AG1379" s="4">
        <f t="shared" si="122"/>
        <v>133200</v>
      </c>
      <c r="AH1379" s="10">
        <v>133200</v>
      </c>
      <c r="AI1379" s="10">
        <v>75</v>
      </c>
      <c r="AJ1379" s="10">
        <v>19.05</v>
      </c>
      <c r="AK1379" s="10">
        <v>0</v>
      </c>
      <c r="AL1379" s="9">
        <f t="shared" si="125"/>
        <v>133105.95000000001</v>
      </c>
      <c r="AM1379" s="1"/>
      <c r="AN1379" s="1"/>
      <c r="AO1379" s="12" t="e">
        <f>AB1379/#REF!</f>
        <v>#REF!</v>
      </c>
      <c r="AP1379" s="1"/>
      <c r="AQ1379" s="11">
        <v>42075</v>
      </c>
      <c r="AR1379" s="1" t="s">
        <v>3551</v>
      </c>
      <c r="AS1379" s="11">
        <v>42076</v>
      </c>
      <c r="AT1379" s="1" t="s">
        <v>49</v>
      </c>
      <c r="AU1379" s="1" t="s">
        <v>4171</v>
      </c>
    </row>
    <row r="1380" spans="1:47" ht="15" customHeight="1" x14ac:dyDescent="0.25">
      <c r="A1380" s="1">
        <v>1375</v>
      </c>
      <c r="B1380" s="1" t="s">
        <v>1258</v>
      </c>
      <c r="C1380" s="1" t="s">
        <v>38</v>
      </c>
      <c r="D1380" s="1">
        <v>9103551177</v>
      </c>
      <c r="E1380" s="5">
        <v>42050</v>
      </c>
      <c r="F1380" s="1" t="s">
        <v>3004</v>
      </c>
      <c r="G1380" s="1" t="s">
        <v>40</v>
      </c>
      <c r="H1380" s="1" t="s">
        <v>41</v>
      </c>
      <c r="I1380" s="1" t="s">
        <v>2809</v>
      </c>
      <c r="J1380" s="1" t="s">
        <v>307</v>
      </c>
      <c r="K1380" s="1">
        <v>38237090</v>
      </c>
      <c r="L1380" s="6">
        <v>12</v>
      </c>
      <c r="M1380" s="1" t="s">
        <v>70</v>
      </c>
      <c r="N1380" s="7" t="s">
        <v>52</v>
      </c>
      <c r="O1380" s="1" t="s">
        <v>53</v>
      </c>
      <c r="P1380" s="8">
        <v>4605</v>
      </c>
      <c r="Q1380" s="17">
        <f t="shared" si="128"/>
        <v>55260</v>
      </c>
      <c r="R1380" s="9">
        <v>1200</v>
      </c>
      <c r="S1380" s="9">
        <v>0</v>
      </c>
      <c r="T1380" s="9">
        <v>0</v>
      </c>
      <c r="U1380" s="10">
        <v>0</v>
      </c>
      <c r="V1380" s="1" t="s">
        <v>46</v>
      </c>
      <c r="W1380" s="1" t="s">
        <v>308</v>
      </c>
      <c r="X1380" s="1">
        <v>7746030</v>
      </c>
      <c r="Y1380" s="11">
        <v>42046</v>
      </c>
      <c r="Z1380" s="11">
        <v>42047</v>
      </c>
      <c r="AA1380" s="9">
        <f t="shared" si="124"/>
        <v>54060</v>
      </c>
      <c r="AB1380" s="12">
        <v>61.45</v>
      </c>
      <c r="AC1380" s="9">
        <f t="shared" si="126"/>
        <v>3395727</v>
      </c>
      <c r="AD1380" s="9">
        <f t="shared" si="127"/>
        <v>3321987</v>
      </c>
      <c r="AE1380" s="1"/>
      <c r="AF1380" s="1" t="s">
        <v>53</v>
      </c>
      <c r="AG1380" s="4">
        <f t="shared" si="122"/>
        <v>55260</v>
      </c>
      <c r="AH1380" s="10">
        <v>55214</v>
      </c>
      <c r="AI1380" s="10"/>
      <c r="AJ1380" s="10"/>
      <c r="AK1380" s="10"/>
      <c r="AL1380" s="9">
        <f t="shared" si="125"/>
        <v>55214</v>
      </c>
      <c r="AM1380" s="1"/>
      <c r="AN1380" s="1"/>
      <c r="AO1380" s="12" t="e">
        <f>AB1380/#REF!</f>
        <v>#REF!</v>
      </c>
      <c r="AP1380" s="1" t="s">
        <v>4257</v>
      </c>
      <c r="AQ1380" s="11">
        <v>42153</v>
      </c>
      <c r="AR1380" s="1" t="s">
        <v>4258</v>
      </c>
      <c r="AS1380" s="11">
        <v>42156</v>
      </c>
      <c r="AT1380" s="1" t="s">
        <v>49</v>
      </c>
      <c r="AU1380" s="1" t="s">
        <v>4171</v>
      </c>
    </row>
    <row r="1381" spans="1:47" ht="15" customHeight="1" x14ac:dyDescent="0.25">
      <c r="A1381" s="1">
        <v>1376</v>
      </c>
      <c r="B1381" s="1" t="s">
        <v>1258</v>
      </c>
      <c r="C1381" s="1" t="s">
        <v>38</v>
      </c>
      <c r="D1381" s="1">
        <v>9103551178</v>
      </c>
      <c r="E1381" s="5">
        <v>42046</v>
      </c>
      <c r="F1381" s="1" t="s">
        <v>3005</v>
      </c>
      <c r="G1381" s="1" t="s">
        <v>40</v>
      </c>
      <c r="H1381" s="1" t="s">
        <v>41</v>
      </c>
      <c r="I1381" s="1" t="s">
        <v>2809</v>
      </c>
      <c r="J1381" s="1" t="s">
        <v>2660</v>
      </c>
      <c r="K1381" s="1">
        <v>38237090</v>
      </c>
      <c r="L1381" s="6">
        <v>58.65</v>
      </c>
      <c r="M1381" s="1" t="s">
        <v>70</v>
      </c>
      <c r="N1381" s="7" t="s">
        <v>52</v>
      </c>
      <c r="O1381" s="1" t="s">
        <v>53</v>
      </c>
      <c r="P1381" s="8">
        <v>1235</v>
      </c>
      <c r="Q1381" s="17">
        <f t="shared" si="128"/>
        <v>72432.75</v>
      </c>
      <c r="R1381" s="9">
        <v>2280</v>
      </c>
      <c r="S1381" s="9">
        <v>0</v>
      </c>
      <c r="T1381" s="9">
        <v>0</v>
      </c>
      <c r="U1381" s="10">
        <v>0</v>
      </c>
      <c r="V1381" s="1" t="s">
        <v>46</v>
      </c>
      <c r="W1381" s="1" t="s">
        <v>64</v>
      </c>
      <c r="X1381" s="1">
        <v>7749123</v>
      </c>
      <c r="Y1381" s="11">
        <v>42046</v>
      </c>
      <c r="Z1381" s="11">
        <v>42048</v>
      </c>
      <c r="AA1381" s="9">
        <f t="shared" si="124"/>
        <v>70152.75</v>
      </c>
      <c r="AB1381" s="12">
        <v>61.45</v>
      </c>
      <c r="AC1381" s="9">
        <f t="shared" si="126"/>
        <v>4450992.4874999998</v>
      </c>
      <c r="AD1381" s="9">
        <f t="shared" si="127"/>
        <v>4310886.4874999998</v>
      </c>
      <c r="AE1381" s="1" t="s">
        <v>48</v>
      </c>
      <c r="AF1381" s="1" t="s">
        <v>53</v>
      </c>
      <c r="AG1381" s="4">
        <f t="shared" si="122"/>
        <v>72432.75</v>
      </c>
      <c r="AH1381" s="10">
        <v>72432.75</v>
      </c>
      <c r="AI1381" s="10">
        <v>1950</v>
      </c>
      <c r="AJ1381" s="10">
        <v>0</v>
      </c>
      <c r="AK1381" s="10">
        <v>0</v>
      </c>
      <c r="AL1381" s="9">
        <f t="shared" si="125"/>
        <v>70482.75</v>
      </c>
      <c r="AM1381" s="1"/>
      <c r="AN1381" s="1"/>
      <c r="AO1381" s="12" t="e">
        <f>AB1381/#REF!</f>
        <v>#REF!</v>
      </c>
      <c r="AP1381" s="1"/>
      <c r="AQ1381" s="11">
        <v>42082</v>
      </c>
      <c r="AR1381" s="1" t="s">
        <v>3552</v>
      </c>
      <c r="AS1381" s="11">
        <v>42083</v>
      </c>
      <c r="AT1381" s="1" t="s">
        <v>49</v>
      </c>
      <c r="AU1381" s="1" t="s">
        <v>4171</v>
      </c>
    </row>
    <row r="1382" spans="1:47" ht="15" customHeight="1" x14ac:dyDescent="0.25">
      <c r="A1382" s="1">
        <v>1377</v>
      </c>
      <c r="B1382" s="1" t="s">
        <v>1258</v>
      </c>
      <c r="C1382" s="1" t="s">
        <v>38</v>
      </c>
      <c r="D1382" s="1">
        <v>9103551179</v>
      </c>
      <c r="E1382" s="5">
        <v>42053</v>
      </c>
      <c r="F1382" s="1" t="s">
        <v>3006</v>
      </c>
      <c r="G1382" s="1" t="s">
        <v>40</v>
      </c>
      <c r="H1382" s="1" t="s">
        <v>41</v>
      </c>
      <c r="I1382" s="1" t="s">
        <v>2809</v>
      </c>
      <c r="J1382" s="1" t="s">
        <v>2764</v>
      </c>
      <c r="K1382" s="1">
        <v>38237090</v>
      </c>
      <c r="L1382" s="6">
        <v>24</v>
      </c>
      <c r="M1382" s="1" t="s">
        <v>70</v>
      </c>
      <c r="N1382" s="7" t="s">
        <v>67</v>
      </c>
      <c r="O1382" s="1" t="s">
        <v>53</v>
      </c>
      <c r="P1382" s="8">
        <v>1680</v>
      </c>
      <c r="Q1382" s="17">
        <f t="shared" si="128"/>
        <v>40320</v>
      </c>
      <c r="R1382" s="9">
        <v>0</v>
      </c>
      <c r="S1382" s="9">
        <v>0</v>
      </c>
      <c r="T1382" s="9">
        <v>0</v>
      </c>
      <c r="U1382" s="10">
        <v>0</v>
      </c>
      <c r="V1382" s="1" t="s">
        <v>46</v>
      </c>
      <c r="W1382" s="1" t="s">
        <v>143</v>
      </c>
      <c r="X1382" s="1">
        <v>7755670</v>
      </c>
      <c r="Y1382" s="11">
        <v>42046</v>
      </c>
      <c r="Z1382" s="11">
        <v>42047</v>
      </c>
      <c r="AA1382" s="9">
        <f t="shared" si="124"/>
        <v>40320</v>
      </c>
      <c r="AB1382" s="12">
        <v>61.45</v>
      </c>
      <c r="AC1382" s="9">
        <f t="shared" si="126"/>
        <v>2477664</v>
      </c>
      <c r="AD1382" s="9">
        <f t="shared" si="127"/>
        <v>2477664</v>
      </c>
      <c r="AE1382" s="1" t="s">
        <v>48</v>
      </c>
      <c r="AF1382" s="1" t="s">
        <v>53</v>
      </c>
      <c r="AG1382" s="4">
        <f t="shared" si="122"/>
        <v>40320</v>
      </c>
      <c r="AH1382" s="10">
        <v>40305</v>
      </c>
      <c r="AI1382" s="10">
        <v>0</v>
      </c>
      <c r="AJ1382" s="10">
        <v>0</v>
      </c>
      <c r="AK1382" s="10">
        <v>0</v>
      </c>
      <c r="AL1382" s="9">
        <f t="shared" si="125"/>
        <v>40305</v>
      </c>
      <c r="AM1382" s="1"/>
      <c r="AN1382" s="1"/>
      <c r="AO1382" s="12" t="e">
        <f>AB1382/#REF!</f>
        <v>#REF!</v>
      </c>
      <c r="AP1382" s="1"/>
      <c r="AQ1382" s="11">
        <v>42086</v>
      </c>
      <c r="AR1382" s="1" t="s">
        <v>3553</v>
      </c>
      <c r="AS1382" s="11">
        <v>42088</v>
      </c>
      <c r="AT1382" s="1" t="s">
        <v>49</v>
      </c>
      <c r="AU1382" s="1" t="s">
        <v>4171</v>
      </c>
    </row>
    <row r="1383" spans="1:47" ht="15" customHeight="1" x14ac:dyDescent="0.25">
      <c r="A1383" s="1">
        <v>1378</v>
      </c>
      <c r="B1383" s="1" t="s">
        <v>1258</v>
      </c>
      <c r="C1383" s="1" t="s">
        <v>38</v>
      </c>
      <c r="D1383" s="1">
        <v>9103551179</v>
      </c>
      <c r="E1383" s="5">
        <v>42053</v>
      </c>
      <c r="F1383" s="1" t="s">
        <v>3006</v>
      </c>
      <c r="G1383" s="1" t="s">
        <v>40</v>
      </c>
      <c r="H1383" s="1" t="s">
        <v>41</v>
      </c>
      <c r="I1383" s="1" t="s">
        <v>2809</v>
      </c>
      <c r="J1383" s="1" t="s">
        <v>2764</v>
      </c>
      <c r="K1383" s="1">
        <v>29051700</v>
      </c>
      <c r="L1383" s="6">
        <v>1.2</v>
      </c>
      <c r="M1383" s="1" t="s">
        <v>70</v>
      </c>
      <c r="N1383" s="7" t="s">
        <v>67</v>
      </c>
      <c r="O1383" s="1" t="s">
        <v>53</v>
      </c>
      <c r="P1383" s="8">
        <v>1720</v>
      </c>
      <c r="Q1383" s="17">
        <f t="shared" si="128"/>
        <v>2064</v>
      </c>
      <c r="R1383" s="9">
        <v>0</v>
      </c>
      <c r="S1383" s="9">
        <v>0</v>
      </c>
      <c r="T1383" s="9">
        <v>0</v>
      </c>
      <c r="U1383" s="10">
        <v>0</v>
      </c>
      <c r="V1383" s="1" t="s">
        <v>46</v>
      </c>
      <c r="W1383" s="1" t="s">
        <v>143</v>
      </c>
      <c r="X1383" s="1">
        <v>7755670</v>
      </c>
      <c r="Y1383" s="11">
        <v>42046</v>
      </c>
      <c r="Z1383" s="11">
        <v>42047</v>
      </c>
      <c r="AA1383" s="9">
        <f t="shared" si="124"/>
        <v>2064</v>
      </c>
      <c r="AB1383" s="12">
        <v>61.45</v>
      </c>
      <c r="AC1383" s="9">
        <f t="shared" si="126"/>
        <v>126832.8</v>
      </c>
      <c r="AD1383" s="9">
        <f t="shared" si="127"/>
        <v>126832.8</v>
      </c>
      <c r="AE1383" s="1" t="s">
        <v>48</v>
      </c>
      <c r="AF1383" s="1" t="s">
        <v>53</v>
      </c>
      <c r="AG1383" s="4">
        <f t="shared" si="122"/>
        <v>2064</v>
      </c>
      <c r="AH1383" s="10">
        <v>2059</v>
      </c>
      <c r="AI1383" s="10">
        <v>0</v>
      </c>
      <c r="AJ1383" s="10">
        <v>0</v>
      </c>
      <c r="AK1383" s="10">
        <v>0</v>
      </c>
      <c r="AL1383" s="9">
        <f t="shared" si="125"/>
        <v>2059</v>
      </c>
      <c r="AM1383" s="1"/>
      <c r="AN1383" s="1"/>
      <c r="AO1383" s="12" t="e">
        <f>AB1383/#REF!</f>
        <v>#REF!</v>
      </c>
      <c r="AP1383" s="1"/>
      <c r="AQ1383" s="11">
        <v>42086</v>
      </c>
      <c r="AR1383" s="1" t="s">
        <v>3553</v>
      </c>
      <c r="AS1383" s="11">
        <v>42088</v>
      </c>
      <c r="AT1383" s="1" t="s">
        <v>49</v>
      </c>
      <c r="AU1383" s="1" t="s">
        <v>4171</v>
      </c>
    </row>
    <row r="1384" spans="1:47" ht="15" customHeight="1" x14ac:dyDescent="0.25">
      <c r="A1384" s="1">
        <v>1379</v>
      </c>
      <c r="B1384" s="1" t="s">
        <v>1258</v>
      </c>
      <c r="C1384" s="1" t="s">
        <v>38</v>
      </c>
      <c r="D1384" s="1" t="s">
        <v>3007</v>
      </c>
      <c r="E1384" s="5">
        <v>42050</v>
      </c>
      <c r="F1384" s="1" t="s">
        <v>3008</v>
      </c>
      <c r="G1384" s="1" t="s">
        <v>40</v>
      </c>
      <c r="H1384" s="1" t="s">
        <v>41</v>
      </c>
      <c r="I1384" s="1" t="s">
        <v>2809</v>
      </c>
      <c r="J1384" s="1" t="s">
        <v>63</v>
      </c>
      <c r="K1384" s="1">
        <v>38231200</v>
      </c>
      <c r="L1384" s="6">
        <v>19.13</v>
      </c>
      <c r="M1384" s="1" t="s">
        <v>70</v>
      </c>
      <c r="N1384" s="7" t="s">
        <v>44</v>
      </c>
      <c r="O1384" s="1" t="s">
        <v>53</v>
      </c>
      <c r="P1384" s="8">
        <v>1120</v>
      </c>
      <c r="Q1384" s="17">
        <f t="shared" si="128"/>
        <v>21425.599999999999</v>
      </c>
      <c r="R1384" s="9">
        <v>360</v>
      </c>
      <c r="S1384" s="9">
        <v>3.06</v>
      </c>
      <c r="T1384" s="9">
        <v>0</v>
      </c>
      <c r="U1384" s="10">
        <v>0</v>
      </c>
      <c r="V1384" s="1" t="s">
        <v>46</v>
      </c>
      <c r="W1384" s="1" t="s">
        <v>64</v>
      </c>
      <c r="X1384" s="1">
        <v>7732411</v>
      </c>
      <c r="Y1384" s="11">
        <v>42045</v>
      </c>
      <c r="Z1384" s="11">
        <v>42046</v>
      </c>
      <c r="AA1384" s="9">
        <f t="shared" si="124"/>
        <v>21062.539999999997</v>
      </c>
      <c r="AB1384" s="12">
        <v>61.45</v>
      </c>
      <c r="AC1384" s="9">
        <f t="shared" si="126"/>
        <v>1316603.1199999999</v>
      </c>
      <c r="AD1384" s="9">
        <f t="shared" si="127"/>
        <v>1294293.0829999999</v>
      </c>
      <c r="AE1384" s="1" t="s">
        <v>51</v>
      </c>
      <c r="AF1384" s="1" t="s">
        <v>53</v>
      </c>
      <c r="AG1384" s="4">
        <f t="shared" si="122"/>
        <v>21425.599999999999</v>
      </c>
      <c r="AH1384" s="10">
        <v>21425</v>
      </c>
      <c r="AI1384" s="10">
        <v>360</v>
      </c>
      <c r="AJ1384" s="10">
        <v>3.06</v>
      </c>
      <c r="AK1384" s="10">
        <v>0</v>
      </c>
      <c r="AL1384" s="9">
        <f t="shared" si="125"/>
        <v>21061.94</v>
      </c>
      <c r="AM1384" s="1"/>
      <c r="AN1384" s="1"/>
      <c r="AO1384" s="12" t="e">
        <f>AB1384/#REF!</f>
        <v>#REF!</v>
      </c>
      <c r="AP1384" s="1"/>
      <c r="AQ1384" s="11">
        <v>42081</v>
      </c>
      <c r="AR1384" s="1" t="s">
        <v>3662</v>
      </c>
      <c r="AS1384" s="11">
        <v>42081</v>
      </c>
      <c r="AT1384" s="1" t="s">
        <v>49</v>
      </c>
      <c r="AU1384" s="1" t="s">
        <v>4171</v>
      </c>
    </row>
    <row r="1385" spans="1:47" ht="15" customHeight="1" x14ac:dyDescent="0.25">
      <c r="A1385" s="1">
        <v>1380</v>
      </c>
      <c r="B1385" s="1" t="s">
        <v>1258</v>
      </c>
      <c r="C1385" s="1" t="s">
        <v>38</v>
      </c>
      <c r="D1385" s="1" t="s">
        <v>3007</v>
      </c>
      <c r="E1385" s="5">
        <v>42050</v>
      </c>
      <c r="F1385" s="1" t="s">
        <v>3009</v>
      </c>
      <c r="G1385" s="1" t="s">
        <v>40</v>
      </c>
      <c r="H1385" s="1" t="s">
        <v>41</v>
      </c>
      <c r="I1385" s="1" t="s">
        <v>2809</v>
      </c>
      <c r="J1385" s="1" t="s">
        <v>63</v>
      </c>
      <c r="K1385" s="1">
        <v>38231200</v>
      </c>
      <c r="L1385" s="6">
        <v>19.11</v>
      </c>
      <c r="M1385" s="1" t="s">
        <v>70</v>
      </c>
      <c r="N1385" s="7" t="s">
        <v>44</v>
      </c>
      <c r="O1385" s="1" t="s">
        <v>53</v>
      </c>
      <c r="P1385" s="8">
        <v>1120</v>
      </c>
      <c r="Q1385" s="17">
        <f t="shared" si="128"/>
        <v>21403.200000000001</v>
      </c>
      <c r="R1385" s="9">
        <v>360</v>
      </c>
      <c r="S1385" s="9">
        <v>3.06</v>
      </c>
      <c r="T1385" s="9">
        <v>0</v>
      </c>
      <c r="U1385" s="10">
        <v>0</v>
      </c>
      <c r="V1385" s="1" t="s">
        <v>46</v>
      </c>
      <c r="W1385" s="1" t="s">
        <v>64</v>
      </c>
      <c r="X1385" s="1">
        <v>7755378</v>
      </c>
      <c r="Y1385" s="11">
        <v>42046</v>
      </c>
      <c r="Z1385" s="11">
        <v>42048</v>
      </c>
      <c r="AA1385" s="9">
        <f t="shared" si="124"/>
        <v>21040.14</v>
      </c>
      <c r="AB1385" s="12">
        <v>61.45</v>
      </c>
      <c r="AC1385" s="9">
        <f t="shared" si="126"/>
        <v>1315226.6400000001</v>
      </c>
      <c r="AD1385" s="9">
        <f t="shared" si="127"/>
        <v>1292916.6030000001</v>
      </c>
      <c r="AE1385" s="1" t="s">
        <v>51</v>
      </c>
      <c r="AF1385" s="1" t="s">
        <v>53</v>
      </c>
      <c r="AG1385" s="4">
        <f t="shared" si="122"/>
        <v>21403.200000000001</v>
      </c>
      <c r="AH1385" s="10">
        <v>21366</v>
      </c>
      <c r="AI1385" s="10">
        <v>360</v>
      </c>
      <c r="AJ1385" s="10">
        <v>3.06</v>
      </c>
      <c r="AK1385" s="10">
        <v>0</v>
      </c>
      <c r="AL1385" s="9">
        <f t="shared" si="125"/>
        <v>21002.94</v>
      </c>
      <c r="AM1385" s="1"/>
      <c r="AN1385" s="1"/>
      <c r="AO1385" s="12" t="e">
        <f>AB1385/#REF!</f>
        <v>#REF!</v>
      </c>
      <c r="AP1385" s="1"/>
      <c r="AQ1385" s="11">
        <v>42081</v>
      </c>
      <c r="AR1385" s="1" t="s">
        <v>3663</v>
      </c>
      <c r="AS1385" s="11">
        <v>42081</v>
      </c>
      <c r="AT1385" s="1" t="s">
        <v>49</v>
      </c>
      <c r="AU1385" s="1" t="s">
        <v>4171</v>
      </c>
    </row>
    <row r="1386" spans="1:47" ht="15" customHeight="1" x14ac:dyDescent="0.25">
      <c r="A1386" s="1">
        <v>1381</v>
      </c>
      <c r="B1386" s="1" t="s">
        <v>1258</v>
      </c>
      <c r="C1386" s="1" t="s">
        <v>38</v>
      </c>
      <c r="D1386" s="1">
        <v>9103551182</v>
      </c>
      <c r="E1386" s="5">
        <v>42053</v>
      </c>
      <c r="F1386" s="1" t="s">
        <v>3010</v>
      </c>
      <c r="G1386" s="1" t="s">
        <v>40</v>
      </c>
      <c r="H1386" s="1" t="s">
        <v>41</v>
      </c>
      <c r="I1386" s="1" t="s">
        <v>2809</v>
      </c>
      <c r="J1386" s="1" t="s">
        <v>78</v>
      </c>
      <c r="K1386" s="1">
        <v>29051700</v>
      </c>
      <c r="L1386" s="6">
        <v>13</v>
      </c>
      <c r="M1386" s="1" t="s">
        <v>70</v>
      </c>
      <c r="N1386" s="7" t="s">
        <v>67</v>
      </c>
      <c r="O1386" s="1" t="s">
        <v>53</v>
      </c>
      <c r="P1386" s="8">
        <v>1550</v>
      </c>
      <c r="Q1386" s="17">
        <f t="shared" si="128"/>
        <v>20150</v>
      </c>
      <c r="R1386" s="9">
        <v>0</v>
      </c>
      <c r="S1386" s="9">
        <v>0</v>
      </c>
      <c r="T1386" s="9">
        <v>0</v>
      </c>
      <c r="U1386" s="10">
        <v>0</v>
      </c>
      <c r="V1386" s="1" t="s">
        <v>46</v>
      </c>
      <c r="W1386" s="1" t="s">
        <v>690</v>
      </c>
      <c r="X1386" s="1">
        <v>7772758</v>
      </c>
      <c r="Y1386" s="11">
        <v>42047</v>
      </c>
      <c r="Z1386" s="11">
        <v>42048</v>
      </c>
      <c r="AA1386" s="9">
        <f t="shared" si="124"/>
        <v>20150</v>
      </c>
      <c r="AB1386" s="12">
        <v>61.45</v>
      </c>
      <c r="AC1386" s="9">
        <f t="shared" si="126"/>
        <v>1238217.5</v>
      </c>
      <c r="AD1386" s="9">
        <f t="shared" si="127"/>
        <v>1238217.5</v>
      </c>
      <c r="AE1386" s="1" t="s">
        <v>48</v>
      </c>
      <c r="AF1386" s="1" t="s">
        <v>53</v>
      </c>
      <c r="AG1386" s="4">
        <f t="shared" si="122"/>
        <v>20150</v>
      </c>
      <c r="AH1386" s="10">
        <v>20150</v>
      </c>
      <c r="AI1386" s="10">
        <v>0</v>
      </c>
      <c r="AJ1386" s="10">
        <v>0</v>
      </c>
      <c r="AK1386" s="10">
        <v>0</v>
      </c>
      <c r="AL1386" s="9">
        <f t="shared" si="125"/>
        <v>20150</v>
      </c>
      <c r="AM1386" s="1"/>
      <c r="AN1386" s="1"/>
      <c r="AO1386" s="12" t="e">
        <f>AB1386/#REF!</f>
        <v>#REF!</v>
      </c>
      <c r="AP1386" s="1"/>
      <c r="AQ1386" s="11">
        <v>42080</v>
      </c>
      <c r="AR1386" s="1" t="s">
        <v>3554</v>
      </c>
      <c r="AS1386" s="11">
        <v>42081</v>
      </c>
      <c r="AT1386" s="1" t="s">
        <v>49</v>
      </c>
      <c r="AU1386" s="1" t="s">
        <v>4171</v>
      </c>
    </row>
    <row r="1387" spans="1:47" ht="15" customHeight="1" x14ac:dyDescent="0.25">
      <c r="A1387" s="1">
        <v>1382</v>
      </c>
      <c r="B1387" s="1" t="s">
        <v>1258</v>
      </c>
      <c r="C1387" s="1" t="s">
        <v>38</v>
      </c>
      <c r="D1387" s="1">
        <v>9103551183</v>
      </c>
      <c r="E1387" s="5">
        <v>42047</v>
      </c>
      <c r="F1387" s="1" t="s">
        <v>3011</v>
      </c>
      <c r="G1387" s="1" t="s">
        <v>40</v>
      </c>
      <c r="H1387" s="1" t="s">
        <v>41</v>
      </c>
      <c r="I1387" s="1" t="s">
        <v>2809</v>
      </c>
      <c r="J1387" s="1" t="s">
        <v>3012</v>
      </c>
      <c r="K1387" s="1">
        <v>38237090</v>
      </c>
      <c r="L1387" s="6">
        <v>19.670000000000002</v>
      </c>
      <c r="M1387" s="1" t="s">
        <v>70</v>
      </c>
      <c r="N1387" s="7" t="s">
        <v>52</v>
      </c>
      <c r="O1387" s="1" t="s">
        <v>53</v>
      </c>
      <c r="P1387" s="8">
        <v>1400</v>
      </c>
      <c r="Q1387" s="17">
        <f t="shared" si="128"/>
        <v>27538.000000000004</v>
      </c>
      <c r="R1387" s="9">
        <v>1050</v>
      </c>
      <c r="S1387" s="9">
        <v>0</v>
      </c>
      <c r="T1387" s="9">
        <v>0</v>
      </c>
      <c r="U1387" s="10">
        <v>0</v>
      </c>
      <c r="V1387" s="1" t="s">
        <v>46</v>
      </c>
      <c r="W1387" s="1" t="s">
        <v>75</v>
      </c>
      <c r="X1387" s="1">
        <v>7775480</v>
      </c>
      <c r="Y1387" s="11">
        <v>42047</v>
      </c>
      <c r="Z1387" s="11">
        <v>42048</v>
      </c>
      <c r="AA1387" s="9">
        <f t="shared" si="124"/>
        <v>26488.000000000004</v>
      </c>
      <c r="AB1387" s="12">
        <v>61.45</v>
      </c>
      <c r="AC1387" s="9">
        <f t="shared" si="126"/>
        <v>1692210.1000000003</v>
      </c>
      <c r="AD1387" s="9">
        <f t="shared" si="127"/>
        <v>1627687.6000000003</v>
      </c>
      <c r="AE1387" s="1" t="s">
        <v>48</v>
      </c>
      <c r="AF1387" s="1" t="s">
        <v>53</v>
      </c>
      <c r="AG1387" s="4">
        <f t="shared" si="122"/>
        <v>27538.000000000004</v>
      </c>
      <c r="AH1387" s="10">
        <v>27523</v>
      </c>
      <c r="AI1387" s="10">
        <v>1030</v>
      </c>
      <c r="AJ1387" s="10">
        <v>0</v>
      </c>
      <c r="AK1387" s="10">
        <v>0</v>
      </c>
      <c r="AL1387" s="9">
        <f t="shared" si="125"/>
        <v>26493</v>
      </c>
      <c r="AM1387" s="1"/>
      <c r="AN1387" s="1"/>
      <c r="AO1387" s="12" t="e">
        <f>AB1387/#REF!</f>
        <v>#REF!</v>
      </c>
      <c r="AP1387" s="1"/>
      <c r="AQ1387" s="11">
        <v>42068</v>
      </c>
      <c r="AR1387" s="1" t="s">
        <v>3555</v>
      </c>
      <c r="AS1387" s="11">
        <v>42070</v>
      </c>
      <c r="AT1387" s="1" t="s">
        <v>49</v>
      </c>
      <c r="AU1387" s="1" t="s">
        <v>4171</v>
      </c>
    </row>
    <row r="1388" spans="1:47" ht="15" customHeight="1" x14ac:dyDescent="0.25">
      <c r="A1388" s="1">
        <v>1383</v>
      </c>
      <c r="B1388" s="1" t="s">
        <v>1258</v>
      </c>
      <c r="C1388" s="1" t="s">
        <v>38</v>
      </c>
      <c r="D1388" s="1">
        <v>9103551184</v>
      </c>
      <c r="E1388" s="5">
        <v>42051</v>
      </c>
      <c r="F1388" s="1" t="s">
        <v>3286</v>
      </c>
      <c r="G1388" s="1" t="s">
        <v>40</v>
      </c>
      <c r="H1388" s="1" t="s">
        <v>41</v>
      </c>
      <c r="I1388" s="1" t="s">
        <v>2809</v>
      </c>
      <c r="J1388" s="1" t="s">
        <v>1115</v>
      </c>
      <c r="K1388" s="1">
        <v>38237090</v>
      </c>
      <c r="L1388" s="6">
        <v>10</v>
      </c>
      <c r="M1388" s="1" t="s">
        <v>70</v>
      </c>
      <c r="N1388" s="7" t="s">
        <v>67</v>
      </c>
      <c r="O1388" s="1" t="s">
        <v>53</v>
      </c>
      <c r="P1388" s="8">
        <v>1520</v>
      </c>
      <c r="Q1388" s="17">
        <f t="shared" si="128"/>
        <v>15200</v>
      </c>
      <c r="R1388" s="9">
        <v>0</v>
      </c>
      <c r="S1388" s="9">
        <v>0</v>
      </c>
      <c r="T1388" s="9">
        <v>0</v>
      </c>
      <c r="U1388" s="10">
        <v>0</v>
      </c>
      <c r="V1388" s="1" t="s">
        <v>46</v>
      </c>
      <c r="W1388" s="1" t="s">
        <v>3287</v>
      </c>
      <c r="X1388" s="1">
        <v>7778015</v>
      </c>
      <c r="Y1388" s="11">
        <v>42047</v>
      </c>
      <c r="Z1388" s="11">
        <v>42048</v>
      </c>
      <c r="AA1388" s="9">
        <f t="shared" si="124"/>
        <v>15200</v>
      </c>
      <c r="AB1388" s="12">
        <v>61.45</v>
      </c>
      <c r="AC1388" s="9">
        <f t="shared" si="126"/>
        <v>934040</v>
      </c>
      <c r="AD1388" s="9">
        <f t="shared" si="127"/>
        <v>934040</v>
      </c>
      <c r="AE1388" s="1" t="s">
        <v>48</v>
      </c>
      <c r="AF1388" s="1" t="s">
        <v>53</v>
      </c>
      <c r="AG1388" s="4">
        <f t="shared" ref="AG1388:AG1451" si="129">Q1388</f>
        <v>15200</v>
      </c>
      <c r="AH1388" s="10">
        <v>15200</v>
      </c>
      <c r="AI1388" s="10">
        <v>0</v>
      </c>
      <c r="AJ1388" s="10">
        <v>0</v>
      </c>
      <c r="AK1388" s="10">
        <v>0</v>
      </c>
      <c r="AL1388" s="9">
        <f t="shared" si="125"/>
        <v>15200</v>
      </c>
      <c r="AM1388" s="1"/>
      <c r="AN1388" s="1"/>
      <c r="AO1388" s="12" t="e">
        <f>AB1388/#REF!</f>
        <v>#REF!</v>
      </c>
      <c r="AP1388" s="1"/>
      <c r="AQ1388" s="11">
        <v>42088</v>
      </c>
      <c r="AR1388" s="1" t="s">
        <v>3556</v>
      </c>
      <c r="AS1388" s="11">
        <v>42090</v>
      </c>
      <c r="AT1388" s="1" t="s">
        <v>49</v>
      </c>
      <c r="AU1388" s="1" t="s">
        <v>4171</v>
      </c>
    </row>
    <row r="1389" spans="1:47" ht="15" customHeight="1" x14ac:dyDescent="0.25">
      <c r="A1389" s="1">
        <v>1384</v>
      </c>
      <c r="B1389" s="1" t="s">
        <v>1258</v>
      </c>
      <c r="C1389" s="1" t="s">
        <v>38</v>
      </c>
      <c r="D1389" s="1">
        <v>9103551184</v>
      </c>
      <c r="E1389" s="5">
        <v>42051</v>
      </c>
      <c r="F1389" s="1" t="s">
        <v>3286</v>
      </c>
      <c r="G1389" s="1" t="s">
        <v>40</v>
      </c>
      <c r="H1389" s="1" t="s">
        <v>41</v>
      </c>
      <c r="I1389" s="1" t="s">
        <v>2809</v>
      </c>
      <c r="J1389" s="1" t="s">
        <v>1115</v>
      </c>
      <c r="K1389" s="1">
        <v>29051700</v>
      </c>
      <c r="L1389" s="6">
        <v>5</v>
      </c>
      <c r="M1389" s="1" t="s">
        <v>70</v>
      </c>
      <c r="N1389" s="7" t="s">
        <v>67</v>
      </c>
      <c r="O1389" s="1" t="s">
        <v>53</v>
      </c>
      <c r="P1389" s="8">
        <v>1600</v>
      </c>
      <c r="Q1389" s="17">
        <f t="shared" si="128"/>
        <v>8000</v>
      </c>
      <c r="R1389" s="9">
        <v>0</v>
      </c>
      <c r="S1389" s="9">
        <v>0</v>
      </c>
      <c r="T1389" s="9">
        <v>0</v>
      </c>
      <c r="U1389" s="10">
        <v>0</v>
      </c>
      <c r="V1389" s="1" t="s">
        <v>46</v>
      </c>
      <c r="W1389" s="1" t="s">
        <v>3287</v>
      </c>
      <c r="X1389" s="1">
        <v>7778015</v>
      </c>
      <c r="Y1389" s="11">
        <v>42047</v>
      </c>
      <c r="Z1389" s="11">
        <v>42048</v>
      </c>
      <c r="AA1389" s="9">
        <f t="shared" si="124"/>
        <v>8000</v>
      </c>
      <c r="AB1389" s="12">
        <v>61.45</v>
      </c>
      <c r="AC1389" s="9">
        <f t="shared" si="126"/>
        <v>491600</v>
      </c>
      <c r="AD1389" s="9">
        <f t="shared" si="127"/>
        <v>491600</v>
      </c>
      <c r="AE1389" s="1" t="s">
        <v>48</v>
      </c>
      <c r="AF1389" s="1" t="s">
        <v>53</v>
      </c>
      <c r="AG1389" s="4">
        <f t="shared" si="129"/>
        <v>8000</v>
      </c>
      <c r="AH1389" s="10">
        <v>8000</v>
      </c>
      <c r="AI1389" s="10">
        <v>0</v>
      </c>
      <c r="AJ1389" s="10">
        <v>0</v>
      </c>
      <c r="AK1389" s="10">
        <v>0</v>
      </c>
      <c r="AL1389" s="9">
        <f t="shared" si="125"/>
        <v>8000</v>
      </c>
      <c r="AM1389" s="1"/>
      <c r="AN1389" s="1"/>
      <c r="AO1389" s="12" t="e">
        <f>AB1389/#REF!</f>
        <v>#REF!</v>
      </c>
      <c r="AP1389" s="1"/>
      <c r="AQ1389" s="11">
        <v>42088</v>
      </c>
      <c r="AR1389" s="1" t="s">
        <v>3556</v>
      </c>
      <c r="AS1389" s="11">
        <v>42090</v>
      </c>
      <c r="AT1389" s="1" t="s">
        <v>49</v>
      </c>
      <c r="AU1389" s="1" t="s">
        <v>4171</v>
      </c>
    </row>
    <row r="1390" spans="1:47" ht="15" customHeight="1" x14ac:dyDescent="0.2">
      <c r="A1390" s="1">
        <v>1384</v>
      </c>
      <c r="B1390" s="1" t="s">
        <v>1258</v>
      </c>
      <c r="C1390" s="1" t="s">
        <v>38</v>
      </c>
      <c r="D1390" s="1">
        <v>9103551161</v>
      </c>
      <c r="E1390" s="5">
        <v>42051</v>
      </c>
      <c r="F1390" s="1" t="s">
        <v>4337</v>
      </c>
      <c r="G1390" s="1" t="s">
        <v>40</v>
      </c>
      <c r="H1390" s="1" t="s">
        <v>41</v>
      </c>
      <c r="I1390" s="1" t="s">
        <v>2809</v>
      </c>
      <c r="J1390" s="1" t="s">
        <v>4338</v>
      </c>
      <c r="K1390" s="1"/>
      <c r="L1390" s="6">
        <v>12.24</v>
      </c>
      <c r="M1390" s="1" t="s">
        <v>70</v>
      </c>
      <c r="N1390" s="7" t="s">
        <v>44</v>
      </c>
      <c r="O1390" s="1" t="s">
        <v>53</v>
      </c>
      <c r="P1390" s="8">
        <v>2400</v>
      </c>
      <c r="Q1390" s="17">
        <f t="shared" si="128"/>
        <v>29376</v>
      </c>
      <c r="R1390" s="9">
        <v>0</v>
      </c>
      <c r="S1390" s="9">
        <v>0</v>
      </c>
      <c r="T1390" s="9">
        <v>0</v>
      </c>
      <c r="U1390" s="10">
        <v>0</v>
      </c>
      <c r="V1390" s="1" t="s">
        <v>46</v>
      </c>
      <c r="W1390" s="1" t="s">
        <v>54</v>
      </c>
      <c r="X1390" s="1">
        <v>7637544</v>
      </c>
      <c r="Y1390" s="11">
        <v>42040</v>
      </c>
      <c r="Z1390" s="11"/>
      <c r="AA1390" s="9"/>
      <c r="AB1390" s="12"/>
      <c r="AC1390" s="9"/>
      <c r="AD1390" s="9"/>
      <c r="AE1390" s="1"/>
      <c r="AF1390" s="1" t="s">
        <v>53</v>
      </c>
      <c r="AG1390" s="4">
        <f t="shared" si="129"/>
        <v>29376</v>
      </c>
      <c r="AH1390" s="10">
        <v>29321</v>
      </c>
      <c r="AI1390" s="10"/>
      <c r="AJ1390" s="10"/>
      <c r="AK1390" s="10"/>
      <c r="AL1390" s="9"/>
      <c r="AM1390" s="1"/>
      <c r="AN1390" s="1"/>
      <c r="AO1390" s="12"/>
      <c r="AP1390" s="18" t="s">
        <v>4359</v>
      </c>
      <c r="AQ1390" s="11">
        <v>42088</v>
      </c>
      <c r="AR1390" s="1" t="s">
        <v>4360</v>
      </c>
      <c r="AS1390" s="11">
        <v>42090</v>
      </c>
      <c r="AT1390" s="1" t="s">
        <v>49</v>
      </c>
      <c r="AU1390" s="1" t="s">
        <v>4171</v>
      </c>
    </row>
    <row r="1391" spans="1:47" ht="15" customHeight="1" x14ac:dyDescent="0.25">
      <c r="A1391" s="1">
        <v>1385</v>
      </c>
      <c r="B1391" s="1" t="s">
        <v>1258</v>
      </c>
      <c r="C1391" s="1" t="s">
        <v>38</v>
      </c>
      <c r="D1391" s="1">
        <v>9103551185</v>
      </c>
      <c r="E1391" s="5">
        <v>42058</v>
      </c>
      <c r="F1391" s="1" t="s">
        <v>3013</v>
      </c>
      <c r="G1391" s="1" t="s">
        <v>40</v>
      </c>
      <c r="H1391" s="1" t="s">
        <v>41</v>
      </c>
      <c r="I1391" s="1" t="s">
        <v>2809</v>
      </c>
      <c r="J1391" s="1" t="s">
        <v>221</v>
      </c>
      <c r="K1391" s="1">
        <v>38237090</v>
      </c>
      <c r="L1391" s="6">
        <v>5</v>
      </c>
      <c r="M1391" s="1" t="s">
        <v>70</v>
      </c>
      <c r="N1391" s="7" t="s">
        <v>44</v>
      </c>
      <c r="O1391" s="1" t="s">
        <v>53</v>
      </c>
      <c r="P1391" s="8">
        <v>1900</v>
      </c>
      <c r="Q1391" s="17">
        <f t="shared" si="128"/>
        <v>9500</v>
      </c>
      <c r="R1391" s="9">
        <v>400</v>
      </c>
      <c r="S1391" s="9">
        <v>1.36</v>
      </c>
      <c r="T1391" s="9">
        <v>0</v>
      </c>
      <c r="U1391" s="10">
        <v>0</v>
      </c>
      <c r="V1391" s="1" t="s">
        <v>46</v>
      </c>
      <c r="W1391" s="1" t="s">
        <v>205</v>
      </c>
      <c r="X1391" s="1">
        <v>7766768</v>
      </c>
      <c r="Y1391" s="11">
        <v>42047</v>
      </c>
      <c r="Z1391" s="11">
        <v>42048</v>
      </c>
      <c r="AA1391" s="9">
        <f t="shared" si="124"/>
        <v>9098.64</v>
      </c>
      <c r="AB1391" s="12">
        <v>61.45</v>
      </c>
      <c r="AC1391" s="9">
        <f t="shared" si="126"/>
        <v>583775</v>
      </c>
      <c r="AD1391" s="9">
        <f t="shared" si="127"/>
        <v>559111.42799999996</v>
      </c>
      <c r="AE1391" s="1" t="s">
        <v>48</v>
      </c>
      <c r="AF1391" s="1" t="s">
        <v>53</v>
      </c>
      <c r="AG1391" s="4">
        <f t="shared" si="129"/>
        <v>9500</v>
      </c>
      <c r="AH1391" s="10">
        <v>9485</v>
      </c>
      <c r="AI1391" s="10">
        <v>219.94</v>
      </c>
      <c r="AJ1391" s="10">
        <v>1.36</v>
      </c>
      <c r="AK1391" s="10">
        <v>0</v>
      </c>
      <c r="AL1391" s="9">
        <f t="shared" ref="AL1391:AL1410" si="130">AH1391-(AI1391+AJ1391+AK1391)</f>
        <v>9263.7000000000007</v>
      </c>
      <c r="AM1391" s="1"/>
      <c r="AN1391" s="1"/>
      <c r="AO1391" s="12" t="e">
        <f>AB1391/#REF!</f>
        <v>#REF!</v>
      </c>
      <c r="AP1391" s="1"/>
      <c r="AQ1391" s="11">
        <v>42075</v>
      </c>
      <c r="AR1391" s="1" t="s">
        <v>3557</v>
      </c>
      <c r="AS1391" s="11">
        <v>42076</v>
      </c>
      <c r="AT1391" s="1" t="s">
        <v>49</v>
      </c>
      <c r="AU1391" s="1" t="s">
        <v>4171</v>
      </c>
    </row>
    <row r="1392" spans="1:47" ht="15" customHeight="1" x14ac:dyDescent="0.25">
      <c r="A1392" s="1">
        <v>1386</v>
      </c>
      <c r="B1392" s="1" t="s">
        <v>1258</v>
      </c>
      <c r="C1392" s="1" t="s">
        <v>38</v>
      </c>
      <c r="D1392" s="1">
        <v>9103551186</v>
      </c>
      <c r="E1392" s="5">
        <v>42051</v>
      </c>
      <c r="F1392" s="1" t="s">
        <v>3014</v>
      </c>
      <c r="G1392" s="1" t="s">
        <v>40</v>
      </c>
      <c r="H1392" s="1" t="s">
        <v>41</v>
      </c>
      <c r="I1392" s="1" t="s">
        <v>2810</v>
      </c>
      <c r="J1392" s="1" t="s">
        <v>1116</v>
      </c>
      <c r="K1392" s="1">
        <v>38237090</v>
      </c>
      <c r="L1392" s="6">
        <v>93.99</v>
      </c>
      <c r="M1392" s="1" t="s">
        <v>70</v>
      </c>
      <c r="N1392" s="7" t="s">
        <v>67</v>
      </c>
      <c r="O1392" s="1" t="s">
        <v>1117</v>
      </c>
      <c r="P1392" s="8">
        <v>87000</v>
      </c>
      <c r="Q1392" s="17">
        <f t="shared" si="128"/>
        <v>8177130</v>
      </c>
      <c r="R1392" s="9">
        <v>0</v>
      </c>
      <c r="S1392" s="9">
        <v>0</v>
      </c>
      <c r="T1392" s="9">
        <v>516958.16</v>
      </c>
      <c r="U1392" s="10">
        <v>0</v>
      </c>
      <c r="V1392" s="1" t="s">
        <v>46</v>
      </c>
      <c r="W1392" s="1" t="s">
        <v>361</v>
      </c>
      <c r="X1392" s="1">
        <v>7782776</v>
      </c>
      <c r="Y1392" s="11">
        <v>42047</v>
      </c>
      <c r="Z1392" s="11">
        <v>42048</v>
      </c>
      <c r="AA1392" s="9">
        <f t="shared" si="124"/>
        <v>8177130</v>
      </c>
      <c r="AB1392" s="12">
        <v>1</v>
      </c>
      <c r="AC1392" s="9">
        <f t="shared" si="126"/>
        <v>8177130</v>
      </c>
      <c r="AD1392" s="9">
        <f t="shared" si="127"/>
        <v>8177130</v>
      </c>
      <c r="AE1392" s="1" t="s">
        <v>4162</v>
      </c>
      <c r="AF1392" s="1" t="s">
        <v>1117</v>
      </c>
      <c r="AG1392" s="4">
        <f t="shared" si="129"/>
        <v>8177130</v>
      </c>
      <c r="AH1392" s="10">
        <v>8012647.5</v>
      </c>
      <c r="AI1392" s="10"/>
      <c r="AJ1392" s="10"/>
      <c r="AK1392" s="10"/>
      <c r="AL1392" s="9">
        <f t="shared" si="130"/>
        <v>8012647.5</v>
      </c>
      <c r="AM1392" s="1"/>
      <c r="AN1392" s="1"/>
      <c r="AO1392" s="12"/>
      <c r="AP1392" s="1" t="s">
        <v>3943</v>
      </c>
      <c r="AQ1392" s="11" t="s">
        <v>3945</v>
      </c>
      <c r="AR1392" s="1" t="s">
        <v>3941</v>
      </c>
      <c r="AS1392" s="1" t="s">
        <v>3942</v>
      </c>
      <c r="AT1392" s="1" t="s">
        <v>49</v>
      </c>
      <c r="AU1392" s="1" t="s">
        <v>4171</v>
      </c>
    </row>
    <row r="1393" spans="1:47" ht="15" customHeight="1" x14ac:dyDescent="0.25">
      <c r="A1393" s="1">
        <v>1387</v>
      </c>
      <c r="B1393" s="1" t="s">
        <v>1258</v>
      </c>
      <c r="C1393" s="1" t="s">
        <v>38</v>
      </c>
      <c r="D1393" s="1">
        <v>9103551187</v>
      </c>
      <c r="E1393" s="5">
        <v>42051</v>
      </c>
      <c r="F1393" s="1" t="s">
        <v>3015</v>
      </c>
      <c r="G1393" s="1" t="s">
        <v>40</v>
      </c>
      <c r="H1393" s="1" t="s">
        <v>41</v>
      </c>
      <c r="I1393" s="1" t="s">
        <v>2810</v>
      </c>
      <c r="J1393" s="1" t="s">
        <v>1116</v>
      </c>
      <c r="K1393" s="1">
        <v>38237090</v>
      </c>
      <c r="L1393" s="6">
        <v>94.16</v>
      </c>
      <c r="M1393" s="1" t="s">
        <v>70</v>
      </c>
      <c r="N1393" s="7" t="s">
        <v>67</v>
      </c>
      <c r="O1393" s="1" t="s">
        <v>1117</v>
      </c>
      <c r="P1393" s="8">
        <v>85425</v>
      </c>
      <c r="Q1393" s="17">
        <f t="shared" si="128"/>
        <v>8043618</v>
      </c>
      <c r="R1393" s="9">
        <v>0</v>
      </c>
      <c r="S1393" s="9">
        <v>0</v>
      </c>
      <c r="T1393" s="9">
        <v>456676.41</v>
      </c>
      <c r="U1393" s="10">
        <v>0</v>
      </c>
      <c r="V1393" s="1" t="s">
        <v>46</v>
      </c>
      <c r="W1393" s="1" t="s">
        <v>361</v>
      </c>
      <c r="X1393" s="1">
        <v>7782773</v>
      </c>
      <c r="Y1393" s="11">
        <v>42047</v>
      </c>
      <c r="Z1393" s="11">
        <v>42048</v>
      </c>
      <c r="AA1393" s="9">
        <f t="shared" si="124"/>
        <v>8043618</v>
      </c>
      <c r="AB1393" s="12">
        <v>1</v>
      </c>
      <c r="AC1393" s="9">
        <f t="shared" si="126"/>
        <v>8043618</v>
      </c>
      <c r="AD1393" s="9">
        <f t="shared" si="127"/>
        <v>8043618</v>
      </c>
      <c r="AE1393" s="1" t="s">
        <v>4162</v>
      </c>
      <c r="AF1393" s="1" t="s">
        <v>1117</v>
      </c>
      <c r="AG1393" s="4">
        <f t="shared" si="129"/>
        <v>8043618</v>
      </c>
      <c r="AH1393" s="10">
        <v>8043618</v>
      </c>
      <c r="AI1393" s="10"/>
      <c r="AJ1393" s="10"/>
      <c r="AK1393" s="10"/>
      <c r="AL1393" s="9">
        <f t="shared" si="130"/>
        <v>8043618</v>
      </c>
      <c r="AM1393" s="1"/>
      <c r="AN1393" s="1"/>
      <c r="AO1393" s="12"/>
      <c r="AP1393" s="1" t="s">
        <v>4022</v>
      </c>
      <c r="AQ1393" s="11" t="s">
        <v>4023</v>
      </c>
      <c r="AR1393" s="1" t="s">
        <v>4021</v>
      </c>
      <c r="AS1393" s="1" t="s">
        <v>3977</v>
      </c>
      <c r="AT1393" s="1" t="s">
        <v>49</v>
      </c>
      <c r="AU1393" s="1" t="s">
        <v>4171</v>
      </c>
    </row>
    <row r="1394" spans="1:47" ht="15" customHeight="1" x14ac:dyDescent="0.25">
      <c r="A1394" s="1">
        <v>1388</v>
      </c>
      <c r="B1394" s="1" t="s">
        <v>1258</v>
      </c>
      <c r="C1394" s="1" t="s">
        <v>38</v>
      </c>
      <c r="D1394" s="1">
        <v>9103551188</v>
      </c>
      <c r="E1394" s="5">
        <v>42051</v>
      </c>
      <c r="F1394" s="1" t="s">
        <v>3016</v>
      </c>
      <c r="G1394" s="1" t="s">
        <v>40</v>
      </c>
      <c r="H1394" s="1" t="s">
        <v>41</v>
      </c>
      <c r="I1394" s="1" t="s">
        <v>2809</v>
      </c>
      <c r="J1394" s="1" t="s">
        <v>78</v>
      </c>
      <c r="K1394" s="1">
        <v>38237090</v>
      </c>
      <c r="L1394" s="6">
        <v>38.18</v>
      </c>
      <c r="M1394" s="1" t="s">
        <v>70</v>
      </c>
      <c r="N1394" s="7" t="s">
        <v>67</v>
      </c>
      <c r="O1394" s="1" t="s">
        <v>53</v>
      </c>
      <c r="P1394" s="8">
        <v>1390</v>
      </c>
      <c r="Q1394" s="17">
        <f t="shared" si="128"/>
        <v>53070.2</v>
      </c>
      <c r="R1394" s="9">
        <v>0</v>
      </c>
      <c r="S1394" s="9">
        <v>0</v>
      </c>
      <c r="T1394" s="9">
        <v>0</v>
      </c>
      <c r="U1394" s="10">
        <v>0</v>
      </c>
      <c r="V1394" s="1" t="s">
        <v>46</v>
      </c>
      <c r="W1394" s="1" t="s">
        <v>56</v>
      </c>
      <c r="X1394" s="1">
        <v>7781355</v>
      </c>
      <c r="Y1394" s="11">
        <v>42047</v>
      </c>
      <c r="Z1394" s="11">
        <v>42048</v>
      </c>
      <c r="AA1394" s="9">
        <f t="shared" si="124"/>
        <v>53070.2</v>
      </c>
      <c r="AB1394" s="12">
        <v>61.45</v>
      </c>
      <c r="AC1394" s="9">
        <f t="shared" si="126"/>
        <v>3261163.79</v>
      </c>
      <c r="AD1394" s="9">
        <f t="shared" si="127"/>
        <v>3261163.79</v>
      </c>
      <c r="AE1394" s="1" t="s">
        <v>48</v>
      </c>
      <c r="AF1394" s="1" t="s">
        <v>53</v>
      </c>
      <c r="AG1394" s="4">
        <f t="shared" si="129"/>
        <v>53070.2</v>
      </c>
      <c r="AH1394" s="10">
        <v>53070</v>
      </c>
      <c r="AI1394" s="10">
        <v>0</v>
      </c>
      <c r="AJ1394" s="10">
        <v>0</v>
      </c>
      <c r="AK1394" s="10">
        <v>0</v>
      </c>
      <c r="AL1394" s="9">
        <f t="shared" si="130"/>
        <v>53070</v>
      </c>
      <c r="AM1394" s="1"/>
      <c r="AN1394" s="1"/>
      <c r="AO1394" s="12" t="e">
        <f>AB1394/#REF!</f>
        <v>#REF!</v>
      </c>
      <c r="AP1394" s="1"/>
      <c r="AQ1394" s="11">
        <v>42080</v>
      </c>
      <c r="AR1394" s="1" t="s">
        <v>3558</v>
      </c>
      <c r="AS1394" s="11">
        <v>42081</v>
      </c>
      <c r="AT1394" s="1" t="s">
        <v>49</v>
      </c>
      <c r="AU1394" s="1" t="s">
        <v>4171</v>
      </c>
    </row>
    <row r="1395" spans="1:47" ht="15" customHeight="1" x14ac:dyDescent="0.25">
      <c r="A1395" s="1">
        <v>1389</v>
      </c>
      <c r="B1395" s="1" t="s">
        <v>1258</v>
      </c>
      <c r="C1395" s="1" t="s">
        <v>38</v>
      </c>
      <c r="D1395" s="1">
        <v>9103551189</v>
      </c>
      <c r="E1395" s="5">
        <v>42051</v>
      </c>
      <c r="F1395" s="1" t="s">
        <v>3017</v>
      </c>
      <c r="G1395" s="1" t="s">
        <v>40</v>
      </c>
      <c r="H1395" s="1" t="s">
        <v>41</v>
      </c>
      <c r="I1395" s="1" t="s">
        <v>2809</v>
      </c>
      <c r="J1395" s="1" t="s">
        <v>187</v>
      </c>
      <c r="K1395" s="1">
        <v>38237090</v>
      </c>
      <c r="L1395" s="6">
        <v>18.010000000000002</v>
      </c>
      <c r="M1395" s="1" t="s">
        <v>70</v>
      </c>
      <c r="N1395" s="7" t="s">
        <v>44</v>
      </c>
      <c r="O1395" s="1" t="s">
        <v>53</v>
      </c>
      <c r="P1395" s="8">
        <v>1495</v>
      </c>
      <c r="Q1395" s="17">
        <f t="shared" si="128"/>
        <v>26924.95</v>
      </c>
      <c r="R1395" s="9">
        <v>2750</v>
      </c>
      <c r="S1395" s="9">
        <v>3.85</v>
      </c>
      <c r="T1395" s="9">
        <v>0</v>
      </c>
      <c r="U1395" s="10">
        <v>0</v>
      </c>
      <c r="V1395" s="1" t="s">
        <v>46</v>
      </c>
      <c r="W1395" s="1" t="s">
        <v>56</v>
      </c>
      <c r="X1395" s="1">
        <v>7790332</v>
      </c>
      <c r="Y1395" s="11">
        <v>42048</v>
      </c>
      <c r="Z1395" s="11">
        <v>42049</v>
      </c>
      <c r="AA1395" s="9">
        <f t="shared" si="124"/>
        <v>24171.100000000002</v>
      </c>
      <c r="AB1395" s="12">
        <v>61.45</v>
      </c>
      <c r="AC1395" s="9">
        <f t="shared" si="126"/>
        <v>1654538.1775000002</v>
      </c>
      <c r="AD1395" s="9">
        <f t="shared" si="127"/>
        <v>1485314.0950000002</v>
      </c>
      <c r="AE1395" s="1" t="s">
        <v>48</v>
      </c>
      <c r="AF1395" s="1" t="s">
        <v>53</v>
      </c>
      <c r="AG1395" s="4">
        <f t="shared" si="129"/>
        <v>26924.95</v>
      </c>
      <c r="AH1395" s="10">
        <v>26924.95</v>
      </c>
      <c r="AI1395" s="10">
        <v>2800</v>
      </c>
      <c r="AJ1395" s="10">
        <v>3.85</v>
      </c>
      <c r="AK1395" s="10">
        <v>0</v>
      </c>
      <c r="AL1395" s="9">
        <f t="shared" si="130"/>
        <v>24121.100000000002</v>
      </c>
      <c r="AM1395" s="1"/>
      <c r="AN1395" s="1"/>
      <c r="AO1395" s="12" t="e">
        <f>AB1395/#REF!</f>
        <v>#REF!</v>
      </c>
      <c r="AP1395" s="1"/>
      <c r="AQ1395" s="11">
        <v>42123</v>
      </c>
      <c r="AR1395" s="1" t="s">
        <v>3559</v>
      </c>
      <c r="AS1395" s="11">
        <v>42124</v>
      </c>
      <c r="AT1395" s="1" t="s">
        <v>49</v>
      </c>
      <c r="AU1395" s="1" t="s">
        <v>4171</v>
      </c>
    </row>
    <row r="1396" spans="1:47" ht="15" customHeight="1" x14ac:dyDescent="0.25">
      <c r="A1396" s="1">
        <v>1390</v>
      </c>
      <c r="B1396" s="1" t="s">
        <v>1258</v>
      </c>
      <c r="C1396" s="1" t="s">
        <v>38</v>
      </c>
      <c r="D1396" s="1">
        <v>9103551190</v>
      </c>
      <c r="E1396" s="5">
        <v>42051</v>
      </c>
      <c r="F1396" s="1" t="s">
        <v>3018</v>
      </c>
      <c r="G1396" s="1" t="s">
        <v>40</v>
      </c>
      <c r="H1396" s="1" t="s">
        <v>41</v>
      </c>
      <c r="I1396" s="1" t="s">
        <v>2809</v>
      </c>
      <c r="J1396" s="1" t="s">
        <v>78</v>
      </c>
      <c r="K1396" s="1">
        <v>38237090</v>
      </c>
      <c r="L1396" s="6">
        <v>37.479999999999997</v>
      </c>
      <c r="M1396" s="1" t="s">
        <v>70</v>
      </c>
      <c r="N1396" s="7" t="s">
        <v>67</v>
      </c>
      <c r="O1396" s="1" t="s">
        <v>53</v>
      </c>
      <c r="P1396" s="8">
        <v>1430</v>
      </c>
      <c r="Q1396" s="17">
        <f t="shared" si="128"/>
        <v>53596.399999999994</v>
      </c>
      <c r="R1396" s="9">
        <v>0</v>
      </c>
      <c r="S1396" s="9">
        <v>0</v>
      </c>
      <c r="T1396" s="9">
        <v>0</v>
      </c>
      <c r="U1396" s="10">
        <v>0</v>
      </c>
      <c r="V1396" s="1" t="s">
        <v>46</v>
      </c>
      <c r="W1396" s="1" t="s">
        <v>56</v>
      </c>
      <c r="X1396" s="1">
        <v>7791226</v>
      </c>
      <c r="Y1396" s="11">
        <v>42048</v>
      </c>
      <c r="Z1396" s="11">
        <v>42049</v>
      </c>
      <c r="AA1396" s="9">
        <f t="shared" si="124"/>
        <v>53596.399999999994</v>
      </c>
      <c r="AB1396" s="12">
        <v>61.45</v>
      </c>
      <c r="AC1396" s="9">
        <f t="shared" si="126"/>
        <v>3293498.78</v>
      </c>
      <c r="AD1396" s="9">
        <f t="shared" si="127"/>
        <v>3293498.78</v>
      </c>
      <c r="AE1396" s="1" t="s">
        <v>48</v>
      </c>
      <c r="AF1396" s="1" t="s">
        <v>53</v>
      </c>
      <c r="AG1396" s="4">
        <f t="shared" si="129"/>
        <v>53596.399999999994</v>
      </c>
      <c r="AH1396" s="10">
        <v>53511.4</v>
      </c>
      <c r="AI1396" s="10">
        <v>0</v>
      </c>
      <c r="AJ1396" s="10">
        <v>0</v>
      </c>
      <c r="AK1396" s="10">
        <v>0</v>
      </c>
      <c r="AL1396" s="9">
        <f t="shared" si="130"/>
        <v>53511.4</v>
      </c>
      <c r="AM1396" s="1"/>
      <c r="AN1396" s="1"/>
      <c r="AO1396" s="12" t="e">
        <f>AB1396/#REF!</f>
        <v>#REF!</v>
      </c>
      <c r="AP1396" s="1"/>
      <c r="AQ1396" s="11">
        <v>42080</v>
      </c>
      <c r="AR1396" s="1" t="s">
        <v>3560</v>
      </c>
      <c r="AS1396" s="11">
        <v>42081</v>
      </c>
      <c r="AT1396" s="1" t="s">
        <v>49</v>
      </c>
      <c r="AU1396" s="1" t="s">
        <v>4171</v>
      </c>
    </row>
    <row r="1397" spans="1:47" ht="15" customHeight="1" x14ac:dyDescent="0.25">
      <c r="A1397" s="1">
        <v>1391</v>
      </c>
      <c r="B1397" s="1" t="s">
        <v>1258</v>
      </c>
      <c r="C1397" s="1" t="s">
        <v>38</v>
      </c>
      <c r="D1397" s="1">
        <v>9103551191</v>
      </c>
      <c r="E1397" s="5">
        <v>42053</v>
      </c>
      <c r="F1397" s="1" t="s">
        <v>3019</v>
      </c>
      <c r="G1397" s="1" t="s">
        <v>40</v>
      </c>
      <c r="H1397" s="1" t="s">
        <v>41</v>
      </c>
      <c r="I1397" s="1" t="s">
        <v>2809</v>
      </c>
      <c r="J1397" s="1" t="s">
        <v>2804</v>
      </c>
      <c r="K1397" s="1">
        <v>38237090</v>
      </c>
      <c r="L1397" s="6">
        <v>10</v>
      </c>
      <c r="M1397" s="1" t="s">
        <v>70</v>
      </c>
      <c r="N1397" s="7" t="s">
        <v>52</v>
      </c>
      <c r="O1397" s="1" t="s">
        <v>53</v>
      </c>
      <c r="P1397" s="8">
        <v>1736</v>
      </c>
      <c r="Q1397" s="17">
        <f t="shared" si="128"/>
        <v>17360</v>
      </c>
      <c r="R1397" s="9">
        <v>1400</v>
      </c>
      <c r="S1397" s="9">
        <v>0</v>
      </c>
      <c r="T1397" s="9">
        <v>0</v>
      </c>
      <c r="U1397" s="10">
        <v>0</v>
      </c>
      <c r="V1397" s="1" t="s">
        <v>46</v>
      </c>
      <c r="W1397" s="1" t="s">
        <v>2799</v>
      </c>
      <c r="X1397" s="1">
        <v>7796356</v>
      </c>
      <c r="Y1397" s="11">
        <v>42048</v>
      </c>
      <c r="Z1397" s="11">
        <v>42051</v>
      </c>
      <c r="AA1397" s="9">
        <f t="shared" si="124"/>
        <v>15960</v>
      </c>
      <c r="AB1397" s="12">
        <v>61.45</v>
      </c>
      <c r="AC1397" s="9">
        <f t="shared" si="126"/>
        <v>1066772</v>
      </c>
      <c r="AD1397" s="9">
        <f t="shared" si="127"/>
        <v>980742</v>
      </c>
      <c r="AE1397" s="1" t="s">
        <v>48</v>
      </c>
      <c r="AF1397" s="1" t="s">
        <v>53</v>
      </c>
      <c r="AG1397" s="4">
        <f t="shared" si="129"/>
        <v>17360</v>
      </c>
      <c r="AH1397" s="10">
        <v>17277.27</v>
      </c>
      <c r="AI1397" s="10">
        <v>1425</v>
      </c>
      <c r="AJ1397" s="10">
        <v>0</v>
      </c>
      <c r="AK1397" s="10">
        <v>0</v>
      </c>
      <c r="AL1397" s="9">
        <f t="shared" si="130"/>
        <v>15852.27</v>
      </c>
      <c r="AM1397" s="1"/>
      <c r="AN1397" s="1"/>
      <c r="AO1397" s="12" t="e">
        <f>AB1397/#REF!</f>
        <v>#REF!</v>
      </c>
      <c r="AP1397" s="1"/>
      <c r="AQ1397" s="11">
        <v>42075</v>
      </c>
      <c r="AR1397" s="1" t="s">
        <v>3561</v>
      </c>
      <c r="AS1397" s="11">
        <v>42076</v>
      </c>
      <c r="AT1397" s="1" t="s">
        <v>49</v>
      </c>
      <c r="AU1397" s="1" t="s">
        <v>4171</v>
      </c>
    </row>
    <row r="1398" spans="1:47" ht="15" customHeight="1" x14ac:dyDescent="0.25">
      <c r="A1398" s="1">
        <v>1392</v>
      </c>
      <c r="B1398" s="1" t="s">
        <v>1258</v>
      </c>
      <c r="C1398" s="1" t="s">
        <v>38</v>
      </c>
      <c r="D1398" s="1">
        <v>9103551192</v>
      </c>
      <c r="E1398" s="5">
        <v>42054</v>
      </c>
      <c r="F1398" s="1" t="s">
        <v>3020</v>
      </c>
      <c r="G1398" s="1" t="s">
        <v>40</v>
      </c>
      <c r="H1398" s="1" t="s">
        <v>41</v>
      </c>
      <c r="I1398" s="1" t="s">
        <v>2809</v>
      </c>
      <c r="J1398" s="1" t="s">
        <v>2740</v>
      </c>
      <c r="K1398" s="1">
        <v>38237090</v>
      </c>
      <c r="L1398" s="6">
        <v>12</v>
      </c>
      <c r="M1398" s="1" t="s">
        <v>70</v>
      </c>
      <c r="N1398" s="7" t="s">
        <v>44</v>
      </c>
      <c r="O1398" s="1" t="s">
        <v>53</v>
      </c>
      <c r="P1398" s="8">
        <v>1500</v>
      </c>
      <c r="Q1398" s="17">
        <f t="shared" si="128"/>
        <v>18000</v>
      </c>
      <c r="R1398" s="9">
        <v>750</v>
      </c>
      <c r="S1398" s="9">
        <v>2.57</v>
      </c>
      <c r="T1398" s="9">
        <v>0</v>
      </c>
      <c r="U1398" s="10">
        <v>0</v>
      </c>
      <c r="V1398" s="1" t="s">
        <v>46</v>
      </c>
      <c r="W1398" s="1" t="s">
        <v>205</v>
      </c>
      <c r="X1398" s="1">
        <v>7800665</v>
      </c>
      <c r="Y1398" s="11">
        <v>42048</v>
      </c>
      <c r="Z1398" s="11">
        <v>42051</v>
      </c>
      <c r="AA1398" s="9">
        <f t="shared" si="124"/>
        <v>17247.43</v>
      </c>
      <c r="AB1398" s="12">
        <v>61.45</v>
      </c>
      <c r="AC1398" s="9">
        <f t="shared" si="126"/>
        <v>1106100</v>
      </c>
      <c r="AD1398" s="9">
        <f t="shared" si="127"/>
        <v>1059854.5735000002</v>
      </c>
      <c r="AE1398" s="1" t="s">
        <v>284</v>
      </c>
      <c r="AF1398" s="1" t="s">
        <v>53</v>
      </c>
      <c r="AG1398" s="4">
        <f t="shared" si="129"/>
        <v>18000</v>
      </c>
      <c r="AH1398" s="10">
        <v>17987</v>
      </c>
      <c r="AI1398" s="10">
        <v>793.08</v>
      </c>
      <c r="AJ1398" s="10">
        <v>2.57</v>
      </c>
      <c r="AK1398" s="10">
        <v>0</v>
      </c>
      <c r="AL1398" s="9">
        <f t="shared" si="130"/>
        <v>17191.349999999999</v>
      </c>
      <c r="AM1398" s="1"/>
      <c r="AN1398" s="1"/>
      <c r="AO1398" s="12" t="e">
        <f>AB1398/#REF!</f>
        <v>#REF!</v>
      </c>
      <c r="AP1398" s="1"/>
      <c r="AQ1398" s="11">
        <v>42075</v>
      </c>
      <c r="AR1398" s="1" t="s">
        <v>3647</v>
      </c>
      <c r="AS1398" s="11">
        <v>42075</v>
      </c>
      <c r="AT1398" s="1" t="s">
        <v>49</v>
      </c>
      <c r="AU1398" s="1" t="s">
        <v>4171</v>
      </c>
    </row>
    <row r="1399" spans="1:47" ht="15" customHeight="1" x14ac:dyDescent="0.25">
      <c r="A1399" s="1">
        <v>1393</v>
      </c>
      <c r="B1399" s="1" t="s">
        <v>1258</v>
      </c>
      <c r="C1399" s="1" t="s">
        <v>38</v>
      </c>
      <c r="D1399" s="1">
        <v>9103551193</v>
      </c>
      <c r="E1399" s="5">
        <v>42054</v>
      </c>
      <c r="F1399" s="1" t="s">
        <v>3021</v>
      </c>
      <c r="G1399" s="1" t="s">
        <v>40</v>
      </c>
      <c r="H1399" s="1" t="s">
        <v>41</v>
      </c>
      <c r="I1399" s="1" t="s">
        <v>2809</v>
      </c>
      <c r="J1399" s="1" t="s">
        <v>2690</v>
      </c>
      <c r="K1399" s="1">
        <v>38237090</v>
      </c>
      <c r="L1399" s="6">
        <v>17.600000000000001</v>
      </c>
      <c r="M1399" s="1" t="s">
        <v>70</v>
      </c>
      <c r="N1399" s="7" t="s">
        <v>44</v>
      </c>
      <c r="O1399" s="1" t="s">
        <v>53</v>
      </c>
      <c r="P1399" s="8">
        <v>1705</v>
      </c>
      <c r="Q1399" s="17">
        <f t="shared" si="128"/>
        <v>30008.000000000004</v>
      </c>
      <c r="R1399" s="9">
        <v>1050</v>
      </c>
      <c r="S1399" s="9">
        <v>4.29</v>
      </c>
      <c r="T1399" s="9">
        <v>0</v>
      </c>
      <c r="U1399" s="10">
        <v>0</v>
      </c>
      <c r="V1399" s="1" t="s">
        <v>46</v>
      </c>
      <c r="W1399" s="1" t="s">
        <v>205</v>
      </c>
      <c r="X1399" s="1">
        <v>7815454</v>
      </c>
      <c r="Y1399" s="11">
        <v>42049</v>
      </c>
      <c r="Z1399" s="11">
        <v>42051</v>
      </c>
      <c r="AA1399" s="9">
        <f t="shared" si="124"/>
        <v>28953.710000000003</v>
      </c>
      <c r="AB1399" s="12">
        <v>61.45</v>
      </c>
      <c r="AC1399" s="9">
        <f t="shared" si="126"/>
        <v>1843991.6000000003</v>
      </c>
      <c r="AD1399" s="9">
        <f t="shared" si="127"/>
        <v>1779205.4795000004</v>
      </c>
      <c r="AE1399" s="1" t="s">
        <v>48</v>
      </c>
      <c r="AF1399" s="1" t="s">
        <v>53</v>
      </c>
      <c r="AG1399" s="4">
        <f t="shared" si="129"/>
        <v>30008.000000000004</v>
      </c>
      <c r="AH1399" s="10">
        <v>29993</v>
      </c>
      <c r="AI1399" s="10">
        <v>1110.31</v>
      </c>
      <c r="AJ1399" s="10">
        <v>4.29</v>
      </c>
      <c r="AK1399" s="10">
        <v>0</v>
      </c>
      <c r="AL1399" s="9">
        <f t="shared" si="130"/>
        <v>28878.400000000001</v>
      </c>
      <c r="AM1399" s="1"/>
      <c r="AN1399" s="1"/>
      <c r="AO1399" s="12" t="e">
        <f>AB1399/#REF!</f>
        <v>#REF!</v>
      </c>
      <c r="AP1399" s="1"/>
      <c r="AQ1399" s="11">
        <v>42073</v>
      </c>
      <c r="AR1399" s="1" t="s">
        <v>3562</v>
      </c>
      <c r="AS1399" s="11">
        <v>42074</v>
      </c>
      <c r="AT1399" s="1" t="s">
        <v>49</v>
      </c>
      <c r="AU1399" s="1" t="s">
        <v>4171</v>
      </c>
    </row>
    <row r="1400" spans="1:47" ht="15" customHeight="1" x14ac:dyDescent="0.25">
      <c r="A1400" s="1">
        <v>1394</v>
      </c>
      <c r="B1400" s="1" t="s">
        <v>1258</v>
      </c>
      <c r="C1400" s="1" t="s">
        <v>38</v>
      </c>
      <c r="D1400" s="1">
        <v>9103551194</v>
      </c>
      <c r="E1400" s="5">
        <v>42054</v>
      </c>
      <c r="F1400" s="1" t="s">
        <v>3022</v>
      </c>
      <c r="G1400" s="1" t="s">
        <v>40</v>
      </c>
      <c r="H1400" s="1" t="s">
        <v>41</v>
      </c>
      <c r="I1400" s="1" t="s">
        <v>2809</v>
      </c>
      <c r="J1400" s="1" t="s">
        <v>42</v>
      </c>
      <c r="K1400" s="1">
        <v>29051700</v>
      </c>
      <c r="L1400" s="6">
        <v>15</v>
      </c>
      <c r="M1400" s="1" t="s">
        <v>70</v>
      </c>
      <c r="N1400" s="7" t="s">
        <v>44</v>
      </c>
      <c r="O1400" s="1" t="s">
        <v>53</v>
      </c>
      <c r="P1400" s="8">
        <v>1790</v>
      </c>
      <c r="Q1400" s="17">
        <f t="shared" si="128"/>
        <v>26850</v>
      </c>
      <c r="R1400" s="9">
        <v>550</v>
      </c>
      <c r="S1400" s="9">
        <v>3.84</v>
      </c>
      <c r="T1400" s="9">
        <v>0</v>
      </c>
      <c r="U1400" s="10">
        <v>0</v>
      </c>
      <c r="V1400" s="1" t="s">
        <v>46</v>
      </c>
      <c r="W1400" s="1" t="s">
        <v>143</v>
      </c>
      <c r="X1400" s="1">
        <v>7815316</v>
      </c>
      <c r="Y1400" s="11">
        <v>42049</v>
      </c>
      <c r="Z1400" s="11">
        <v>42051</v>
      </c>
      <c r="AA1400" s="9">
        <f t="shared" si="124"/>
        <v>26296.16</v>
      </c>
      <c r="AB1400" s="12">
        <v>61.45</v>
      </c>
      <c r="AC1400" s="9">
        <f t="shared" si="126"/>
        <v>1649932.5</v>
      </c>
      <c r="AD1400" s="9">
        <f t="shared" si="127"/>
        <v>1615899.0320000001</v>
      </c>
      <c r="AE1400" s="1" t="s">
        <v>48</v>
      </c>
      <c r="AF1400" s="1" t="s">
        <v>53</v>
      </c>
      <c r="AG1400" s="4">
        <f t="shared" si="129"/>
        <v>26850</v>
      </c>
      <c r="AH1400" s="10">
        <v>26850</v>
      </c>
      <c r="AI1400" s="9">
        <v>550</v>
      </c>
      <c r="AJ1400" s="9">
        <v>3.84</v>
      </c>
      <c r="AK1400" s="9">
        <v>0</v>
      </c>
      <c r="AL1400" s="9">
        <f t="shared" si="130"/>
        <v>26296.16</v>
      </c>
      <c r="AM1400" s="1"/>
      <c r="AN1400" s="1"/>
      <c r="AO1400" s="12" t="e">
        <f>AB1400/#REF!</f>
        <v>#REF!</v>
      </c>
      <c r="AP1400" s="1"/>
      <c r="AQ1400" s="11">
        <v>42086</v>
      </c>
      <c r="AR1400" s="1" t="s">
        <v>3563</v>
      </c>
      <c r="AS1400" s="11">
        <v>42088</v>
      </c>
      <c r="AT1400" s="1" t="s">
        <v>49</v>
      </c>
      <c r="AU1400" s="1" t="s">
        <v>4171</v>
      </c>
    </row>
    <row r="1401" spans="1:47" ht="15" customHeight="1" x14ac:dyDescent="0.25">
      <c r="A1401" s="1">
        <v>1395</v>
      </c>
      <c r="B1401" s="1" t="s">
        <v>1258</v>
      </c>
      <c r="C1401" s="1" t="s">
        <v>38</v>
      </c>
      <c r="D1401" s="1">
        <v>9103551195</v>
      </c>
      <c r="E1401" s="5">
        <v>42055</v>
      </c>
      <c r="F1401" s="1" t="s">
        <v>3023</v>
      </c>
      <c r="G1401" s="1" t="s">
        <v>40</v>
      </c>
      <c r="H1401" s="1" t="s">
        <v>41</v>
      </c>
      <c r="I1401" s="1" t="s">
        <v>2809</v>
      </c>
      <c r="J1401" s="1" t="s">
        <v>187</v>
      </c>
      <c r="K1401" s="1">
        <v>29051700</v>
      </c>
      <c r="L1401" s="6">
        <v>72.56</v>
      </c>
      <c r="M1401" s="1" t="s">
        <v>70</v>
      </c>
      <c r="N1401" s="7" t="s">
        <v>44</v>
      </c>
      <c r="O1401" s="1" t="s">
        <v>53</v>
      </c>
      <c r="P1401" s="8">
        <v>1765</v>
      </c>
      <c r="Q1401" s="17">
        <f t="shared" si="128"/>
        <v>128068.40000000001</v>
      </c>
      <c r="R1401" s="9">
        <v>10320</v>
      </c>
      <c r="S1401" s="9">
        <v>18.309999999999999</v>
      </c>
      <c r="T1401" s="9">
        <v>0</v>
      </c>
      <c r="U1401" s="10">
        <v>0</v>
      </c>
      <c r="V1401" s="1" t="s">
        <v>46</v>
      </c>
      <c r="W1401" s="1" t="s">
        <v>56</v>
      </c>
      <c r="X1401" s="1">
        <v>7815816</v>
      </c>
      <c r="Y1401" s="11">
        <v>42049</v>
      </c>
      <c r="Z1401" s="11">
        <v>42051</v>
      </c>
      <c r="AA1401" s="9">
        <f t="shared" si="124"/>
        <v>117730.09000000001</v>
      </c>
      <c r="AB1401" s="12">
        <v>61.45</v>
      </c>
      <c r="AC1401" s="9">
        <f t="shared" si="126"/>
        <v>7869803.1800000006</v>
      </c>
      <c r="AD1401" s="9">
        <f t="shared" si="127"/>
        <v>7234514.0305000013</v>
      </c>
      <c r="AE1401" s="1" t="s">
        <v>48</v>
      </c>
      <c r="AF1401" s="1" t="s">
        <v>53</v>
      </c>
      <c r="AG1401" s="4">
        <f t="shared" si="129"/>
        <v>128068.40000000001</v>
      </c>
      <c r="AH1401" s="10">
        <v>128068.4</v>
      </c>
      <c r="AI1401" s="9">
        <v>11568</v>
      </c>
      <c r="AJ1401" s="9">
        <v>18.309999999999999</v>
      </c>
      <c r="AK1401" s="9">
        <v>0</v>
      </c>
      <c r="AL1401" s="9">
        <f t="shared" si="130"/>
        <v>116482.09</v>
      </c>
      <c r="AM1401" s="1"/>
      <c r="AN1401" s="1"/>
      <c r="AO1401" s="12" t="e">
        <f>AB1401/#REF!</f>
        <v>#REF!</v>
      </c>
      <c r="AP1401" s="1"/>
      <c r="AQ1401" s="11">
        <v>42123</v>
      </c>
      <c r="AR1401" s="1" t="s">
        <v>3564</v>
      </c>
      <c r="AS1401" s="11">
        <v>42124</v>
      </c>
      <c r="AT1401" s="1" t="s">
        <v>49</v>
      </c>
      <c r="AU1401" s="1" t="s">
        <v>4171</v>
      </c>
    </row>
    <row r="1402" spans="1:47" ht="15" customHeight="1" x14ac:dyDescent="0.25">
      <c r="A1402" s="1">
        <v>1396</v>
      </c>
      <c r="B1402" s="1" t="s">
        <v>1258</v>
      </c>
      <c r="C1402" s="1" t="s">
        <v>38</v>
      </c>
      <c r="D1402" s="1">
        <v>9103551196</v>
      </c>
      <c r="E1402" s="5">
        <v>42054</v>
      </c>
      <c r="F1402" s="1" t="s">
        <v>3024</v>
      </c>
      <c r="G1402" s="1" t="s">
        <v>40</v>
      </c>
      <c r="H1402" s="1" t="s">
        <v>41</v>
      </c>
      <c r="I1402" s="1" t="s">
        <v>2809</v>
      </c>
      <c r="J1402" s="1" t="s">
        <v>63</v>
      </c>
      <c r="K1402" s="1">
        <v>29161990</v>
      </c>
      <c r="L1402" s="6">
        <v>19.8</v>
      </c>
      <c r="M1402" s="1" t="s">
        <v>70</v>
      </c>
      <c r="N1402" s="7" t="s">
        <v>44</v>
      </c>
      <c r="O1402" s="1" t="s">
        <v>53</v>
      </c>
      <c r="P1402" s="8">
        <v>2615</v>
      </c>
      <c r="Q1402" s="17">
        <f t="shared" si="128"/>
        <v>51777</v>
      </c>
      <c r="R1402" s="9">
        <v>360</v>
      </c>
      <c r="S1402" s="9">
        <v>7.4</v>
      </c>
      <c r="T1402" s="9">
        <v>0</v>
      </c>
      <c r="U1402" s="10">
        <v>0</v>
      </c>
      <c r="V1402" s="1" t="s">
        <v>46</v>
      </c>
      <c r="W1402" s="1" t="s">
        <v>64</v>
      </c>
      <c r="X1402" s="1">
        <v>7816613</v>
      </c>
      <c r="Y1402" s="11">
        <v>42049</v>
      </c>
      <c r="Z1402" s="11">
        <v>42051</v>
      </c>
      <c r="AA1402" s="9">
        <f t="shared" si="124"/>
        <v>51409.599999999999</v>
      </c>
      <c r="AB1402" s="12">
        <v>61.45</v>
      </c>
      <c r="AC1402" s="9">
        <f t="shared" si="126"/>
        <v>3181696.6500000004</v>
      </c>
      <c r="AD1402" s="9">
        <f t="shared" si="127"/>
        <v>3159119.92</v>
      </c>
      <c r="AE1402" s="1" t="s">
        <v>51</v>
      </c>
      <c r="AF1402" s="1" t="s">
        <v>53</v>
      </c>
      <c r="AG1402" s="4">
        <f t="shared" si="129"/>
        <v>51777</v>
      </c>
      <c r="AH1402" s="10">
        <v>51736</v>
      </c>
      <c r="AI1402" s="10">
        <v>360</v>
      </c>
      <c r="AJ1402" s="10">
        <v>7.4</v>
      </c>
      <c r="AK1402" s="10">
        <v>0</v>
      </c>
      <c r="AL1402" s="9">
        <f t="shared" si="130"/>
        <v>51368.6</v>
      </c>
      <c r="AM1402" s="1"/>
      <c r="AN1402" s="1"/>
      <c r="AO1402" s="12" t="e">
        <f>AB1402/#REF!</f>
        <v>#REF!</v>
      </c>
      <c r="AP1402" s="1"/>
      <c r="AQ1402" s="11">
        <v>42073</v>
      </c>
      <c r="AR1402" s="1" t="s">
        <v>3664</v>
      </c>
      <c r="AS1402" s="11">
        <v>42073</v>
      </c>
      <c r="AT1402" s="1" t="s">
        <v>49</v>
      </c>
      <c r="AU1402" s="1" t="s">
        <v>4171</v>
      </c>
    </row>
    <row r="1403" spans="1:47" ht="15" customHeight="1" x14ac:dyDescent="0.25">
      <c r="A1403" s="1">
        <v>1397</v>
      </c>
      <c r="B1403" s="1" t="s">
        <v>1258</v>
      </c>
      <c r="C1403" s="1" t="s">
        <v>38</v>
      </c>
      <c r="D1403" s="1">
        <v>9103551197</v>
      </c>
      <c r="E1403" s="5">
        <v>42054</v>
      </c>
      <c r="F1403" s="1" t="s">
        <v>3025</v>
      </c>
      <c r="G1403" s="1" t="s">
        <v>40</v>
      </c>
      <c r="H1403" s="1" t="s">
        <v>41</v>
      </c>
      <c r="I1403" s="1" t="s">
        <v>2809</v>
      </c>
      <c r="J1403" s="1" t="s">
        <v>63</v>
      </c>
      <c r="K1403" s="1">
        <v>29161990</v>
      </c>
      <c r="L1403" s="6">
        <v>78.900000000000006</v>
      </c>
      <c r="M1403" s="1" t="s">
        <v>70</v>
      </c>
      <c r="N1403" s="7" t="s">
        <v>44</v>
      </c>
      <c r="O1403" s="1" t="s">
        <v>53</v>
      </c>
      <c r="P1403" s="8">
        <v>2615</v>
      </c>
      <c r="Q1403" s="17">
        <f t="shared" si="128"/>
        <v>206323.50000000003</v>
      </c>
      <c r="R1403" s="9">
        <v>1440</v>
      </c>
      <c r="S1403" s="9">
        <v>29.5</v>
      </c>
      <c r="T1403" s="9">
        <v>0</v>
      </c>
      <c r="U1403" s="10">
        <v>0</v>
      </c>
      <c r="V1403" s="1" t="s">
        <v>46</v>
      </c>
      <c r="W1403" s="1" t="s">
        <v>64</v>
      </c>
      <c r="X1403" s="1">
        <v>7816626</v>
      </c>
      <c r="Y1403" s="11">
        <v>42049</v>
      </c>
      <c r="Z1403" s="11">
        <v>42051</v>
      </c>
      <c r="AA1403" s="9">
        <f t="shared" si="124"/>
        <v>204854.00000000003</v>
      </c>
      <c r="AB1403" s="12">
        <v>61.45</v>
      </c>
      <c r="AC1403" s="9">
        <f t="shared" si="126"/>
        <v>12678579.075000003</v>
      </c>
      <c r="AD1403" s="9">
        <f t="shared" si="127"/>
        <v>12588278.300000003</v>
      </c>
      <c r="AE1403" s="1" t="s">
        <v>51</v>
      </c>
      <c r="AF1403" s="1" t="s">
        <v>53</v>
      </c>
      <c r="AG1403" s="4">
        <f t="shared" si="129"/>
        <v>206323.50000000003</v>
      </c>
      <c r="AH1403" s="10">
        <v>206323</v>
      </c>
      <c r="AI1403" s="10">
        <v>1440</v>
      </c>
      <c r="AJ1403" s="10">
        <v>29.5</v>
      </c>
      <c r="AK1403" s="10">
        <v>0</v>
      </c>
      <c r="AL1403" s="9">
        <f t="shared" si="130"/>
        <v>204853.5</v>
      </c>
      <c r="AM1403" s="1"/>
      <c r="AN1403" s="1"/>
      <c r="AO1403" s="12" t="e">
        <f>AB1403/#REF!</f>
        <v>#REF!</v>
      </c>
      <c r="AP1403" s="1"/>
      <c r="AQ1403" s="11">
        <v>42073</v>
      </c>
      <c r="AR1403" s="1" t="s">
        <v>3665</v>
      </c>
      <c r="AS1403" s="11">
        <v>42073</v>
      </c>
      <c r="AT1403" s="1" t="s">
        <v>49</v>
      </c>
      <c r="AU1403" s="1" t="s">
        <v>4171</v>
      </c>
    </row>
    <row r="1404" spans="1:47" ht="15" customHeight="1" x14ac:dyDescent="0.25">
      <c r="A1404" s="1">
        <v>1398</v>
      </c>
      <c r="B1404" s="1" t="s">
        <v>1258</v>
      </c>
      <c r="C1404" s="1" t="s">
        <v>38</v>
      </c>
      <c r="D1404" s="1">
        <v>9103551198</v>
      </c>
      <c r="E1404" s="5">
        <v>42054</v>
      </c>
      <c r="F1404" s="1" t="s">
        <v>3026</v>
      </c>
      <c r="G1404" s="1" t="s">
        <v>40</v>
      </c>
      <c r="H1404" s="1" t="s">
        <v>41</v>
      </c>
      <c r="I1404" s="1" t="s">
        <v>2809</v>
      </c>
      <c r="J1404" s="1" t="s">
        <v>142</v>
      </c>
      <c r="K1404" s="1">
        <v>38237090</v>
      </c>
      <c r="L1404" s="6">
        <v>72</v>
      </c>
      <c r="M1404" s="1" t="s">
        <v>70</v>
      </c>
      <c r="N1404" s="7" t="s">
        <v>52</v>
      </c>
      <c r="O1404" s="1" t="s">
        <v>53</v>
      </c>
      <c r="P1404" s="8">
        <v>1420</v>
      </c>
      <c r="Q1404" s="17">
        <f t="shared" si="128"/>
        <v>102240</v>
      </c>
      <c r="R1404" s="9">
        <v>3300</v>
      </c>
      <c r="S1404" s="9">
        <v>0</v>
      </c>
      <c r="T1404" s="9">
        <v>1922.4</v>
      </c>
      <c r="U1404" s="10">
        <v>0</v>
      </c>
      <c r="V1404" s="1" t="s">
        <v>46</v>
      </c>
      <c r="W1404" s="1" t="s">
        <v>143</v>
      </c>
      <c r="X1404" s="1">
        <v>7844032</v>
      </c>
      <c r="Y1404" s="11">
        <v>42051</v>
      </c>
      <c r="Z1404" s="11">
        <v>42053</v>
      </c>
      <c r="AA1404" s="9">
        <f t="shared" si="124"/>
        <v>98940</v>
      </c>
      <c r="AB1404" s="12">
        <v>61.45</v>
      </c>
      <c r="AC1404" s="9">
        <f t="shared" si="126"/>
        <v>6282648</v>
      </c>
      <c r="AD1404" s="9">
        <f t="shared" si="127"/>
        <v>6079863</v>
      </c>
      <c r="AE1404" s="1" t="s">
        <v>48</v>
      </c>
      <c r="AF1404" s="1" t="s">
        <v>53</v>
      </c>
      <c r="AG1404" s="4">
        <f t="shared" si="129"/>
        <v>102240</v>
      </c>
      <c r="AH1404" s="10">
        <v>102225</v>
      </c>
      <c r="AI1404" s="10">
        <v>3300</v>
      </c>
      <c r="AJ1404" s="10">
        <v>0</v>
      </c>
      <c r="AK1404" s="10">
        <v>1922.4</v>
      </c>
      <c r="AL1404" s="9">
        <f t="shared" si="130"/>
        <v>97002.6</v>
      </c>
      <c r="AM1404" s="1"/>
      <c r="AN1404" s="1"/>
      <c r="AO1404" s="12" t="e">
        <f>AB1404/#REF!</f>
        <v>#REF!</v>
      </c>
      <c r="AP1404" s="1"/>
      <c r="AQ1404" s="11">
        <v>42066</v>
      </c>
      <c r="AR1404" s="1" t="s">
        <v>3565</v>
      </c>
      <c r="AS1404" s="11">
        <v>42067</v>
      </c>
      <c r="AT1404" s="1" t="s">
        <v>49</v>
      </c>
      <c r="AU1404" s="1" t="s">
        <v>4171</v>
      </c>
    </row>
    <row r="1405" spans="1:47" ht="15" customHeight="1" x14ac:dyDescent="0.25">
      <c r="A1405" s="1">
        <v>1399</v>
      </c>
      <c r="B1405" s="1" t="s">
        <v>1258</v>
      </c>
      <c r="C1405" s="1" t="s">
        <v>38</v>
      </c>
      <c r="D1405" s="1">
        <v>9103551199</v>
      </c>
      <c r="E1405" s="5">
        <v>42051</v>
      </c>
      <c r="F1405" s="1" t="s">
        <v>3027</v>
      </c>
      <c r="G1405" s="1" t="s">
        <v>40</v>
      </c>
      <c r="H1405" s="1" t="s">
        <v>41</v>
      </c>
      <c r="I1405" s="1" t="s">
        <v>2809</v>
      </c>
      <c r="J1405" s="1" t="s">
        <v>2708</v>
      </c>
      <c r="K1405" s="1">
        <v>29161990</v>
      </c>
      <c r="L1405" s="6">
        <v>57.6</v>
      </c>
      <c r="M1405" s="1" t="s">
        <v>70</v>
      </c>
      <c r="N1405" s="7" t="s">
        <v>44</v>
      </c>
      <c r="O1405" s="1" t="s">
        <v>53</v>
      </c>
      <c r="P1405" s="8">
        <v>2694</v>
      </c>
      <c r="Q1405" s="17">
        <f t="shared" si="128"/>
        <v>155174.39999999999</v>
      </c>
      <c r="R1405" s="9">
        <v>200</v>
      </c>
      <c r="S1405" s="9">
        <v>22.19</v>
      </c>
      <c r="T1405" s="9">
        <v>0</v>
      </c>
      <c r="U1405" s="10">
        <v>0</v>
      </c>
      <c r="V1405" s="1" t="s">
        <v>46</v>
      </c>
      <c r="W1405" s="1" t="s">
        <v>54</v>
      </c>
      <c r="X1405" s="1">
        <v>7847539</v>
      </c>
      <c r="Y1405" s="11">
        <v>42051</v>
      </c>
      <c r="Z1405" s="11">
        <v>42053</v>
      </c>
      <c r="AA1405" s="9">
        <f t="shared" si="124"/>
        <v>154952.21</v>
      </c>
      <c r="AB1405" s="12">
        <v>61.45</v>
      </c>
      <c r="AC1405" s="9">
        <f t="shared" si="126"/>
        <v>9535466.8800000008</v>
      </c>
      <c r="AD1405" s="9">
        <f t="shared" si="127"/>
        <v>9521813.3045000006</v>
      </c>
      <c r="AE1405" s="1" t="s">
        <v>48</v>
      </c>
      <c r="AF1405" s="1" t="s">
        <v>53</v>
      </c>
      <c r="AG1405" s="4">
        <f t="shared" si="129"/>
        <v>155174.39999999999</v>
      </c>
      <c r="AH1405" s="10">
        <v>155049.4</v>
      </c>
      <c r="AI1405" s="10">
        <v>100</v>
      </c>
      <c r="AJ1405" s="10">
        <v>22.19</v>
      </c>
      <c r="AK1405" s="10">
        <v>0</v>
      </c>
      <c r="AL1405" s="9">
        <f t="shared" si="130"/>
        <v>154927.21</v>
      </c>
      <c r="AM1405" s="1"/>
      <c r="AN1405" s="1"/>
      <c r="AO1405" s="12" t="e">
        <f>AB1405/#REF!</f>
        <v>#REF!</v>
      </c>
      <c r="AP1405" s="1"/>
      <c r="AQ1405" s="11">
        <v>42072</v>
      </c>
      <c r="AR1405" s="1" t="s">
        <v>3566</v>
      </c>
      <c r="AS1405" s="11">
        <v>42073</v>
      </c>
      <c r="AT1405" s="1" t="s">
        <v>49</v>
      </c>
      <c r="AU1405" s="1" t="s">
        <v>4171</v>
      </c>
    </row>
    <row r="1406" spans="1:47" ht="15" customHeight="1" x14ac:dyDescent="0.25">
      <c r="A1406" s="1">
        <v>1400</v>
      </c>
      <c r="B1406" s="1" t="s">
        <v>1258</v>
      </c>
      <c r="C1406" s="1" t="s">
        <v>38</v>
      </c>
      <c r="D1406" s="1">
        <v>9103551200</v>
      </c>
      <c r="E1406" s="5">
        <v>42058</v>
      </c>
      <c r="F1406" s="1" t="s">
        <v>3288</v>
      </c>
      <c r="G1406" s="1" t="s">
        <v>40</v>
      </c>
      <c r="H1406" s="1" t="s">
        <v>41</v>
      </c>
      <c r="I1406" s="1" t="s">
        <v>2809</v>
      </c>
      <c r="J1406" s="1" t="s">
        <v>3289</v>
      </c>
      <c r="K1406" s="1">
        <v>38237090</v>
      </c>
      <c r="L1406" s="6">
        <v>3</v>
      </c>
      <c r="M1406" s="1" t="s">
        <v>70</v>
      </c>
      <c r="N1406" s="7" t="s">
        <v>67</v>
      </c>
      <c r="O1406" s="1" t="s">
        <v>53</v>
      </c>
      <c r="P1406" s="8">
        <v>1520</v>
      </c>
      <c r="Q1406" s="17">
        <f t="shared" si="128"/>
        <v>4560</v>
      </c>
      <c r="R1406" s="9">
        <v>0</v>
      </c>
      <c r="S1406" s="9">
        <v>0</v>
      </c>
      <c r="T1406" s="9">
        <v>0</v>
      </c>
      <c r="U1406" s="10">
        <v>0</v>
      </c>
      <c r="V1406" s="1" t="s">
        <v>46</v>
      </c>
      <c r="W1406" s="1" t="s">
        <v>3290</v>
      </c>
      <c r="X1406" s="1">
        <v>7837885</v>
      </c>
      <c r="Y1406" s="11">
        <v>42051</v>
      </c>
      <c r="Z1406" s="11">
        <v>42053</v>
      </c>
      <c r="AA1406" s="9">
        <f t="shared" si="124"/>
        <v>4560</v>
      </c>
      <c r="AB1406" s="12">
        <v>61.45</v>
      </c>
      <c r="AC1406" s="9">
        <f t="shared" si="126"/>
        <v>280212</v>
      </c>
      <c r="AD1406" s="9">
        <f t="shared" si="127"/>
        <v>280212</v>
      </c>
      <c r="AE1406" s="1" t="s">
        <v>48</v>
      </c>
      <c r="AF1406" s="1" t="s">
        <v>53</v>
      </c>
      <c r="AG1406" s="4">
        <f t="shared" si="129"/>
        <v>4560</v>
      </c>
      <c r="AH1406" s="10">
        <v>4560</v>
      </c>
      <c r="AI1406" s="10">
        <v>0</v>
      </c>
      <c r="AJ1406" s="10">
        <v>0</v>
      </c>
      <c r="AK1406" s="10">
        <v>0</v>
      </c>
      <c r="AL1406" s="9">
        <f t="shared" si="130"/>
        <v>4560</v>
      </c>
      <c r="AM1406" s="1"/>
      <c r="AN1406" s="1"/>
      <c r="AO1406" s="12" t="e">
        <f>AB1406/#REF!</f>
        <v>#REF!</v>
      </c>
      <c r="AP1406" s="1"/>
      <c r="AQ1406" s="11">
        <v>42088</v>
      </c>
      <c r="AR1406" s="1" t="s">
        <v>3567</v>
      </c>
      <c r="AS1406" s="11">
        <v>42090</v>
      </c>
      <c r="AT1406" s="1" t="s">
        <v>49</v>
      </c>
      <c r="AU1406" s="1" t="s">
        <v>4171</v>
      </c>
    </row>
    <row r="1407" spans="1:47" ht="15" customHeight="1" x14ac:dyDescent="0.25">
      <c r="A1407" s="1">
        <v>1401</v>
      </c>
      <c r="B1407" s="1" t="s">
        <v>1258</v>
      </c>
      <c r="C1407" s="1" t="s">
        <v>38</v>
      </c>
      <c r="D1407" s="1">
        <v>9103551200</v>
      </c>
      <c r="E1407" s="5">
        <v>42058</v>
      </c>
      <c r="F1407" s="1" t="s">
        <v>3288</v>
      </c>
      <c r="G1407" s="1" t="s">
        <v>40</v>
      </c>
      <c r="H1407" s="1" t="s">
        <v>41</v>
      </c>
      <c r="I1407" s="1" t="s">
        <v>2809</v>
      </c>
      <c r="J1407" s="1" t="s">
        <v>3289</v>
      </c>
      <c r="K1407" s="1">
        <v>29051700</v>
      </c>
      <c r="L1407" s="6">
        <v>9</v>
      </c>
      <c r="M1407" s="1" t="s">
        <v>70</v>
      </c>
      <c r="N1407" s="7" t="s">
        <v>67</v>
      </c>
      <c r="O1407" s="1" t="s">
        <v>53</v>
      </c>
      <c r="P1407" s="8">
        <v>1645</v>
      </c>
      <c r="Q1407" s="17">
        <f t="shared" si="128"/>
        <v>14805</v>
      </c>
      <c r="R1407" s="9">
        <v>0</v>
      </c>
      <c r="S1407" s="9">
        <v>0</v>
      </c>
      <c r="T1407" s="9">
        <v>0</v>
      </c>
      <c r="U1407" s="10">
        <v>0</v>
      </c>
      <c r="V1407" s="1" t="s">
        <v>46</v>
      </c>
      <c r="W1407" s="1" t="s">
        <v>3290</v>
      </c>
      <c r="X1407" s="1">
        <v>7837885</v>
      </c>
      <c r="Y1407" s="11">
        <v>42051</v>
      </c>
      <c r="Z1407" s="11">
        <v>42053</v>
      </c>
      <c r="AA1407" s="9">
        <f t="shared" si="124"/>
        <v>14805</v>
      </c>
      <c r="AB1407" s="12">
        <v>61.45</v>
      </c>
      <c r="AC1407" s="9">
        <f t="shared" si="126"/>
        <v>909767.25</v>
      </c>
      <c r="AD1407" s="9">
        <f t="shared" si="127"/>
        <v>909767.25</v>
      </c>
      <c r="AE1407" s="1" t="s">
        <v>48</v>
      </c>
      <c r="AF1407" s="1" t="s">
        <v>53</v>
      </c>
      <c r="AG1407" s="4">
        <f t="shared" si="129"/>
        <v>14805</v>
      </c>
      <c r="AH1407" s="10">
        <v>14805</v>
      </c>
      <c r="AI1407" s="10">
        <v>0</v>
      </c>
      <c r="AJ1407" s="10">
        <v>0</v>
      </c>
      <c r="AK1407" s="10">
        <v>0</v>
      </c>
      <c r="AL1407" s="9">
        <f t="shared" si="130"/>
        <v>14805</v>
      </c>
      <c r="AM1407" s="1"/>
      <c r="AN1407" s="1"/>
      <c r="AO1407" s="12" t="e">
        <f>AB1407/#REF!</f>
        <v>#REF!</v>
      </c>
      <c r="AP1407" s="1"/>
      <c r="AQ1407" s="11">
        <v>42088</v>
      </c>
      <c r="AR1407" s="1" t="s">
        <v>3567</v>
      </c>
      <c r="AS1407" s="11">
        <v>42090</v>
      </c>
      <c r="AT1407" s="1" t="s">
        <v>49</v>
      </c>
      <c r="AU1407" s="1" t="s">
        <v>4171</v>
      </c>
    </row>
    <row r="1408" spans="1:47" ht="15" customHeight="1" x14ac:dyDescent="0.25">
      <c r="A1408" s="1">
        <v>1402</v>
      </c>
      <c r="B1408" s="1" t="s">
        <v>1258</v>
      </c>
      <c r="C1408" s="1" t="s">
        <v>38</v>
      </c>
      <c r="D1408" s="1" t="s">
        <v>3028</v>
      </c>
      <c r="E1408" s="5">
        <v>42051</v>
      </c>
      <c r="F1408" s="1" t="s">
        <v>3029</v>
      </c>
      <c r="G1408" s="1" t="s">
        <v>40</v>
      </c>
      <c r="H1408" s="1" t="s">
        <v>41</v>
      </c>
      <c r="I1408" s="1" t="s">
        <v>2809</v>
      </c>
      <c r="J1408" s="1" t="s">
        <v>2660</v>
      </c>
      <c r="K1408" s="1">
        <v>38237090</v>
      </c>
      <c r="L1408" s="6">
        <v>39.56</v>
      </c>
      <c r="M1408" s="1" t="s">
        <v>70</v>
      </c>
      <c r="N1408" s="7" t="s">
        <v>52</v>
      </c>
      <c r="O1408" s="1" t="s">
        <v>53</v>
      </c>
      <c r="P1408" s="8">
        <v>1235</v>
      </c>
      <c r="Q1408" s="17">
        <f t="shared" si="128"/>
        <v>48856.600000000006</v>
      </c>
      <c r="R1408" s="9">
        <v>1300</v>
      </c>
      <c r="S1408" s="9">
        <v>0</v>
      </c>
      <c r="T1408" s="9">
        <v>0</v>
      </c>
      <c r="U1408" s="10">
        <v>0</v>
      </c>
      <c r="V1408" s="1" t="s">
        <v>46</v>
      </c>
      <c r="W1408" s="1" t="s">
        <v>64</v>
      </c>
      <c r="X1408" s="1">
        <v>7843993</v>
      </c>
      <c r="Y1408" s="11">
        <v>42051</v>
      </c>
      <c r="Z1408" s="11">
        <v>42053</v>
      </c>
      <c r="AA1408" s="9">
        <f t="shared" si="124"/>
        <v>47556.600000000006</v>
      </c>
      <c r="AB1408" s="12">
        <v>61.45</v>
      </c>
      <c r="AC1408" s="9">
        <f t="shared" si="126"/>
        <v>3002238.0700000003</v>
      </c>
      <c r="AD1408" s="9">
        <f t="shared" si="127"/>
        <v>2922353.0700000003</v>
      </c>
      <c r="AE1408" s="1" t="s">
        <v>48</v>
      </c>
      <c r="AF1408" s="1" t="s">
        <v>53</v>
      </c>
      <c r="AG1408" s="4">
        <f t="shared" si="129"/>
        <v>48856.600000000006</v>
      </c>
      <c r="AH1408" s="10">
        <v>48856.6</v>
      </c>
      <c r="AI1408" s="10">
        <v>1300</v>
      </c>
      <c r="AJ1408" s="10">
        <v>0</v>
      </c>
      <c r="AK1408" s="10">
        <v>0</v>
      </c>
      <c r="AL1408" s="9">
        <f t="shared" si="130"/>
        <v>47556.6</v>
      </c>
      <c r="AM1408" s="1"/>
      <c r="AN1408" s="1"/>
      <c r="AO1408" s="12" t="e">
        <f>AB1408/#REF!</f>
        <v>#REF!</v>
      </c>
      <c r="AP1408" s="1"/>
      <c r="AQ1408" s="11">
        <v>42089</v>
      </c>
      <c r="AR1408" s="1" t="s">
        <v>3568</v>
      </c>
      <c r="AS1408" s="11">
        <v>42090</v>
      </c>
      <c r="AT1408" s="1" t="s">
        <v>49</v>
      </c>
      <c r="AU1408" s="1" t="s">
        <v>4171</v>
      </c>
    </row>
    <row r="1409" spans="1:47" ht="15" customHeight="1" x14ac:dyDescent="0.25">
      <c r="A1409" s="1">
        <v>1403</v>
      </c>
      <c r="B1409" s="1" t="s">
        <v>1258</v>
      </c>
      <c r="C1409" s="1" t="s">
        <v>38</v>
      </c>
      <c r="D1409" s="1" t="s">
        <v>3028</v>
      </c>
      <c r="E1409" s="5">
        <v>42051</v>
      </c>
      <c r="F1409" s="1" t="s">
        <v>3030</v>
      </c>
      <c r="G1409" s="1" t="s">
        <v>40</v>
      </c>
      <c r="H1409" s="1" t="s">
        <v>41</v>
      </c>
      <c r="I1409" s="1" t="s">
        <v>2809</v>
      </c>
      <c r="J1409" s="1" t="s">
        <v>2660</v>
      </c>
      <c r="K1409" s="1">
        <v>38237090</v>
      </c>
      <c r="L1409" s="6">
        <v>18.920000000000002</v>
      </c>
      <c r="M1409" s="1" t="s">
        <v>70</v>
      </c>
      <c r="N1409" s="7" t="s">
        <v>52</v>
      </c>
      <c r="O1409" s="1" t="s">
        <v>53</v>
      </c>
      <c r="P1409" s="8">
        <v>1235</v>
      </c>
      <c r="Q1409" s="17">
        <f t="shared" si="128"/>
        <v>23366.2</v>
      </c>
      <c r="R1409" s="9">
        <v>650</v>
      </c>
      <c r="S1409" s="9">
        <v>0</v>
      </c>
      <c r="T1409" s="9">
        <v>0</v>
      </c>
      <c r="U1409" s="10">
        <v>0</v>
      </c>
      <c r="V1409" s="1" t="s">
        <v>46</v>
      </c>
      <c r="W1409" s="1" t="s">
        <v>64</v>
      </c>
      <c r="X1409" s="1">
        <v>7854050</v>
      </c>
      <c r="Y1409" s="11">
        <v>42052</v>
      </c>
      <c r="Z1409" s="11">
        <v>42053</v>
      </c>
      <c r="AA1409" s="9">
        <f t="shared" si="124"/>
        <v>22716.2</v>
      </c>
      <c r="AB1409" s="12">
        <v>61.45</v>
      </c>
      <c r="AC1409" s="9">
        <f t="shared" si="126"/>
        <v>1435852.9900000002</v>
      </c>
      <c r="AD1409" s="9">
        <f t="shared" si="127"/>
        <v>1395910.4900000002</v>
      </c>
      <c r="AE1409" s="1" t="s">
        <v>48</v>
      </c>
      <c r="AF1409" s="1" t="s">
        <v>53</v>
      </c>
      <c r="AG1409" s="4">
        <f t="shared" si="129"/>
        <v>23366.2</v>
      </c>
      <c r="AH1409" s="10">
        <v>23366.2</v>
      </c>
      <c r="AI1409" s="10">
        <v>650</v>
      </c>
      <c r="AJ1409" s="10">
        <v>0</v>
      </c>
      <c r="AK1409" s="10">
        <v>0</v>
      </c>
      <c r="AL1409" s="9">
        <f t="shared" si="130"/>
        <v>22716.2</v>
      </c>
      <c r="AM1409" s="1"/>
      <c r="AN1409" s="1"/>
      <c r="AO1409" s="12" t="e">
        <f>AB1409/#REF!</f>
        <v>#REF!</v>
      </c>
      <c r="AP1409" s="1"/>
      <c r="AQ1409" s="11">
        <v>42089</v>
      </c>
      <c r="AR1409" s="1" t="s">
        <v>3569</v>
      </c>
      <c r="AS1409" s="11">
        <v>42090</v>
      </c>
      <c r="AT1409" s="1" t="s">
        <v>49</v>
      </c>
      <c r="AU1409" s="1" t="s">
        <v>4171</v>
      </c>
    </row>
    <row r="1410" spans="1:47" ht="15" customHeight="1" x14ac:dyDescent="0.25">
      <c r="A1410" s="1">
        <v>1404</v>
      </c>
      <c r="B1410" s="1" t="s">
        <v>1258</v>
      </c>
      <c r="C1410" s="1" t="s">
        <v>38</v>
      </c>
      <c r="D1410" s="1">
        <v>9103551203</v>
      </c>
      <c r="E1410" s="5">
        <v>42062</v>
      </c>
      <c r="F1410" s="1" t="s">
        <v>3031</v>
      </c>
      <c r="G1410" s="1" t="s">
        <v>40</v>
      </c>
      <c r="H1410" s="1" t="s">
        <v>41</v>
      </c>
      <c r="I1410" s="1" t="s">
        <v>2809</v>
      </c>
      <c r="J1410" s="1" t="s">
        <v>187</v>
      </c>
      <c r="K1410" s="1">
        <v>38237090</v>
      </c>
      <c r="L1410" s="6">
        <v>36.28</v>
      </c>
      <c r="M1410" s="1" t="s">
        <v>70</v>
      </c>
      <c r="N1410" s="7" t="s">
        <v>44</v>
      </c>
      <c r="O1410" s="1" t="s">
        <v>53</v>
      </c>
      <c r="P1410" s="8">
        <v>1603</v>
      </c>
      <c r="Q1410" s="17">
        <f t="shared" si="128"/>
        <v>58156.840000000004</v>
      </c>
      <c r="R1410" s="9">
        <v>6620</v>
      </c>
      <c r="S1410" s="9">
        <v>8.32</v>
      </c>
      <c r="T1410" s="9">
        <v>0</v>
      </c>
      <c r="U1410" s="10">
        <v>0</v>
      </c>
      <c r="V1410" s="1" t="s">
        <v>46</v>
      </c>
      <c r="W1410" s="1" t="s">
        <v>56</v>
      </c>
      <c r="X1410" s="1">
        <v>7857876</v>
      </c>
      <c r="Y1410" s="11">
        <v>42052</v>
      </c>
      <c r="Z1410" s="11">
        <v>42056</v>
      </c>
      <c r="AA1410" s="9">
        <f t="shared" ref="AA1410:AA1482" si="131">Q1410-R1410-S1410</f>
        <v>51528.520000000004</v>
      </c>
      <c r="AB1410" s="12">
        <v>61.45</v>
      </c>
      <c r="AC1410" s="9">
        <f t="shared" si="126"/>
        <v>3573737.8180000004</v>
      </c>
      <c r="AD1410" s="9">
        <f t="shared" si="127"/>
        <v>3166427.5540000005</v>
      </c>
      <c r="AE1410" s="1" t="s">
        <v>48</v>
      </c>
      <c r="AF1410" s="1" t="s">
        <v>53</v>
      </c>
      <c r="AG1410" s="4">
        <f t="shared" si="129"/>
        <v>58156.840000000004</v>
      </c>
      <c r="AH1410" s="10">
        <v>58156.84</v>
      </c>
      <c r="AI1410" s="10">
        <v>7064</v>
      </c>
      <c r="AJ1410" s="10">
        <v>8.32</v>
      </c>
      <c r="AK1410" s="10">
        <v>0</v>
      </c>
      <c r="AL1410" s="9">
        <f t="shared" si="130"/>
        <v>51084.52</v>
      </c>
      <c r="AM1410" s="1"/>
      <c r="AN1410" s="1"/>
      <c r="AO1410" s="12" t="e">
        <f>AB1410/#REF!</f>
        <v>#REF!</v>
      </c>
      <c r="AP1410" s="1"/>
      <c r="AQ1410" s="11">
        <v>42123</v>
      </c>
      <c r="AR1410" s="1" t="s">
        <v>3570</v>
      </c>
      <c r="AS1410" s="11">
        <v>42124</v>
      </c>
      <c r="AT1410" s="1" t="s">
        <v>49</v>
      </c>
      <c r="AU1410" s="1" t="s">
        <v>4171</v>
      </c>
    </row>
    <row r="1411" spans="1:47" ht="15" customHeight="1" x14ac:dyDescent="0.25">
      <c r="A1411" s="1">
        <v>1404</v>
      </c>
      <c r="B1411" s="1" t="s">
        <v>1258</v>
      </c>
      <c r="C1411" s="1" t="s">
        <v>38</v>
      </c>
      <c r="D1411" s="1">
        <v>9103551204</v>
      </c>
      <c r="E1411" s="5">
        <v>42057</v>
      </c>
      <c r="F1411" s="1" t="s">
        <v>4361</v>
      </c>
      <c r="G1411" s="1"/>
      <c r="H1411" s="1"/>
      <c r="I1411" s="1"/>
      <c r="J1411" s="1" t="s">
        <v>3786</v>
      </c>
      <c r="K1411" s="1"/>
      <c r="L1411" s="6">
        <v>24</v>
      </c>
      <c r="M1411" s="1" t="s">
        <v>70</v>
      </c>
      <c r="N1411" s="7" t="s">
        <v>44</v>
      </c>
      <c r="O1411" s="1" t="s">
        <v>53</v>
      </c>
      <c r="P1411" s="8">
        <v>1760</v>
      </c>
      <c r="Q1411" s="17">
        <f t="shared" si="128"/>
        <v>42240</v>
      </c>
      <c r="R1411" s="9"/>
      <c r="S1411" s="9"/>
      <c r="T1411" s="9"/>
      <c r="U1411" s="10"/>
      <c r="V1411" s="1"/>
      <c r="W1411" s="1" t="s">
        <v>188</v>
      </c>
      <c r="X1411" s="1">
        <v>7866085</v>
      </c>
      <c r="Y1411" s="11">
        <v>42052</v>
      </c>
      <c r="Z1411" s="11"/>
      <c r="AA1411" s="9"/>
      <c r="AB1411" s="12"/>
      <c r="AC1411" s="9"/>
      <c r="AD1411" s="9"/>
      <c r="AE1411" s="1"/>
      <c r="AF1411" s="1" t="s">
        <v>53</v>
      </c>
      <c r="AG1411" s="4">
        <f t="shared" si="129"/>
        <v>42240</v>
      </c>
      <c r="AH1411" s="10">
        <v>42205.5</v>
      </c>
      <c r="AI1411" s="10"/>
      <c r="AJ1411" s="10"/>
      <c r="AK1411" s="10"/>
      <c r="AL1411" s="9"/>
      <c r="AM1411" s="1"/>
      <c r="AN1411" s="1"/>
      <c r="AO1411" s="12"/>
      <c r="AP1411" s="1" t="s">
        <v>4363</v>
      </c>
      <c r="AQ1411" s="11">
        <v>42142</v>
      </c>
      <c r="AR1411" s="1" t="s">
        <v>4362</v>
      </c>
      <c r="AS1411" s="11">
        <v>42147</v>
      </c>
      <c r="AT1411" s="1" t="s">
        <v>49</v>
      </c>
      <c r="AU1411" s="1" t="s">
        <v>4171</v>
      </c>
    </row>
    <row r="1412" spans="1:47" ht="15" customHeight="1" x14ac:dyDescent="0.25">
      <c r="A1412" s="1">
        <v>1405</v>
      </c>
      <c r="B1412" s="1" t="s">
        <v>1258</v>
      </c>
      <c r="C1412" s="1" t="s">
        <v>38</v>
      </c>
      <c r="D1412" s="1">
        <v>9103551205</v>
      </c>
      <c r="E1412" s="5">
        <v>42058</v>
      </c>
      <c r="F1412" s="1" t="s">
        <v>3032</v>
      </c>
      <c r="G1412" s="1" t="s">
        <v>40</v>
      </c>
      <c r="H1412" s="1" t="s">
        <v>41</v>
      </c>
      <c r="I1412" s="1" t="s">
        <v>2809</v>
      </c>
      <c r="J1412" s="1" t="s">
        <v>187</v>
      </c>
      <c r="K1412" s="1">
        <v>38237090</v>
      </c>
      <c r="L1412" s="6">
        <v>18.45</v>
      </c>
      <c r="M1412" s="1" t="s">
        <v>70</v>
      </c>
      <c r="N1412" s="7" t="s">
        <v>44</v>
      </c>
      <c r="O1412" s="1" t="s">
        <v>53</v>
      </c>
      <c r="P1412" s="8">
        <v>1495</v>
      </c>
      <c r="Q1412" s="17">
        <f t="shared" si="128"/>
        <v>27582.75</v>
      </c>
      <c r="R1412" s="9">
        <v>2750</v>
      </c>
      <c r="S1412" s="9">
        <v>3.94</v>
      </c>
      <c r="T1412" s="9">
        <v>0</v>
      </c>
      <c r="U1412" s="10">
        <v>0</v>
      </c>
      <c r="V1412" s="1" t="s">
        <v>46</v>
      </c>
      <c r="W1412" s="1" t="s">
        <v>56</v>
      </c>
      <c r="X1412" s="1">
        <v>7866765</v>
      </c>
      <c r="Y1412" s="11">
        <v>42052</v>
      </c>
      <c r="Z1412" s="11">
        <v>42053</v>
      </c>
      <c r="AA1412" s="9">
        <f t="shared" si="131"/>
        <v>24828.81</v>
      </c>
      <c r="AB1412" s="12">
        <v>61.45</v>
      </c>
      <c r="AC1412" s="9">
        <f t="shared" si="126"/>
        <v>1694959.9875</v>
      </c>
      <c r="AD1412" s="9">
        <f t="shared" si="127"/>
        <v>1525730.3745000002</v>
      </c>
      <c r="AE1412" s="1" t="s">
        <v>48</v>
      </c>
      <c r="AF1412" s="1" t="s">
        <v>53</v>
      </c>
      <c r="AG1412" s="4">
        <f t="shared" si="129"/>
        <v>27582.75</v>
      </c>
      <c r="AH1412" s="10">
        <v>27582.75</v>
      </c>
      <c r="AI1412" s="10">
        <v>2750</v>
      </c>
      <c r="AJ1412" s="10">
        <v>3.94</v>
      </c>
      <c r="AK1412" s="10">
        <v>0</v>
      </c>
      <c r="AL1412" s="9">
        <f t="shared" ref="AL1412:AL1419" si="132">AH1412-(AI1412+AJ1412+AK1412)</f>
        <v>24828.81</v>
      </c>
      <c r="AM1412" s="1"/>
      <c r="AN1412" s="1"/>
      <c r="AO1412" s="12" t="e">
        <f>AB1412/#REF!</f>
        <v>#REF!</v>
      </c>
      <c r="AP1412" s="1"/>
      <c r="AQ1412" s="11">
        <v>42123</v>
      </c>
      <c r="AR1412" s="1" t="s">
        <v>3571</v>
      </c>
      <c r="AS1412" s="11">
        <v>42124</v>
      </c>
      <c r="AT1412" s="1" t="s">
        <v>49</v>
      </c>
      <c r="AU1412" s="1" t="s">
        <v>4171</v>
      </c>
    </row>
    <row r="1413" spans="1:47" ht="15" customHeight="1" x14ac:dyDescent="0.25">
      <c r="A1413" s="1">
        <v>1406</v>
      </c>
      <c r="B1413" s="1" t="s">
        <v>1258</v>
      </c>
      <c r="C1413" s="1" t="s">
        <v>38</v>
      </c>
      <c r="D1413" s="1" t="s">
        <v>3033</v>
      </c>
      <c r="E1413" s="5">
        <v>42058</v>
      </c>
      <c r="F1413" s="1" t="s">
        <v>3034</v>
      </c>
      <c r="G1413" s="1" t="s">
        <v>40</v>
      </c>
      <c r="H1413" s="1" t="s">
        <v>41</v>
      </c>
      <c r="I1413" s="1" t="s">
        <v>2809</v>
      </c>
      <c r="J1413" s="1" t="s">
        <v>78</v>
      </c>
      <c r="K1413" s="1">
        <v>38237090</v>
      </c>
      <c r="L1413" s="6">
        <v>18.420000000000002</v>
      </c>
      <c r="M1413" s="1" t="s">
        <v>70</v>
      </c>
      <c r="N1413" s="7" t="s">
        <v>67</v>
      </c>
      <c r="O1413" s="1" t="s">
        <v>53</v>
      </c>
      <c r="P1413" s="8">
        <v>1430</v>
      </c>
      <c r="Q1413" s="17">
        <f t="shared" si="128"/>
        <v>26340.600000000002</v>
      </c>
      <c r="R1413" s="9">
        <v>0</v>
      </c>
      <c r="S1413" s="9">
        <v>0</v>
      </c>
      <c r="T1413" s="9">
        <v>0</v>
      </c>
      <c r="U1413" s="10">
        <v>0</v>
      </c>
      <c r="V1413" s="1" t="s">
        <v>46</v>
      </c>
      <c r="W1413" s="1" t="s">
        <v>56</v>
      </c>
      <c r="X1413" s="1">
        <v>7866311</v>
      </c>
      <c r="Y1413" s="11">
        <v>42052</v>
      </c>
      <c r="Z1413" s="11">
        <v>42053</v>
      </c>
      <c r="AA1413" s="9">
        <f t="shared" si="131"/>
        <v>26340.600000000002</v>
      </c>
      <c r="AB1413" s="12">
        <v>61.45</v>
      </c>
      <c r="AC1413" s="9">
        <f t="shared" si="126"/>
        <v>1618629.87</v>
      </c>
      <c r="AD1413" s="9">
        <f t="shared" si="127"/>
        <v>1618629.87</v>
      </c>
      <c r="AE1413" s="1" t="s">
        <v>48</v>
      </c>
      <c r="AF1413" s="1" t="s">
        <v>53</v>
      </c>
      <c r="AG1413" s="4">
        <f t="shared" si="129"/>
        <v>26340.600000000002</v>
      </c>
      <c r="AH1413" s="10">
        <v>26340.6</v>
      </c>
      <c r="AI1413" s="10">
        <v>0</v>
      </c>
      <c r="AJ1413" s="10">
        <v>0</v>
      </c>
      <c r="AK1413" s="10">
        <v>0</v>
      </c>
      <c r="AL1413" s="9">
        <f t="shared" si="132"/>
        <v>26340.6</v>
      </c>
      <c r="AM1413" s="1"/>
      <c r="AN1413" s="1"/>
      <c r="AO1413" s="12" t="e">
        <f>AB1413/#REF!</f>
        <v>#REF!</v>
      </c>
      <c r="AP1413" s="1"/>
      <c r="AQ1413" s="11">
        <v>42090</v>
      </c>
      <c r="AR1413" s="1" t="s">
        <v>3572</v>
      </c>
      <c r="AS1413" s="11">
        <v>42093</v>
      </c>
      <c r="AT1413" s="1" t="s">
        <v>49</v>
      </c>
      <c r="AU1413" s="1" t="s">
        <v>4171</v>
      </c>
    </row>
    <row r="1414" spans="1:47" ht="15" customHeight="1" x14ac:dyDescent="0.25">
      <c r="A1414" s="1">
        <v>1407</v>
      </c>
      <c r="B1414" s="1" t="s">
        <v>1258</v>
      </c>
      <c r="C1414" s="1" t="s">
        <v>38</v>
      </c>
      <c r="D1414" s="1" t="s">
        <v>3033</v>
      </c>
      <c r="E1414" s="5">
        <v>42058</v>
      </c>
      <c r="F1414" s="1" t="s">
        <v>3035</v>
      </c>
      <c r="G1414" s="1" t="s">
        <v>40</v>
      </c>
      <c r="H1414" s="1" t="s">
        <v>41</v>
      </c>
      <c r="I1414" s="1" t="s">
        <v>2809</v>
      </c>
      <c r="J1414" s="1" t="s">
        <v>78</v>
      </c>
      <c r="K1414" s="1">
        <v>38237090</v>
      </c>
      <c r="L1414" s="6">
        <v>18.43</v>
      </c>
      <c r="M1414" s="1" t="s">
        <v>70</v>
      </c>
      <c r="N1414" s="7" t="s">
        <v>67</v>
      </c>
      <c r="O1414" s="1" t="s">
        <v>53</v>
      </c>
      <c r="P1414" s="8">
        <v>1430</v>
      </c>
      <c r="Q1414" s="17">
        <f t="shared" si="128"/>
        <v>26354.899999999998</v>
      </c>
      <c r="R1414" s="9">
        <v>0</v>
      </c>
      <c r="S1414" s="9">
        <v>0</v>
      </c>
      <c r="T1414" s="9">
        <v>0</v>
      </c>
      <c r="U1414" s="10">
        <v>0</v>
      </c>
      <c r="V1414" s="1" t="s">
        <v>46</v>
      </c>
      <c r="W1414" s="1" t="s">
        <v>56</v>
      </c>
      <c r="X1414" s="3">
        <v>7878391</v>
      </c>
      <c r="Y1414" s="11">
        <v>42053</v>
      </c>
      <c r="Z1414" s="11">
        <v>42054</v>
      </c>
      <c r="AA1414" s="9">
        <f t="shared" si="131"/>
        <v>26354.899999999998</v>
      </c>
      <c r="AB1414" s="12">
        <v>61.45</v>
      </c>
      <c r="AC1414" s="9">
        <f t="shared" si="126"/>
        <v>1619508.605</v>
      </c>
      <c r="AD1414" s="9">
        <f t="shared" si="127"/>
        <v>1619508.605</v>
      </c>
      <c r="AE1414" s="1" t="s">
        <v>48</v>
      </c>
      <c r="AF1414" s="1" t="s">
        <v>53</v>
      </c>
      <c r="AG1414" s="4">
        <f t="shared" si="129"/>
        <v>26354.899999999998</v>
      </c>
      <c r="AH1414" s="10">
        <v>26354.9</v>
      </c>
      <c r="AI1414" s="10">
        <v>0</v>
      </c>
      <c r="AJ1414" s="10">
        <v>0</v>
      </c>
      <c r="AK1414" s="10">
        <v>0</v>
      </c>
      <c r="AL1414" s="9">
        <f t="shared" si="132"/>
        <v>26354.9</v>
      </c>
      <c r="AM1414" s="1"/>
      <c r="AN1414" s="1"/>
      <c r="AO1414" s="12" t="e">
        <f>AB1414/#REF!</f>
        <v>#REF!</v>
      </c>
      <c r="AP1414" s="1"/>
      <c r="AQ1414" s="11">
        <v>42090</v>
      </c>
      <c r="AR1414" s="1" t="s">
        <v>3573</v>
      </c>
      <c r="AS1414" s="11">
        <v>42093</v>
      </c>
      <c r="AT1414" s="1" t="s">
        <v>49</v>
      </c>
      <c r="AU1414" s="1" t="s">
        <v>4171</v>
      </c>
    </row>
    <row r="1415" spans="1:47" ht="15" customHeight="1" x14ac:dyDescent="0.25">
      <c r="A1415" s="1">
        <v>1408</v>
      </c>
      <c r="B1415" s="1" t="s">
        <v>1258</v>
      </c>
      <c r="C1415" s="1" t="s">
        <v>38</v>
      </c>
      <c r="D1415" s="1">
        <v>9103551208</v>
      </c>
      <c r="E1415" s="5">
        <v>42058</v>
      </c>
      <c r="F1415" s="1" t="s">
        <v>3036</v>
      </c>
      <c r="G1415" s="1" t="s">
        <v>40</v>
      </c>
      <c r="H1415" s="1" t="s">
        <v>41</v>
      </c>
      <c r="I1415" s="1" t="s">
        <v>2809</v>
      </c>
      <c r="J1415" s="1" t="s">
        <v>78</v>
      </c>
      <c r="K1415" s="1">
        <v>38237090</v>
      </c>
      <c r="L1415" s="6">
        <v>20</v>
      </c>
      <c r="M1415" s="1" t="s">
        <v>70</v>
      </c>
      <c r="N1415" s="7" t="s">
        <v>67</v>
      </c>
      <c r="O1415" s="1" t="s">
        <v>53</v>
      </c>
      <c r="P1415" s="8">
        <v>1470</v>
      </c>
      <c r="Q1415" s="17">
        <f t="shared" si="128"/>
        <v>29400</v>
      </c>
      <c r="R1415" s="9">
        <v>0</v>
      </c>
      <c r="S1415" s="9">
        <v>0</v>
      </c>
      <c r="T1415" s="9">
        <v>0</v>
      </c>
      <c r="U1415" s="10">
        <v>0</v>
      </c>
      <c r="V1415" s="1" t="s">
        <v>46</v>
      </c>
      <c r="W1415" s="1" t="s">
        <v>56</v>
      </c>
      <c r="X1415" s="1">
        <v>7886601</v>
      </c>
      <c r="Y1415" s="11">
        <v>42053</v>
      </c>
      <c r="Z1415" s="11">
        <v>42054</v>
      </c>
      <c r="AA1415" s="9">
        <f t="shared" si="131"/>
        <v>29400</v>
      </c>
      <c r="AB1415" s="12">
        <v>61.45</v>
      </c>
      <c r="AC1415" s="9">
        <f t="shared" si="126"/>
        <v>1806630</v>
      </c>
      <c r="AD1415" s="9">
        <f t="shared" si="127"/>
        <v>1806630</v>
      </c>
      <c r="AE1415" s="1" t="s">
        <v>48</v>
      </c>
      <c r="AF1415" s="1" t="s">
        <v>53</v>
      </c>
      <c r="AG1415" s="4">
        <f t="shared" si="129"/>
        <v>29400</v>
      </c>
      <c r="AH1415" s="10">
        <v>29400</v>
      </c>
      <c r="AI1415" s="10">
        <v>0</v>
      </c>
      <c r="AJ1415" s="10">
        <v>0</v>
      </c>
      <c r="AK1415" s="10">
        <v>0</v>
      </c>
      <c r="AL1415" s="9">
        <f t="shared" si="132"/>
        <v>29400</v>
      </c>
      <c r="AM1415" s="1"/>
      <c r="AN1415" s="1"/>
      <c r="AO1415" s="12" t="e">
        <f>AB1415/#REF!</f>
        <v>#REF!</v>
      </c>
      <c r="AP1415" s="1"/>
      <c r="AQ1415" s="11">
        <v>42090</v>
      </c>
      <c r="AR1415" s="1" t="s">
        <v>3574</v>
      </c>
      <c r="AS1415" s="11">
        <v>42093</v>
      </c>
      <c r="AT1415" s="1" t="s">
        <v>49</v>
      </c>
      <c r="AU1415" s="1" t="s">
        <v>4171</v>
      </c>
    </row>
    <row r="1416" spans="1:47" ht="15" customHeight="1" x14ac:dyDescent="0.25">
      <c r="A1416" s="1">
        <v>1409</v>
      </c>
      <c r="B1416" s="1" t="s">
        <v>1258</v>
      </c>
      <c r="C1416" s="1" t="s">
        <v>38</v>
      </c>
      <c r="D1416" s="1" t="s">
        <v>3291</v>
      </c>
      <c r="E1416" s="5">
        <v>42051</v>
      </c>
      <c r="F1416" s="1" t="s">
        <v>3292</v>
      </c>
      <c r="G1416" s="1" t="s">
        <v>40</v>
      </c>
      <c r="H1416" s="1" t="s">
        <v>41</v>
      </c>
      <c r="I1416" s="1" t="s">
        <v>2809</v>
      </c>
      <c r="J1416" s="1" t="s">
        <v>2806</v>
      </c>
      <c r="K1416" s="1">
        <v>38237090</v>
      </c>
      <c r="L1416" s="6">
        <v>75</v>
      </c>
      <c r="M1416" s="1" t="s">
        <v>70</v>
      </c>
      <c r="N1416" s="7" t="s">
        <v>67</v>
      </c>
      <c r="O1416" s="1" t="s">
        <v>53</v>
      </c>
      <c r="P1416" s="8">
        <v>1250</v>
      </c>
      <c r="Q1416" s="17">
        <f t="shared" si="128"/>
        <v>93750</v>
      </c>
      <c r="R1416" s="9">
        <v>0</v>
      </c>
      <c r="S1416" s="9">
        <v>0</v>
      </c>
      <c r="T1416" s="9">
        <v>0</v>
      </c>
      <c r="U1416" s="10">
        <v>0</v>
      </c>
      <c r="V1416" s="1" t="s">
        <v>46</v>
      </c>
      <c r="W1416" s="1" t="s">
        <v>492</v>
      </c>
      <c r="X1416" s="1">
        <v>7844021</v>
      </c>
      <c r="Y1416" s="11">
        <v>42051</v>
      </c>
      <c r="Z1416" s="11">
        <v>42053</v>
      </c>
      <c r="AA1416" s="9">
        <f t="shared" si="131"/>
        <v>93750</v>
      </c>
      <c r="AB1416" s="12">
        <v>61.45</v>
      </c>
      <c r="AC1416" s="9">
        <f t="shared" si="126"/>
        <v>5760937.5</v>
      </c>
      <c r="AD1416" s="9">
        <f t="shared" si="127"/>
        <v>5760937.5</v>
      </c>
      <c r="AE1416" s="1" t="s">
        <v>48</v>
      </c>
      <c r="AF1416" s="1" t="s">
        <v>53</v>
      </c>
      <c r="AG1416" s="4">
        <f t="shared" si="129"/>
        <v>93750</v>
      </c>
      <c r="AH1416" s="10">
        <v>93750</v>
      </c>
      <c r="AI1416" s="10">
        <v>0</v>
      </c>
      <c r="AJ1416" s="10">
        <v>0</v>
      </c>
      <c r="AK1416" s="10">
        <v>0</v>
      </c>
      <c r="AL1416" s="9">
        <f t="shared" si="132"/>
        <v>93750</v>
      </c>
      <c r="AM1416" s="1"/>
      <c r="AN1416" s="1"/>
      <c r="AO1416" s="12" t="e">
        <f>AB1416/#REF!</f>
        <v>#REF!</v>
      </c>
      <c r="AP1416" s="1"/>
      <c r="AQ1416" s="11">
        <v>42088</v>
      </c>
      <c r="AR1416" s="1" t="s">
        <v>3575</v>
      </c>
      <c r="AS1416" s="11">
        <v>42090</v>
      </c>
      <c r="AT1416" s="1" t="s">
        <v>49</v>
      </c>
      <c r="AU1416" s="1" t="s">
        <v>4171</v>
      </c>
    </row>
    <row r="1417" spans="1:47" ht="15" customHeight="1" x14ac:dyDescent="0.25">
      <c r="A1417" s="1">
        <v>1410</v>
      </c>
      <c r="B1417" s="1" t="s">
        <v>1258</v>
      </c>
      <c r="C1417" s="1" t="s">
        <v>38</v>
      </c>
      <c r="D1417" s="1" t="s">
        <v>3291</v>
      </c>
      <c r="E1417" s="5">
        <v>42051</v>
      </c>
      <c r="F1417" s="1" t="s">
        <v>3293</v>
      </c>
      <c r="G1417" s="1" t="s">
        <v>40</v>
      </c>
      <c r="H1417" s="1" t="s">
        <v>41</v>
      </c>
      <c r="I1417" s="1" t="s">
        <v>2809</v>
      </c>
      <c r="J1417" s="1" t="s">
        <v>2806</v>
      </c>
      <c r="K1417" s="1">
        <v>38237090</v>
      </c>
      <c r="L1417" s="6">
        <v>45</v>
      </c>
      <c r="M1417" s="1" t="s">
        <v>70</v>
      </c>
      <c r="N1417" s="7" t="s">
        <v>67</v>
      </c>
      <c r="O1417" s="1" t="s">
        <v>53</v>
      </c>
      <c r="P1417" s="8">
        <v>1250</v>
      </c>
      <c r="Q1417" s="17">
        <f t="shared" si="128"/>
        <v>56250</v>
      </c>
      <c r="R1417" s="9">
        <v>0</v>
      </c>
      <c r="S1417" s="9">
        <v>0</v>
      </c>
      <c r="T1417" s="9">
        <v>0</v>
      </c>
      <c r="U1417" s="10">
        <v>0</v>
      </c>
      <c r="V1417" s="1" t="s">
        <v>46</v>
      </c>
      <c r="W1417" s="1" t="s">
        <v>492</v>
      </c>
      <c r="X1417" s="1">
        <v>7864132</v>
      </c>
      <c r="Y1417" s="11">
        <v>42052</v>
      </c>
      <c r="Z1417" s="11">
        <v>42054</v>
      </c>
      <c r="AA1417" s="9">
        <f t="shared" si="131"/>
        <v>56250</v>
      </c>
      <c r="AB1417" s="12">
        <v>61.45</v>
      </c>
      <c r="AC1417" s="9">
        <f t="shared" si="126"/>
        <v>3456562.5</v>
      </c>
      <c r="AD1417" s="9">
        <f t="shared" si="127"/>
        <v>3456562.5</v>
      </c>
      <c r="AE1417" s="1" t="s">
        <v>48</v>
      </c>
      <c r="AF1417" s="1" t="s">
        <v>53</v>
      </c>
      <c r="AG1417" s="4">
        <f t="shared" si="129"/>
        <v>56250</v>
      </c>
      <c r="AH1417" s="10">
        <v>56250</v>
      </c>
      <c r="AI1417" s="10">
        <v>0</v>
      </c>
      <c r="AJ1417" s="10">
        <v>0</v>
      </c>
      <c r="AK1417" s="10">
        <v>0</v>
      </c>
      <c r="AL1417" s="9">
        <f t="shared" si="132"/>
        <v>56250</v>
      </c>
      <c r="AM1417" s="1"/>
      <c r="AN1417" s="1"/>
      <c r="AO1417" s="12" t="e">
        <f>AB1417/#REF!</f>
        <v>#REF!</v>
      </c>
      <c r="AP1417" s="1"/>
      <c r="AQ1417" s="11">
        <v>42088</v>
      </c>
      <c r="AR1417" s="1" t="s">
        <v>3576</v>
      </c>
      <c r="AS1417" s="11">
        <v>42090</v>
      </c>
      <c r="AT1417" s="1" t="s">
        <v>49</v>
      </c>
      <c r="AU1417" s="1" t="s">
        <v>4171</v>
      </c>
    </row>
    <row r="1418" spans="1:47" ht="15" customHeight="1" x14ac:dyDescent="0.25">
      <c r="A1418" s="1">
        <v>1411</v>
      </c>
      <c r="B1418" s="1" t="s">
        <v>1258</v>
      </c>
      <c r="C1418" s="1" t="s">
        <v>38</v>
      </c>
      <c r="D1418" s="1" t="s">
        <v>3291</v>
      </c>
      <c r="E1418" s="5">
        <v>42051</v>
      </c>
      <c r="F1418" s="1" t="s">
        <v>3294</v>
      </c>
      <c r="G1418" s="1" t="s">
        <v>40</v>
      </c>
      <c r="H1418" s="1" t="s">
        <v>41</v>
      </c>
      <c r="I1418" s="1" t="s">
        <v>2809</v>
      </c>
      <c r="J1418" s="1" t="s">
        <v>2806</v>
      </c>
      <c r="K1418" s="1">
        <v>38237090</v>
      </c>
      <c r="L1418" s="6">
        <v>15</v>
      </c>
      <c r="M1418" s="1" t="s">
        <v>70</v>
      </c>
      <c r="N1418" s="7" t="s">
        <v>67</v>
      </c>
      <c r="O1418" s="1" t="s">
        <v>53</v>
      </c>
      <c r="P1418" s="8">
        <v>1250</v>
      </c>
      <c r="Q1418" s="17">
        <f t="shared" si="128"/>
        <v>18750</v>
      </c>
      <c r="R1418" s="9">
        <v>0</v>
      </c>
      <c r="S1418" s="9">
        <v>0</v>
      </c>
      <c r="T1418" s="9">
        <v>0</v>
      </c>
      <c r="U1418" s="10">
        <v>0</v>
      </c>
      <c r="V1418" s="1" t="s">
        <v>46</v>
      </c>
      <c r="W1418" s="1" t="s">
        <v>492</v>
      </c>
      <c r="X1418" s="1">
        <v>7878395</v>
      </c>
      <c r="Y1418" s="11">
        <v>42053</v>
      </c>
      <c r="Z1418" s="11">
        <v>42054</v>
      </c>
      <c r="AA1418" s="9">
        <f t="shared" si="131"/>
        <v>18750</v>
      </c>
      <c r="AB1418" s="12">
        <v>61.45</v>
      </c>
      <c r="AC1418" s="9">
        <f t="shared" si="126"/>
        <v>1152187.5</v>
      </c>
      <c r="AD1418" s="9">
        <f t="shared" si="127"/>
        <v>1152187.5</v>
      </c>
      <c r="AE1418" s="1" t="s">
        <v>48</v>
      </c>
      <c r="AF1418" s="1" t="s">
        <v>53</v>
      </c>
      <c r="AG1418" s="4">
        <f t="shared" si="129"/>
        <v>18750</v>
      </c>
      <c r="AH1418" s="10">
        <v>18750</v>
      </c>
      <c r="AI1418" s="10">
        <v>0</v>
      </c>
      <c r="AJ1418" s="10">
        <v>0</v>
      </c>
      <c r="AK1418" s="10">
        <v>0</v>
      </c>
      <c r="AL1418" s="9">
        <f t="shared" si="132"/>
        <v>18750</v>
      </c>
      <c r="AM1418" s="1"/>
      <c r="AN1418" s="1"/>
      <c r="AO1418" s="12" t="e">
        <f>AB1418/#REF!</f>
        <v>#REF!</v>
      </c>
      <c r="AP1418" s="1"/>
      <c r="AQ1418" s="11">
        <v>42088</v>
      </c>
      <c r="AR1418" s="1" t="s">
        <v>3577</v>
      </c>
      <c r="AS1418" s="11">
        <v>42090</v>
      </c>
      <c r="AT1418" s="1" t="s">
        <v>49</v>
      </c>
      <c r="AU1418" s="1" t="s">
        <v>4171</v>
      </c>
    </row>
    <row r="1419" spans="1:47" ht="15" customHeight="1" x14ac:dyDescent="0.25">
      <c r="A1419" s="1">
        <v>1412</v>
      </c>
      <c r="B1419" s="1" t="s">
        <v>1258</v>
      </c>
      <c r="C1419" s="1" t="s">
        <v>38</v>
      </c>
      <c r="D1419" s="1" t="s">
        <v>3291</v>
      </c>
      <c r="E1419" s="5">
        <v>42051</v>
      </c>
      <c r="F1419" s="1" t="s">
        <v>3295</v>
      </c>
      <c r="G1419" s="1" t="s">
        <v>40</v>
      </c>
      <c r="H1419" s="1" t="s">
        <v>41</v>
      </c>
      <c r="I1419" s="1" t="s">
        <v>2809</v>
      </c>
      <c r="J1419" s="1" t="s">
        <v>2806</v>
      </c>
      <c r="K1419" s="1">
        <v>38237090</v>
      </c>
      <c r="L1419" s="6">
        <v>60</v>
      </c>
      <c r="M1419" s="1" t="s">
        <v>70</v>
      </c>
      <c r="N1419" s="7" t="s">
        <v>67</v>
      </c>
      <c r="O1419" s="1" t="s">
        <v>53</v>
      </c>
      <c r="P1419" s="8">
        <v>1250</v>
      </c>
      <c r="Q1419" s="17">
        <f t="shared" si="128"/>
        <v>75000</v>
      </c>
      <c r="R1419" s="9">
        <v>0</v>
      </c>
      <c r="S1419" s="9">
        <v>0</v>
      </c>
      <c r="T1419" s="9">
        <v>0</v>
      </c>
      <c r="U1419" s="10">
        <v>0</v>
      </c>
      <c r="V1419" s="1" t="s">
        <v>46</v>
      </c>
      <c r="W1419" s="1" t="s">
        <v>492</v>
      </c>
      <c r="X1419" s="1">
        <v>7886341</v>
      </c>
      <c r="Y1419" s="11">
        <v>42053</v>
      </c>
      <c r="Z1419" s="11">
        <v>42054</v>
      </c>
      <c r="AA1419" s="9">
        <f t="shared" si="131"/>
        <v>75000</v>
      </c>
      <c r="AB1419" s="12">
        <v>61.45</v>
      </c>
      <c r="AC1419" s="9">
        <f t="shared" si="126"/>
        <v>4608750</v>
      </c>
      <c r="AD1419" s="9">
        <f t="shared" si="127"/>
        <v>4608750</v>
      </c>
      <c r="AE1419" s="1" t="s">
        <v>48</v>
      </c>
      <c r="AF1419" s="1" t="s">
        <v>53</v>
      </c>
      <c r="AG1419" s="4">
        <f t="shared" si="129"/>
        <v>75000</v>
      </c>
      <c r="AH1419" s="10">
        <v>75000</v>
      </c>
      <c r="AI1419" s="10">
        <v>0</v>
      </c>
      <c r="AJ1419" s="10">
        <v>0</v>
      </c>
      <c r="AK1419" s="10">
        <v>0</v>
      </c>
      <c r="AL1419" s="9">
        <f t="shared" si="132"/>
        <v>75000</v>
      </c>
      <c r="AM1419" s="1"/>
      <c r="AN1419" s="1"/>
      <c r="AO1419" s="12" t="e">
        <f>AB1419/#REF!</f>
        <v>#REF!</v>
      </c>
      <c r="AP1419" s="1"/>
      <c r="AQ1419" s="11">
        <v>42088</v>
      </c>
      <c r="AR1419" s="1" t="s">
        <v>3578</v>
      </c>
      <c r="AS1419" s="11">
        <v>42090</v>
      </c>
      <c r="AT1419" s="1" t="s">
        <v>49</v>
      </c>
      <c r="AU1419" s="1" t="s">
        <v>4171</v>
      </c>
    </row>
    <row r="1420" spans="1:47" ht="15" customHeight="1" x14ac:dyDescent="0.25">
      <c r="A1420" s="1">
        <v>1412</v>
      </c>
      <c r="B1420" s="1" t="s">
        <v>1258</v>
      </c>
      <c r="C1420" s="1" t="s">
        <v>38</v>
      </c>
      <c r="D1420" s="1">
        <v>9103551212</v>
      </c>
      <c r="E1420" s="5">
        <v>42060</v>
      </c>
      <c r="F1420" s="27" t="s">
        <v>4364</v>
      </c>
      <c r="G1420" s="3"/>
      <c r="H1420" s="3"/>
      <c r="I1420" s="3"/>
      <c r="J1420" s="28" t="s">
        <v>4365</v>
      </c>
      <c r="K1420" s="1"/>
      <c r="L1420" s="96">
        <v>13.75</v>
      </c>
      <c r="M1420" s="1" t="s">
        <v>70</v>
      </c>
      <c r="N1420" s="7"/>
      <c r="O1420" s="1" t="s">
        <v>53</v>
      </c>
      <c r="P1420" s="8"/>
      <c r="Q1420" s="17">
        <v>12004</v>
      </c>
      <c r="R1420" s="9"/>
      <c r="S1420" s="9"/>
      <c r="T1420" s="9"/>
      <c r="U1420" s="10"/>
      <c r="V1420" s="1"/>
      <c r="W1420" s="1" t="s">
        <v>4366</v>
      </c>
      <c r="X1420" s="97">
        <v>7888497</v>
      </c>
      <c r="Y1420" s="30">
        <v>42053</v>
      </c>
      <c r="Z1420" s="11"/>
      <c r="AA1420" s="9"/>
      <c r="AB1420" s="12"/>
      <c r="AC1420" s="9"/>
      <c r="AD1420" s="9"/>
      <c r="AE1420" s="1"/>
      <c r="AF1420" s="1" t="s">
        <v>53</v>
      </c>
      <c r="AG1420" s="4">
        <f t="shared" si="129"/>
        <v>12004</v>
      </c>
      <c r="AH1420" s="98">
        <v>12004.49</v>
      </c>
      <c r="AI1420" s="10"/>
      <c r="AJ1420" s="10"/>
      <c r="AK1420" s="10"/>
      <c r="AL1420" s="9"/>
      <c r="AM1420" s="1"/>
      <c r="AN1420" s="1"/>
      <c r="AO1420" s="12"/>
      <c r="AP1420" s="30" t="s">
        <v>4367</v>
      </c>
      <c r="AQ1420" s="30">
        <v>42179</v>
      </c>
      <c r="AR1420" s="99" t="s">
        <v>4368</v>
      </c>
      <c r="AS1420" s="30">
        <v>42180</v>
      </c>
      <c r="AT1420" s="1" t="s">
        <v>49</v>
      </c>
      <c r="AU1420" s="1" t="s">
        <v>4171</v>
      </c>
    </row>
    <row r="1421" spans="1:47" ht="15" customHeight="1" x14ac:dyDescent="0.25">
      <c r="A1421" s="1">
        <v>1413</v>
      </c>
      <c r="B1421" s="1" t="s">
        <v>1258</v>
      </c>
      <c r="C1421" s="1" t="s">
        <v>38</v>
      </c>
      <c r="D1421" s="1">
        <v>9103551213</v>
      </c>
      <c r="E1421" s="5">
        <v>42058</v>
      </c>
      <c r="F1421" s="1" t="s">
        <v>3037</v>
      </c>
      <c r="G1421" s="1" t="s">
        <v>40</v>
      </c>
      <c r="H1421" s="1" t="s">
        <v>41</v>
      </c>
      <c r="I1421" s="1" t="s">
        <v>2809</v>
      </c>
      <c r="J1421" s="1" t="s">
        <v>267</v>
      </c>
      <c r="K1421" s="1">
        <v>29051700</v>
      </c>
      <c r="L1421" s="6">
        <v>30</v>
      </c>
      <c r="M1421" s="1" t="s">
        <v>70</v>
      </c>
      <c r="N1421" s="7" t="s">
        <v>67</v>
      </c>
      <c r="O1421" s="1" t="s">
        <v>53</v>
      </c>
      <c r="P1421" s="8">
        <v>1610</v>
      </c>
      <c r="Q1421" s="17">
        <f t="shared" si="128"/>
        <v>48300</v>
      </c>
      <c r="R1421" s="9">
        <v>0</v>
      </c>
      <c r="S1421" s="9">
        <v>0</v>
      </c>
      <c r="T1421" s="9">
        <v>0</v>
      </c>
      <c r="U1421" s="10">
        <v>0</v>
      </c>
      <c r="V1421" s="1" t="s">
        <v>46</v>
      </c>
      <c r="W1421" s="1" t="s">
        <v>3038</v>
      </c>
      <c r="X1421" s="1">
        <v>7892338</v>
      </c>
      <c r="Y1421" s="11">
        <v>42053</v>
      </c>
      <c r="Z1421" s="11">
        <v>42054</v>
      </c>
      <c r="AA1421" s="9">
        <f t="shared" si="131"/>
        <v>48300</v>
      </c>
      <c r="AB1421" s="12">
        <v>61.45</v>
      </c>
      <c r="AC1421" s="9">
        <f t="shared" si="126"/>
        <v>2968035</v>
      </c>
      <c r="AD1421" s="9">
        <f t="shared" si="127"/>
        <v>2968035</v>
      </c>
      <c r="AE1421" s="1"/>
      <c r="AF1421" s="1" t="s">
        <v>53</v>
      </c>
      <c r="AG1421" s="4">
        <f t="shared" si="129"/>
        <v>48300</v>
      </c>
      <c r="AH1421" s="10">
        <v>48031</v>
      </c>
      <c r="AI1421" s="10"/>
      <c r="AJ1421" s="10"/>
      <c r="AK1421" s="10"/>
      <c r="AL1421" s="9">
        <f t="shared" ref="AL1421:AL1450" si="133">AH1421-(AI1421+AJ1421+AK1421)</f>
        <v>48031</v>
      </c>
      <c r="AM1421" s="1"/>
      <c r="AN1421" s="1"/>
      <c r="AO1421" s="12" t="e">
        <f>AB1421/#REF!</f>
        <v>#REF!</v>
      </c>
      <c r="AP1421" s="1" t="s">
        <v>4259</v>
      </c>
      <c r="AQ1421" s="11">
        <v>42146</v>
      </c>
      <c r="AR1421" s="1" t="s">
        <v>4260</v>
      </c>
      <c r="AS1421" s="11">
        <v>42147</v>
      </c>
      <c r="AT1421" s="1" t="s">
        <v>49</v>
      </c>
      <c r="AU1421" s="1" t="s">
        <v>4171</v>
      </c>
    </row>
    <row r="1422" spans="1:47" ht="15" customHeight="1" x14ac:dyDescent="0.25">
      <c r="A1422" s="1">
        <v>1414</v>
      </c>
      <c r="B1422" s="1" t="s">
        <v>1258</v>
      </c>
      <c r="C1422" s="1" t="s">
        <v>38</v>
      </c>
      <c r="D1422" s="1">
        <v>9103551215</v>
      </c>
      <c r="E1422" s="5">
        <v>42058</v>
      </c>
      <c r="F1422" s="1" t="s">
        <v>3039</v>
      </c>
      <c r="G1422" s="1" t="s">
        <v>40</v>
      </c>
      <c r="H1422" s="1" t="s">
        <v>41</v>
      </c>
      <c r="I1422" s="1" t="s">
        <v>2809</v>
      </c>
      <c r="J1422" s="1" t="s">
        <v>559</v>
      </c>
      <c r="K1422" s="1">
        <v>38237090</v>
      </c>
      <c r="L1422" s="6">
        <v>15</v>
      </c>
      <c r="M1422" s="1" t="s">
        <v>70</v>
      </c>
      <c r="N1422" s="7" t="s">
        <v>44</v>
      </c>
      <c r="O1422" s="1" t="s">
        <v>53</v>
      </c>
      <c r="P1422" s="8">
        <v>1510</v>
      </c>
      <c r="Q1422" s="17">
        <f t="shared" si="128"/>
        <v>22650</v>
      </c>
      <c r="R1422" s="9">
        <v>35</v>
      </c>
      <c r="S1422" s="9">
        <v>3.24</v>
      </c>
      <c r="T1422" s="9">
        <v>0</v>
      </c>
      <c r="U1422" s="10">
        <v>0</v>
      </c>
      <c r="V1422" s="1" t="s">
        <v>46</v>
      </c>
      <c r="W1422" s="1" t="s">
        <v>1756</v>
      </c>
      <c r="X1422" s="1">
        <v>7899158</v>
      </c>
      <c r="Y1422" s="11">
        <v>42054</v>
      </c>
      <c r="Z1422" s="11">
        <v>42055</v>
      </c>
      <c r="AA1422" s="9">
        <f t="shared" si="131"/>
        <v>22611.759999999998</v>
      </c>
      <c r="AB1422" s="12">
        <v>61.45</v>
      </c>
      <c r="AC1422" s="9">
        <f t="shared" si="126"/>
        <v>1391842.5</v>
      </c>
      <c r="AD1422" s="9">
        <f t="shared" si="127"/>
        <v>1389492.652</v>
      </c>
      <c r="AE1422" s="1" t="s">
        <v>48</v>
      </c>
      <c r="AF1422" s="1" t="s">
        <v>53</v>
      </c>
      <c r="AG1422" s="4">
        <f t="shared" si="129"/>
        <v>22650</v>
      </c>
      <c r="AH1422" s="10">
        <v>22650</v>
      </c>
      <c r="AI1422" s="10">
        <v>30</v>
      </c>
      <c r="AJ1422" s="10">
        <v>3.24</v>
      </c>
      <c r="AK1422" s="10">
        <v>0</v>
      </c>
      <c r="AL1422" s="9">
        <f t="shared" si="133"/>
        <v>22616.76</v>
      </c>
      <c r="AM1422" s="1"/>
      <c r="AN1422" s="1"/>
      <c r="AO1422" s="12" t="e">
        <f>AB1422/#REF!</f>
        <v>#REF!</v>
      </c>
      <c r="AP1422" s="1"/>
      <c r="AQ1422" s="11">
        <v>42087</v>
      </c>
      <c r="AR1422" s="1" t="s">
        <v>3579</v>
      </c>
      <c r="AS1422" s="11">
        <v>42088</v>
      </c>
      <c r="AT1422" s="1" t="s">
        <v>49</v>
      </c>
      <c r="AU1422" s="1" t="s">
        <v>4171</v>
      </c>
    </row>
    <row r="1423" spans="1:47" ht="15" customHeight="1" x14ac:dyDescent="0.25">
      <c r="A1423" s="1">
        <v>1415</v>
      </c>
      <c r="B1423" s="1" t="s">
        <v>1258</v>
      </c>
      <c r="C1423" s="1" t="s">
        <v>38</v>
      </c>
      <c r="D1423" s="1" t="s">
        <v>3040</v>
      </c>
      <c r="E1423" s="5">
        <v>42060</v>
      </c>
      <c r="F1423" s="1" t="s">
        <v>3041</v>
      </c>
      <c r="G1423" s="1" t="s">
        <v>40</v>
      </c>
      <c r="H1423" s="1" t="s">
        <v>41</v>
      </c>
      <c r="I1423" s="1" t="s">
        <v>2809</v>
      </c>
      <c r="J1423" s="1" t="s">
        <v>2153</v>
      </c>
      <c r="K1423" s="1">
        <v>29159090</v>
      </c>
      <c r="L1423" s="6">
        <v>20.059999999999999</v>
      </c>
      <c r="M1423" s="1" t="s">
        <v>70</v>
      </c>
      <c r="N1423" s="7" t="s">
        <v>44</v>
      </c>
      <c r="O1423" s="1" t="s">
        <v>45</v>
      </c>
      <c r="P1423" s="8">
        <v>1668</v>
      </c>
      <c r="Q1423" s="17">
        <f t="shared" si="128"/>
        <v>33460.079999999994</v>
      </c>
      <c r="R1423" s="9">
        <v>973.99</v>
      </c>
      <c r="S1423" s="9">
        <v>4.78</v>
      </c>
      <c r="T1423" s="9">
        <v>0</v>
      </c>
      <c r="U1423" s="10">
        <v>0</v>
      </c>
      <c r="V1423" s="1" t="s">
        <v>46</v>
      </c>
      <c r="W1423" s="1" t="s">
        <v>47</v>
      </c>
      <c r="X1423" s="1">
        <v>7889359</v>
      </c>
      <c r="Y1423" s="11">
        <v>42053</v>
      </c>
      <c r="Z1423" s="11">
        <v>42054</v>
      </c>
      <c r="AA1423" s="9">
        <f t="shared" si="131"/>
        <v>32481.309999999994</v>
      </c>
      <c r="AB1423" s="12">
        <v>69.400000000000006</v>
      </c>
      <c r="AC1423" s="9">
        <f t="shared" si="126"/>
        <v>2322129.5519999997</v>
      </c>
      <c r="AD1423" s="9">
        <f t="shared" si="127"/>
        <v>2254202.9139999999</v>
      </c>
      <c r="AE1423" s="1" t="s">
        <v>48</v>
      </c>
      <c r="AF1423" s="1" t="s">
        <v>45</v>
      </c>
      <c r="AG1423" s="4">
        <f t="shared" si="129"/>
        <v>33460.079999999994</v>
      </c>
      <c r="AH1423" s="10">
        <v>33460.080000000002</v>
      </c>
      <c r="AI1423" s="9">
        <v>927</v>
      </c>
      <c r="AJ1423" s="9">
        <v>4.78</v>
      </c>
      <c r="AK1423" s="9">
        <v>0</v>
      </c>
      <c r="AL1423" s="9">
        <f t="shared" si="133"/>
        <v>32528.300000000003</v>
      </c>
      <c r="AM1423" s="1"/>
      <c r="AN1423" s="1"/>
      <c r="AO1423" s="12" t="e">
        <f>AB1423/#REF!</f>
        <v>#REF!</v>
      </c>
      <c r="AP1423" s="1"/>
      <c r="AQ1423" s="11">
        <v>42100</v>
      </c>
      <c r="AR1423" s="1" t="s">
        <v>3705</v>
      </c>
      <c r="AS1423" s="11">
        <v>42101</v>
      </c>
      <c r="AT1423" s="1" t="s">
        <v>49</v>
      </c>
      <c r="AU1423" s="1" t="s">
        <v>4171</v>
      </c>
    </row>
    <row r="1424" spans="1:47" ht="15" customHeight="1" x14ac:dyDescent="0.25">
      <c r="A1424" s="1">
        <v>1416</v>
      </c>
      <c r="B1424" s="1" t="s">
        <v>1258</v>
      </c>
      <c r="C1424" s="1" t="s">
        <v>38</v>
      </c>
      <c r="D1424" s="1" t="s">
        <v>3040</v>
      </c>
      <c r="E1424" s="5">
        <v>42060</v>
      </c>
      <c r="F1424" s="1" t="s">
        <v>3042</v>
      </c>
      <c r="G1424" s="1" t="s">
        <v>40</v>
      </c>
      <c r="H1424" s="1" t="s">
        <v>41</v>
      </c>
      <c r="I1424" s="1" t="s">
        <v>2809</v>
      </c>
      <c r="J1424" s="1" t="s">
        <v>2153</v>
      </c>
      <c r="K1424" s="1">
        <v>29159090</v>
      </c>
      <c r="L1424" s="6">
        <v>19.920000000000002</v>
      </c>
      <c r="M1424" s="1" t="s">
        <v>70</v>
      </c>
      <c r="N1424" s="7" t="s">
        <v>44</v>
      </c>
      <c r="O1424" s="1" t="s">
        <v>45</v>
      </c>
      <c r="P1424" s="8">
        <v>1668</v>
      </c>
      <c r="Q1424" s="17">
        <f t="shared" si="128"/>
        <v>33226.560000000005</v>
      </c>
      <c r="R1424" s="9">
        <v>973.99</v>
      </c>
      <c r="S1424" s="9">
        <v>4.75</v>
      </c>
      <c r="T1424" s="9">
        <v>0</v>
      </c>
      <c r="U1424" s="10">
        <v>0</v>
      </c>
      <c r="V1424" s="1" t="s">
        <v>46</v>
      </c>
      <c r="W1424" s="1" t="s">
        <v>47</v>
      </c>
      <c r="X1424" s="1">
        <v>7902079</v>
      </c>
      <c r="Y1424" s="11">
        <v>42054</v>
      </c>
      <c r="Z1424" s="11">
        <v>42055</v>
      </c>
      <c r="AA1424" s="9">
        <f t="shared" si="131"/>
        <v>32247.820000000003</v>
      </c>
      <c r="AB1424" s="12">
        <v>69.400000000000006</v>
      </c>
      <c r="AC1424" s="9">
        <f t="shared" si="126"/>
        <v>2305923.2640000004</v>
      </c>
      <c r="AD1424" s="9">
        <f t="shared" si="127"/>
        <v>2237998.7080000006</v>
      </c>
      <c r="AE1424" s="1" t="s">
        <v>48</v>
      </c>
      <c r="AF1424" s="1" t="s">
        <v>45</v>
      </c>
      <c r="AG1424" s="4">
        <f t="shared" si="129"/>
        <v>33226.560000000005</v>
      </c>
      <c r="AH1424" s="10">
        <v>33226.559999999998</v>
      </c>
      <c r="AI1424" s="9">
        <v>918.53</v>
      </c>
      <c r="AJ1424" s="9">
        <v>4.76</v>
      </c>
      <c r="AK1424" s="9">
        <v>0</v>
      </c>
      <c r="AL1424" s="9">
        <f t="shared" si="133"/>
        <v>32303.269999999997</v>
      </c>
      <c r="AM1424" s="1"/>
      <c r="AN1424" s="1"/>
      <c r="AO1424" s="12" t="e">
        <f>AB1424/#REF!</f>
        <v>#REF!</v>
      </c>
      <c r="AP1424" s="1"/>
      <c r="AQ1424" s="11">
        <v>42100</v>
      </c>
      <c r="AR1424" s="1" t="s">
        <v>3706</v>
      </c>
      <c r="AS1424" s="11">
        <v>42101</v>
      </c>
      <c r="AT1424" s="1" t="s">
        <v>49</v>
      </c>
      <c r="AU1424" s="1" t="s">
        <v>4171</v>
      </c>
    </row>
    <row r="1425" spans="1:47" ht="15" customHeight="1" x14ac:dyDescent="0.25">
      <c r="A1425" s="1">
        <v>1417</v>
      </c>
      <c r="B1425" s="1" t="s">
        <v>1258</v>
      </c>
      <c r="C1425" s="1" t="s">
        <v>38</v>
      </c>
      <c r="D1425" s="1" t="s">
        <v>3043</v>
      </c>
      <c r="E1425" s="5">
        <v>42058</v>
      </c>
      <c r="F1425" s="1" t="s">
        <v>3044</v>
      </c>
      <c r="G1425" s="1" t="s">
        <v>40</v>
      </c>
      <c r="H1425" s="1" t="s">
        <v>41</v>
      </c>
      <c r="I1425" s="1" t="s">
        <v>2809</v>
      </c>
      <c r="J1425" s="1" t="s">
        <v>78</v>
      </c>
      <c r="K1425" s="1">
        <v>38237090</v>
      </c>
      <c r="L1425" s="6">
        <v>18.559999999999999</v>
      </c>
      <c r="M1425" s="1" t="s">
        <v>70</v>
      </c>
      <c r="N1425" s="7" t="s">
        <v>67</v>
      </c>
      <c r="O1425" s="1" t="s">
        <v>53</v>
      </c>
      <c r="P1425" s="8">
        <v>1390</v>
      </c>
      <c r="Q1425" s="17">
        <f t="shared" si="128"/>
        <v>25798.399999999998</v>
      </c>
      <c r="R1425" s="9">
        <v>0</v>
      </c>
      <c r="S1425" s="9">
        <v>0</v>
      </c>
      <c r="T1425" s="9">
        <v>0</v>
      </c>
      <c r="U1425" s="10">
        <v>0</v>
      </c>
      <c r="V1425" s="1" t="s">
        <v>46</v>
      </c>
      <c r="W1425" s="1" t="s">
        <v>56</v>
      </c>
      <c r="X1425" s="1">
        <v>7892439</v>
      </c>
      <c r="Y1425" s="11">
        <v>42053</v>
      </c>
      <c r="Z1425" s="11">
        <v>42054</v>
      </c>
      <c r="AA1425" s="9">
        <f t="shared" si="131"/>
        <v>25798.399999999998</v>
      </c>
      <c r="AB1425" s="12">
        <v>61.45</v>
      </c>
      <c r="AC1425" s="9">
        <f t="shared" si="126"/>
        <v>1585311.68</v>
      </c>
      <c r="AD1425" s="9">
        <f t="shared" si="127"/>
        <v>1585311.68</v>
      </c>
      <c r="AE1425" s="1" t="s">
        <v>48</v>
      </c>
      <c r="AF1425" s="1" t="s">
        <v>53</v>
      </c>
      <c r="AG1425" s="4">
        <f t="shared" si="129"/>
        <v>25798.399999999998</v>
      </c>
      <c r="AH1425" s="10">
        <v>25798.400000000001</v>
      </c>
      <c r="AI1425" s="10">
        <v>0</v>
      </c>
      <c r="AJ1425" s="10">
        <v>0</v>
      </c>
      <c r="AK1425" s="10">
        <v>0</v>
      </c>
      <c r="AL1425" s="9">
        <f t="shared" si="133"/>
        <v>25798.400000000001</v>
      </c>
      <c r="AM1425" s="1"/>
      <c r="AN1425" s="1"/>
      <c r="AO1425" s="12" t="e">
        <f>AB1425/#REF!</f>
        <v>#REF!</v>
      </c>
      <c r="AP1425" s="1"/>
      <c r="AQ1425" s="11">
        <v>42090</v>
      </c>
      <c r="AR1425" s="1" t="s">
        <v>3580</v>
      </c>
      <c r="AS1425" s="11">
        <v>42093</v>
      </c>
      <c r="AT1425" s="1" t="s">
        <v>49</v>
      </c>
      <c r="AU1425" s="1" t="s">
        <v>4171</v>
      </c>
    </row>
    <row r="1426" spans="1:47" ht="15" customHeight="1" x14ac:dyDescent="0.25">
      <c r="A1426" s="1">
        <v>1418</v>
      </c>
      <c r="B1426" s="1" t="s">
        <v>1258</v>
      </c>
      <c r="C1426" s="1" t="s">
        <v>38</v>
      </c>
      <c r="D1426" s="1" t="s">
        <v>3043</v>
      </c>
      <c r="E1426" s="5">
        <v>42058</v>
      </c>
      <c r="F1426" s="1" t="s">
        <v>3045</v>
      </c>
      <c r="G1426" s="1" t="s">
        <v>40</v>
      </c>
      <c r="H1426" s="1" t="s">
        <v>41</v>
      </c>
      <c r="I1426" s="1" t="s">
        <v>2809</v>
      </c>
      <c r="J1426" s="1" t="s">
        <v>78</v>
      </c>
      <c r="K1426" s="1">
        <v>38237090</v>
      </c>
      <c r="L1426" s="6">
        <v>18.649999999999999</v>
      </c>
      <c r="M1426" s="1" t="s">
        <v>70</v>
      </c>
      <c r="N1426" s="7" t="s">
        <v>67</v>
      </c>
      <c r="O1426" s="1" t="s">
        <v>53</v>
      </c>
      <c r="P1426" s="8">
        <v>1390</v>
      </c>
      <c r="Q1426" s="17">
        <f t="shared" si="128"/>
        <v>25923.499999999996</v>
      </c>
      <c r="R1426" s="9">
        <v>0</v>
      </c>
      <c r="S1426" s="9">
        <v>0</v>
      </c>
      <c r="T1426" s="9">
        <v>0</v>
      </c>
      <c r="U1426" s="10">
        <v>0</v>
      </c>
      <c r="V1426" s="1" t="s">
        <v>46</v>
      </c>
      <c r="W1426" s="1" t="s">
        <v>56</v>
      </c>
      <c r="X1426" s="1">
        <v>7904008</v>
      </c>
      <c r="Y1426" s="11">
        <v>42054</v>
      </c>
      <c r="Z1426" s="11">
        <v>42055</v>
      </c>
      <c r="AA1426" s="9">
        <f t="shared" si="131"/>
        <v>25923.499999999996</v>
      </c>
      <c r="AB1426" s="12">
        <v>61.45</v>
      </c>
      <c r="AC1426" s="9">
        <f t="shared" si="126"/>
        <v>1592999.075</v>
      </c>
      <c r="AD1426" s="9">
        <f t="shared" si="127"/>
        <v>1592999.075</v>
      </c>
      <c r="AE1426" s="1" t="s">
        <v>48</v>
      </c>
      <c r="AF1426" s="1" t="s">
        <v>53</v>
      </c>
      <c r="AG1426" s="4">
        <f t="shared" si="129"/>
        <v>25923.499999999996</v>
      </c>
      <c r="AH1426" s="10">
        <v>25923.5</v>
      </c>
      <c r="AI1426" s="10">
        <v>0</v>
      </c>
      <c r="AJ1426" s="10">
        <v>0</v>
      </c>
      <c r="AK1426" s="10">
        <v>0</v>
      </c>
      <c r="AL1426" s="9">
        <f t="shared" si="133"/>
        <v>25923.5</v>
      </c>
      <c r="AM1426" s="1"/>
      <c r="AN1426" s="1"/>
      <c r="AO1426" s="12" t="e">
        <f>AB1426/#REF!</f>
        <v>#REF!</v>
      </c>
      <c r="AP1426" s="1"/>
      <c r="AQ1426" s="11">
        <v>42090</v>
      </c>
      <c r="AR1426" s="1" t="s">
        <v>3581</v>
      </c>
      <c r="AS1426" s="11">
        <v>42093</v>
      </c>
      <c r="AT1426" s="1" t="s">
        <v>49</v>
      </c>
      <c r="AU1426" s="1" t="s">
        <v>4171</v>
      </c>
    </row>
    <row r="1427" spans="1:47" ht="15" customHeight="1" x14ac:dyDescent="0.25">
      <c r="A1427" s="1">
        <v>1419</v>
      </c>
      <c r="B1427" s="1" t="s">
        <v>1258</v>
      </c>
      <c r="C1427" s="1" t="s">
        <v>38</v>
      </c>
      <c r="D1427" s="1">
        <v>9103551220</v>
      </c>
      <c r="E1427" s="5">
        <v>42060</v>
      </c>
      <c r="F1427" s="1" t="s">
        <v>3046</v>
      </c>
      <c r="G1427" s="1" t="s">
        <v>40</v>
      </c>
      <c r="H1427" s="1" t="s">
        <v>41</v>
      </c>
      <c r="I1427" s="1" t="s">
        <v>2809</v>
      </c>
      <c r="J1427" s="1" t="s">
        <v>2153</v>
      </c>
      <c r="K1427" s="1">
        <v>29159090</v>
      </c>
      <c r="L1427" s="6">
        <v>39.86</v>
      </c>
      <c r="M1427" s="1" t="s">
        <v>70</v>
      </c>
      <c r="N1427" s="7" t="s">
        <v>44</v>
      </c>
      <c r="O1427" s="1" t="s">
        <v>45</v>
      </c>
      <c r="P1427" s="8">
        <v>1668</v>
      </c>
      <c r="Q1427" s="17">
        <f t="shared" si="128"/>
        <v>66486.48</v>
      </c>
      <c r="R1427" s="9">
        <v>1947.98</v>
      </c>
      <c r="S1427" s="9">
        <v>9.51</v>
      </c>
      <c r="T1427" s="9">
        <v>0</v>
      </c>
      <c r="U1427" s="10">
        <v>0</v>
      </c>
      <c r="V1427" s="1" t="s">
        <v>46</v>
      </c>
      <c r="W1427" s="1" t="s">
        <v>47</v>
      </c>
      <c r="X1427" s="1">
        <v>7904382</v>
      </c>
      <c r="Y1427" s="11">
        <v>42054</v>
      </c>
      <c r="Z1427" s="11">
        <v>42055</v>
      </c>
      <c r="AA1427" s="9">
        <f t="shared" si="131"/>
        <v>64528.989999999991</v>
      </c>
      <c r="AB1427" s="12">
        <v>69.400000000000006</v>
      </c>
      <c r="AC1427" s="9">
        <f t="shared" si="126"/>
        <v>4614161.7120000003</v>
      </c>
      <c r="AD1427" s="9">
        <f t="shared" si="127"/>
        <v>4478311.9059999995</v>
      </c>
      <c r="AE1427" s="1" t="s">
        <v>48</v>
      </c>
      <c r="AF1427" s="1" t="s">
        <v>45</v>
      </c>
      <c r="AG1427" s="4">
        <f t="shared" si="129"/>
        <v>66486.48</v>
      </c>
      <c r="AH1427" s="10">
        <v>66486.48</v>
      </c>
      <c r="AI1427" s="10">
        <v>1845.53</v>
      </c>
      <c r="AJ1427" s="10">
        <v>9.51</v>
      </c>
      <c r="AK1427" s="10">
        <v>0</v>
      </c>
      <c r="AL1427" s="9">
        <f t="shared" si="133"/>
        <v>64631.439999999995</v>
      </c>
      <c r="AM1427" s="1"/>
      <c r="AN1427" s="1"/>
      <c r="AO1427" s="12" t="e">
        <f>AB1427/#REF!</f>
        <v>#REF!</v>
      </c>
      <c r="AP1427" s="1"/>
      <c r="AQ1427" s="11">
        <v>42100</v>
      </c>
      <c r="AR1427" s="1" t="s">
        <v>3707</v>
      </c>
      <c r="AS1427" s="11">
        <v>42101</v>
      </c>
      <c r="AT1427" s="1" t="s">
        <v>49</v>
      </c>
      <c r="AU1427" s="1" t="s">
        <v>4171</v>
      </c>
    </row>
    <row r="1428" spans="1:47" ht="15" customHeight="1" x14ac:dyDescent="0.25">
      <c r="A1428" s="1">
        <v>1420</v>
      </c>
      <c r="B1428" s="1" t="s">
        <v>1258</v>
      </c>
      <c r="C1428" s="1" t="s">
        <v>38</v>
      </c>
      <c r="D1428" s="1" t="s">
        <v>3047</v>
      </c>
      <c r="E1428" s="5">
        <v>42058</v>
      </c>
      <c r="F1428" s="1" t="s">
        <v>3048</v>
      </c>
      <c r="G1428" s="1" t="s">
        <v>40</v>
      </c>
      <c r="H1428" s="1" t="s">
        <v>41</v>
      </c>
      <c r="I1428" s="1" t="s">
        <v>2810</v>
      </c>
      <c r="J1428" s="1" t="s">
        <v>1116</v>
      </c>
      <c r="K1428" s="1">
        <v>38237090</v>
      </c>
      <c r="L1428" s="6">
        <v>94.28</v>
      </c>
      <c r="M1428" s="1" t="s">
        <v>70</v>
      </c>
      <c r="N1428" s="7" t="s">
        <v>67</v>
      </c>
      <c r="O1428" s="1" t="s">
        <v>1117</v>
      </c>
      <c r="P1428" s="8">
        <v>85425</v>
      </c>
      <c r="Q1428" s="17">
        <f t="shared" si="128"/>
        <v>8053869</v>
      </c>
      <c r="R1428" s="9">
        <v>0</v>
      </c>
      <c r="S1428" s="9">
        <v>0</v>
      </c>
      <c r="T1428" s="9">
        <v>457258.41</v>
      </c>
      <c r="U1428" s="10">
        <v>0</v>
      </c>
      <c r="V1428" s="1" t="s">
        <v>46</v>
      </c>
      <c r="W1428" s="1" t="s">
        <v>361</v>
      </c>
      <c r="X1428" s="1">
        <v>7921066</v>
      </c>
      <c r="Y1428" s="11">
        <v>42055</v>
      </c>
      <c r="Z1428" s="11">
        <v>42056</v>
      </c>
      <c r="AA1428" s="9">
        <f t="shared" si="131"/>
        <v>8053869</v>
      </c>
      <c r="AB1428" s="12">
        <v>1</v>
      </c>
      <c r="AC1428" s="9">
        <f t="shared" si="126"/>
        <v>8053869</v>
      </c>
      <c r="AD1428" s="9">
        <f t="shared" si="127"/>
        <v>8053869</v>
      </c>
      <c r="AE1428" s="1" t="s">
        <v>4162</v>
      </c>
      <c r="AF1428" s="1" t="s">
        <v>1117</v>
      </c>
      <c r="AG1428" s="4">
        <f t="shared" si="129"/>
        <v>8053869</v>
      </c>
      <c r="AH1428" s="10">
        <v>7868496.75</v>
      </c>
      <c r="AI1428" s="10"/>
      <c r="AJ1428" s="10"/>
      <c r="AK1428" s="10"/>
      <c r="AL1428" s="9">
        <f t="shared" si="133"/>
        <v>7868496.75</v>
      </c>
      <c r="AM1428" s="1"/>
      <c r="AN1428" s="1"/>
      <c r="AO1428" s="12"/>
      <c r="AP1428" s="1" t="s">
        <v>4007</v>
      </c>
      <c r="AQ1428" s="11" t="s">
        <v>4008</v>
      </c>
      <c r="AR1428" s="1" t="s">
        <v>4009</v>
      </c>
      <c r="AS1428" s="1" t="s">
        <v>4006</v>
      </c>
      <c r="AT1428" s="1" t="s">
        <v>49</v>
      </c>
      <c r="AU1428" s="1" t="s">
        <v>4171</v>
      </c>
    </row>
    <row r="1429" spans="1:47" ht="15" customHeight="1" x14ac:dyDescent="0.25">
      <c r="A1429" s="1">
        <v>1421</v>
      </c>
      <c r="B1429" s="1" t="s">
        <v>1258</v>
      </c>
      <c r="C1429" s="1" t="s">
        <v>38</v>
      </c>
      <c r="D1429" s="1" t="s">
        <v>3047</v>
      </c>
      <c r="E1429" s="5">
        <v>42058</v>
      </c>
      <c r="F1429" s="1" t="s">
        <v>3049</v>
      </c>
      <c r="G1429" s="1" t="s">
        <v>40</v>
      </c>
      <c r="H1429" s="1" t="s">
        <v>41</v>
      </c>
      <c r="I1429" s="1" t="s">
        <v>2810</v>
      </c>
      <c r="J1429" s="1" t="s">
        <v>1116</v>
      </c>
      <c r="K1429" s="1">
        <v>38237090</v>
      </c>
      <c r="L1429" s="6">
        <v>18.73</v>
      </c>
      <c r="M1429" s="1" t="s">
        <v>70</v>
      </c>
      <c r="N1429" s="7" t="s">
        <v>67</v>
      </c>
      <c r="O1429" s="1" t="s">
        <v>1117</v>
      </c>
      <c r="P1429" s="8">
        <v>85425</v>
      </c>
      <c r="Q1429" s="17">
        <f t="shared" si="128"/>
        <v>1600010.25</v>
      </c>
      <c r="R1429" s="9">
        <v>0</v>
      </c>
      <c r="S1429" s="9">
        <v>0</v>
      </c>
      <c r="T1429" s="9">
        <v>90840.58</v>
      </c>
      <c r="U1429" s="10">
        <v>0</v>
      </c>
      <c r="V1429" s="1" t="s">
        <v>46</v>
      </c>
      <c r="W1429" s="1" t="s">
        <v>361</v>
      </c>
      <c r="X1429" s="1">
        <v>7928305</v>
      </c>
      <c r="Y1429" s="11">
        <v>42055</v>
      </c>
      <c r="Z1429" s="11">
        <v>42056</v>
      </c>
      <c r="AA1429" s="9">
        <f t="shared" si="131"/>
        <v>1600010.25</v>
      </c>
      <c r="AB1429" s="12">
        <v>1</v>
      </c>
      <c r="AC1429" s="9">
        <f t="shared" si="126"/>
        <v>1600010.25</v>
      </c>
      <c r="AD1429" s="9">
        <f t="shared" si="127"/>
        <v>1600010.25</v>
      </c>
      <c r="AE1429" s="1" t="s">
        <v>4162</v>
      </c>
      <c r="AF1429" s="1" t="s">
        <v>1117</v>
      </c>
      <c r="AG1429" s="4">
        <f t="shared" si="129"/>
        <v>1600010.25</v>
      </c>
      <c r="AH1429" s="10">
        <v>1600010.25</v>
      </c>
      <c r="AI1429" s="10"/>
      <c r="AJ1429" s="10"/>
      <c r="AK1429" s="10"/>
      <c r="AL1429" s="9">
        <f t="shared" si="133"/>
        <v>1600010.25</v>
      </c>
      <c r="AM1429" s="1"/>
      <c r="AN1429" s="1"/>
      <c r="AO1429" s="12"/>
      <c r="AP1429" s="1" t="s">
        <v>4007</v>
      </c>
      <c r="AQ1429" s="11" t="s">
        <v>4008</v>
      </c>
      <c r="AR1429" s="1" t="s">
        <v>4005</v>
      </c>
      <c r="AS1429" s="1" t="s">
        <v>4006</v>
      </c>
      <c r="AT1429" s="1" t="s">
        <v>49</v>
      </c>
      <c r="AU1429" s="1" t="s">
        <v>4171</v>
      </c>
    </row>
    <row r="1430" spans="1:47" ht="15" customHeight="1" x14ac:dyDescent="0.25">
      <c r="A1430" s="1">
        <v>1422</v>
      </c>
      <c r="B1430" s="1" t="s">
        <v>1258</v>
      </c>
      <c r="C1430" s="1" t="s">
        <v>38</v>
      </c>
      <c r="D1430" s="1" t="s">
        <v>3051</v>
      </c>
      <c r="E1430" s="5">
        <v>42058</v>
      </c>
      <c r="F1430" s="1" t="s">
        <v>3050</v>
      </c>
      <c r="G1430" s="1" t="s">
        <v>40</v>
      </c>
      <c r="H1430" s="1" t="s">
        <v>41</v>
      </c>
      <c r="I1430" s="1" t="s">
        <v>2810</v>
      </c>
      <c r="J1430" s="1" t="s">
        <v>1116</v>
      </c>
      <c r="K1430" s="1">
        <v>38237090</v>
      </c>
      <c r="L1430" s="6">
        <v>37.9</v>
      </c>
      <c r="M1430" s="1" t="s">
        <v>70</v>
      </c>
      <c r="N1430" s="7" t="s">
        <v>67</v>
      </c>
      <c r="O1430" s="1" t="s">
        <v>1117</v>
      </c>
      <c r="P1430" s="8">
        <v>87000</v>
      </c>
      <c r="Q1430" s="17">
        <f t="shared" si="128"/>
        <v>3297300</v>
      </c>
      <c r="R1430" s="9">
        <v>0</v>
      </c>
      <c r="S1430" s="9">
        <v>0</v>
      </c>
      <c r="T1430" s="9">
        <v>208455.31</v>
      </c>
      <c r="U1430" s="10">
        <v>0</v>
      </c>
      <c r="V1430" s="1" t="s">
        <v>46</v>
      </c>
      <c r="W1430" s="1" t="s">
        <v>361</v>
      </c>
      <c r="X1430" s="1">
        <v>7916398</v>
      </c>
      <c r="Y1430" s="11">
        <v>42054</v>
      </c>
      <c r="Z1430" s="11">
        <v>42055</v>
      </c>
      <c r="AA1430" s="9">
        <f t="shared" si="131"/>
        <v>3297300</v>
      </c>
      <c r="AB1430" s="12">
        <v>1</v>
      </c>
      <c r="AC1430" s="9">
        <f t="shared" si="126"/>
        <v>3297300</v>
      </c>
      <c r="AD1430" s="9">
        <f t="shared" si="127"/>
        <v>3297300</v>
      </c>
      <c r="AE1430" s="1" t="s">
        <v>4162</v>
      </c>
      <c r="AF1430" s="1" t="s">
        <v>1117</v>
      </c>
      <c r="AG1430" s="4">
        <f t="shared" si="129"/>
        <v>3297300</v>
      </c>
      <c r="AH1430" s="10">
        <v>2984702.5</v>
      </c>
      <c r="AI1430" s="10"/>
      <c r="AJ1430" s="10"/>
      <c r="AK1430" s="10"/>
      <c r="AL1430" s="9">
        <f t="shared" si="133"/>
        <v>2984702.5</v>
      </c>
      <c r="AM1430" s="1"/>
      <c r="AN1430" s="1"/>
      <c r="AO1430" s="12"/>
      <c r="AP1430" s="1" t="s">
        <v>3958</v>
      </c>
      <c r="AQ1430" s="11" t="s">
        <v>3948</v>
      </c>
      <c r="AR1430" s="1" t="s">
        <v>3957</v>
      </c>
      <c r="AS1430" s="1" t="s">
        <v>3945</v>
      </c>
      <c r="AT1430" s="1" t="s">
        <v>49</v>
      </c>
      <c r="AU1430" s="1" t="s">
        <v>4171</v>
      </c>
    </row>
    <row r="1431" spans="1:47" ht="15" customHeight="1" x14ac:dyDescent="0.25">
      <c r="A1431" s="1">
        <v>1423</v>
      </c>
      <c r="B1431" s="1" t="s">
        <v>1258</v>
      </c>
      <c r="C1431" s="1" t="s">
        <v>38</v>
      </c>
      <c r="D1431" s="1" t="s">
        <v>3051</v>
      </c>
      <c r="E1431" s="5">
        <v>42058</v>
      </c>
      <c r="F1431" s="1" t="s">
        <v>3052</v>
      </c>
      <c r="G1431" s="1" t="s">
        <v>40</v>
      </c>
      <c r="H1431" s="1" t="s">
        <v>41</v>
      </c>
      <c r="I1431" s="1" t="s">
        <v>2810</v>
      </c>
      <c r="J1431" s="1" t="s">
        <v>1116</v>
      </c>
      <c r="K1431" s="1">
        <v>38237090</v>
      </c>
      <c r="L1431" s="6">
        <v>75.45</v>
      </c>
      <c r="M1431" s="1" t="s">
        <v>70</v>
      </c>
      <c r="N1431" s="7" t="s">
        <v>67</v>
      </c>
      <c r="O1431" s="1" t="s">
        <v>1117</v>
      </c>
      <c r="P1431" s="8">
        <v>87000</v>
      </c>
      <c r="Q1431" s="17">
        <f t="shared" si="128"/>
        <v>6564150</v>
      </c>
      <c r="R1431" s="9">
        <v>0</v>
      </c>
      <c r="S1431" s="9">
        <v>0</v>
      </c>
      <c r="T1431" s="9">
        <v>414985.56</v>
      </c>
      <c r="U1431" s="10">
        <v>0</v>
      </c>
      <c r="V1431" s="1" t="s">
        <v>46</v>
      </c>
      <c r="W1431" s="1" t="s">
        <v>361</v>
      </c>
      <c r="X1431" s="1">
        <v>7928311</v>
      </c>
      <c r="Y1431" s="11">
        <v>42055</v>
      </c>
      <c r="Z1431" s="11">
        <v>42056</v>
      </c>
      <c r="AA1431" s="9">
        <f t="shared" si="131"/>
        <v>6564150</v>
      </c>
      <c r="AB1431" s="12">
        <v>1</v>
      </c>
      <c r="AC1431" s="9">
        <f t="shared" si="126"/>
        <v>6564150</v>
      </c>
      <c r="AD1431" s="9">
        <f t="shared" si="127"/>
        <v>6564150</v>
      </c>
      <c r="AE1431" s="1" t="s">
        <v>4162</v>
      </c>
      <c r="AF1431" s="1" t="s">
        <v>1117</v>
      </c>
      <c r="AG1431" s="4">
        <f t="shared" si="129"/>
        <v>6564150</v>
      </c>
      <c r="AH1431" s="10">
        <v>6564150</v>
      </c>
      <c r="AI1431" s="10"/>
      <c r="AJ1431" s="10"/>
      <c r="AK1431" s="10"/>
      <c r="AL1431" s="9">
        <f t="shared" si="133"/>
        <v>6564150</v>
      </c>
      <c r="AM1431" s="1"/>
      <c r="AN1431" s="1"/>
      <c r="AO1431" s="12"/>
      <c r="AP1431" s="1" t="s">
        <v>3958</v>
      </c>
      <c r="AQ1431" s="11" t="s">
        <v>3948</v>
      </c>
      <c r="AR1431" s="1" t="s">
        <v>3959</v>
      </c>
      <c r="AS1431" s="1" t="s">
        <v>3945</v>
      </c>
      <c r="AT1431" s="1" t="s">
        <v>49</v>
      </c>
      <c r="AU1431" s="1" t="s">
        <v>4171</v>
      </c>
    </row>
    <row r="1432" spans="1:47" ht="15" customHeight="1" x14ac:dyDescent="0.25">
      <c r="A1432" s="1">
        <v>1424</v>
      </c>
      <c r="B1432" s="1" t="s">
        <v>1258</v>
      </c>
      <c r="C1432" s="1" t="s">
        <v>38</v>
      </c>
      <c r="D1432" s="1">
        <v>9103551225</v>
      </c>
      <c r="E1432" s="5">
        <v>42060</v>
      </c>
      <c r="F1432" s="1" t="s">
        <v>3053</v>
      </c>
      <c r="G1432" s="1" t="s">
        <v>40</v>
      </c>
      <c r="H1432" s="1" t="s">
        <v>41</v>
      </c>
      <c r="I1432" s="1" t="s">
        <v>2809</v>
      </c>
      <c r="J1432" s="1" t="s">
        <v>2153</v>
      </c>
      <c r="K1432" s="1">
        <v>29159090</v>
      </c>
      <c r="L1432" s="6">
        <v>39.57</v>
      </c>
      <c r="M1432" s="1" t="s">
        <v>70</v>
      </c>
      <c r="N1432" s="7" t="s">
        <v>44</v>
      </c>
      <c r="O1432" s="1" t="s">
        <v>45</v>
      </c>
      <c r="P1432" s="8">
        <v>1894</v>
      </c>
      <c r="Q1432" s="17">
        <f t="shared" si="128"/>
        <v>74945.58</v>
      </c>
      <c r="R1432" s="9">
        <v>1938.13</v>
      </c>
      <c r="S1432" s="9">
        <v>10.72</v>
      </c>
      <c r="T1432" s="9">
        <v>0</v>
      </c>
      <c r="U1432" s="10">
        <v>0</v>
      </c>
      <c r="V1432" s="1" t="s">
        <v>46</v>
      </c>
      <c r="W1432" s="1" t="s">
        <v>47</v>
      </c>
      <c r="X1432" s="1">
        <v>7929233</v>
      </c>
      <c r="Y1432" s="11">
        <v>42055</v>
      </c>
      <c r="Z1432" s="11">
        <v>42056</v>
      </c>
      <c r="AA1432" s="9">
        <f t="shared" si="131"/>
        <v>72996.73</v>
      </c>
      <c r="AB1432" s="12">
        <v>70.150000000000006</v>
      </c>
      <c r="AC1432" s="9">
        <f t="shared" si="126"/>
        <v>5257432.4370000008</v>
      </c>
      <c r="AD1432" s="9">
        <f t="shared" si="127"/>
        <v>5120720.6095000003</v>
      </c>
      <c r="AE1432" s="1" t="s">
        <v>48</v>
      </c>
      <c r="AF1432" s="1" t="s">
        <v>45</v>
      </c>
      <c r="AG1432" s="4">
        <f t="shared" si="129"/>
        <v>74945.58</v>
      </c>
      <c r="AH1432" s="10">
        <v>74945.58</v>
      </c>
      <c r="AI1432" s="9">
        <v>1845.53</v>
      </c>
      <c r="AJ1432" s="9">
        <v>10.72</v>
      </c>
      <c r="AK1432" s="9">
        <v>0</v>
      </c>
      <c r="AL1432" s="9">
        <f t="shared" si="133"/>
        <v>73089.33</v>
      </c>
      <c r="AM1432" s="1"/>
      <c r="AN1432" s="1"/>
      <c r="AO1432" s="12" t="e">
        <f>AB1432/#REF!</f>
        <v>#REF!</v>
      </c>
      <c r="AP1432" s="1"/>
      <c r="AQ1432" s="11">
        <v>42100</v>
      </c>
      <c r="AR1432" s="1" t="s">
        <v>3708</v>
      </c>
      <c r="AS1432" s="11">
        <v>42101</v>
      </c>
      <c r="AT1432" s="1" t="s">
        <v>49</v>
      </c>
      <c r="AU1432" s="1" t="s">
        <v>4171</v>
      </c>
    </row>
    <row r="1433" spans="1:47" ht="15" customHeight="1" x14ac:dyDescent="0.25">
      <c r="A1433" s="1">
        <v>1425</v>
      </c>
      <c r="B1433" s="1" t="s">
        <v>1258</v>
      </c>
      <c r="C1433" s="1" t="s">
        <v>38</v>
      </c>
      <c r="D1433" s="1">
        <v>9103551226</v>
      </c>
      <c r="E1433" s="5">
        <v>42060</v>
      </c>
      <c r="F1433" s="1" t="s">
        <v>3054</v>
      </c>
      <c r="G1433" s="1" t="s">
        <v>40</v>
      </c>
      <c r="H1433" s="1" t="s">
        <v>41</v>
      </c>
      <c r="I1433" s="1" t="s">
        <v>2809</v>
      </c>
      <c r="J1433" s="1" t="s">
        <v>2800</v>
      </c>
      <c r="K1433" s="1">
        <v>38231190</v>
      </c>
      <c r="L1433" s="6">
        <v>12</v>
      </c>
      <c r="M1433" s="1" t="s">
        <v>70</v>
      </c>
      <c r="N1433" s="7" t="s">
        <v>44</v>
      </c>
      <c r="O1433" s="1" t="s">
        <v>53</v>
      </c>
      <c r="P1433" s="8">
        <v>1125</v>
      </c>
      <c r="Q1433" s="17">
        <f t="shared" si="128"/>
        <v>13500</v>
      </c>
      <c r="R1433" s="9">
        <v>700</v>
      </c>
      <c r="S1433" s="9">
        <v>1.93</v>
      </c>
      <c r="T1433" s="9">
        <v>244.53</v>
      </c>
      <c r="U1433" s="10">
        <v>0</v>
      </c>
      <c r="V1433" s="1" t="s">
        <v>46</v>
      </c>
      <c r="W1433" s="1" t="s">
        <v>90</v>
      </c>
      <c r="X1433" s="1">
        <v>7936475</v>
      </c>
      <c r="Y1433" s="11">
        <v>42055</v>
      </c>
      <c r="Z1433" s="11">
        <v>42056</v>
      </c>
      <c r="AA1433" s="9">
        <f t="shared" si="131"/>
        <v>12798.07</v>
      </c>
      <c r="AB1433" s="12">
        <v>61.8</v>
      </c>
      <c r="AC1433" s="9">
        <f t="shared" si="126"/>
        <v>834300</v>
      </c>
      <c r="AD1433" s="9">
        <f t="shared" si="127"/>
        <v>790920.72599999991</v>
      </c>
      <c r="AE1433" s="1" t="s">
        <v>48</v>
      </c>
      <c r="AF1433" s="1" t="s">
        <v>53</v>
      </c>
      <c r="AG1433" s="4">
        <f t="shared" si="129"/>
        <v>13500</v>
      </c>
      <c r="AH1433" s="10">
        <v>13425</v>
      </c>
      <c r="AI1433" s="10">
        <v>728.03</v>
      </c>
      <c r="AJ1433" s="10">
        <v>1.93</v>
      </c>
      <c r="AK1433" s="10">
        <v>24.4</v>
      </c>
      <c r="AL1433" s="9">
        <f t="shared" si="133"/>
        <v>12670.64</v>
      </c>
      <c r="AM1433" s="1"/>
      <c r="AN1433" s="1"/>
      <c r="AO1433" s="12" t="e">
        <f>AB1433/#REF!</f>
        <v>#REF!</v>
      </c>
      <c r="AP1433" s="1"/>
      <c r="AQ1433" s="11">
        <v>42072</v>
      </c>
      <c r="AR1433" s="1" t="s">
        <v>3582</v>
      </c>
      <c r="AS1433" s="11">
        <v>42073</v>
      </c>
      <c r="AT1433" s="1" t="s">
        <v>49</v>
      </c>
      <c r="AU1433" s="1" t="s">
        <v>4171</v>
      </c>
    </row>
    <row r="1434" spans="1:47" ht="15" customHeight="1" x14ac:dyDescent="0.25">
      <c r="A1434" s="1">
        <v>1426</v>
      </c>
      <c r="B1434" s="1" t="s">
        <v>1258</v>
      </c>
      <c r="C1434" s="1" t="s">
        <v>38</v>
      </c>
      <c r="D1434" s="1">
        <v>9103551226</v>
      </c>
      <c r="E1434" s="5">
        <v>42060</v>
      </c>
      <c r="F1434" s="1" t="s">
        <v>3054</v>
      </c>
      <c r="G1434" s="1" t="s">
        <v>40</v>
      </c>
      <c r="H1434" s="1" t="s">
        <v>41</v>
      </c>
      <c r="I1434" s="1" t="s">
        <v>2809</v>
      </c>
      <c r="J1434" s="1" t="s">
        <v>2800</v>
      </c>
      <c r="K1434" s="1">
        <v>38231190</v>
      </c>
      <c r="L1434" s="6">
        <v>12</v>
      </c>
      <c r="M1434" s="1" t="s">
        <v>70</v>
      </c>
      <c r="N1434" s="7" t="s">
        <v>44</v>
      </c>
      <c r="O1434" s="1" t="s">
        <v>53</v>
      </c>
      <c r="P1434" s="8">
        <v>995</v>
      </c>
      <c r="Q1434" s="17">
        <f t="shared" si="128"/>
        <v>11940</v>
      </c>
      <c r="R1434" s="9">
        <v>700</v>
      </c>
      <c r="S1434" s="9">
        <v>1.71</v>
      </c>
      <c r="T1434" s="9">
        <v>216.27</v>
      </c>
      <c r="U1434" s="10">
        <v>0</v>
      </c>
      <c r="V1434" s="1" t="s">
        <v>46</v>
      </c>
      <c r="W1434" s="1" t="s">
        <v>90</v>
      </c>
      <c r="X1434" s="1">
        <v>7936475</v>
      </c>
      <c r="Y1434" s="11">
        <v>42055</v>
      </c>
      <c r="Z1434" s="11">
        <v>42056</v>
      </c>
      <c r="AA1434" s="9">
        <f t="shared" si="131"/>
        <v>11238.29</v>
      </c>
      <c r="AB1434" s="12">
        <v>61.8</v>
      </c>
      <c r="AC1434" s="9">
        <f t="shared" ref="AC1434:AC1501" si="134">+Q1434*AB1434</f>
        <v>737892</v>
      </c>
      <c r="AD1434" s="9">
        <f t="shared" ref="AD1434:AD1501" si="135">+AA1434*AB1434</f>
        <v>694526.32200000004</v>
      </c>
      <c r="AE1434" s="1" t="s">
        <v>48</v>
      </c>
      <c r="AF1434" s="1" t="s">
        <v>53</v>
      </c>
      <c r="AG1434" s="4">
        <f t="shared" si="129"/>
        <v>11940</v>
      </c>
      <c r="AH1434" s="10">
        <v>11930</v>
      </c>
      <c r="AI1434" s="10">
        <v>646.97</v>
      </c>
      <c r="AJ1434" s="10">
        <v>1.71</v>
      </c>
      <c r="AK1434" s="10">
        <v>21.68</v>
      </c>
      <c r="AL1434" s="9">
        <f t="shared" si="133"/>
        <v>11259.64</v>
      </c>
      <c r="AM1434" s="1"/>
      <c r="AN1434" s="1"/>
      <c r="AO1434" s="12" t="e">
        <f>AB1434/#REF!</f>
        <v>#REF!</v>
      </c>
      <c r="AP1434" s="1"/>
      <c r="AQ1434" s="11">
        <v>42072</v>
      </c>
      <c r="AR1434" s="1" t="s">
        <v>3582</v>
      </c>
      <c r="AS1434" s="11">
        <v>42073</v>
      </c>
      <c r="AT1434" s="1" t="s">
        <v>49</v>
      </c>
      <c r="AU1434" s="1" t="s">
        <v>4171</v>
      </c>
    </row>
    <row r="1435" spans="1:47" ht="15" customHeight="1" x14ac:dyDescent="0.25">
      <c r="A1435" s="1">
        <v>1427</v>
      </c>
      <c r="B1435" s="1" t="s">
        <v>1258</v>
      </c>
      <c r="C1435" s="1" t="s">
        <v>38</v>
      </c>
      <c r="D1435" s="1">
        <v>9103551227</v>
      </c>
      <c r="E1435" s="5">
        <v>42060</v>
      </c>
      <c r="F1435" s="1" t="s">
        <v>3055</v>
      </c>
      <c r="G1435" s="1" t="s">
        <v>40</v>
      </c>
      <c r="H1435" s="1" t="s">
        <v>41</v>
      </c>
      <c r="I1435" s="1" t="s">
        <v>2809</v>
      </c>
      <c r="J1435" s="1" t="s">
        <v>76</v>
      </c>
      <c r="K1435" s="1">
        <v>38237090</v>
      </c>
      <c r="L1435" s="6">
        <v>12</v>
      </c>
      <c r="M1435" s="1" t="s">
        <v>70</v>
      </c>
      <c r="N1435" s="7" t="s">
        <v>67</v>
      </c>
      <c r="O1435" s="1" t="s">
        <v>53</v>
      </c>
      <c r="P1435" s="8">
        <v>1445</v>
      </c>
      <c r="Q1435" s="17">
        <f t="shared" si="128"/>
        <v>17340</v>
      </c>
      <c r="R1435" s="9">
        <v>0</v>
      </c>
      <c r="S1435" s="9">
        <v>0</v>
      </c>
      <c r="T1435" s="9">
        <v>0</v>
      </c>
      <c r="U1435" s="10">
        <v>0</v>
      </c>
      <c r="V1435" s="1" t="s">
        <v>46</v>
      </c>
      <c r="W1435" s="1" t="s">
        <v>690</v>
      </c>
      <c r="X1435" s="1">
        <v>7937736</v>
      </c>
      <c r="Y1435" s="11">
        <v>42055</v>
      </c>
      <c r="Z1435" s="11">
        <v>42056</v>
      </c>
      <c r="AA1435" s="9">
        <f t="shared" si="131"/>
        <v>17340</v>
      </c>
      <c r="AB1435" s="12">
        <v>61.8</v>
      </c>
      <c r="AC1435" s="9">
        <f t="shared" si="134"/>
        <v>1071612</v>
      </c>
      <c r="AD1435" s="9">
        <f t="shared" si="135"/>
        <v>1071612</v>
      </c>
      <c r="AE1435" s="1"/>
      <c r="AF1435" s="1" t="s">
        <v>53</v>
      </c>
      <c r="AG1435" s="4">
        <f t="shared" si="129"/>
        <v>17340</v>
      </c>
      <c r="AH1435" s="10">
        <v>17340</v>
      </c>
      <c r="AI1435" s="10"/>
      <c r="AJ1435" s="10"/>
      <c r="AK1435" s="10"/>
      <c r="AL1435" s="9">
        <f t="shared" si="133"/>
        <v>17340</v>
      </c>
      <c r="AM1435" s="1"/>
      <c r="AN1435" s="1"/>
      <c r="AO1435" s="12" t="e">
        <f>AB1435/#REF!</f>
        <v>#REF!</v>
      </c>
      <c r="AP1435" s="1" t="s">
        <v>4261</v>
      </c>
      <c r="AQ1435" s="11">
        <v>42208</v>
      </c>
      <c r="AR1435" s="1" t="s">
        <v>4262</v>
      </c>
      <c r="AS1435" s="11">
        <v>42209</v>
      </c>
      <c r="AT1435" s="1" t="s">
        <v>49</v>
      </c>
      <c r="AU1435" s="1" t="s">
        <v>4171</v>
      </c>
    </row>
    <row r="1436" spans="1:47" ht="15" customHeight="1" x14ac:dyDescent="0.25">
      <c r="A1436" s="1">
        <v>1428</v>
      </c>
      <c r="B1436" s="1" t="s">
        <v>1258</v>
      </c>
      <c r="C1436" s="1" t="s">
        <v>38</v>
      </c>
      <c r="D1436" s="1" t="s">
        <v>3056</v>
      </c>
      <c r="E1436" s="5">
        <v>42061</v>
      </c>
      <c r="F1436" s="1" t="s">
        <v>3057</v>
      </c>
      <c r="G1436" s="1" t="s">
        <v>40</v>
      </c>
      <c r="H1436" s="1" t="s">
        <v>41</v>
      </c>
      <c r="I1436" s="1" t="s">
        <v>2809</v>
      </c>
      <c r="J1436" s="1" t="s">
        <v>2153</v>
      </c>
      <c r="K1436" s="1">
        <v>38231900</v>
      </c>
      <c r="L1436" s="6">
        <v>39.78</v>
      </c>
      <c r="M1436" s="1" t="s">
        <v>70</v>
      </c>
      <c r="N1436" s="7" t="s">
        <v>44</v>
      </c>
      <c r="O1436" s="1" t="s">
        <v>45</v>
      </c>
      <c r="P1436" s="8">
        <v>2980</v>
      </c>
      <c r="Q1436" s="17">
        <f t="shared" si="128"/>
        <v>118544.40000000001</v>
      </c>
      <c r="R1436" s="9">
        <v>1938.13</v>
      </c>
      <c r="S1436" s="9">
        <v>16.95</v>
      </c>
      <c r="T1436" s="9">
        <v>0</v>
      </c>
      <c r="U1436" s="10">
        <v>0</v>
      </c>
      <c r="V1436" s="1" t="s">
        <v>46</v>
      </c>
      <c r="W1436" s="1" t="s">
        <v>47</v>
      </c>
      <c r="X1436" s="1">
        <v>7940266</v>
      </c>
      <c r="Y1436" s="11">
        <v>42055</v>
      </c>
      <c r="Z1436" s="11">
        <v>42056</v>
      </c>
      <c r="AA1436" s="9">
        <f t="shared" si="131"/>
        <v>116589.32</v>
      </c>
      <c r="AB1436" s="12">
        <v>70.150000000000006</v>
      </c>
      <c r="AC1436" s="9">
        <f t="shared" si="134"/>
        <v>8315889.6600000011</v>
      </c>
      <c r="AD1436" s="9">
        <f t="shared" si="135"/>
        <v>8178740.7980000013</v>
      </c>
      <c r="AE1436" s="1" t="s">
        <v>48</v>
      </c>
      <c r="AF1436" s="1" t="s">
        <v>45</v>
      </c>
      <c r="AG1436" s="4">
        <f t="shared" si="129"/>
        <v>118544.40000000001</v>
      </c>
      <c r="AH1436" s="10">
        <v>118544.4</v>
      </c>
      <c r="AI1436" s="10">
        <v>1874.66</v>
      </c>
      <c r="AJ1436" s="10">
        <v>16.95</v>
      </c>
      <c r="AK1436" s="10">
        <v>0</v>
      </c>
      <c r="AL1436" s="9">
        <f t="shared" si="133"/>
        <v>116652.79</v>
      </c>
      <c r="AM1436" s="1"/>
      <c r="AN1436" s="1"/>
      <c r="AO1436" s="12" t="e">
        <f>AB1436/#REF!</f>
        <v>#REF!</v>
      </c>
      <c r="AP1436" s="1"/>
      <c r="AQ1436" s="11">
        <v>42114</v>
      </c>
      <c r="AR1436" s="1" t="s">
        <v>3709</v>
      </c>
      <c r="AS1436" s="11">
        <v>42115</v>
      </c>
      <c r="AT1436" s="1" t="s">
        <v>49</v>
      </c>
      <c r="AU1436" s="1" t="s">
        <v>4171</v>
      </c>
    </row>
    <row r="1437" spans="1:47" ht="15" customHeight="1" x14ac:dyDescent="0.25">
      <c r="A1437" s="1">
        <v>1429</v>
      </c>
      <c r="B1437" s="1" t="s">
        <v>1258</v>
      </c>
      <c r="C1437" s="1" t="s">
        <v>38</v>
      </c>
      <c r="D1437" s="1" t="s">
        <v>3056</v>
      </c>
      <c r="E1437" s="5">
        <v>42061</v>
      </c>
      <c r="F1437" s="1" t="s">
        <v>3058</v>
      </c>
      <c r="G1437" s="1" t="s">
        <v>40</v>
      </c>
      <c r="H1437" s="1" t="s">
        <v>41</v>
      </c>
      <c r="I1437" s="1" t="s">
        <v>2809</v>
      </c>
      <c r="J1437" s="1" t="s">
        <v>2153</v>
      </c>
      <c r="K1437" s="1">
        <v>38231900</v>
      </c>
      <c r="L1437" s="6">
        <v>39.700000000000003</v>
      </c>
      <c r="M1437" s="1" t="s">
        <v>70</v>
      </c>
      <c r="N1437" s="7" t="s">
        <v>44</v>
      </c>
      <c r="O1437" s="1" t="s">
        <v>45</v>
      </c>
      <c r="P1437" s="8">
        <v>2980</v>
      </c>
      <c r="Q1437" s="17">
        <f t="shared" si="128"/>
        <v>118306.00000000001</v>
      </c>
      <c r="R1437" s="9">
        <v>1938.13</v>
      </c>
      <c r="S1437" s="9">
        <v>16.920000000000002</v>
      </c>
      <c r="T1437" s="9">
        <v>0</v>
      </c>
      <c r="U1437" s="10">
        <v>0</v>
      </c>
      <c r="V1437" s="1" t="s">
        <v>46</v>
      </c>
      <c r="W1437" s="1" t="s">
        <v>47</v>
      </c>
      <c r="X1437" s="1">
        <v>7949996</v>
      </c>
      <c r="Y1437" s="11">
        <v>42056</v>
      </c>
      <c r="Z1437" s="11">
        <v>42058</v>
      </c>
      <c r="AA1437" s="9">
        <f t="shared" si="131"/>
        <v>116350.95000000001</v>
      </c>
      <c r="AB1437" s="12">
        <v>70.150000000000006</v>
      </c>
      <c r="AC1437" s="9">
        <f t="shared" si="134"/>
        <v>8299165.9000000013</v>
      </c>
      <c r="AD1437" s="9">
        <f t="shared" si="135"/>
        <v>8162019.1425000019</v>
      </c>
      <c r="AE1437" s="1" t="s">
        <v>48</v>
      </c>
      <c r="AF1437" s="1" t="s">
        <v>45</v>
      </c>
      <c r="AG1437" s="4">
        <f t="shared" si="129"/>
        <v>118306.00000000001</v>
      </c>
      <c r="AH1437" s="10">
        <v>118306</v>
      </c>
      <c r="AI1437" s="10">
        <v>1874.66</v>
      </c>
      <c r="AJ1437" s="10">
        <v>16.920000000000002</v>
      </c>
      <c r="AK1437" s="10"/>
      <c r="AL1437" s="9">
        <f t="shared" si="133"/>
        <v>116414.42</v>
      </c>
      <c r="AM1437" s="1"/>
      <c r="AN1437" s="1"/>
      <c r="AO1437" s="12" t="e">
        <f>AB1437/#REF!</f>
        <v>#REF!</v>
      </c>
      <c r="AP1437" s="1"/>
      <c r="AQ1437" s="11">
        <v>42114</v>
      </c>
      <c r="AR1437" s="1" t="s">
        <v>3710</v>
      </c>
      <c r="AS1437" s="11">
        <v>42115</v>
      </c>
      <c r="AT1437" s="1" t="s">
        <v>49</v>
      </c>
      <c r="AU1437" s="1" t="s">
        <v>4171</v>
      </c>
    </row>
    <row r="1438" spans="1:47" ht="15" customHeight="1" x14ac:dyDescent="0.25">
      <c r="A1438" s="1">
        <v>1430</v>
      </c>
      <c r="B1438" s="1" t="s">
        <v>1258</v>
      </c>
      <c r="C1438" s="1" t="s">
        <v>38</v>
      </c>
      <c r="D1438" s="1" t="s">
        <v>3059</v>
      </c>
      <c r="E1438" s="5">
        <v>42060</v>
      </c>
      <c r="F1438" s="1" t="s">
        <v>3060</v>
      </c>
      <c r="G1438" s="1" t="s">
        <v>40</v>
      </c>
      <c r="H1438" s="1" t="s">
        <v>41</v>
      </c>
      <c r="I1438" s="1" t="s">
        <v>2809</v>
      </c>
      <c r="J1438" s="1" t="s">
        <v>2153</v>
      </c>
      <c r="K1438" s="1">
        <v>38231900</v>
      </c>
      <c r="L1438" s="6">
        <v>19.82</v>
      </c>
      <c r="M1438" s="1" t="s">
        <v>70</v>
      </c>
      <c r="N1438" s="7" t="s">
        <v>44</v>
      </c>
      <c r="O1438" s="1" t="s">
        <v>45</v>
      </c>
      <c r="P1438" s="8">
        <v>2980</v>
      </c>
      <c r="Q1438" s="17">
        <f t="shared" si="128"/>
        <v>59063.6</v>
      </c>
      <c r="R1438" s="9">
        <v>969.07</v>
      </c>
      <c r="S1438" s="9">
        <v>8.4499999999999993</v>
      </c>
      <c r="T1438" s="9">
        <v>0</v>
      </c>
      <c r="U1438" s="10">
        <v>0</v>
      </c>
      <c r="V1438" s="1" t="s">
        <v>46</v>
      </c>
      <c r="W1438" s="1" t="s">
        <v>47</v>
      </c>
      <c r="X1438" s="1">
        <v>7940354</v>
      </c>
      <c r="Y1438" s="11">
        <v>42055</v>
      </c>
      <c r="Z1438" s="11">
        <v>42056</v>
      </c>
      <c r="AA1438" s="9">
        <f t="shared" si="131"/>
        <v>58086.080000000002</v>
      </c>
      <c r="AB1438" s="12">
        <v>70.150000000000006</v>
      </c>
      <c r="AC1438" s="9">
        <f t="shared" si="134"/>
        <v>4143311.54</v>
      </c>
      <c r="AD1438" s="9">
        <f t="shared" si="135"/>
        <v>4074738.5120000006</v>
      </c>
      <c r="AE1438" s="1" t="s">
        <v>48</v>
      </c>
      <c r="AF1438" s="1" t="s">
        <v>45</v>
      </c>
      <c r="AG1438" s="4">
        <f t="shared" si="129"/>
        <v>59063.6</v>
      </c>
      <c r="AH1438" s="10">
        <v>59063.6</v>
      </c>
      <c r="AI1438" s="10">
        <v>909.47</v>
      </c>
      <c r="AJ1438" s="10">
        <v>8.4499999999999993</v>
      </c>
      <c r="AK1438" s="10">
        <v>0</v>
      </c>
      <c r="AL1438" s="9">
        <f t="shared" si="133"/>
        <v>58145.68</v>
      </c>
      <c r="AM1438" s="1"/>
      <c r="AN1438" s="1"/>
      <c r="AO1438" s="12" t="e">
        <f>AB1438/#REF!</f>
        <v>#REF!</v>
      </c>
      <c r="AP1438" s="1"/>
      <c r="AQ1438" s="11">
        <v>42102</v>
      </c>
      <c r="AR1438" s="1" t="s">
        <v>3711</v>
      </c>
      <c r="AS1438" s="11">
        <v>42102</v>
      </c>
      <c r="AT1438" s="1" t="s">
        <v>49</v>
      </c>
      <c r="AU1438" s="1" t="s">
        <v>4171</v>
      </c>
    </row>
    <row r="1439" spans="1:47" ht="15" customHeight="1" x14ac:dyDescent="0.25">
      <c r="A1439" s="1">
        <v>1431</v>
      </c>
      <c r="B1439" s="1" t="s">
        <v>1258</v>
      </c>
      <c r="C1439" s="1" t="s">
        <v>38</v>
      </c>
      <c r="D1439" s="1" t="s">
        <v>3059</v>
      </c>
      <c r="E1439" s="5">
        <v>42060</v>
      </c>
      <c r="F1439" s="1" t="s">
        <v>3061</v>
      </c>
      <c r="G1439" s="1" t="s">
        <v>40</v>
      </c>
      <c r="H1439" s="1" t="s">
        <v>41</v>
      </c>
      <c r="I1439" s="1" t="s">
        <v>2809</v>
      </c>
      <c r="J1439" s="1" t="s">
        <v>2153</v>
      </c>
      <c r="K1439" s="1">
        <v>38231900</v>
      </c>
      <c r="L1439" s="6">
        <v>19.670000000000002</v>
      </c>
      <c r="M1439" s="1" t="s">
        <v>70</v>
      </c>
      <c r="N1439" s="7" t="s">
        <v>44</v>
      </c>
      <c r="O1439" s="1" t="s">
        <v>45</v>
      </c>
      <c r="P1439" s="8">
        <v>2980</v>
      </c>
      <c r="Q1439" s="17">
        <f t="shared" si="128"/>
        <v>58616.600000000006</v>
      </c>
      <c r="R1439" s="9">
        <v>969.07</v>
      </c>
      <c r="S1439" s="9">
        <v>8.3800000000000008</v>
      </c>
      <c r="T1439" s="9">
        <v>0</v>
      </c>
      <c r="U1439" s="10">
        <v>0</v>
      </c>
      <c r="V1439" s="1" t="s">
        <v>46</v>
      </c>
      <c r="W1439" s="1" t="s">
        <v>47</v>
      </c>
      <c r="X1439" s="1">
        <v>7957906</v>
      </c>
      <c r="Y1439" s="11">
        <v>42056</v>
      </c>
      <c r="Z1439" s="11">
        <v>42058</v>
      </c>
      <c r="AA1439" s="9">
        <f t="shared" si="131"/>
        <v>57639.150000000009</v>
      </c>
      <c r="AB1439" s="12">
        <v>70.150000000000006</v>
      </c>
      <c r="AC1439" s="9">
        <f t="shared" si="134"/>
        <v>4111954.4900000007</v>
      </c>
      <c r="AD1439" s="9">
        <f t="shared" si="135"/>
        <v>4043386.372500001</v>
      </c>
      <c r="AE1439" s="1" t="s">
        <v>48</v>
      </c>
      <c r="AF1439" s="1" t="s">
        <v>45</v>
      </c>
      <c r="AG1439" s="4">
        <f t="shared" si="129"/>
        <v>58616.600000000006</v>
      </c>
      <c r="AH1439" s="10">
        <v>58616.6</v>
      </c>
      <c r="AI1439" s="10">
        <v>909.48</v>
      </c>
      <c r="AJ1439" s="10">
        <v>8.3800000000000008</v>
      </c>
      <c r="AK1439" s="10">
        <v>0</v>
      </c>
      <c r="AL1439" s="9">
        <f t="shared" si="133"/>
        <v>57698.74</v>
      </c>
      <c r="AM1439" s="1"/>
      <c r="AN1439" s="1"/>
      <c r="AO1439" s="12" t="e">
        <f>AB1439/#REF!</f>
        <v>#REF!</v>
      </c>
      <c r="AP1439" s="1"/>
      <c r="AQ1439" s="11">
        <v>42102</v>
      </c>
      <c r="AR1439" s="1" t="s">
        <v>3712</v>
      </c>
      <c r="AS1439" s="11">
        <v>42103</v>
      </c>
      <c r="AT1439" s="1" t="s">
        <v>49</v>
      </c>
      <c r="AU1439" s="1" t="s">
        <v>4171</v>
      </c>
    </row>
    <row r="1440" spans="1:47" ht="15" customHeight="1" x14ac:dyDescent="0.25">
      <c r="A1440" s="1">
        <v>1432</v>
      </c>
      <c r="B1440" s="1" t="s">
        <v>1258</v>
      </c>
      <c r="C1440" s="1" t="s">
        <v>38</v>
      </c>
      <c r="D1440" s="1">
        <v>9103551232</v>
      </c>
      <c r="E1440" s="5">
        <v>42060</v>
      </c>
      <c r="F1440" s="1" t="s">
        <v>3062</v>
      </c>
      <c r="G1440" s="1" t="s">
        <v>40</v>
      </c>
      <c r="H1440" s="1" t="s">
        <v>41</v>
      </c>
      <c r="I1440" s="1" t="s">
        <v>2809</v>
      </c>
      <c r="J1440" s="1" t="s">
        <v>2955</v>
      </c>
      <c r="K1440" s="1">
        <v>38231900</v>
      </c>
      <c r="L1440" s="6">
        <v>39.39</v>
      </c>
      <c r="M1440" s="1" t="s">
        <v>70</v>
      </c>
      <c r="N1440" s="7" t="s">
        <v>44</v>
      </c>
      <c r="O1440" s="1" t="s">
        <v>53</v>
      </c>
      <c r="P1440" s="8">
        <v>4019</v>
      </c>
      <c r="Q1440" s="17">
        <f t="shared" si="128"/>
        <v>158308.41</v>
      </c>
      <c r="R1440" s="9">
        <v>2200</v>
      </c>
      <c r="S1440" s="9">
        <v>22.64</v>
      </c>
      <c r="T1440" s="9">
        <v>0</v>
      </c>
      <c r="U1440" s="10">
        <v>0</v>
      </c>
      <c r="V1440" s="1" t="s">
        <v>46</v>
      </c>
      <c r="W1440" s="1" t="s">
        <v>2657</v>
      </c>
      <c r="X1440" s="1">
        <v>7959738</v>
      </c>
      <c r="Y1440" s="11">
        <v>42056</v>
      </c>
      <c r="Z1440" s="11">
        <v>42058</v>
      </c>
      <c r="AA1440" s="9">
        <f t="shared" si="131"/>
        <v>156085.76999999999</v>
      </c>
      <c r="AB1440" s="12">
        <v>61.8</v>
      </c>
      <c r="AC1440" s="9">
        <f t="shared" si="134"/>
        <v>9783459.7379999999</v>
      </c>
      <c r="AD1440" s="9">
        <f t="shared" si="135"/>
        <v>9646100.5859999992</v>
      </c>
      <c r="AE1440" s="1"/>
      <c r="AF1440" s="1" t="s">
        <v>53</v>
      </c>
      <c r="AG1440" s="4">
        <f t="shared" si="129"/>
        <v>158308.41</v>
      </c>
      <c r="AH1440" s="10">
        <v>158303.67999999999</v>
      </c>
      <c r="AI1440" s="10"/>
      <c r="AJ1440" s="10"/>
      <c r="AK1440" s="10"/>
      <c r="AL1440" s="9">
        <f t="shared" si="133"/>
        <v>158303.67999999999</v>
      </c>
      <c r="AM1440" s="1"/>
      <c r="AN1440" s="1"/>
      <c r="AO1440" s="12" t="e">
        <f>AB1440/#REF!</f>
        <v>#REF!</v>
      </c>
      <c r="AP1440" s="1" t="s">
        <v>4263</v>
      </c>
      <c r="AQ1440" s="11">
        <v>42145</v>
      </c>
      <c r="AR1440" s="1" t="s">
        <v>4264</v>
      </c>
      <c r="AS1440" s="11">
        <v>42150</v>
      </c>
      <c r="AT1440" s="1" t="s">
        <v>49</v>
      </c>
      <c r="AU1440" s="1" t="s">
        <v>4171</v>
      </c>
    </row>
    <row r="1441" spans="1:47" ht="15" customHeight="1" x14ac:dyDescent="0.25">
      <c r="A1441" s="1">
        <v>1433</v>
      </c>
      <c r="B1441" s="1" t="s">
        <v>1258</v>
      </c>
      <c r="C1441" s="1" t="s">
        <v>38</v>
      </c>
      <c r="D1441" s="1">
        <v>9103551233</v>
      </c>
      <c r="E1441" s="5">
        <v>42062</v>
      </c>
      <c r="F1441" s="1" t="s">
        <v>3063</v>
      </c>
      <c r="G1441" s="1" t="s">
        <v>40</v>
      </c>
      <c r="H1441" s="1" t="s">
        <v>41</v>
      </c>
      <c r="I1441" s="1" t="s">
        <v>2809</v>
      </c>
      <c r="J1441" s="1" t="s">
        <v>187</v>
      </c>
      <c r="K1441" s="1">
        <v>29051700</v>
      </c>
      <c r="L1441" s="6">
        <v>36.28</v>
      </c>
      <c r="M1441" s="1" t="s">
        <v>70</v>
      </c>
      <c r="N1441" s="7" t="s">
        <v>44</v>
      </c>
      <c r="O1441" s="1" t="s">
        <v>53</v>
      </c>
      <c r="P1441" s="8">
        <v>1765</v>
      </c>
      <c r="Q1441" s="17">
        <f t="shared" si="128"/>
        <v>64034.200000000004</v>
      </c>
      <c r="R1441" s="9">
        <v>5160</v>
      </c>
      <c r="S1441" s="9">
        <v>9.16</v>
      </c>
      <c r="T1441" s="9">
        <v>0</v>
      </c>
      <c r="U1441" s="10">
        <v>0</v>
      </c>
      <c r="V1441" s="1" t="s">
        <v>46</v>
      </c>
      <c r="W1441" s="1" t="s">
        <v>56</v>
      </c>
      <c r="X1441" s="1">
        <v>7959912</v>
      </c>
      <c r="Y1441" s="11">
        <v>42056</v>
      </c>
      <c r="Z1441" s="11">
        <v>42058</v>
      </c>
      <c r="AA1441" s="9">
        <f t="shared" si="131"/>
        <v>58865.04</v>
      </c>
      <c r="AB1441" s="12">
        <v>61.8</v>
      </c>
      <c r="AC1441" s="9">
        <f t="shared" si="134"/>
        <v>3957313.56</v>
      </c>
      <c r="AD1441" s="9">
        <f t="shared" si="135"/>
        <v>3637859.4720000001</v>
      </c>
      <c r="AE1441" s="1" t="s">
        <v>48</v>
      </c>
      <c r="AF1441" s="1" t="s">
        <v>53</v>
      </c>
      <c r="AG1441" s="4">
        <f t="shared" si="129"/>
        <v>64034.200000000004</v>
      </c>
      <c r="AH1441" s="10">
        <v>64034.2</v>
      </c>
      <c r="AI1441" s="10">
        <v>5484</v>
      </c>
      <c r="AJ1441" s="10">
        <v>9.16</v>
      </c>
      <c r="AK1441" s="10">
        <v>0</v>
      </c>
      <c r="AL1441" s="9">
        <f t="shared" si="133"/>
        <v>58541.039999999994</v>
      </c>
      <c r="AM1441" s="1"/>
      <c r="AN1441" s="1"/>
      <c r="AO1441" s="12" t="e">
        <f>AB1441/#REF!</f>
        <v>#REF!</v>
      </c>
      <c r="AP1441" s="1"/>
      <c r="AQ1441" s="11">
        <v>42123</v>
      </c>
      <c r="AR1441" s="1" t="s">
        <v>3583</v>
      </c>
      <c r="AS1441" s="11">
        <v>42124</v>
      </c>
      <c r="AT1441" s="1" t="s">
        <v>49</v>
      </c>
      <c r="AU1441" s="1" t="s">
        <v>4171</v>
      </c>
    </row>
    <row r="1442" spans="1:47" ht="15" customHeight="1" x14ac:dyDescent="0.25">
      <c r="A1442" s="1">
        <v>1434</v>
      </c>
      <c r="B1442" s="1" t="s">
        <v>1258</v>
      </c>
      <c r="C1442" s="1" t="s">
        <v>38</v>
      </c>
      <c r="D1442" s="1">
        <v>9103551234</v>
      </c>
      <c r="E1442" s="5">
        <v>42061</v>
      </c>
      <c r="F1442" s="1" t="s">
        <v>3064</v>
      </c>
      <c r="G1442" s="1" t="s">
        <v>40</v>
      </c>
      <c r="H1442" s="1" t="s">
        <v>41</v>
      </c>
      <c r="I1442" s="1" t="s">
        <v>2809</v>
      </c>
      <c r="J1442" s="1" t="s">
        <v>2749</v>
      </c>
      <c r="K1442" s="1">
        <v>38237090</v>
      </c>
      <c r="L1442" s="6">
        <v>20</v>
      </c>
      <c r="M1442" s="1" t="s">
        <v>70</v>
      </c>
      <c r="N1442" s="7" t="s">
        <v>67</v>
      </c>
      <c r="O1442" s="1" t="s">
        <v>53</v>
      </c>
      <c r="P1442" s="8">
        <v>1475</v>
      </c>
      <c r="Q1442" s="17">
        <f t="shared" si="128"/>
        <v>29500</v>
      </c>
      <c r="R1442" s="9">
        <v>0</v>
      </c>
      <c r="S1442" s="9">
        <v>0</v>
      </c>
      <c r="T1442" s="9">
        <v>0</v>
      </c>
      <c r="U1442" s="10">
        <v>0</v>
      </c>
      <c r="V1442" s="1" t="s">
        <v>46</v>
      </c>
      <c r="W1442" s="1" t="s">
        <v>205</v>
      </c>
      <c r="X1442" s="1">
        <v>7960861</v>
      </c>
      <c r="Y1442" s="11">
        <v>42056</v>
      </c>
      <c r="Z1442" s="11">
        <v>42058</v>
      </c>
      <c r="AA1442" s="9">
        <f t="shared" si="131"/>
        <v>29500</v>
      </c>
      <c r="AB1442" s="12">
        <v>61.8</v>
      </c>
      <c r="AC1442" s="9">
        <f t="shared" si="134"/>
        <v>1823100</v>
      </c>
      <c r="AD1442" s="9">
        <f t="shared" si="135"/>
        <v>1823100</v>
      </c>
      <c r="AE1442" s="1" t="s">
        <v>48</v>
      </c>
      <c r="AF1442" s="1" t="s">
        <v>53</v>
      </c>
      <c r="AG1442" s="4">
        <f t="shared" si="129"/>
        <v>29500</v>
      </c>
      <c r="AH1442" s="10">
        <v>29321</v>
      </c>
      <c r="AI1442" s="10">
        <v>0</v>
      </c>
      <c r="AJ1442" s="10">
        <v>0</v>
      </c>
      <c r="AK1442" s="10">
        <v>0</v>
      </c>
      <c r="AL1442" s="9">
        <f t="shared" si="133"/>
        <v>29321</v>
      </c>
      <c r="AM1442" s="1"/>
      <c r="AN1442" s="1"/>
      <c r="AO1442" s="12" t="e">
        <f>AB1442/#REF!</f>
        <v>#REF!</v>
      </c>
      <c r="AP1442" s="1"/>
      <c r="AQ1442" s="11">
        <v>42089</v>
      </c>
      <c r="AR1442" s="1" t="s">
        <v>3584</v>
      </c>
      <c r="AS1442" s="11">
        <v>42090</v>
      </c>
      <c r="AT1442" s="1" t="s">
        <v>49</v>
      </c>
      <c r="AU1442" s="1" t="s">
        <v>4171</v>
      </c>
    </row>
    <row r="1443" spans="1:47" ht="15" customHeight="1" x14ac:dyDescent="0.25">
      <c r="A1443" s="1">
        <v>1435</v>
      </c>
      <c r="B1443" s="1" t="s">
        <v>1258</v>
      </c>
      <c r="C1443" s="1" t="s">
        <v>38</v>
      </c>
      <c r="D1443" s="1">
        <v>9103551235</v>
      </c>
      <c r="E1443" s="5">
        <v>42061</v>
      </c>
      <c r="F1443" s="1" t="s">
        <v>3065</v>
      </c>
      <c r="G1443" s="1" t="s">
        <v>40</v>
      </c>
      <c r="H1443" s="1" t="s">
        <v>41</v>
      </c>
      <c r="I1443" s="1" t="s">
        <v>2809</v>
      </c>
      <c r="J1443" s="1" t="s">
        <v>63</v>
      </c>
      <c r="K1443" s="1">
        <v>29054500</v>
      </c>
      <c r="L1443" s="6">
        <v>20</v>
      </c>
      <c r="M1443" s="1" t="s">
        <v>70</v>
      </c>
      <c r="N1443" s="7" t="s">
        <v>52</v>
      </c>
      <c r="O1443" s="1" t="s">
        <v>53</v>
      </c>
      <c r="P1443" s="8">
        <v>830</v>
      </c>
      <c r="Q1443" s="17">
        <f t="shared" ref="Q1443:Q1514" si="136">+L1443*P1443</f>
        <v>16600</v>
      </c>
      <c r="R1443" s="9">
        <v>150</v>
      </c>
      <c r="S1443" s="9">
        <v>0</v>
      </c>
      <c r="T1443" s="9">
        <v>0</v>
      </c>
      <c r="U1443" s="10">
        <v>0</v>
      </c>
      <c r="V1443" s="1" t="s">
        <v>46</v>
      </c>
      <c r="W1443" s="1" t="s">
        <v>75</v>
      </c>
      <c r="X1443" s="1">
        <v>7961564</v>
      </c>
      <c r="Y1443" s="11">
        <v>42056</v>
      </c>
      <c r="Z1443" s="11">
        <v>42058</v>
      </c>
      <c r="AA1443" s="9">
        <f t="shared" si="131"/>
        <v>16450</v>
      </c>
      <c r="AB1443" s="12">
        <v>61.8</v>
      </c>
      <c r="AC1443" s="9">
        <f t="shared" si="134"/>
        <v>1025880</v>
      </c>
      <c r="AD1443" s="9">
        <f t="shared" si="135"/>
        <v>1016610</v>
      </c>
      <c r="AE1443" s="1" t="s">
        <v>51</v>
      </c>
      <c r="AF1443" s="1" t="s">
        <v>53</v>
      </c>
      <c r="AG1443" s="4">
        <f t="shared" si="129"/>
        <v>16600</v>
      </c>
      <c r="AH1443" s="10">
        <v>16600</v>
      </c>
      <c r="AI1443" s="9">
        <v>130</v>
      </c>
      <c r="AJ1443" s="9">
        <v>0</v>
      </c>
      <c r="AK1443" s="9">
        <v>0</v>
      </c>
      <c r="AL1443" s="9">
        <f t="shared" si="133"/>
        <v>16470</v>
      </c>
      <c r="AM1443" s="1"/>
      <c r="AN1443" s="1"/>
      <c r="AO1443" s="12" t="e">
        <f>AB1443/#REF!</f>
        <v>#REF!</v>
      </c>
      <c r="AP1443" s="1"/>
      <c r="AQ1443" s="11">
        <v>42100</v>
      </c>
      <c r="AR1443" s="1" t="s">
        <v>3666</v>
      </c>
      <c r="AS1443" s="11">
        <v>42100</v>
      </c>
      <c r="AT1443" s="1" t="s">
        <v>49</v>
      </c>
      <c r="AU1443" s="1" t="s">
        <v>4171</v>
      </c>
    </row>
    <row r="1444" spans="1:47" ht="15" customHeight="1" x14ac:dyDescent="0.25">
      <c r="A1444" s="1">
        <v>1436</v>
      </c>
      <c r="B1444" s="1" t="s">
        <v>1258</v>
      </c>
      <c r="C1444" s="1" t="s">
        <v>38</v>
      </c>
      <c r="D1444" s="1">
        <v>9103551236</v>
      </c>
      <c r="E1444" s="5">
        <v>42061</v>
      </c>
      <c r="F1444" s="1" t="s">
        <v>3066</v>
      </c>
      <c r="G1444" s="1" t="s">
        <v>40</v>
      </c>
      <c r="H1444" s="1" t="s">
        <v>41</v>
      </c>
      <c r="I1444" s="1" t="s">
        <v>2809</v>
      </c>
      <c r="J1444" s="1" t="s">
        <v>63</v>
      </c>
      <c r="K1444" s="1">
        <v>29054500</v>
      </c>
      <c r="L1444" s="6">
        <v>20</v>
      </c>
      <c r="M1444" s="1" t="s">
        <v>70</v>
      </c>
      <c r="N1444" s="7" t="s">
        <v>52</v>
      </c>
      <c r="O1444" s="1" t="s">
        <v>53</v>
      </c>
      <c r="P1444" s="8">
        <v>840</v>
      </c>
      <c r="Q1444" s="17">
        <f t="shared" si="136"/>
        <v>16800</v>
      </c>
      <c r="R1444" s="9">
        <v>150</v>
      </c>
      <c r="S1444" s="9">
        <v>0</v>
      </c>
      <c r="T1444" s="9">
        <v>0</v>
      </c>
      <c r="U1444" s="10">
        <v>0</v>
      </c>
      <c r="V1444" s="1" t="s">
        <v>46</v>
      </c>
      <c r="W1444" s="1" t="s">
        <v>75</v>
      </c>
      <c r="X1444" s="1">
        <v>7961412</v>
      </c>
      <c r="Y1444" s="11">
        <v>42056</v>
      </c>
      <c r="Z1444" s="11">
        <v>42058</v>
      </c>
      <c r="AA1444" s="9">
        <f t="shared" si="131"/>
        <v>16650</v>
      </c>
      <c r="AB1444" s="12">
        <v>61.8</v>
      </c>
      <c r="AC1444" s="9">
        <f t="shared" si="134"/>
        <v>1038240</v>
      </c>
      <c r="AD1444" s="9">
        <f t="shared" si="135"/>
        <v>1028970</v>
      </c>
      <c r="AE1444" s="1" t="s">
        <v>51</v>
      </c>
      <c r="AF1444" s="1" t="s">
        <v>53</v>
      </c>
      <c r="AG1444" s="4">
        <f t="shared" si="129"/>
        <v>16800</v>
      </c>
      <c r="AH1444" s="10">
        <v>16763</v>
      </c>
      <c r="AI1444" s="10">
        <v>130</v>
      </c>
      <c r="AJ1444" s="10">
        <v>0</v>
      </c>
      <c r="AK1444" s="10">
        <v>0</v>
      </c>
      <c r="AL1444" s="9">
        <f t="shared" si="133"/>
        <v>16633</v>
      </c>
      <c r="AM1444" s="1"/>
      <c r="AN1444" s="1"/>
      <c r="AO1444" s="12" t="e">
        <f>AB1444/#REF!</f>
        <v>#REF!</v>
      </c>
      <c r="AP1444" s="1"/>
      <c r="AQ1444" s="11">
        <v>42100</v>
      </c>
      <c r="AR1444" s="1" t="s">
        <v>3667</v>
      </c>
      <c r="AS1444" s="11">
        <v>42100</v>
      </c>
      <c r="AT1444" s="1" t="s">
        <v>49</v>
      </c>
      <c r="AU1444" s="1" t="s">
        <v>4171</v>
      </c>
    </row>
    <row r="1445" spans="1:47" ht="15" customHeight="1" x14ac:dyDescent="0.25">
      <c r="A1445" s="1">
        <v>1437</v>
      </c>
      <c r="B1445" s="1" t="s">
        <v>1258</v>
      </c>
      <c r="C1445" s="1" t="s">
        <v>38</v>
      </c>
      <c r="D1445" s="1">
        <v>9103551237</v>
      </c>
      <c r="E1445" s="5">
        <v>42061</v>
      </c>
      <c r="F1445" s="1" t="s">
        <v>3067</v>
      </c>
      <c r="G1445" s="1" t="s">
        <v>40</v>
      </c>
      <c r="H1445" s="1" t="s">
        <v>41</v>
      </c>
      <c r="I1445" s="1" t="s">
        <v>2809</v>
      </c>
      <c r="J1445" s="1" t="s">
        <v>2153</v>
      </c>
      <c r="K1445" s="1">
        <v>38231900</v>
      </c>
      <c r="L1445" s="6">
        <v>39.81</v>
      </c>
      <c r="M1445" s="1" t="s">
        <v>70</v>
      </c>
      <c r="N1445" s="7" t="s">
        <v>44</v>
      </c>
      <c r="O1445" s="1" t="s">
        <v>45</v>
      </c>
      <c r="P1445" s="8">
        <v>2980</v>
      </c>
      <c r="Q1445" s="17">
        <f t="shared" si="136"/>
        <v>118633.8</v>
      </c>
      <c r="R1445" s="9">
        <v>1938.13</v>
      </c>
      <c r="S1445" s="9">
        <v>16.96</v>
      </c>
      <c r="T1445" s="9">
        <v>0</v>
      </c>
      <c r="U1445" s="10">
        <v>0</v>
      </c>
      <c r="V1445" s="1" t="s">
        <v>46</v>
      </c>
      <c r="W1445" s="1" t="s">
        <v>47</v>
      </c>
      <c r="X1445" s="1">
        <v>7957905</v>
      </c>
      <c r="Y1445" s="11">
        <v>42056</v>
      </c>
      <c r="Z1445" s="11">
        <v>42058</v>
      </c>
      <c r="AA1445" s="9">
        <f t="shared" si="131"/>
        <v>116678.70999999999</v>
      </c>
      <c r="AB1445" s="12">
        <v>70.150000000000006</v>
      </c>
      <c r="AC1445" s="9">
        <f t="shared" si="134"/>
        <v>8322161.0700000012</v>
      </c>
      <c r="AD1445" s="9">
        <f t="shared" si="135"/>
        <v>8185011.5065000001</v>
      </c>
      <c r="AE1445" s="1" t="s">
        <v>48</v>
      </c>
      <c r="AF1445" s="1" t="s">
        <v>45</v>
      </c>
      <c r="AG1445" s="4">
        <f t="shared" si="129"/>
        <v>118633.8</v>
      </c>
      <c r="AH1445" s="10">
        <v>118633.8</v>
      </c>
      <c r="AI1445" s="10">
        <v>1874.66</v>
      </c>
      <c r="AJ1445" s="10">
        <v>16.96</v>
      </c>
      <c r="AK1445" s="10">
        <v>0</v>
      </c>
      <c r="AL1445" s="9">
        <f t="shared" si="133"/>
        <v>116742.18000000001</v>
      </c>
      <c r="AM1445" s="1"/>
      <c r="AN1445" s="1"/>
      <c r="AO1445" s="12" t="e">
        <f>AB1445/#REF!</f>
        <v>#REF!</v>
      </c>
      <c r="AP1445" s="1"/>
      <c r="AQ1445" s="11">
        <v>42109</v>
      </c>
      <c r="AR1445" s="1" t="s">
        <v>3713</v>
      </c>
      <c r="AS1445" s="11">
        <v>42110</v>
      </c>
      <c r="AT1445" s="1" t="s">
        <v>49</v>
      </c>
      <c r="AU1445" s="1" t="s">
        <v>4171</v>
      </c>
    </row>
    <row r="1446" spans="1:47" ht="15" customHeight="1" x14ac:dyDescent="0.25">
      <c r="A1446" s="1">
        <v>1438</v>
      </c>
      <c r="B1446" s="1" t="s">
        <v>1258</v>
      </c>
      <c r="C1446" s="1" t="s">
        <v>38</v>
      </c>
      <c r="D1446" s="1">
        <v>9103551237</v>
      </c>
      <c r="E1446" s="5">
        <v>42061</v>
      </c>
      <c r="F1446" s="1" t="s">
        <v>3068</v>
      </c>
      <c r="G1446" s="1" t="s">
        <v>40</v>
      </c>
      <c r="H1446" s="1" t="s">
        <v>41</v>
      </c>
      <c r="I1446" s="1" t="s">
        <v>2809</v>
      </c>
      <c r="J1446" s="1" t="s">
        <v>2153</v>
      </c>
      <c r="K1446" s="1">
        <v>38231900</v>
      </c>
      <c r="L1446" s="6">
        <v>19.77</v>
      </c>
      <c r="M1446" s="1" t="s">
        <v>70</v>
      </c>
      <c r="N1446" s="7" t="s">
        <v>44</v>
      </c>
      <c r="O1446" s="1" t="s">
        <v>45</v>
      </c>
      <c r="P1446" s="8">
        <v>2980</v>
      </c>
      <c r="Q1446" s="17">
        <f t="shared" si="136"/>
        <v>58914.6</v>
      </c>
      <c r="R1446" s="9">
        <v>969.07</v>
      </c>
      <c r="S1446" s="9">
        <v>8.42</v>
      </c>
      <c r="T1446" s="9">
        <v>0</v>
      </c>
      <c r="U1446" s="10">
        <v>0</v>
      </c>
      <c r="V1446" s="1" t="s">
        <v>46</v>
      </c>
      <c r="W1446" s="1" t="s">
        <v>47</v>
      </c>
      <c r="X1446" s="1">
        <v>7961525</v>
      </c>
      <c r="Y1446" s="11">
        <v>42056</v>
      </c>
      <c r="Z1446" s="11">
        <v>42058</v>
      </c>
      <c r="AA1446" s="9">
        <f t="shared" si="131"/>
        <v>57937.11</v>
      </c>
      <c r="AB1446" s="12">
        <v>70.150000000000006</v>
      </c>
      <c r="AC1446" s="9">
        <f t="shared" si="134"/>
        <v>4132859.1900000004</v>
      </c>
      <c r="AD1446" s="9">
        <f t="shared" si="135"/>
        <v>4064288.2665000004</v>
      </c>
      <c r="AE1446" s="1" t="s">
        <v>48</v>
      </c>
      <c r="AF1446" s="1" t="s">
        <v>45</v>
      </c>
      <c r="AG1446" s="4">
        <f t="shared" si="129"/>
        <v>58914.6</v>
      </c>
      <c r="AH1446" s="10">
        <v>58914.6</v>
      </c>
      <c r="AI1446" s="10">
        <v>937.33</v>
      </c>
      <c r="AJ1446" s="10">
        <v>8.42</v>
      </c>
      <c r="AK1446" s="10">
        <v>0</v>
      </c>
      <c r="AL1446" s="9">
        <f t="shared" si="133"/>
        <v>57968.85</v>
      </c>
      <c r="AM1446" s="1"/>
      <c r="AN1446" s="1"/>
      <c r="AO1446" s="12" t="e">
        <f>AB1446/#REF!</f>
        <v>#REF!</v>
      </c>
      <c r="AP1446" s="1"/>
      <c r="AQ1446" s="11">
        <v>42109</v>
      </c>
      <c r="AR1446" s="1" t="s">
        <v>3714</v>
      </c>
      <c r="AS1446" s="11">
        <v>42110</v>
      </c>
      <c r="AT1446" s="1" t="s">
        <v>49</v>
      </c>
      <c r="AU1446" s="1" t="s">
        <v>4171</v>
      </c>
    </row>
    <row r="1447" spans="1:47" ht="15" customHeight="1" x14ac:dyDescent="0.25">
      <c r="A1447" s="1">
        <v>1439</v>
      </c>
      <c r="B1447" s="1" t="s">
        <v>1258</v>
      </c>
      <c r="C1447" s="1" t="s">
        <v>38</v>
      </c>
      <c r="D1447" s="1" t="s">
        <v>3069</v>
      </c>
      <c r="E1447" s="5">
        <v>42062</v>
      </c>
      <c r="F1447" s="1" t="s">
        <v>3070</v>
      </c>
      <c r="G1447" s="1" t="s">
        <v>40</v>
      </c>
      <c r="H1447" s="1" t="s">
        <v>41</v>
      </c>
      <c r="I1447" s="1" t="s">
        <v>2809</v>
      </c>
      <c r="J1447" s="1" t="s">
        <v>187</v>
      </c>
      <c r="K1447" s="1">
        <v>29051700</v>
      </c>
      <c r="L1447" s="6">
        <v>54.42</v>
      </c>
      <c r="M1447" s="1" t="s">
        <v>70</v>
      </c>
      <c r="N1447" s="7" t="s">
        <v>44</v>
      </c>
      <c r="O1447" s="1" t="s">
        <v>53</v>
      </c>
      <c r="P1447" s="8">
        <v>1801</v>
      </c>
      <c r="Q1447" s="17">
        <f t="shared" si="136"/>
        <v>98010.42</v>
      </c>
      <c r="R1447" s="9">
        <v>9930</v>
      </c>
      <c r="S1447" s="9">
        <v>14.02</v>
      </c>
      <c r="T1447" s="9">
        <v>0</v>
      </c>
      <c r="U1447" s="10">
        <v>0</v>
      </c>
      <c r="V1447" s="1" t="s">
        <v>46</v>
      </c>
      <c r="W1447" s="1" t="s">
        <v>56</v>
      </c>
      <c r="X1447" s="1">
        <v>7961260</v>
      </c>
      <c r="Y1447" s="11">
        <v>42056</v>
      </c>
      <c r="Z1447" s="11">
        <v>42058</v>
      </c>
      <c r="AA1447" s="9">
        <f t="shared" si="131"/>
        <v>88066.4</v>
      </c>
      <c r="AB1447" s="12">
        <v>61.8</v>
      </c>
      <c r="AC1447" s="9">
        <f t="shared" si="134"/>
        <v>6057043.9559999993</v>
      </c>
      <c r="AD1447" s="9">
        <f t="shared" si="135"/>
        <v>5442503.5199999996</v>
      </c>
      <c r="AE1447" s="1" t="s">
        <v>48</v>
      </c>
      <c r="AF1447" s="1" t="s">
        <v>53</v>
      </c>
      <c r="AG1447" s="4">
        <f t="shared" si="129"/>
        <v>98010.42</v>
      </c>
      <c r="AH1447" s="10">
        <v>98010.42</v>
      </c>
      <c r="AI1447" s="9">
        <v>10630</v>
      </c>
      <c r="AJ1447" s="9">
        <v>14.02</v>
      </c>
      <c r="AK1447" s="9">
        <v>0</v>
      </c>
      <c r="AL1447" s="9">
        <f t="shared" si="133"/>
        <v>87366.399999999994</v>
      </c>
      <c r="AM1447" s="1"/>
      <c r="AN1447" s="1"/>
      <c r="AO1447" s="12" t="e">
        <f>AB1447/#REF!</f>
        <v>#REF!</v>
      </c>
      <c r="AP1447" s="1"/>
      <c r="AQ1447" s="11">
        <v>42123</v>
      </c>
      <c r="AR1447" s="1" t="s">
        <v>3585</v>
      </c>
      <c r="AS1447" s="11">
        <v>42124</v>
      </c>
      <c r="AT1447" s="1" t="s">
        <v>49</v>
      </c>
      <c r="AU1447" s="1" t="s">
        <v>4171</v>
      </c>
    </row>
    <row r="1448" spans="1:47" ht="15" customHeight="1" x14ac:dyDescent="0.25">
      <c r="A1448" s="1">
        <v>1440</v>
      </c>
      <c r="B1448" s="1" t="s">
        <v>1258</v>
      </c>
      <c r="C1448" s="1" t="s">
        <v>38</v>
      </c>
      <c r="D1448" s="1" t="s">
        <v>3069</v>
      </c>
      <c r="E1448" s="5">
        <v>42062</v>
      </c>
      <c r="F1448" s="1" t="s">
        <v>3071</v>
      </c>
      <c r="G1448" s="1" t="s">
        <v>40</v>
      </c>
      <c r="H1448" s="1" t="s">
        <v>41</v>
      </c>
      <c r="I1448" s="1" t="s">
        <v>2809</v>
      </c>
      <c r="J1448" s="1" t="s">
        <v>187</v>
      </c>
      <c r="K1448" s="1">
        <v>29051700</v>
      </c>
      <c r="L1448" s="6">
        <v>18.14</v>
      </c>
      <c r="M1448" s="1" t="s">
        <v>70</v>
      </c>
      <c r="N1448" s="7" t="s">
        <v>44</v>
      </c>
      <c r="O1448" s="1" t="s">
        <v>53</v>
      </c>
      <c r="P1448" s="8">
        <v>1801</v>
      </c>
      <c r="Q1448" s="17">
        <f t="shared" si="136"/>
        <v>32670.14</v>
      </c>
      <c r="R1448" s="9">
        <v>3310</v>
      </c>
      <c r="S1448" s="9">
        <v>4.67</v>
      </c>
      <c r="T1448" s="9">
        <v>0</v>
      </c>
      <c r="U1448" s="10">
        <v>0</v>
      </c>
      <c r="V1448" s="1" t="s">
        <v>46</v>
      </c>
      <c r="W1448" s="1" t="s">
        <v>56</v>
      </c>
      <c r="X1448" s="1">
        <v>7977862</v>
      </c>
      <c r="Y1448" s="11">
        <v>42058</v>
      </c>
      <c r="Z1448" s="11">
        <v>42059</v>
      </c>
      <c r="AA1448" s="9">
        <f t="shared" si="131"/>
        <v>29355.47</v>
      </c>
      <c r="AB1448" s="12">
        <v>61.8</v>
      </c>
      <c r="AC1448" s="9">
        <f t="shared" si="134"/>
        <v>2019014.6519999998</v>
      </c>
      <c r="AD1448" s="9">
        <f t="shared" si="135"/>
        <v>1814168.0460000001</v>
      </c>
      <c r="AE1448" s="1" t="s">
        <v>48</v>
      </c>
      <c r="AF1448" s="1" t="s">
        <v>53</v>
      </c>
      <c r="AG1448" s="4">
        <f t="shared" si="129"/>
        <v>32670.14</v>
      </c>
      <c r="AH1448" s="10">
        <v>32670.14</v>
      </c>
      <c r="AI1448" s="9">
        <v>3498</v>
      </c>
      <c r="AJ1448" s="9">
        <v>4.67</v>
      </c>
      <c r="AK1448" s="9">
        <v>0</v>
      </c>
      <c r="AL1448" s="9">
        <f t="shared" si="133"/>
        <v>29167.47</v>
      </c>
      <c r="AM1448" s="1"/>
      <c r="AN1448" s="1"/>
      <c r="AO1448" s="12" t="e">
        <f>AB1448/#REF!</f>
        <v>#REF!</v>
      </c>
      <c r="AP1448" s="1"/>
      <c r="AQ1448" s="11">
        <v>42123</v>
      </c>
      <c r="AR1448" s="1" t="s">
        <v>3586</v>
      </c>
      <c r="AS1448" s="11">
        <v>42124</v>
      </c>
      <c r="AT1448" s="1" t="s">
        <v>49</v>
      </c>
      <c r="AU1448" s="1" t="s">
        <v>4171</v>
      </c>
    </row>
    <row r="1449" spans="1:47" ht="15" customHeight="1" x14ac:dyDescent="0.25">
      <c r="A1449" s="1">
        <v>1441</v>
      </c>
      <c r="B1449" s="1" t="s">
        <v>1258</v>
      </c>
      <c r="C1449" s="1" t="s">
        <v>38</v>
      </c>
      <c r="D1449" s="1">
        <v>9103551240</v>
      </c>
      <c r="E1449" s="5">
        <v>42062</v>
      </c>
      <c r="F1449" s="1" t="s">
        <v>3072</v>
      </c>
      <c r="G1449" s="1" t="s">
        <v>40</v>
      </c>
      <c r="H1449" s="1" t="s">
        <v>41</v>
      </c>
      <c r="I1449" s="1" t="s">
        <v>2809</v>
      </c>
      <c r="J1449" s="1" t="s">
        <v>142</v>
      </c>
      <c r="K1449" s="1">
        <v>38237090</v>
      </c>
      <c r="L1449" s="6">
        <v>96</v>
      </c>
      <c r="M1449" s="1" t="s">
        <v>70</v>
      </c>
      <c r="N1449" s="7" t="s">
        <v>52</v>
      </c>
      <c r="O1449" s="1" t="s">
        <v>53</v>
      </c>
      <c r="P1449" s="8">
        <v>1420</v>
      </c>
      <c r="Q1449" s="17">
        <f t="shared" si="136"/>
        <v>136320</v>
      </c>
      <c r="R1449" s="9">
        <v>4880</v>
      </c>
      <c r="S1449" s="9">
        <v>0</v>
      </c>
      <c r="T1449" s="9">
        <v>2563.1999999999998</v>
      </c>
      <c r="U1449" s="10">
        <v>0</v>
      </c>
      <c r="V1449" s="1" t="s">
        <v>46</v>
      </c>
      <c r="W1449" s="1" t="s">
        <v>143</v>
      </c>
      <c r="X1449" s="1">
        <v>7985037</v>
      </c>
      <c r="Y1449" s="11">
        <v>42058</v>
      </c>
      <c r="Z1449" s="11">
        <v>42059</v>
      </c>
      <c r="AA1449" s="9">
        <f t="shared" si="131"/>
        <v>131440</v>
      </c>
      <c r="AB1449" s="12">
        <v>61.8</v>
      </c>
      <c r="AC1449" s="9">
        <f t="shared" si="134"/>
        <v>8424576</v>
      </c>
      <c r="AD1449" s="9">
        <f t="shared" si="135"/>
        <v>8122992</v>
      </c>
      <c r="AE1449" s="1" t="s">
        <v>48</v>
      </c>
      <c r="AF1449" s="1" t="s">
        <v>53</v>
      </c>
      <c r="AG1449" s="4">
        <f t="shared" si="129"/>
        <v>136320</v>
      </c>
      <c r="AH1449" s="10">
        <v>136305</v>
      </c>
      <c r="AI1449" s="10">
        <v>4880</v>
      </c>
      <c r="AJ1449" s="10">
        <v>0</v>
      </c>
      <c r="AK1449" s="10">
        <v>2563.1999999999998</v>
      </c>
      <c r="AL1449" s="9">
        <f t="shared" si="133"/>
        <v>128861.8</v>
      </c>
      <c r="AM1449" s="1"/>
      <c r="AN1449" s="1"/>
      <c r="AO1449" s="12" t="e">
        <f>AB1449/#REF!</f>
        <v>#REF!</v>
      </c>
      <c r="AP1449" s="1"/>
      <c r="AQ1449" s="11">
        <v>42083</v>
      </c>
      <c r="AR1449" s="1" t="s">
        <v>3587</v>
      </c>
      <c r="AS1449" s="11">
        <v>42086</v>
      </c>
      <c r="AT1449" s="1" t="s">
        <v>49</v>
      </c>
      <c r="AU1449" s="1" t="s">
        <v>4171</v>
      </c>
    </row>
    <row r="1450" spans="1:47" ht="15" customHeight="1" x14ac:dyDescent="0.25">
      <c r="A1450" s="1">
        <v>1442</v>
      </c>
      <c r="B1450" s="1" t="s">
        <v>1258</v>
      </c>
      <c r="C1450" s="1" t="s">
        <v>38</v>
      </c>
      <c r="D1450" s="1">
        <v>9103551241</v>
      </c>
      <c r="E1450" s="5">
        <v>42060</v>
      </c>
      <c r="F1450" s="1" t="s">
        <v>3073</v>
      </c>
      <c r="G1450" s="1" t="s">
        <v>40</v>
      </c>
      <c r="H1450" s="1" t="s">
        <v>41</v>
      </c>
      <c r="I1450" s="1" t="s">
        <v>2809</v>
      </c>
      <c r="J1450" s="1" t="s">
        <v>2690</v>
      </c>
      <c r="K1450" s="1">
        <v>38237090</v>
      </c>
      <c r="L1450" s="6">
        <v>17.600000000000001</v>
      </c>
      <c r="M1450" s="1" t="s">
        <v>70</v>
      </c>
      <c r="N1450" s="7" t="s">
        <v>44</v>
      </c>
      <c r="O1450" s="1" t="s">
        <v>53</v>
      </c>
      <c r="P1450" s="8">
        <v>1705</v>
      </c>
      <c r="Q1450" s="17">
        <f t="shared" si="136"/>
        <v>30008.000000000004</v>
      </c>
      <c r="R1450" s="9">
        <v>1050</v>
      </c>
      <c r="S1450" s="9">
        <v>4.29</v>
      </c>
      <c r="T1450" s="9">
        <v>0</v>
      </c>
      <c r="U1450" s="10">
        <v>0</v>
      </c>
      <c r="V1450" s="1" t="s">
        <v>46</v>
      </c>
      <c r="W1450" s="1" t="s">
        <v>205</v>
      </c>
      <c r="X1450" s="1">
        <v>7981258</v>
      </c>
      <c r="Y1450" s="11">
        <v>42058</v>
      </c>
      <c r="Z1450" s="11">
        <v>42059</v>
      </c>
      <c r="AA1450" s="9">
        <f t="shared" si="131"/>
        <v>28953.710000000003</v>
      </c>
      <c r="AB1450" s="12">
        <v>61.8</v>
      </c>
      <c r="AC1450" s="9">
        <f t="shared" si="134"/>
        <v>1854494.4000000001</v>
      </c>
      <c r="AD1450" s="9">
        <f t="shared" si="135"/>
        <v>1789339.2780000002</v>
      </c>
      <c r="AE1450" s="1" t="s">
        <v>48</v>
      </c>
      <c r="AF1450" s="1" t="s">
        <v>53</v>
      </c>
      <c r="AG1450" s="4">
        <f t="shared" si="129"/>
        <v>30008.000000000004</v>
      </c>
      <c r="AH1450" s="10">
        <v>29993</v>
      </c>
      <c r="AI1450" s="10">
        <v>1050</v>
      </c>
      <c r="AJ1450" s="10">
        <v>4.29</v>
      </c>
      <c r="AK1450" s="10">
        <v>0</v>
      </c>
      <c r="AL1450" s="9">
        <f t="shared" si="133"/>
        <v>28938.71</v>
      </c>
      <c r="AM1450" s="1"/>
      <c r="AN1450" s="1"/>
      <c r="AO1450" s="12" t="e">
        <f>AB1450/#REF!</f>
        <v>#REF!</v>
      </c>
      <c r="AP1450" s="1"/>
      <c r="AQ1450" s="11">
        <v>42080</v>
      </c>
      <c r="AR1450" s="1" t="s">
        <v>3588</v>
      </c>
      <c r="AS1450" s="11">
        <v>42081</v>
      </c>
      <c r="AT1450" s="1" t="s">
        <v>49</v>
      </c>
      <c r="AU1450" s="1" t="s">
        <v>4171</v>
      </c>
    </row>
    <row r="1451" spans="1:47" ht="15" customHeight="1" x14ac:dyDescent="0.2">
      <c r="A1451" s="1">
        <v>1442</v>
      </c>
      <c r="B1451" s="1" t="s">
        <v>1258</v>
      </c>
      <c r="C1451" s="1" t="s">
        <v>38</v>
      </c>
      <c r="D1451" s="1">
        <v>9103551242</v>
      </c>
      <c r="E1451" s="5">
        <v>42062</v>
      </c>
      <c r="F1451" s="1" t="s">
        <v>4369</v>
      </c>
      <c r="G1451" s="1"/>
      <c r="H1451" s="1"/>
      <c r="I1451" s="1"/>
      <c r="J1451" s="1" t="s">
        <v>2758</v>
      </c>
      <c r="K1451" s="1"/>
      <c r="L1451" s="6">
        <v>15</v>
      </c>
      <c r="M1451" s="1" t="s">
        <v>70</v>
      </c>
      <c r="N1451" s="7" t="s">
        <v>44</v>
      </c>
      <c r="O1451" s="1" t="s">
        <v>53</v>
      </c>
      <c r="P1451" s="8">
        <v>1680</v>
      </c>
      <c r="Q1451" s="17">
        <f t="shared" si="136"/>
        <v>25200</v>
      </c>
      <c r="R1451" s="9"/>
      <c r="S1451" s="9"/>
      <c r="T1451" s="9"/>
      <c r="U1451" s="10"/>
      <c r="V1451" s="1"/>
      <c r="W1451" s="1" t="s">
        <v>90</v>
      </c>
      <c r="X1451" s="1">
        <v>7980778</v>
      </c>
      <c r="Y1451" s="11">
        <v>42058</v>
      </c>
      <c r="Z1451" s="11"/>
      <c r="AA1451" s="9"/>
      <c r="AB1451" s="12"/>
      <c r="AC1451" s="9"/>
      <c r="AD1451" s="9"/>
      <c r="AE1451" s="1"/>
      <c r="AF1451" s="1" t="s">
        <v>53</v>
      </c>
      <c r="AG1451" s="4">
        <f t="shared" si="129"/>
        <v>25200</v>
      </c>
      <c r="AH1451" s="10">
        <v>25153</v>
      </c>
      <c r="AI1451" s="10"/>
      <c r="AJ1451" s="10"/>
      <c r="AK1451" s="10"/>
      <c r="AL1451" s="9"/>
      <c r="AM1451" s="1"/>
      <c r="AN1451" s="1"/>
      <c r="AO1451" s="12"/>
      <c r="AP1451" s="18" t="s">
        <v>4370</v>
      </c>
      <c r="AQ1451" s="11">
        <v>42088</v>
      </c>
      <c r="AR1451" s="1" t="s">
        <v>4371</v>
      </c>
      <c r="AS1451" s="11">
        <v>42090</v>
      </c>
      <c r="AT1451" s="1" t="s">
        <v>49</v>
      </c>
      <c r="AU1451" s="1" t="s">
        <v>4171</v>
      </c>
    </row>
    <row r="1452" spans="1:47" ht="15" customHeight="1" x14ac:dyDescent="0.25">
      <c r="A1452" s="1">
        <v>1443</v>
      </c>
      <c r="B1452" s="1" t="s">
        <v>1258</v>
      </c>
      <c r="C1452" s="1" t="s">
        <v>38</v>
      </c>
      <c r="D1452" s="1">
        <v>9103551244</v>
      </c>
      <c r="E1452" s="5">
        <v>42061</v>
      </c>
      <c r="F1452" s="1" t="s">
        <v>3074</v>
      </c>
      <c r="G1452" s="1" t="s">
        <v>40</v>
      </c>
      <c r="H1452" s="1" t="s">
        <v>41</v>
      </c>
      <c r="I1452" s="1" t="s">
        <v>2809</v>
      </c>
      <c r="J1452" s="1" t="s">
        <v>76</v>
      </c>
      <c r="K1452" s="1">
        <v>38237090</v>
      </c>
      <c r="L1452" s="6">
        <v>30</v>
      </c>
      <c r="M1452" s="1" t="s">
        <v>70</v>
      </c>
      <c r="N1452" s="7" t="s">
        <v>44</v>
      </c>
      <c r="O1452" s="1" t="s">
        <v>53</v>
      </c>
      <c r="P1452" s="8">
        <v>1490</v>
      </c>
      <c r="Q1452" s="17">
        <f t="shared" si="136"/>
        <v>44700</v>
      </c>
      <c r="R1452" s="9">
        <v>2200</v>
      </c>
      <c r="S1452" s="9">
        <v>6.39</v>
      </c>
      <c r="T1452" s="9">
        <v>0</v>
      </c>
      <c r="U1452" s="10">
        <v>0</v>
      </c>
      <c r="V1452" s="1" t="s">
        <v>46</v>
      </c>
      <c r="W1452" s="1" t="s">
        <v>933</v>
      </c>
      <c r="X1452" s="1">
        <v>7980392</v>
      </c>
      <c r="Y1452" s="11">
        <v>42058</v>
      </c>
      <c r="Z1452" s="11">
        <v>42059</v>
      </c>
      <c r="AA1452" s="9">
        <f t="shared" si="131"/>
        <v>42493.61</v>
      </c>
      <c r="AB1452" s="12">
        <v>61.8</v>
      </c>
      <c r="AC1452" s="9">
        <f t="shared" si="134"/>
        <v>2762460</v>
      </c>
      <c r="AD1452" s="9">
        <f t="shared" si="135"/>
        <v>2626105.0979999998</v>
      </c>
      <c r="AE1452" s="1"/>
      <c r="AF1452" s="1" t="s">
        <v>53</v>
      </c>
      <c r="AG1452" s="4">
        <f t="shared" ref="AG1452:AG1515" si="137">Q1452</f>
        <v>44700</v>
      </c>
      <c r="AH1452" s="10">
        <v>44685</v>
      </c>
      <c r="AI1452" s="10"/>
      <c r="AJ1452" s="10"/>
      <c r="AK1452" s="10"/>
      <c r="AL1452" s="9">
        <f>AH1452-(AI1452+AJ1452+AK1452)</f>
        <v>44685</v>
      </c>
      <c r="AM1452" s="1"/>
      <c r="AN1452" s="1"/>
      <c r="AO1452" s="12" t="e">
        <f>AB1452/#REF!</f>
        <v>#REF!</v>
      </c>
      <c r="AP1452" s="1" t="s">
        <v>4265</v>
      </c>
      <c r="AQ1452" s="11">
        <v>42208</v>
      </c>
      <c r="AR1452" s="1" t="s">
        <v>4266</v>
      </c>
      <c r="AS1452" s="11">
        <v>42209</v>
      </c>
      <c r="AT1452" s="1" t="s">
        <v>49</v>
      </c>
      <c r="AU1452" s="1" t="s">
        <v>4171</v>
      </c>
    </row>
    <row r="1453" spans="1:47" ht="15" customHeight="1" x14ac:dyDescent="0.25">
      <c r="A1453" s="1">
        <v>1444</v>
      </c>
      <c r="B1453" s="1" t="s">
        <v>1258</v>
      </c>
      <c r="C1453" s="1" t="s">
        <v>38</v>
      </c>
      <c r="D1453" s="1">
        <v>9103551245</v>
      </c>
      <c r="E1453" s="5">
        <v>42062</v>
      </c>
      <c r="F1453" s="1" t="s">
        <v>3075</v>
      </c>
      <c r="G1453" s="1" t="s">
        <v>40</v>
      </c>
      <c r="H1453" s="1" t="s">
        <v>41</v>
      </c>
      <c r="I1453" s="1" t="s">
        <v>2809</v>
      </c>
      <c r="J1453" s="1" t="s">
        <v>187</v>
      </c>
      <c r="K1453" s="1">
        <v>29051700</v>
      </c>
      <c r="L1453" s="6">
        <v>18.14</v>
      </c>
      <c r="M1453" s="1" t="s">
        <v>70</v>
      </c>
      <c r="N1453" s="7" t="s">
        <v>44</v>
      </c>
      <c r="O1453" s="1" t="s">
        <v>53</v>
      </c>
      <c r="P1453" s="8">
        <v>2333</v>
      </c>
      <c r="Q1453" s="17">
        <f t="shared" si="136"/>
        <v>42320.62</v>
      </c>
      <c r="R1453" s="9">
        <v>3310</v>
      </c>
      <c r="S1453" s="9">
        <v>6.05</v>
      </c>
      <c r="T1453" s="9">
        <v>0</v>
      </c>
      <c r="U1453" s="10">
        <v>0</v>
      </c>
      <c r="V1453" s="1" t="s">
        <v>46</v>
      </c>
      <c r="W1453" s="1" t="s">
        <v>56</v>
      </c>
      <c r="X1453" s="1">
        <v>8004846</v>
      </c>
      <c r="Y1453" s="11">
        <v>42059</v>
      </c>
      <c r="Z1453" s="11">
        <v>42060</v>
      </c>
      <c r="AA1453" s="9">
        <f t="shared" si="131"/>
        <v>39004.57</v>
      </c>
      <c r="AB1453" s="12">
        <v>61.8</v>
      </c>
      <c r="AC1453" s="9">
        <f t="shared" si="134"/>
        <v>2615414.3160000001</v>
      </c>
      <c r="AD1453" s="9">
        <f t="shared" si="135"/>
        <v>2410482.426</v>
      </c>
      <c r="AE1453" s="1" t="s">
        <v>48</v>
      </c>
      <c r="AF1453" s="1" t="s">
        <v>53</v>
      </c>
      <c r="AG1453" s="4">
        <f t="shared" si="137"/>
        <v>42320.62</v>
      </c>
      <c r="AH1453" s="10">
        <v>42320.62</v>
      </c>
      <c r="AI1453" s="9">
        <v>3310</v>
      </c>
      <c r="AJ1453" s="9">
        <v>6.05</v>
      </c>
      <c r="AK1453" s="9">
        <v>0</v>
      </c>
      <c r="AL1453" s="9">
        <f>AH1453-(AI1453+AJ1453+AK1453)</f>
        <v>39004.57</v>
      </c>
      <c r="AM1453" s="1"/>
      <c r="AN1453" s="1"/>
      <c r="AO1453" s="12" t="e">
        <f>AB1453/#REF!</f>
        <v>#REF!</v>
      </c>
      <c r="AP1453" s="1"/>
      <c r="AQ1453" s="11">
        <v>42123</v>
      </c>
      <c r="AR1453" s="1" t="s">
        <v>3589</v>
      </c>
      <c r="AS1453" s="11">
        <v>42124</v>
      </c>
      <c r="AT1453" s="1" t="s">
        <v>49</v>
      </c>
      <c r="AU1453" s="1" t="s">
        <v>4171</v>
      </c>
    </row>
    <row r="1454" spans="1:47" ht="15" customHeight="1" x14ac:dyDescent="0.25">
      <c r="A1454" s="1">
        <v>1445</v>
      </c>
      <c r="B1454" s="1" t="s">
        <v>1258</v>
      </c>
      <c r="C1454" s="1" t="s">
        <v>38</v>
      </c>
      <c r="D1454" s="1">
        <v>9103551246</v>
      </c>
      <c r="E1454" s="5">
        <v>42064</v>
      </c>
      <c r="F1454" s="1" t="s">
        <v>3076</v>
      </c>
      <c r="G1454" s="1" t="s">
        <v>40</v>
      </c>
      <c r="H1454" s="1" t="s">
        <v>41</v>
      </c>
      <c r="I1454" s="1" t="s">
        <v>2809</v>
      </c>
      <c r="J1454" s="1" t="s">
        <v>78</v>
      </c>
      <c r="K1454" s="1">
        <v>38237090</v>
      </c>
      <c r="L1454" s="6">
        <v>20</v>
      </c>
      <c r="M1454" s="1" t="s">
        <v>70</v>
      </c>
      <c r="N1454" s="7" t="s">
        <v>67</v>
      </c>
      <c r="O1454" s="1" t="s">
        <v>53</v>
      </c>
      <c r="P1454" s="8">
        <v>1470</v>
      </c>
      <c r="Q1454" s="17">
        <f t="shared" si="136"/>
        <v>29400</v>
      </c>
      <c r="R1454" s="9">
        <v>0</v>
      </c>
      <c r="S1454" s="9">
        <v>0</v>
      </c>
      <c r="T1454" s="9">
        <v>0</v>
      </c>
      <c r="U1454" s="10">
        <v>0</v>
      </c>
      <c r="V1454" s="1" t="s">
        <v>46</v>
      </c>
      <c r="W1454" s="1" t="s">
        <v>56</v>
      </c>
      <c r="X1454" s="1">
        <v>8004840</v>
      </c>
      <c r="Y1454" s="11">
        <v>42059</v>
      </c>
      <c r="Z1454" s="11">
        <v>42060</v>
      </c>
      <c r="AA1454" s="9">
        <f t="shared" si="131"/>
        <v>29400</v>
      </c>
      <c r="AB1454" s="12">
        <v>61.8</v>
      </c>
      <c r="AC1454" s="9">
        <f t="shared" si="134"/>
        <v>1816920</v>
      </c>
      <c r="AD1454" s="9">
        <f t="shared" si="135"/>
        <v>1816920</v>
      </c>
      <c r="AE1454" s="1" t="s">
        <v>48</v>
      </c>
      <c r="AF1454" s="1" t="s">
        <v>53</v>
      </c>
      <c r="AG1454" s="4">
        <f t="shared" si="137"/>
        <v>29400</v>
      </c>
      <c r="AH1454" s="10">
        <v>29400</v>
      </c>
      <c r="AI1454" s="10">
        <v>0</v>
      </c>
      <c r="AJ1454" s="10">
        <v>0</v>
      </c>
      <c r="AK1454" s="10">
        <v>0</v>
      </c>
      <c r="AL1454" s="9">
        <f>AH1454-(AI1454+AJ1454+AK1454)</f>
        <v>29400</v>
      </c>
      <c r="AM1454" s="1"/>
      <c r="AN1454" s="1"/>
      <c r="AO1454" s="12" t="e">
        <f>AB1454/#REF!</f>
        <v>#REF!</v>
      </c>
      <c r="AP1454" s="1"/>
      <c r="AQ1454" s="11">
        <v>42100</v>
      </c>
      <c r="AR1454" s="1" t="s">
        <v>3590</v>
      </c>
      <c r="AS1454" s="11">
        <v>42101</v>
      </c>
      <c r="AT1454" s="1" t="s">
        <v>49</v>
      </c>
      <c r="AU1454" s="1" t="s">
        <v>4171</v>
      </c>
    </row>
    <row r="1455" spans="1:47" ht="15" customHeight="1" x14ac:dyDescent="0.25">
      <c r="A1455" s="1">
        <v>1445</v>
      </c>
      <c r="B1455" s="1" t="s">
        <v>1258</v>
      </c>
      <c r="C1455" s="1" t="s">
        <v>38</v>
      </c>
      <c r="D1455" s="1">
        <v>9103551247</v>
      </c>
      <c r="E1455" s="5">
        <v>42065</v>
      </c>
      <c r="F1455" s="1" t="s">
        <v>4344</v>
      </c>
      <c r="G1455" s="1" t="s">
        <v>40</v>
      </c>
      <c r="H1455" s="1" t="s">
        <v>41</v>
      </c>
      <c r="I1455" s="1" t="s">
        <v>2809</v>
      </c>
      <c r="J1455" s="1" t="s">
        <v>78</v>
      </c>
      <c r="K1455" s="1">
        <v>38237090</v>
      </c>
      <c r="L1455" s="6">
        <v>37.619999999999997</v>
      </c>
      <c r="M1455" s="1" t="s">
        <v>70</v>
      </c>
      <c r="N1455" s="7" t="s">
        <v>67</v>
      </c>
      <c r="O1455" s="1" t="s">
        <v>53</v>
      </c>
      <c r="P1455" s="8">
        <v>1390</v>
      </c>
      <c r="Q1455" s="17">
        <f t="shared" si="136"/>
        <v>52291.799999999996</v>
      </c>
      <c r="R1455" s="9">
        <v>0</v>
      </c>
      <c r="S1455" s="9">
        <v>0</v>
      </c>
      <c r="T1455" s="9">
        <v>0</v>
      </c>
      <c r="U1455" s="10">
        <v>0</v>
      </c>
      <c r="V1455" s="1" t="s">
        <v>46</v>
      </c>
      <c r="W1455" s="1" t="s">
        <v>56</v>
      </c>
      <c r="X1455" s="1">
        <v>8004853</v>
      </c>
      <c r="Y1455" s="11">
        <v>42059</v>
      </c>
      <c r="Z1455" s="11"/>
      <c r="AA1455" s="9"/>
      <c r="AB1455" s="12"/>
      <c r="AC1455" s="9"/>
      <c r="AD1455" s="9"/>
      <c r="AE1455" s="1"/>
      <c r="AF1455" s="1"/>
      <c r="AG1455" s="4">
        <f t="shared" si="137"/>
        <v>52291.799999999996</v>
      </c>
      <c r="AH1455" s="10"/>
      <c r="AI1455" s="10"/>
      <c r="AJ1455" s="10"/>
      <c r="AK1455" s="10"/>
      <c r="AL1455" s="9"/>
      <c r="AM1455" s="1"/>
      <c r="AN1455" s="1"/>
      <c r="AO1455" s="12"/>
      <c r="AP1455" s="1"/>
      <c r="AQ1455" s="11"/>
      <c r="AR1455" s="1"/>
      <c r="AS1455" s="11"/>
      <c r="AT1455" s="1"/>
      <c r="AU1455" s="1"/>
    </row>
    <row r="1456" spans="1:47" ht="15" customHeight="1" x14ac:dyDescent="0.2">
      <c r="A1456" s="1">
        <v>1445</v>
      </c>
      <c r="B1456" s="1" t="s">
        <v>1258</v>
      </c>
      <c r="C1456" s="1" t="s">
        <v>38</v>
      </c>
      <c r="D1456" s="1">
        <v>9103551248</v>
      </c>
      <c r="E1456" s="5">
        <v>42068</v>
      </c>
      <c r="F1456" s="1" t="s">
        <v>4372</v>
      </c>
      <c r="G1456" s="1"/>
      <c r="H1456" s="1"/>
      <c r="I1456" s="1"/>
      <c r="J1456" s="1" t="s">
        <v>2153</v>
      </c>
      <c r="K1456" s="1"/>
      <c r="L1456" s="6">
        <v>39.520000000000003</v>
      </c>
      <c r="M1456" s="1" t="s">
        <v>70</v>
      </c>
      <c r="N1456" s="7" t="s">
        <v>44</v>
      </c>
      <c r="O1456" s="1" t="s">
        <v>45</v>
      </c>
      <c r="P1456" s="8">
        <v>1894</v>
      </c>
      <c r="Q1456" s="17">
        <f t="shared" si="136"/>
        <v>74850.880000000005</v>
      </c>
      <c r="R1456" s="9"/>
      <c r="S1456" s="9"/>
      <c r="T1456" s="9"/>
      <c r="U1456" s="10"/>
      <c r="V1456" s="1"/>
      <c r="W1456" s="1" t="s">
        <v>47</v>
      </c>
      <c r="X1456" s="1">
        <v>8008982</v>
      </c>
      <c r="Y1456" s="11">
        <v>42059</v>
      </c>
      <c r="Z1456" s="11"/>
      <c r="AA1456" s="9"/>
      <c r="AB1456" s="12"/>
      <c r="AC1456" s="9"/>
      <c r="AD1456" s="9"/>
      <c r="AE1456" s="1"/>
      <c r="AF1456" s="1"/>
      <c r="AG1456" s="4">
        <f t="shared" si="137"/>
        <v>74850.880000000005</v>
      </c>
      <c r="AH1456" s="10">
        <v>74850.880000000005</v>
      </c>
      <c r="AI1456" s="10"/>
      <c r="AJ1456" s="10"/>
      <c r="AK1456" s="10"/>
      <c r="AL1456" s="9"/>
      <c r="AM1456" s="1"/>
      <c r="AN1456" s="1"/>
      <c r="AO1456" s="12"/>
      <c r="AP1456" s="1" t="s">
        <v>4374</v>
      </c>
      <c r="AQ1456" s="11">
        <v>42114</v>
      </c>
      <c r="AR1456" s="18" t="s">
        <v>4373</v>
      </c>
      <c r="AS1456" s="11">
        <v>42115</v>
      </c>
      <c r="AT1456" s="1" t="s">
        <v>49</v>
      </c>
      <c r="AU1456" s="1" t="s">
        <v>4171</v>
      </c>
    </row>
    <row r="1457" spans="1:47" ht="15" customHeight="1" x14ac:dyDescent="0.2">
      <c r="A1457" s="1">
        <v>1445</v>
      </c>
      <c r="B1457" s="1" t="s">
        <v>1258</v>
      </c>
      <c r="C1457" s="1" t="s">
        <v>38</v>
      </c>
      <c r="D1457" s="1">
        <v>9103551249</v>
      </c>
      <c r="E1457" s="5">
        <v>42065</v>
      </c>
      <c r="F1457" s="1" t="s">
        <v>4342</v>
      </c>
      <c r="G1457" s="1" t="s">
        <v>40</v>
      </c>
      <c r="H1457" s="1" t="s">
        <v>41</v>
      </c>
      <c r="I1457" s="1" t="s">
        <v>2809</v>
      </c>
      <c r="J1457" s="1" t="s">
        <v>78</v>
      </c>
      <c r="K1457" s="1">
        <v>38237090</v>
      </c>
      <c r="L1457" s="6">
        <v>36.93</v>
      </c>
      <c r="M1457" s="1" t="s">
        <v>70</v>
      </c>
      <c r="N1457" s="7" t="s">
        <v>67</v>
      </c>
      <c r="O1457" s="1" t="s">
        <v>53</v>
      </c>
      <c r="P1457" s="8">
        <v>1545</v>
      </c>
      <c r="Q1457" s="17">
        <f t="shared" si="136"/>
        <v>57056.85</v>
      </c>
      <c r="R1457" s="9">
        <v>0</v>
      </c>
      <c r="S1457" s="9">
        <v>0</v>
      </c>
      <c r="T1457" s="9">
        <v>0</v>
      </c>
      <c r="U1457" s="10">
        <v>0</v>
      </c>
      <c r="V1457" s="1" t="s">
        <v>46</v>
      </c>
      <c r="W1457" s="1" t="s">
        <v>56</v>
      </c>
      <c r="X1457" s="1">
        <v>8009443</v>
      </c>
      <c r="Y1457" s="11">
        <v>42059</v>
      </c>
      <c r="Z1457" s="11"/>
      <c r="AA1457" s="9"/>
      <c r="AB1457" s="12"/>
      <c r="AC1457" s="9"/>
      <c r="AD1457" s="9"/>
      <c r="AE1457" s="1"/>
      <c r="AF1457" s="1" t="s">
        <v>53</v>
      </c>
      <c r="AG1457" s="4">
        <f t="shared" si="137"/>
        <v>57056.85</v>
      </c>
      <c r="AH1457" s="10">
        <v>57056.85</v>
      </c>
      <c r="AI1457" s="10"/>
      <c r="AJ1457" s="10"/>
      <c r="AK1457" s="10"/>
      <c r="AL1457" s="9"/>
      <c r="AM1457" s="1"/>
      <c r="AN1457" s="1"/>
      <c r="AO1457" s="12"/>
      <c r="AP1457" s="1" t="s">
        <v>4376</v>
      </c>
      <c r="AQ1457" s="11">
        <v>42100</v>
      </c>
      <c r="AR1457" s="18" t="s">
        <v>4375</v>
      </c>
      <c r="AS1457" s="11">
        <v>42101</v>
      </c>
      <c r="AT1457" s="1"/>
      <c r="AU1457" s="1"/>
    </row>
    <row r="1458" spans="1:47" ht="15" customHeight="1" x14ac:dyDescent="0.25">
      <c r="A1458" s="1">
        <v>1446</v>
      </c>
      <c r="B1458" s="1" t="s">
        <v>1258</v>
      </c>
      <c r="C1458" s="1" t="s">
        <v>38</v>
      </c>
      <c r="D1458" s="1" t="s">
        <v>3077</v>
      </c>
      <c r="E1458" s="5">
        <v>42063</v>
      </c>
      <c r="F1458" s="1" t="s">
        <v>3078</v>
      </c>
      <c r="G1458" s="1" t="s">
        <v>40</v>
      </c>
      <c r="H1458" s="1" t="s">
        <v>41</v>
      </c>
      <c r="I1458" s="1" t="s">
        <v>2809</v>
      </c>
      <c r="J1458" s="1" t="s">
        <v>187</v>
      </c>
      <c r="K1458" s="1">
        <v>29051700</v>
      </c>
      <c r="L1458" s="6">
        <v>18.14</v>
      </c>
      <c r="M1458" s="1" t="s">
        <v>70</v>
      </c>
      <c r="N1458" s="7" t="s">
        <v>44</v>
      </c>
      <c r="O1458" s="1" t="s">
        <v>53</v>
      </c>
      <c r="P1458" s="8">
        <v>1858</v>
      </c>
      <c r="Q1458" s="17">
        <f t="shared" si="136"/>
        <v>33704.120000000003</v>
      </c>
      <c r="R1458" s="9">
        <v>2066</v>
      </c>
      <c r="S1458" s="9">
        <v>4.82</v>
      </c>
      <c r="T1458" s="9">
        <v>0</v>
      </c>
      <c r="U1458" s="10">
        <v>0</v>
      </c>
      <c r="V1458" s="1" t="s">
        <v>46</v>
      </c>
      <c r="W1458" s="1" t="s">
        <v>56</v>
      </c>
      <c r="X1458" s="1">
        <v>7984637</v>
      </c>
      <c r="Y1458" s="11">
        <v>42058</v>
      </c>
      <c r="Z1458" s="11">
        <v>42059</v>
      </c>
      <c r="AA1458" s="9">
        <f t="shared" si="131"/>
        <v>31633.300000000003</v>
      </c>
      <c r="AB1458" s="12">
        <v>61.8</v>
      </c>
      <c r="AC1458" s="9">
        <f t="shared" si="134"/>
        <v>2082914.6160000002</v>
      </c>
      <c r="AD1458" s="9">
        <f t="shared" si="135"/>
        <v>1954937.9400000002</v>
      </c>
      <c r="AE1458" s="1" t="s">
        <v>48</v>
      </c>
      <c r="AF1458" s="1" t="s">
        <v>53</v>
      </c>
      <c r="AG1458" s="4">
        <f t="shared" si="137"/>
        <v>33704.120000000003</v>
      </c>
      <c r="AH1458" s="10">
        <v>33704.120000000003</v>
      </c>
      <c r="AI1458" s="10">
        <v>2071</v>
      </c>
      <c r="AJ1458" s="10">
        <v>4.82</v>
      </c>
      <c r="AK1458" s="10">
        <v>0</v>
      </c>
      <c r="AL1458" s="9">
        <f t="shared" ref="AL1458:AL1505" si="138">AH1458-(AI1458+AJ1458+AK1458)</f>
        <v>31628.300000000003</v>
      </c>
      <c r="AM1458" s="1"/>
      <c r="AN1458" s="1"/>
      <c r="AO1458" s="12" t="e">
        <f>AB1458/#REF!</f>
        <v>#REF!</v>
      </c>
      <c r="AP1458" s="1"/>
      <c r="AQ1458" s="11">
        <v>42123</v>
      </c>
      <c r="AR1458" s="1" t="s">
        <v>3591</v>
      </c>
      <c r="AS1458" s="11">
        <v>42124</v>
      </c>
      <c r="AT1458" s="1" t="s">
        <v>49</v>
      </c>
      <c r="AU1458" s="1" t="s">
        <v>4171</v>
      </c>
    </row>
    <row r="1459" spans="1:47" ht="15" customHeight="1" x14ac:dyDescent="0.25">
      <c r="A1459" s="1">
        <v>1447</v>
      </c>
      <c r="B1459" s="1" t="s">
        <v>1258</v>
      </c>
      <c r="C1459" s="1" t="s">
        <v>38</v>
      </c>
      <c r="D1459" s="1" t="s">
        <v>3077</v>
      </c>
      <c r="E1459" s="5">
        <v>42063</v>
      </c>
      <c r="F1459" s="1" t="s">
        <v>3079</v>
      </c>
      <c r="G1459" s="1" t="s">
        <v>40</v>
      </c>
      <c r="H1459" s="1" t="s">
        <v>41</v>
      </c>
      <c r="I1459" s="1" t="s">
        <v>2809</v>
      </c>
      <c r="J1459" s="1" t="s">
        <v>187</v>
      </c>
      <c r="K1459" s="1">
        <v>29051700</v>
      </c>
      <c r="L1459" s="6">
        <v>18.14</v>
      </c>
      <c r="M1459" s="1" t="s">
        <v>70</v>
      </c>
      <c r="N1459" s="7" t="s">
        <v>44</v>
      </c>
      <c r="O1459" s="1" t="s">
        <v>53</v>
      </c>
      <c r="P1459" s="8">
        <v>1858</v>
      </c>
      <c r="Q1459" s="17">
        <f t="shared" si="136"/>
        <v>33704.120000000003</v>
      </c>
      <c r="R1459" s="9">
        <v>2100</v>
      </c>
      <c r="S1459" s="9">
        <v>4.82</v>
      </c>
      <c r="T1459" s="9">
        <v>0</v>
      </c>
      <c r="U1459" s="10">
        <v>0</v>
      </c>
      <c r="V1459" s="1" t="s">
        <v>46</v>
      </c>
      <c r="W1459" s="1" t="s">
        <v>56</v>
      </c>
      <c r="X1459" s="1">
        <v>8009052</v>
      </c>
      <c r="Y1459" s="11">
        <v>42059</v>
      </c>
      <c r="Z1459" s="11">
        <v>42060</v>
      </c>
      <c r="AA1459" s="9">
        <f t="shared" si="131"/>
        <v>31599.300000000003</v>
      </c>
      <c r="AB1459" s="12">
        <v>61.8</v>
      </c>
      <c r="AC1459" s="9">
        <f t="shared" si="134"/>
        <v>2082914.6160000002</v>
      </c>
      <c r="AD1459" s="9">
        <f t="shared" si="135"/>
        <v>1952836.74</v>
      </c>
      <c r="AE1459" s="1" t="s">
        <v>48</v>
      </c>
      <c r="AF1459" s="1" t="s">
        <v>53</v>
      </c>
      <c r="AG1459" s="4">
        <f t="shared" si="137"/>
        <v>33704.120000000003</v>
      </c>
      <c r="AH1459" s="10">
        <v>33704.120000000003</v>
      </c>
      <c r="AI1459" s="10">
        <v>2071</v>
      </c>
      <c r="AJ1459" s="10">
        <v>4.82</v>
      </c>
      <c r="AK1459" s="10">
        <v>0</v>
      </c>
      <c r="AL1459" s="9">
        <f t="shared" si="138"/>
        <v>31628.300000000003</v>
      </c>
      <c r="AM1459" s="1"/>
      <c r="AN1459" s="1"/>
      <c r="AO1459" s="12" t="e">
        <f>AB1459/#REF!</f>
        <v>#REF!</v>
      </c>
      <c r="AP1459" s="1"/>
      <c r="AQ1459" s="11">
        <v>42123</v>
      </c>
      <c r="AR1459" s="1" t="s">
        <v>3592</v>
      </c>
      <c r="AS1459" s="11">
        <v>42124</v>
      </c>
      <c r="AT1459" s="1" t="s">
        <v>49</v>
      </c>
      <c r="AU1459" s="1" t="s">
        <v>4171</v>
      </c>
    </row>
    <row r="1460" spans="1:47" ht="15" customHeight="1" x14ac:dyDescent="0.25">
      <c r="A1460" s="1">
        <v>1448</v>
      </c>
      <c r="B1460" s="1" t="s">
        <v>1258</v>
      </c>
      <c r="C1460" s="1" t="s">
        <v>38</v>
      </c>
      <c r="D1460" s="1" t="s">
        <v>3080</v>
      </c>
      <c r="E1460" s="5">
        <v>42065</v>
      </c>
      <c r="F1460" s="1" t="s">
        <v>3081</v>
      </c>
      <c r="G1460" s="1" t="s">
        <v>40</v>
      </c>
      <c r="H1460" s="1" t="s">
        <v>41</v>
      </c>
      <c r="I1460" s="1" t="s">
        <v>2810</v>
      </c>
      <c r="J1460" s="1" t="s">
        <v>1116</v>
      </c>
      <c r="K1460" s="1">
        <v>38237090</v>
      </c>
      <c r="L1460" s="6">
        <v>94.39</v>
      </c>
      <c r="M1460" s="1" t="s">
        <v>70</v>
      </c>
      <c r="N1460" s="7" t="s">
        <v>67</v>
      </c>
      <c r="O1460" s="1" t="s">
        <v>1117</v>
      </c>
      <c r="P1460" s="8">
        <v>87560</v>
      </c>
      <c r="Q1460" s="17">
        <f t="shared" si="136"/>
        <v>8264788.4000000004</v>
      </c>
      <c r="R1460" s="9">
        <v>0</v>
      </c>
      <c r="S1460" s="9">
        <v>0</v>
      </c>
      <c r="T1460" s="9">
        <v>519194.01</v>
      </c>
      <c r="U1460" s="10">
        <v>0</v>
      </c>
      <c r="V1460" s="1" t="s">
        <v>46</v>
      </c>
      <c r="W1460" s="1" t="s">
        <v>361</v>
      </c>
      <c r="X1460" s="1">
        <v>8012358</v>
      </c>
      <c r="Y1460" s="11">
        <v>42059</v>
      </c>
      <c r="Z1460" s="11">
        <v>42060</v>
      </c>
      <c r="AA1460" s="9">
        <f t="shared" si="131"/>
        <v>8264788.4000000004</v>
      </c>
      <c r="AB1460" s="12">
        <v>1</v>
      </c>
      <c r="AC1460" s="9">
        <f t="shared" si="134"/>
        <v>8264788.4000000004</v>
      </c>
      <c r="AD1460" s="9">
        <f t="shared" si="135"/>
        <v>8264788.4000000004</v>
      </c>
      <c r="AE1460" s="1" t="s">
        <v>4162</v>
      </c>
      <c r="AF1460" s="1" t="s">
        <v>1117</v>
      </c>
      <c r="AG1460" s="4">
        <f t="shared" si="137"/>
        <v>8264788.4000000004</v>
      </c>
      <c r="AH1460" s="10">
        <v>7608019.7999999998</v>
      </c>
      <c r="AI1460" s="10"/>
      <c r="AJ1460" s="10"/>
      <c r="AK1460" s="10"/>
      <c r="AL1460" s="9">
        <f t="shared" si="138"/>
        <v>7608019.7999999998</v>
      </c>
      <c r="AM1460" s="1"/>
      <c r="AN1460" s="1"/>
      <c r="AO1460" s="12"/>
      <c r="AP1460" s="1" t="s">
        <v>3953</v>
      </c>
      <c r="AQ1460" s="11" t="s">
        <v>3948</v>
      </c>
      <c r="AR1460" s="1" t="s">
        <v>3952</v>
      </c>
      <c r="AS1460" s="1" t="s">
        <v>3945</v>
      </c>
      <c r="AT1460" s="1" t="s">
        <v>49</v>
      </c>
      <c r="AU1460" s="1" t="s">
        <v>4171</v>
      </c>
    </row>
    <row r="1461" spans="1:47" ht="15" customHeight="1" x14ac:dyDescent="0.25">
      <c r="A1461" s="1">
        <v>1449</v>
      </c>
      <c r="B1461" s="1" t="s">
        <v>1258</v>
      </c>
      <c r="C1461" s="1" t="s">
        <v>38</v>
      </c>
      <c r="D1461" s="1" t="s">
        <v>3080</v>
      </c>
      <c r="E1461" s="5">
        <v>42065</v>
      </c>
      <c r="F1461" s="1" t="s">
        <v>3082</v>
      </c>
      <c r="G1461" s="1" t="s">
        <v>40</v>
      </c>
      <c r="H1461" s="1" t="s">
        <v>41</v>
      </c>
      <c r="I1461" s="1" t="s">
        <v>2810</v>
      </c>
      <c r="J1461" s="1" t="s">
        <v>1116</v>
      </c>
      <c r="K1461" s="1">
        <v>38237090</v>
      </c>
      <c r="L1461" s="6">
        <v>113.57</v>
      </c>
      <c r="M1461" s="1" t="s">
        <v>70</v>
      </c>
      <c r="N1461" s="7" t="s">
        <v>67</v>
      </c>
      <c r="O1461" s="1" t="s">
        <v>1117</v>
      </c>
      <c r="P1461" s="8">
        <v>87560</v>
      </c>
      <c r="Q1461" s="17">
        <f t="shared" si="136"/>
        <v>9944189.1999999993</v>
      </c>
      <c r="R1461" s="9">
        <v>0</v>
      </c>
      <c r="S1461" s="9">
        <v>0</v>
      </c>
      <c r="T1461" s="9">
        <v>624693.97</v>
      </c>
      <c r="U1461" s="10">
        <v>0</v>
      </c>
      <c r="V1461" s="1" t="s">
        <v>46</v>
      </c>
      <c r="W1461" s="1" t="s">
        <v>361</v>
      </c>
      <c r="X1461" s="1">
        <v>8021395</v>
      </c>
      <c r="Y1461" s="11">
        <v>42060</v>
      </c>
      <c r="Z1461" s="11">
        <v>42061</v>
      </c>
      <c r="AA1461" s="9">
        <f t="shared" si="131"/>
        <v>9944189.1999999993</v>
      </c>
      <c r="AB1461" s="12">
        <v>1</v>
      </c>
      <c r="AC1461" s="9">
        <f t="shared" si="134"/>
        <v>9944189.1999999993</v>
      </c>
      <c r="AD1461" s="9">
        <f t="shared" si="135"/>
        <v>9944189.1999999993</v>
      </c>
      <c r="AE1461" s="1" t="s">
        <v>4162</v>
      </c>
      <c r="AF1461" s="1" t="s">
        <v>1117</v>
      </c>
      <c r="AG1461" s="4">
        <f t="shared" si="137"/>
        <v>9944189.1999999993</v>
      </c>
      <c r="AH1461" s="10">
        <v>9944189.1999999993</v>
      </c>
      <c r="AI1461" s="10"/>
      <c r="AJ1461" s="10"/>
      <c r="AK1461" s="10"/>
      <c r="AL1461" s="9">
        <f t="shared" si="138"/>
        <v>9944189.1999999993</v>
      </c>
      <c r="AM1461" s="1"/>
      <c r="AN1461" s="1"/>
      <c r="AO1461" s="12"/>
      <c r="AP1461" s="1" t="s">
        <v>3953</v>
      </c>
      <c r="AQ1461" s="11" t="s">
        <v>3948</v>
      </c>
      <c r="AR1461" s="1" t="s">
        <v>3955</v>
      </c>
      <c r="AS1461" s="1" t="s">
        <v>3945</v>
      </c>
      <c r="AT1461" s="1" t="s">
        <v>49</v>
      </c>
      <c r="AU1461" s="1" t="s">
        <v>4171</v>
      </c>
    </row>
    <row r="1462" spans="1:47" ht="15" customHeight="1" x14ac:dyDescent="0.25">
      <c r="A1462" s="1">
        <v>1450</v>
      </c>
      <c r="B1462" s="1" t="s">
        <v>1258</v>
      </c>
      <c r="C1462" s="1" t="s">
        <v>38</v>
      </c>
      <c r="D1462" s="1" t="s">
        <v>3083</v>
      </c>
      <c r="E1462" s="5">
        <v>42059</v>
      </c>
      <c r="F1462" s="1" t="s">
        <v>3084</v>
      </c>
      <c r="G1462" s="1" t="s">
        <v>40</v>
      </c>
      <c r="H1462" s="1" t="s">
        <v>41</v>
      </c>
      <c r="I1462" s="1" t="s">
        <v>2809</v>
      </c>
      <c r="J1462" s="1" t="s">
        <v>2660</v>
      </c>
      <c r="K1462" s="1">
        <v>38237090</v>
      </c>
      <c r="L1462" s="6">
        <v>90</v>
      </c>
      <c r="M1462" s="1" t="s">
        <v>70</v>
      </c>
      <c r="N1462" s="7" t="s">
        <v>52</v>
      </c>
      <c r="O1462" s="1" t="s">
        <v>53</v>
      </c>
      <c r="P1462" s="8">
        <v>3720</v>
      </c>
      <c r="Q1462" s="17">
        <f t="shared" si="136"/>
        <v>334800</v>
      </c>
      <c r="R1462" s="9">
        <v>270</v>
      </c>
      <c r="S1462" s="9">
        <v>0</v>
      </c>
      <c r="T1462" s="9">
        <v>0</v>
      </c>
      <c r="U1462" s="10">
        <v>0</v>
      </c>
      <c r="V1462" s="1" t="s">
        <v>46</v>
      </c>
      <c r="W1462" s="1" t="s">
        <v>54</v>
      </c>
      <c r="X1462" s="1">
        <v>8013112</v>
      </c>
      <c r="Y1462" s="11">
        <v>42059</v>
      </c>
      <c r="Z1462" s="11">
        <v>42060</v>
      </c>
      <c r="AA1462" s="9">
        <f t="shared" si="131"/>
        <v>334530</v>
      </c>
      <c r="AB1462" s="12">
        <v>61.8</v>
      </c>
      <c r="AC1462" s="9">
        <f t="shared" si="134"/>
        <v>20690640</v>
      </c>
      <c r="AD1462" s="9">
        <f t="shared" si="135"/>
        <v>20673954</v>
      </c>
      <c r="AE1462" s="1" t="s">
        <v>48</v>
      </c>
      <c r="AF1462" s="1" t="s">
        <v>53</v>
      </c>
      <c r="AG1462" s="4">
        <f t="shared" si="137"/>
        <v>334800</v>
      </c>
      <c r="AH1462" s="10">
        <v>334800</v>
      </c>
      <c r="AI1462" s="10">
        <v>326</v>
      </c>
      <c r="AJ1462" s="10">
        <v>0</v>
      </c>
      <c r="AK1462" s="10">
        <v>0</v>
      </c>
      <c r="AL1462" s="9">
        <f t="shared" si="138"/>
        <v>334474</v>
      </c>
      <c r="AM1462" s="1"/>
      <c r="AN1462" s="1"/>
      <c r="AO1462" s="12" t="e">
        <f>AB1462/#REF!</f>
        <v>#REF!</v>
      </c>
      <c r="AP1462" s="1"/>
      <c r="AQ1462" s="11">
        <v>42094</v>
      </c>
      <c r="AR1462" s="1" t="s">
        <v>3593</v>
      </c>
      <c r="AS1462" s="11">
        <v>42098</v>
      </c>
      <c r="AT1462" s="1" t="s">
        <v>49</v>
      </c>
      <c r="AU1462" s="1" t="s">
        <v>4171</v>
      </c>
    </row>
    <row r="1463" spans="1:47" ht="15" customHeight="1" x14ac:dyDescent="0.25">
      <c r="A1463" s="1">
        <v>1451</v>
      </c>
      <c r="B1463" s="1" t="s">
        <v>1258</v>
      </c>
      <c r="C1463" s="1" t="s">
        <v>38</v>
      </c>
      <c r="D1463" s="1" t="s">
        <v>3083</v>
      </c>
      <c r="E1463" s="5">
        <v>42059</v>
      </c>
      <c r="F1463" s="1" t="s">
        <v>3085</v>
      </c>
      <c r="G1463" s="1" t="s">
        <v>40</v>
      </c>
      <c r="H1463" s="1" t="s">
        <v>41</v>
      </c>
      <c r="I1463" s="1" t="s">
        <v>2809</v>
      </c>
      <c r="J1463" s="1" t="s">
        <v>2660</v>
      </c>
      <c r="K1463" s="1">
        <v>38237090</v>
      </c>
      <c r="L1463" s="6">
        <v>15</v>
      </c>
      <c r="M1463" s="1" t="s">
        <v>70</v>
      </c>
      <c r="N1463" s="7" t="s">
        <v>52</v>
      </c>
      <c r="O1463" s="1" t="s">
        <v>53</v>
      </c>
      <c r="P1463" s="8">
        <v>3720</v>
      </c>
      <c r="Q1463" s="17">
        <f t="shared" si="136"/>
        <v>55800</v>
      </c>
      <c r="R1463" s="9">
        <v>45</v>
      </c>
      <c r="S1463" s="9">
        <v>0</v>
      </c>
      <c r="T1463" s="9">
        <v>0</v>
      </c>
      <c r="U1463" s="10">
        <v>0</v>
      </c>
      <c r="V1463" s="1" t="s">
        <v>46</v>
      </c>
      <c r="W1463" s="1" t="s">
        <v>54</v>
      </c>
      <c r="X1463" s="1">
        <v>8021613</v>
      </c>
      <c r="Y1463" s="11">
        <v>42060</v>
      </c>
      <c r="Z1463" s="11">
        <v>42061</v>
      </c>
      <c r="AA1463" s="9">
        <f t="shared" si="131"/>
        <v>55755</v>
      </c>
      <c r="AB1463" s="12">
        <v>61.8</v>
      </c>
      <c r="AC1463" s="9">
        <f t="shared" si="134"/>
        <v>3448440</v>
      </c>
      <c r="AD1463" s="9">
        <f t="shared" si="135"/>
        <v>3445659</v>
      </c>
      <c r="AE1463" s="1" t="s">
        <v>48</v>
      </c>
      <c r="AF1463" s="1" t="s">
        <v>53</v>
      </c>
      <c r="AG1463" s="4">
        <f t="shared" si="137"/>
        <v>55800</v>
      </c>
      <c r="AH1463" s="10">
        <v>55800</v>
      </c>
      <c r="AI1463" s="10">
        <v>54.28</v>
      </c>
      <c r="AJ1463" s="10">
        <v>0</v>
      </c>
      <c r="AK1463" s="10">
        <v>0</v>
      </c>
      <c r="AL1463" s="9">
        <f t="shared" si="138"/>
        <v>55745.72</v>
      </c>
      <c r="AM1463" s="1"/>
      <c r="AN1463" s="1"/>
      <c r="AO1463" s="12" t="e">
        <f>AB1463/#REF!</f>
        <v>#REF!</v>
      </c>
      <c r="AP1463" s="1"/>
      <c r="AQ1463" s="11">
        <v>42094</v>
      </c>
      <c r="AR1463" s="1" t="s">
        <v>3594</v>
      </c>
      <c r="AS1463" s="11">
        <v>42098</v>
      </c>
      <c r="AT1463" s="1" t="s">
        <v>49</v>
      </c>
      <c r="AU1463" s="1" t="s">
        <v>4171</v>
      </c>
    </row>
    <row r="1464" spans="1:47" ht="15" customHeight="1" x14ac:dyDescent="0.25">
      <c r="A1464" s="1">
        <v>1452</v>
      </c>
      <c r="B1464" s="1" t="s">
        <v>1258</v>
      </c>
      <c r="C1464" s="1" t="s">
        <v>38</v>
      </c>
      <c r="D1464" s="1">
        <v>9103551256</v>
      </c>
      <c r="E1464" s="5">
        <v>42065</v>
      </c>
      <c r="F1464" s="1" t="s">
        <v>3086</v>
      </c>
      <c r="G1464" s="1" t="s">
        <v>40</v>
      </c>
      <c r="H1464" s="1" t="s">
        <v>41</v>
      </c>
      <c r="I1464" s="1" t="s">
        <v>2809</v>
      </c>
      <c r="J1464" s="1" t="s">
        <v>187</v>
      </c>
      <c r="K1464" s="1">
        <v>29051700</v>
      </c>
      <c r="L1464" s="6">
        <v>18.5</v>
      </c>
      <c r="M1464" s="1" t="s">
        <v>70</v>
      </c>
      <c r="N1464" s="7" t="s">
        <v>44</v>
      </c>
      <c r="O1464" s="1" t="s">
        <v>53</v>
      </c>
      <c r="P1464" s="8">
        <v>2343</v>
      </c>
      <c r="Q1464" s="17">
        <f t="shared" si="136"/>
        <v>43345.5</v>
      </c>
      <c r="R1464" s="9">
        <v>4350</v>
      </c>
      <c r="S1464" s="9">
        <v>6.2</v>
      </c>
      <c r="T1464" s="9">
        <v>0</v>
      </c>
      <c r="U1464" s="10">
        <v>0</v>
      </c>
      <c r="V1464" s="1" t="s">
        <v>46</v>
      </c>
      <c r="W1464" s="1" t="s">
        <v>56</v>
      </c>
      <c r="X1464" s="1">
        <v>8026887</v>
      </c>
      <c r="Y1464" s="11">
        <v>42060</v>
      </c>
      <c r="Z1464" s="11">
        <v>42061</v>
      </c>
      <c r="AA1464" s="9">
        <f t="shared" si="131"/>
        <v>38989.300000000003</v>
      </c>
      <c r="AB1464" s="12">
        <v>61.8</v>
      </c>
      <c r="AC1464" s="9">
        <f t="shared" si="134"/>
        <v>2678751.9</v>
      </c>
      <c r="AD1464" s="9">
        <f t="shared" si="135"/>
        <v>2409538.7400000002</v>
      </c>
      <c r="AE1464" s="1" t="s">
        <v>48</v>
      </c>
      <c r="AF1464" s="1" t="s">
        <v>53</v>
      </c>
      <c r="AG1464" s="4">
        <f t="shared" si="137"/>
        <v>43345.5</v>
      </c>
      <c r="AH1464" s="10">
        <v>43345.5</v>
      </c>
      <c r="AI1464" s="9">
        <v>4585</v>
      </c>
      <c r="AJ1464" s="9">
        <v>6.2</v>
      </c>
      <c r="AK1464" s="9">
        <v>0</v>
      </c>
      <c r="AL1464" s="9">
        <f t="shared" si="138"/>
        <v>38754.300000000003</v>
      </c>
      <c r="AM1464" s="1"/>
      <c r="AN1464" s="1"/>
      <c r="AO1464" s="12" t="e">
        <f>AB1464/#REF!</f>
        <v>#REF!</v>
      </c>
      <c r="AP1464" s="1"/>
      <c r="AQ1464" s="11">
        <v>42123</v>
      </c>
      <c r="AR1464" s="1" t="s">
        <v>3595</v>
      </c>
      <c r="AS1464" s="11">
        <v>42124</v>
      </c>
      <c r="AT1464" s="1" t="s">
        <v>49</v>
      </c>
      <c r="AU1464" s="1" t="s">
        <v>4171</v>
      </c>
    </row>
    <row r="1465" spans="1:47" ht="15" customHeight="1" x14ac:dyDescent="0.25">
      <c r="A1465" s="1">
        <v>1453</v>
      </c>
      <c r="B1465" s="1" t="s">
        <v>1258</v>
      </c>
      <c r="C1465" s="1" t="s">
        <v>38</v>
      </c>
      <c r="D1465" s="1">
        <v>9103551257</v>
      </c>
      <c r="E1465" s="5">
        <v>42064</v>
      </c>
      <c r="F1465" s="1" t="s">
        <v>3087</v>
      </c>
      <c r="G1465" s="1" t="s">
        <v>40</v>
      </c>
      <c r="H1465" s="1" t="s">
        <v>41</v>
      </c>
      <c r="I1465" s="1" t="s">
        <v>2809</v>
      </c>
      <c r="J1465" s="1" t="s">
        <v>76</v>
      </c>
      <c r="K1465" s="1">
        <v>38237090</v>
      </c>
      <c r="L1465" s="6">
        <v>30</v>
      </c>
      <c r="M1465" s="1" t="s">
        <v>70</v>
      </c>
      <c r="N1465" s="7" t="s">
        <v>44</v>
      </c>
      <c r="O1465" s="1" t="s">
        <v>53</v>
      </c>
      <c r="P1465" s="8">
        <v>1535</v>
      </c>
      <c r="Q1465" s="17">
        <f t="shared" si="136"/>
        <v>46050</v>
      </c>
      <c r="R1465" s="9">
        <v>1700</v>
      </c>
      <c r="S1465" s="9">
        <v>6.59</v>
      </c>
      <c r="T1465" s="9">
        <v>0</v>
      </c>
      <c r="U1465" s="10">
        <v>0</v>
      </c>
      <c r="V1465" s="1" t="s">
        <v>46</v>
      </c>
      <c r="W1465" s="1" t="s">
        <v>77</v>
      </c>
      <c r="X1465" s="1">
        <v>8031585</v>
      </c>
      <c r="Y1465" s="11">
        <v>42060</v>
      </c>
      <c r="Z1465" s="11">
        <v>42061</v>
      </c>
      <c r="AA1465" s="9">
        <f t="shared" si="131"/>
        <v>44343.41</v>
      </c>
      <c r="AB1465" s="12">
        <v>61.8</v>
      </c>
      <c r="AC1465" s="9">
        <f t="shared" si="134"/>
        <v>2845890</v>
      </c>
      <c r="AD1465" s="9">
        <f t="shared" si="135"/>
        <v>2740422.7379999999</v>
      </c>
      <c r="AE1465" s="1"/>
      <c r="AF1465" s="1" t="s">
        <v>53</v>
      </c>
      <c r="AG1465" s="4">
        <f t="shared" si="137"/>
        <v>46050</v>
      </c>
      <c r="AH1465" s="10">
        <v>46050</v>
      </c>
      <c r="AI1465" s="10"/>
      <c r="AJ1465" s="10"/>
      <c r="AK1465" s="10"/>
      <c r="AL1465" s="9">
        <f t="shared" si="138"/>
        <v>46050</v>
      </c>
      <c r="AM1465" s="1"/>
      <c r="AN1465" s="1"/>
      <c r="AO1465" s="12" t="e">
        <f>AB1465/#REF!</f>
        <v>#REF!</v>
      </c>
      <c r="AP1465" s="1" t="s">
        <v>4267</v>
      </c>
      <c r="AQ1465" s="11">
        <v>42213</v>
      </c>
      <c r="AR1465" s="1" t="s">
        <v>4268</v>
      </c>
      <c r="AS1465" s="11">
        <v>42214</v>
      </c>
      <c r="AT1465" s="1" t="s">
        <v>49</v>
      </c>
      <c r="AU1465" s="1" t="s">
        <v>4171</v>
      </c>
    </row>
    <row r="1466" spans="1:47" ht="15" customHeight="1" x14ac:dyDescent="0.25">
      <c r="A1466" s="1">
        <v>1454</v>
      </c>
      <c r="B1466" s="1" t="s">
        <v>1258</v>
      </c>
      <c r="C1466" s="1" t="s">
        <v>38</v>
      </c>
      <c r="D1466" s="1">
        <v>9103551258</v>
      </c>
      <c r="E1466" s="5">
        <v>42063</v>
      </c>
      <c r="F1466" s="1" t="s">
        <v>3088</v>
      </c>
      <c r="G1466" s="1" t="s">
        <v>40</v>
      </c>
      <c r="H1466" s="1" t="s">
        <v>41</v>
      </c>
      <c r="I1466" s="1" t="s">
        <v>2809</v>
      </c>
      <c r="J1466" s="1" t="s">
        <v>187</v>
      </c>
      <c r="K1466" s="1">
        <v>29051700</v>
      </c>
      <c r="L1466" s="6">
        <v>18.14</v>
      </c>
      <c r="M1466" s="1" t="s">
        <v>70</v>
      </c>
      <c r="N1466" s="7" t="s">
        <v>44</v>
      </c>
      <c r="O1466" s="1" t="s">
        <v>53</v>
      </c>
      <c r="P1466" s="8">
        <v>1708</v>
      </c>
      <c r="Q1466" s="17">
        <f t="shared" si="136"/>
        <v>30983.120000000003</v>
      </c>
      <c r="R1466" s="9">
        <v>2100</v>
      </c>
      <c r="S1466" s="9">
        <v>4.43</v>
      </c>
      <c r="T1466" s="9">
        <v>0</v>
      </c>
      <c r="U1466" s="10">
        <v>0</v>
      </c>
      <c r="V1466" s="1" t="s">
        <v>46</v>
      </c>
      <c r="W1466" s="1" t="s">
        <v>56</v>
      </c>
      <c r="X1466" s="1">
        <v>8031945</v>
      </c>
      <c r="Y1466" s="11">
        <v>42060</v>
      </c>
      <c r="Z1466" s="11">
        <v>42061</v>
      </c>
      <c r="AA1466" s="9">
        <f t="shared" si="131"/>
        <v>28878.690000000002</v>
      </c>
      <c r="AB1466" s="12">
        <v>61.8</v>
      </c>
      <c r="AC1466" s="9">
        <f t="shared" si="134"/>
        <v>1914756.8160000001</v>
      </c>
      <c r="AD1466" s="9">
        <f t="shared" si="135"/>
        <v>1784703.0420000001</v>
      </c>
      <c r="AE1466" s="1" t="s">
        <v>48</v>
      </c>
      <c r="AF1466" s="1" t="s">
        <v>53</v>
      </c>
      <c r="AG1466" s="4">
        <f t="shared" si="137"/>
        <v>30983.120000000003</v>
      </c>
      <c r="AH1466" s="10">
        <v>30983.119999999999</v>
      </c>
      <c r="AI1466" s="9">
        <v>2101</v>
      </c>
      <c r="AJ1466" s="9">
        <v>4.43</v>
      </c>
      <c r="AK1466" s="9">
        <v>0</v>
      </c>
      <c r="AL1466" s="9">
        <f t="shared" si="138"/>
        <v>28877.69</v>
      </c>
      <c r="AM1466" s="1"/>
      <c r="AN1466" s="1"/>
      <c r="AO1466" s="12" t="e">
        <f>AB1466/#REF!</f>
        <v>#REF!</v>
      </c>
      <c r="AP1466" s="1"/>
      <c r="AQ1466" s="11">
        <v>42123</v>
      </c>
      <c r="AR1466" s="1" t="s">
        <v>3596</v>
      </c>
      <c r="AS1466" s="11">
        <v>42124</v>
      </c>
      <c r="AT1466" s="1" t="s">
        <v>49</v>
      </c>
      <c r="AU1466" s="1" t="s">
        <v>4171</v>
      </c>
    </row>
    <row r="1467" spans="1:47" ht="15" customHeight="1" x14ac:dyDescent="0.25">
      <c r="A1467" s="1">
        <v>1455</v>
      </c>
      <c r="B1467" s="1" t="s">
        <v>1258</v>
      </c>
      <c r="C1467" s="1" t="s">
        <v>38</v>
      </c>
      <c r="D1467" s="1">
        <v>9103551259</v>
      </c>
      <c r="E1467" s="5">
        <v>42065</v>
      </c>
      <c r="F1467" s="1" t="s">
        <v>3089</v>
      </c>
      <c r="G1467" s="1" t="s">
        <v>40</v>
      </c>
      <c r="H1467" s="1" t="s">
        <v>41</v>
      </c>
      <c r="I1467" s="1" t="s">
        <v>2809</v>
      </c>
      <c r="J1467" s="1" t="s">
        <v>78</v>
      </c>
      <c r="K1467" s="1">
        <v>38237090</v>
      </c>
      <c r="L1467" s="6">
        <v>38.53</v>
      </c>
      <c r="M1467" s="1" t="s">
        <v>70</v>
      </c>
      <c r="N1467" s="7" t="s">
        <v>67</v>
      </c>
      <c r="O1467" s="1" t="s">
        <v>53</v>
      </c>
      <c r="P1467" s="8">
        <v>1390</v>
      </c>
      <c r="Q1467" s="17">
        <f t="shared" si="136"/>
        <v>53556.700000000004</v>
      </c>
      <c r="R1467" s="9">
        <v>0</v>
      </c>
      <c r="S1467" s="9">
        <v>0</v>
      </c>
      <c r="T1467" s="9">
        <v>0</v>
      </c>
      <c r="U1467" s="10">
        <v>0</v>
      </c>
      <c r="V1467" s="1" t="s">
        <v>46</v>
      </c>
      <c r="W1467" s="1" t="s">
        <v>56</v>
      </c>
      <c r="X1467" s="1">
        <v>8036614</v>
      </c>
      <c r="Y1467" s="11">
        <v>42060</v>
      </c>
      <c r="Z1467" s="11">
        <v>42061</v>
      </c>
      <c r="AA1467" s="9">
        <f t="shared" si="131"/>
        <v>53556.700000000004</v>
      </c>
      <c r="AB1467" s="12">
        <v>61.8</v>
      </c>
      <c r="AC1467" s="9">
        <f t="shared" si="134"/>
        <v>3309804.06</v>
      </c>
      <c r="AD1467" s="9">
        <f t="shared" si="135"/>
        <v>3309804.06</v>
      </c>
      <c r="AE1467" s="1" t="s">
        <v>48</v>
      </c>
      <c r="AF1467" s="1" t="s">
        <v>53</v>
      </c>
      <c r="AG1467" s="4">
        <f t="shared" si="137"/>
        <v>53556.700000000004</v>
      </c>
      <c r="AH1467" s="10">
        <v>53556.7</v>
      </c>
      <c r="AI1467" s="10">
        <v>0</v>
      </c>
      <c r="AJ1467" s="10">
        <v>0</v>
      </c>
      <c r="AK1467" s="10">
        <v>0</v>
      </c>
      <c r="AL1467" s="9">
        <f t="shared" si="138"/>
        <v>53556.7</v>
      </c>
      <c r="AM1467" s="1"/>
      <c r="AN1467" s="1"/>
      <c r="AO1467" s="12" t="e">
        <f>AB1467/#REF!</f>
        <v>#REF!</v>
      </c>
      <c r="AP1467" s="1"/>
      <c r="AQ1467" s="11">
        <v>42100</v>
      </c>
      <c r="AR1467" s="1" t="s">
        <v>3597</v>
      </c>
      <c r="AS1467" s="11">
        <v>42101</v>
      </c>
      <c r="AT1467" s="1" t="s">
        <v>49</v>
      </c>
      <c r="AU1467" s="1" t="s">
        <v>4171</v>
      </c>
    </row>
    <row r="1468" spans="1:47" ht="15" customHeight="1" x14ac:dyDescent="0.25">
      <c r="A1468" s="1">
        <v>1456</v>
      </c>
      <c r="B1468" s="1" t="s">
        <v>1258</v>
      </c>
      <c r="C1468" s="1" t="s">
        <v>38</v>
      </c>
      <c r="D1468" s="1">
        <v>9103551260</v>
      </c>
      <c r="E1468" s="5">
        <v>42065</v>
      </c>
      <c r="F1468" s="1" t="s">
        <v>3090</v>
      </c>
      <c r="G1468" s="1" t="s">
        <v>40</v>
      </c>
      <c r="H1468" s="1" t="s">
        <v>41</v>
      </c>
      <c r="I1468" s="1" t="s">
        <v>2809</v>
      </c>
      <c r="J1468" s="1" t="s">
        <v>187</v>
      </c>
      <c r="K1468" s="1">
        <v>38237090</v>
      </c>
      <c r="L1468" s="6">
        <v>18.190000000000001</v>
      </c>
      <c r="M1468" s="1" t="s">
        <v>70</v>
      </c>
      <c r="N1468" s="7" t="s">
        <v>44</v>
      </c>
      <c r="O1468" s="1" t="s">
        <v>53</v>
      </c>
      <c r="P1468" s="8">
        <v>1495</v>
      </c>
      <c r="Q1468" s="17">
        <f t="shared" si="136"/>
        <v>27194.050000000003</v>
      </c>
      <c r="R1468" s="9">
        <v>2800</v>
      </c>
      <c r="S1468" s="9">
        <v>3.89</v>
      </c>
      <c r="T1468" s="9">
        <v>0</v>
      </c>
      <c r="U1468" s="10">
        <v>0</v>
      </c>
      <c r="V1468" s="1" t="s">
        <v>46</v>
      </c>
      <c r="W1468" s="1" t="s">
        <v>56</v>
      </c>
      <c r="X1468" s="1">
        <v>8036913</v>
      </c>
      <c r="Y1468" s="11">
        <v>42060</v>
      </c>
      <c r="Z1468" s="11">
        <v>42061</v>
      </c>
      <c r="AA1468" s="9">
        <f t="shared" si="131"/>
        <v>24390.160000000003</v>
      </c>
      <c r="AB1468" s="12">
        <v>61.8</v>
      </c>
      <c r="AC1468" s="9">
        <f t="shared" si="134"/>
        <v>1680592.29</v>
      </c>
      <c r="AD1468" s="9">
        <f t="shared" si="135"/>
        <v>1507311.888</v>
      </c>
      <c r="AE1468" s="1" t="s">
        <v>48</v>
      </c>
      <c r="AF1468" s="1" t="s">
        <v>53</v>
      </c>
      <c r="AG1468" s="4">
        <f t="shared" si="137"/>
        <v>27194.050000000003</v>
      </c>
      <c r="AH1468" s="10">
        <v>27159.05</v>
      </c>
      <c r="AI1468" s="10">
        <v>2800</v>
      </c>
      <c r="AJ1468" s="10">
        <v>3.89</v>
      </c>
      <c r="AK1468" s="10">
        <v>0</v>
      </c>
      <c r="AL1468" s="9">
        <f t="shared" si="138"/>
        <v>24355.16</v>
      </c>
      <c r="AM1468" s="1"/>
      <c r="AN1468" s="1"/>
      <c r="AO1468" s="12" t="e">
        <f>AB1468/#REF!</f>
        <v>#REF!</v>
      </c>
      <c r="AP1468" s="1"/>
      <c r="AQ1468" s="11">
        <v>42123</v>
      </c>
      <c r="AR1468" s="1" t="s">
        <v>3598</v>
      </c>
      <c r="AS1468" s="11">
        <v>42124</v>
      </c>
      <c r="AT1468" s="1" t="s">
        <v>49</v>
      </c>
      <c r="AU1468" s="1" t="s">
        <v>4171</v>
      </c>
    </row>
    <row r="1469" spans="1:47" ht="15" customHeight="1" x14ac:dyDescent="0.25">
      <c r="A1469" s="1">
        <v>1457</v>
      </c>
      <c r="B1469" s="1" t="s">
        <v>1258</v>
      </c>
      <c r="C1469" s="1" t="s">
        <v>38</v>
      </c>
      <c r="D1469" s="1">
        <v>9103551261</v>
      </c>
      <c r="E1469" s="5">
        <v>42065</v>
      </c>
      <c r="F1469" s="1" t="s">
        <v>3250</v>
      </c>
      <c r="G1469" s="1" t="s">
        <v>40</v>
      </c>
      <c r="H1469" s="1" t="s">
        <v>41</v>
      </c>
      <c r="I1469" s="1" t="s">
        <v>2809</v>
      </c>
      <c r="J1469" s="1" t="s">
        <v>78</v>
      </c>
      <c r="K1469" s="1">
        <v>38237090</v>
      </c>
      <c r="L1469" s="6">
        <v>18.559999999999999</v>
      </c>
      <c r="M1469" s="1" t="s">
        <v>70</v>
      </c>
      <c r="N1469" s="7" t="s">
        <v>67</v>
      </c>
      <c r="O1469" s="1" t="s">
        <v>53</v>
      </c>
      <c r="P1469" s="8">
        <v>1390</v>
      </c>
      <c r="Q1469" s="17">
        <f t="shared" si="136"/>
        <v>25798.399999999998</v>
      </c>
      <c r="R1469" s="9">
        <v>0</v>
      </c>
      <c r="S1469" s="9">
        <v>0</v>
      </c>
      <c r="T1469" s="9">
        <v>0</v>
      </c>
      <c r="U1469" s="10">
        <v>0</v>
      </c>
      <c r="V1469" s="1" t="s">
        <v>46</v>
      </c>
      <c r="W1469" s="1" t="s">
        <v>56</v>
      </c>
      <c r="X1469" s="1">
        <v>8036923</v>
      </c>
      <c r="Y1469" s="11">
        <v>42060</v>
      </c>
      <c r="Z1469" s="11">
        <v>42062</v>
      </c>
      <c r="AA1469" s="9">
        <f t="shared" si="131"/>
        <v>25798.399999999998</v>
      </c>
      <c r="AB1469" s="12">
        <v>61.8</v>
      </c>
      <c r="AC1469" s="9">
        <f t="shared" si="134"/>
        <v>1594341.1199999999</v>
      </c>
      <c r="AD1469" s="9">
        <f t="shared" si="135"/>
        <v>1594341.1199999999</v>
      </c>
      <c r="AE1469" s="1" t="s">
        <v>48</v>
      </c>
      <c r="AF1469" s="1" t="s">
        <v>53</v>
      </c>
      <c r="AG1469" s="4">
        <f t="shared" si="137"/>
        <v>25798.399999999998</v>
      </c>
      <c r="AH1469" s="10">
        <v>25798</v>
      </c>
      <c r="AI1469" s="10">
        <v>0</v>
      </c>
      <c r="AJ1469" s="10">
        <v>0</v>
      </c>
      <c r="AK1469" s="10">
        <v>0</v>
      </c>
      <c r="AL1469" s="9">
        <f t="shared" si="138"/>
        <v>25798</v>
      </c>
      <c r="AM1469" s="1"/>
      <c r="AN1469" s="1"/>
      <c r="AO1469" s="12" t="e">
        <f>AB1469/#REF!</f>
        <v>#REF!</v>
      </c>
      <c r="AP1469" s="1"/>
      <c r="AQ1469" s="11">
        <v>42100</v>
      </c>
      <c r="AR1469" s="1" t="s">
        <v>3599</v>
      </c>
      <c r="AS1469" s="11">
        <v>42101</v>
      </c>
      <c r="AT1469" s="1" t="s">
        <v>49</v>
      </c>
      <c r="AU1469" s="1" t="s">
        <v>4171</v>
      </c>
    </row>
    <row r="1470" spans="1:47" ht="15" customHeight="1" x14ac:dyDescent="0.25">
      <c r="A1470" s="1">
        <v>1458</v>
      </c>
      <c r="B1470" s="1" t="s">
        <v>1258</v>
      </c>
      <c r="C1470" s="1" t="s">
        <v>38</v>
      </c>
      <c r="D1470" s="1" t="s">
        <v>3091</v>
      </c>
      <c r="E1470" s="5">
        <v>42065</v>
      </c>
      <c r="F1470" s="1" t="s">
        <v>3092</v>
      </c>
      <c r="G1470" s="1" t="s">
        <v>40</v>
      </c>
      <c r="H1470" s="1" t="s">
        <v>41</v>
      </c>
      <c r="I1470" s="1" t="s">
        <v>2809</v>
      </c>
      <c r="J1470" s="1" t="s">
        <v>78</v>
      </c>
      <c r="K1470" s="1">
        <v>29051700</v>
      </c>
      <c r="L1470" s="6">
        <v>19.059999999999999</v>
      </c>
      <c r="M1470" s="1" t="s">
        <v>70</v>
      </c>
      <c r="N1470" s="7" t="s">
        <v>67</v>
      </c>
      <c r="O1470" s="1" t="s">
        <v>53</v>
      </c>
      <c r="P1470" s="8">
        <v>1505</v>
      </c>
      <c r="Q1470" s="17">
        <f t="shared" si="136"/>
        <v>28685.3</v>
      </c>
      <c r="R1470" s="9">
        <v>0</v>
      </c>
      <c r="S1470" s="9">
        <v>0</v>
      </c>
      <c r="T1470" s="9">
        <v>0</v>
      </c>
      <c r="U1470" s="10">
        <v>0</v>
      </c>
      <c r="V1470" s="1" t="s">
        <v>46</v>
      </c>
      <c r="W1470" s="1" t="s">
        <v>56</v>
      </c>
      <c r="X1470" s="3">
        <v>8036980</v>
      </c>
      <c r="Y1470" s="11">
        <v>42060</v>
      </c>
      <c r="Z1470" s="11">
        <v>42061</v>
      </c>
      <c r="AA1470" s="9">
        <f t="shared" si="131"/>
        <v>28685.3</v>
      </c>
      <c r="AB1470" s="12">
        <v>61.8</v>
      </c>
      <c r="AC1470" s="9">
        <f t="shared" si="134"/>
        <v>1772751.5399999998</v>
      </c>
      <c r="AD1470" s="9">
        <f t="shared" si="135"/>
        <v>1772751.5399999998</v>
      </c>
      <c r="AE1470" s="1" t="s">
        <v>48</v>
      </c>
      <c r="AF1470" s="1" t="s">
        <v>53</v>
      </c>
      <c r="AG1470" s="4">
        <f t="shared" si="137"/>
        <v>28685.3</v>
      </c>
      <c r="AH1470" s="10">
        <v>28685.3</v>
      </c>
      <c r="AI1470" s="10">
        <v>0</v>
      </c>
      <c r="AJ1470" s="10">
        <v>0</v>
      </c>
      <c r="AK1470" s="10">
        <v>0</v>
      </c>
      <c r="AL1470" s="9">
        <f t="shared" si="138"/>
        <v>28685.3</v>
      </c>
      <c r="AM1470" s="1"/>
      <c r="AN1470" s="1"/>
      <c r="AO1470" s="12" t="e">
        <f>AB1470/#REF!</f>
        <v>#REF!</v>
      </c>
      <c r="AP1470" s="1"/>
      <c r="AQ1470" s="11">
        <v>42100</v>
      </c>
      <c r="AR1470" s="1" t="s">
        <v>3600</v>
      </c>
      <c r="AS1470" s="11">
        <v>42101</v>
      </c>
      <c r="AT1470" s="1" t="s">
        <v>49</v>
      </c>
      <c r="AU1470" s="1" t="s">
        <v>4171</v>
      </c>
    </row>
    <row r="1471" spans="1:47" ht="15" customHeight="1" x14ac:dyDescent="0.25">
      <c r="A1471" s="1">
        <v>1459</v>
      </c>
      <c r="B1471" s="1" t="s">
        <v>1258</v>
      </c>
      <c r="C1471" s="1" t="s">
        <v>38</v>
      </c>
      <c r="D1471" s="1" t="s">
        <v>3091</v>
      </c>
      <c r="E1471" s="5">
        <v>42065</v>
      </c>
      <c r="F1471" s="1" t="s">
        <v>3093</v>
      </c>
      <c r="G1471" s="1" t="s">
        <v>40</v>
      </c>
      <c r="H1471" s="1" t="s">
        <v>41</v>
      </c>
      <c r="I1471" s="1" t="s">
        <v>2809</v>
      </c>
      <c r="J1471" s="1" t="s">
        <v>78</v>
      </c>
      <c r="K1471" s="1">
        <v>29051700</v>
      </c>
      <c r="L1471" s="6">
        <v>18.350000000000001</v>
      </c>
      <c r="M1471" s="1" t="s">
        <v>70</v>
      </c>
      <c r="N1471" s="7" t="s">
        <v>67</v>
      </c>
      <c r="O1471" s="1" t="s">
        <v>53</v>
      </c>
      <c r="P1471" s="8">
        <v>1505</v>
      </c>
      <c r="Q1471" s="17">
        <f t="shared" si="136"/>
        <v>27616.750000000004</v>
      </c>
      <c r="R1471" s="9">
        <v>0</v>
      </c>
      <c r="S1471" s="9">
        <v>0</v>
      </c>
      <c r="T1471" s="9">
        <v>0</v>
      </c>
      <c r="U1471" s="10">
        <v>0</v>
      </c>
      <c r="V1471" s="1" t="s">
        <v>46</v>
      </c>
      <c r="W1471" s="1" t="s">
        <v>56</v>
      </c>
      <c r="X1471" s="1">
        <v>8046416</v>
      </c>
      <c r="Y1471" s="11">
        <v>42061</v>
      </c>
      <c r="Z1471" s="11">
        <v>42062</v>
      </c>
      <c r="AA1471" s="9">
        <f t="shared" si="131"/>
        <v>27616.750000000004</v>
      </c>
      <c r="AB1471" s="12">
        <v>61.8</v>
      </c>
      <c r="AC1471" s="9">
        <f t="shared" si="134"/>
        <v>1706715.1500000001</v>
      </c>
      <c r="AD1471" s="9">
        <f t="shared" si="135"/>
        <v>1706715.1500000001</v>
      </c>
      <c r="AE1471" s="1" t="s">
        <v>48</v>
      </c>
      <c r="AF1471" s="1" t="s">
        <v>53</v>
      </c>
      <c r="AG1471" s="4">
        <f t="shared" si="137"/>
        <v>27616.750000000004</v>
      </c>
      <c r="AH1471" s="10">
        <v>27616.75</v>
      </c>
      <c r="AI1471" s="10">
        <v>0</v>
      </c>
      <c r="AJ1471" s="10">
        <v>0</v>
      </c>
      <c r="AK1471" s="10">
        <v>0</v>
      </c>
      <c r="AL1471" s="9">
        <f t="shared" si="138"/>
        <v>27616.75</v>
      </c>
      <c r="AM1471" s="1"/>
      <c r="AN1471" s="1"/>
      <c r="AO1471" s="12" t="e">
        <f>AB1471/#REF!</f>
        <v>#REF!</v>
      </c>
      <c r="AP1471" s="1"/>
      <c r="AQ1471" s="11">
        <v>42100</v>
      </c>
      <c r="AR1471" s="1" t="s">
        <v>3601</v>
      </c>
      <c r="AS1471" s="11">
        <v>42101</v>
      </c>
      <c r="AT1471" s="1" t="s">
        <v>49</v>
      </c>
      <c r="AU1471" s="1" t="s">
        <v>4171</v>
      </c>
    </row>
    <row r="1472" spans="1:47" ht="15" customHeight="1" x14ac:dyDescent="0.25">
      <c r="A1472" s="1">
        <v>1460</v>
      </c>
      <c r="B1472" s="1" t="s">
        <v>1258</v>
      </c>
      <c r="C1472" s="1" t="s">
        <v>38</v>
      </c>
      <c r="D1472" s="1">
        <v>9103551264</v>
      </c>
      <c r="E1472" s="5">
        <v>42065</v>
      </c>
      <c r="F1472" s="1" t="s">
        <v>3094</v>
      </c>
      <c r="G1472" s="1" t="s">
        <v>40</v>
      </c>
      <c r="H1472" s="1" t="s">
        <v>41</v>
      </c>
      <c r="I1472" s="1" t="s">
        <v>2809</v>
      </c>
      <c r="J1472" s="1" t="s">
        <v>3095</v>
      </c>
      <c r="K1472" s="1">
        <v>29159020</v>
      </c>
      <c r="L1472" s="6">
        <v>19.75</v>
      </c>
      <c r="M1472" s="1" t="s">
        <v>70</v>
      </c>
      <c r="N1472" s="7" t="s">
        <v>44</v>
      </c>
      <c r="O1472" s="1" t="s">
        <v>53</v>
      </c>
      <c r="P1472" s="8">
        <v>4779</v>
      </c>
      <c r="Q1472" s="17">
        <f t="shared" si="136"/>
        <v>94385.25</v>
      </c>
      <c r="R1472" s="9">
        <v>1150</v>
      </c>
      <c r="S1472" s="9">
        <v>13.5</v>
      </c>
      <c r="T1472" s="9">
        <v>1824.9</v>
      </c>
      <c r="U1472" s="10">
        <v>0</v>
      </c>
      <c r="V1472" s="1" t="s">
        <v>46</v>
      </c>
      <c r="W1472" s="1" t="s">
        <v>223</v>
      </c>
      <c r="X1472" s="1">
        <v>8049741</v>
      </c>
      <c r="Y1472" s="11">
        <v>42061</v>
      </c>
      <c r="Z1472" s="11">
        <v>42063</v>
      </c>
      <c r="AA1472" s="9">
        <f t="shared" si="131"/>
        <v>93221.75</v>
      </c>
      <c r="AB1472" s="12">
        <v>61.8</v>
      </c>
      <c r="AC1472" s="9">
        <f t="shared" si="134"/>
        <v>5833008.4500000002</v>
      </c>
      <c r="AD1472" s="9">
        <f t="shared" si="135"/>
        <v>5761104.1499999994</v>
      </c>
      <c r="AE1472" s="1" t="s">
        <v>48</v>
      </c>
      <c r="AF1472" s="1" t="s">
        <v>53</v>
      </c>
      <c r="AG1472" s="4">
        <f t="shared" si="137"/>
        <v>94385.25</v>
      </c>
      <c r="AH1472" s="10">
        <v>94310.25</v>
      </c>
      <c r="AI1472" s="9">
        <v>1100</v>
      </c>
      <c r="AJ1472" s="9">
        <v>13.5</v>
      </c>
      <c r="AK1472" s="9">
        <v>1824.9</v>
      </c>
      <c r="AL1472" s="9">
        <f t="shared" si="138"/>
        <v>91371.85</v>
      </c>
      <c r="AM1472" s="1"/>
      <c r="AN1472" s="1"/>
      <c r="AO1472" s="12" t="e">
        <f>AB1472/#REF!</f>
        <v>#REF!</v>
      </c>
      <c r="AP1472" s="1"/>
      <c r="AQ1472" s="11">
        <v>42089</v>
      </c>
      <c r="AR1472" s="1" t="s">
        <v>3602</v>
      </c>
      <c r="AS1472" s="11">
        <v>42090</v>
      </c>
      <c r="AT1472" s="1" t="s">
        <v>49</v>
      </c>
      <c r="AU1472" s="1" t="s">
        <v>4171</v>
      </c>
    </row>
    <row r="1473" spans="1:47" ht="15" customHeight="1" x14ac:dyDescent="0.25">
      <c r="A1473" s="1">
        <v>1461</v>
      </c>
      <c r="B1473" s="1" t="s">
        <v>1258</v>
      </c>
      <c r="C1473" s="1" t="s">
        <v>38</v>
      </c>
      <c r="D1473" s="1">
        <v>9103551265</v>
      </c>
      <c r="E1473" s="5">
        <v>42068</v>
      </c>
      <c r="F1473" s="1" t="s">
        <v>3162</v>
      </c>
      <c r="G1473" s="1" t="s">
        <v>40</v>
      </c>
      <c r="H1473" s="1" t="s">
        <v>41</v>
      </c>
      <c r="I1473" s="1" t="s">
        <v>2809</v>
      </c>
      <c r="J1473" s="1" t="s">
        <v>63</v>
      </c>
      <c r="K1473" s="1">
        <v>38231200</v>
      </c>
      <c r="L1473" s="6">
        <v>39.49</v>
      </c>
      <c r="M1473" s="1" t="s">
        <v>70</v>
      </c>
      <c r="N1473" s="7" t="s">
        <v>44</v>
      </c>
      <c r="O1473" s="1" t="s">
        <v>53</v>
      </c>
      <c r="P1473" s="8">
        <v>1120</v>
      </c>
      <c r="Q1473" s="17">
        <f t="shared" si="136"/>
        <v>44228.800000000003</v>
      </c>
      <c r="R1473" s="9">
        <v>720</v>
      </c>
      <c r="S1473" s="9">
        <v>6.32</v>
      </c>
      <c r="T1473" s="9">
        <v>0</v>
      </c>
      <c r="U1473" s="10">
        <v>0</v>
      </c>
      <c r="V1473" s="1" t="s">
        <v>46</v>
      </c>
      <c r="W1473" s="1" t="s">
        <v>64</v>
      </c>
      <c r="X1473" s="1">
        <v>8054463</v>
      </c>
      <c r="Y1473" s="11">
        <v>42061</v>
      </c>
      <c r="Z1473" s="11">
        <v>42062</v>
      </c>
      <c r="AA1473" s="9">
        <f t="shared" si="131"/>
        <v>43502.48</v>
      </c>
      <c r="AB1473" s="12">
        <v>61.8</v>
      </c>
      <c r="AC1473" s="9">
        <f t="shared" si="134"/>
        <v>2733339.84</v>
      </c>
      <c r="AD1473" s="9">
        <f t="shared" si="135"/>
        <v>2688453.264</v>
      </c>
      <c r="AE1473" s="1" t="s">
        <v>51</v>
      </c>
      <c r="AF1473" s="1" t="s">
        <v>53</v>
      </c>
      <c r="AG1473" s="4">
        <f t="shared" si="137"/>
        <v>44228.800000000003</v>
      </c>
      <c r="AH1473" s="10">
        <v>44187</v>
      </c>
      <c r="AI1473" s="10">
        <v>720</v>
      </c>
      <c r="AJ1473" s="10">
        <v>6.32</v>
      </c>
      <c r="AK1473" s="10">
        <v>0</v>
      </c>
      <c r="AL1473" s="9">
        <f t="shared" si="138"/>
        <v>43460.68</v>
      </c>
      <c r="AM1473" s="1"/>
      <c r="AN1473" s="1"/>
      <c r="AO1473" s="12" t="e">
        <f>AB1473/#REF!</f>
        <v>#REF!</v>
      </c>
      <c r="AP1473" s="1"/>
      <c r="AQ1473" s="11">
        <v>42101</v>
      </c>
      <c r="AR1473" s="1" t="s">
        <v>3668</v>
      </c>
      <c r="AS1473" s="11">
        <v>42101</v>
      </c>
      <c r="AT1473" s="1" t="s">
        <v>49</v>
      </c>
      <c r="AU1473" s="1" t="s">
        <v>4171</v>
      </c>
    </row>
    <row r="1474" spans="1:47" ht="15" customHeight="1" x14ac:dyDescent="0.25">
      <c r="A1474" s="1">
        <v>1462</v>
      </c>
      <c r="B1474" s="1" t="s">
        <v>1258</v>
      </c>
      <c r="C1474" s="1" t="s">
        <v>38</v>
      </c>
      <c r="D1474" s="1">
        <v>9103551266</v>
      </c>
      <c r="E1474" s="5">
        <v>42064</v>
      </c>
      <c r="F1474" s="1" t="s">
        <v>3163</v>
      </c>
      <c r="G1474" s="1" t="s">
        <v>40</v>
      </c>
      <c r="H1474" s="1" t="s">
        <v>41</v>
      </c>
      <c r="I1474" s="1" t="s">
        <v>2809</v>
      </c>
      <c r="J1474" s="1" t="s">
        <v>129</v>
      </c>
      <c r="K1474" s="1">
        <v>29159090</v>
      </c>
      <c r="L1474" s="6">
        <v>39.590000000000003</v>
      </c>
      <c r="M1474" s="1" t="s">
        <v>70</v>
      </c>
      <c r="N1474" s="7" t="s">
        <v>44</v>
      </c>
      <c r="O1474" s="1" t="s">
        <v>45</v>
      </c>
      <c r="P1474" s="8">
        <v>2700</v>
      </c>
      <c r="Q1474" s="17">
        <f t="shared" si="136"/>
        <v>106893.00000000001</v>
      </c>
      <c r="R1474" s="9">
        <v>5990.59</v>
      </c>
      <c r="S1474" s="9">
        <v>15.29</v>
      </c>
      <c r="T1474" s="9">
        <v>1935.95</v>
      </c>
      <c r="U1474" s="10">
        <v>0</v>
      </c>
      <c r="V1474" s="1" t="s">
        <v>46</v>
      </c>
      <c r="W1474" s="1" t="s">
        <v>130</v>
      </c>
      <c r="X1474" s="1">
        <v>8062408</v>
      </c>
      <c r="Y1474" s="11">
        <v>42061</v>
      </c>
      <c r="Z1474" s="11">
        <v>42062</v>
      </c>
      <c r="AA1474" s="9">
        <f t="shared" si="131"/>
        <v>100887.12000000002</v>
      </c>
      <c r="AB1474" s="12">
        <v>70.150000000000006</v>
      </c>
      <c r="AC1474" s="9">
        <f t="shared" si="134"/>
        <v>7498543.950000002</v>
      </c>
      <c r="AD1474" s="9">
        <f t="shared" si="135"/>
        <v>7077231.4680000022</v>
      </c>
      <c r="AE1474" s="1"/>
      <c r="AF1474" s="1" t="s">
        <v>45</v>
      </c>
      <c r="AG1474" s="4">
        <f t="shared" si="137"/>
        <v>106893.00000000001</v>
      </c>
      <c r="AH1474" s="10">
        <v>106818</v>
      </c>
      <c r="AI1474" s="10"/>
      <c r="AJ1474" s="10"/>
      <c r="AK1474" s="10"/>
      <c r="AL1474" s="9">
        <f t="shared" si="138"/>
        <v>106818</v>
      </c>
      <c r="AM1474" s="1"/>
      <c r="AN1474" s="1"/>
      <c r="AO1474" s="12" t="e">
        <f>AB1474/#REF!</f>
        <v>#REF!</v>
      </c>
      <c r="AP1474" s="1" t="s">
        <v>4269</v>
      </c>
      <c r="AQ1474" s="11">
        <v>42191</v>
      </c>
      <c r="AR1474" s="1" t="s">
        <v>4270</v>
      </c>
      <c r="AS1474" s="11">
        <v>42192</v>
      </c>
      <c r="AT1474" s="1" t="s">
        <v>49</v>
      </c>
      <c r="AU1474" s="1" t="s">
        <v>4171</v>
      </c>
    </row>
    <row r="1475" spans="1:47" ht="15" customHeight="1" x14ac:dyDescent="0.25">
      <c r="A1475" s="1">
        <v>1463</v>
      </c>
      <c r="B1475" s="1" t="s">
        <v>1258</v>
      </c>
      <c r="C1475" s="1" t="s">
        <v>38</v>
      </c>
      <c r="D1475" s="1" t="s">
        <v>3164</v>
      </c>
      <c r="E1475" s="5">
        <v>42065</v>
      </c>
      <c r="F1475" s="1" t="s">
        <v>3165</v>
      </c>
      <c r="G1475" s="1" t="s">
        <v>40</v>
      </c>
      <c r="H1475" s="1" t="s">
        <v>41</v>
      </c>
      <c r="I1475" s="1" t="s">
        <v>2809</v>
      </c>
      <c r="J1475" s="1" t="s">
        <v>58</v>
      </c>
      <c r="K1475" s="1">
        <v>29159020</v>
      </c>
      <c r="L1475" s="6">
        <v>19.59</v>
      </c>
      <c r="M1475" s="1" t="s">
        <v>70</v>
      </c>
      <c r="N1475" s="7" t="s">
        <v>44</v>
      </c>
      <c r="O1475" s="1" t="s">
        <v>45</v>
      </c>
      <c r="P1475" s="8">
        <v>3590</v>
      </c>
      <c r="Q1475" s="17">
        <f t="shared" si="136"/>
        <v>70328.100000000006</v>
      </c>
      <c r="R1475" s="9">
        <v>1629.79</v>
      </c>
      <c r="S1475" s="9">
        <v>10.06</v>
      </c>
      <c r="T1475" s="9">
        <v>1338</v>
      </c>
      <c r="U1475" s="10">
        <v>0</v>
      </c>
      <c r="V1475" s="1" t="s">
        <v>46</v>
      </c>
      <c r="W1475" s="1" t="s">
        <v>59</v>
      </c>
      <c r="X1475" s="1">
        <v>8063610</v>
      </c>
      <c r="Y1475" s="11">
        <v>42061</v>
      </c>
      <c r="Z1475" s="11">
        <v>42062</v>
      </c>
      <c r="AA1475" s="9">
        <f t="shared" si="131"/>
        <v>68688.250000000015</v>
      </c>
      <c r="AB1475" s="12">
        <v>70.150000000000006</v>
      </c>
      <c r="AC1475" s="9">
        <f t="shared" si="134"/>
        <v>4933516.2150000008</v>
      </c>
      <c r="AD1475" s="9">
        <f t="shared" si="135"/>
        <v>4818480.7375000017</v>
      </c>
      <c r="AE1475" s="1" t="s">
        <v>284</v>
      </c>
      <c r="AF1475" s="1" t="s">
        <v>45</v>
      </c>
      <c r="AG1475" s="4">
        <f t="shared" si="137"/>
        <v>70328.100000000006</v>
      </c>
      <c r="AH1475" s="10">
        <v>70328.100000000006</v>
      </c>
      <c r="AI1475" s="9">
        <v>1609.79</v>
      </c>
      <c r="AJ1475" s="9">
        <v>10.06</v>
      </c>
      <c r="AK1475" s="9">
        <v>1338</v>
      </c>
      <c r="AL1475" s="9">
        <f t="shared" si="138"/>
        <v>67370.25</v>
      </c>
      <c r="AM1475" s="1"/>
      <c r="AN1475" s="1"/>
      <c r="AO1475" s="12" t="e">
        <f>AB1475/#REF!</f>
        <v>#REF!</v>
      </c>
      <c r="AP1475" s="1"/>
      <c r="AQ1475" s="11">
        <v>42087</v>
      </c>
      <c r="AR1475" s="1" t="s">
        <v>3731</v>
      </c>
      <c r="AS1475" s="11">
        <v>42087</v>
      </c>
      <c r="AT1475" s="1" t="s">
        <v>49</v>
      </c>
      <c r="AU1475" s="1" t="s">
        <v>4171</v>
      </c>
    </row>
    <row r="1476" spans="1:47" ht="15" customHeight="1" x14ac:dyDescent="0.25">
      <c r="A1476" s="1">
        <v>1464</v>
      </c>
      <c r="B1476" s="1" t="s">
        <v>1258</v>
      </c>
      <c r="C1476" s="1" t="s">
        <v>38</v>
      </c>
      <c r="D1476" s="1" t="s">
        <v>3164</v>
      </c>
      <c r="E1476" s="5">
        <v>42065</v>
      </c>
      <c r="F1476" s="1" t="s">
        <v>3166</v>
      </c>
      <c r="G1476" s="1" t="s">
        <v>40</v>
      </c>
      <c r="H1476" s="1" t="s">
        <v>41</v>
      </c>
      <c r="I1476" s="1" t="s">
        <v>2809</v>
      </c>
      <c r="J1476" s="1" t="s">
        <v>58</v>
      </c>
      <c r="K1476" s="1">
        <v>29159020</v>
      </c>
      <c r="L1476" s="6">
        <v>19.8</v>
      </c>
      <c r="M1476" s="1" t="s">
        <v>70</v>
      </c>
      <c r="N1476" s="7" t="s">
        <v>44</v>
      </c>
      <c r="O1476" s="1" t="s">
        <v>45</v>
      </c>
      <c r="P1476" s="8">
        <v>3590</v>
      </c>
      <c r="Q1476" s="17">
        <f t="shared" si="136"/>
        <v>71082</v>
      </c>
      <c r="R1476" s="9">
        <v>1629.79</v>
      </c>
      <c r="S1476" s="9">
        <v>10.16</v>
      </c>
      <c r="T1476" s="9">
        <v>1352.34</v>
      </c>
      <c r="U1476" s="10">
        <v>0</v>
      </c>
      <c r="V1476" s="1" t="s">
        <v>46</v>
      </c>
      <c r="W1476" s="1" t="s">
        <v>59</v>
      </c>
      <c r="X1476" s="1">
        <v>8073888</v>
      </c>
      <c r="Y1476" s="11">
        <v>42062</v>
      </c>
      <c r="Z1476" s="11">
        <v>42063</v>
      </c>
      <c r="AA1476" s="9">
        <f t="shared" si="131"/>
        <v>69442.05</v>
      </c>
      <c r="AB1476" s="12">
        <v>70.150000000000006</v>
      </c>
      <c r="AC1476" s="9">
        <f t="shared" si="134"/>
        <v>4986402.3000000007</v>
      </c>
      <c r="AD1476" s="9">
        <f t="shared" si="135"/>
        <v>4871359.807500001</v>
      </c>
      <c r="AE1476" s="1" t="s">
        <v>284</v>
      </c>
      <c r="AF1476" s="1" t="s">
        <v>45</v>
      </c>
      <c r="AG1476" s="4">
        <f t="shared" si="137"/>
        <v>71082</v>
      </c>
      <c r="AH1476" s="10">
        <v>70849.88</v>
      </c>
      <c r="AI1476" s="9">
        <v>1755.31</v>
      </c>
      <c r="AJ1476" s="9">
        <v>10.16</v>
      </c>
      <c r="AK1476" s="9">
        <v>1352.34</v>
      </c>
      <c r="AL1476" s="9">
        <f t="shared" si="138"/>
        <v>67732.070000000007</v>
      </c>
      <c r="AM1476" s="1"/>
      <c r="AN1476" s="1"/>
      <c r="AO1476" s="12" t="e">
        <f>AB1476/#REF!</f>
        <v>#REF!</v>
      </c>
      <c r="AP1476" s="1"/>
      <c r="AQ1476" s="11">
        <v>42087</v>
      </c>
      <c r="AR1476" s="1" t="s">
        <v>3732</v>
      </c>
      <c r="AS1476" s="11">
        <v>42087</v>
      </c>
      <c r="AT1476" s="1" t="s">
        <v>49</v>
      </c>
      <c r="AU1476" s="1" t="s">
        <v>4171</v>
      </c>
    </row>
    <row r="1477" spans="1:47" ht="15" customHeight="1" x14ac:dyDescent="0.25">
      <c r="A1477" s="1">
        <v>1465</v>
      </c>
      <c r="B1477" s="1" t="s">
        <v>1258</v>
      </c>
      <c r="C1477" s="1" t="s">
        <v>38</v>
      </c>
      <c r="D1477" s="1">
        <v>9103551269</v>
      </c>
      <c r="E1477" s="5">
        <v>42068</v>
      </c>
      <c r="F1477" s="1" t="s">
        <v>3251</v>
      </c>
      <c r="G1477" s="1" t="s">
        <v>40</v>
      </c>
      <c r="H1477" s="1" t="s">
        <v>41</v>
      </c>
      <c r="I1477" s="1" t="s">
        <v>2809</v>
      </c>
      <c r="J1477" s="1" t="s">
        <v>2153</v>
      </c>
      <c r="K1477" s="1">
        <v>29159090</v>
      </c>
      <c r="L1477" s="6">
        <v>19.89</v>
      </c>
      <c r="M1477" s="1" t="s">
        <v>70</v>
      </c>
      <c r="N1477" s="7" t="s">
        <v>44</v>
      </c>
      <c r="O1477" s="1" t="s">
        <v>45</v>
      </c>
      <c r="P1477" s="8">
        <v>1894</v>
      </c>
      <c r="Q1477" s="17">
        <f t="shared" si="136"/>
        <v>37671.660000000003</v>
      </c>
      <c r="R1477" s="9">
        <v>925.02</v>
      </c>
      <c r="S1477" s="9">
        <v>5.39</v>
      </c>
      <c r="T1477" s="9">
        <v>0</v>
      </c>
      <c r="U1477" s="10">
        <v>0</v>
      </c>
      <c r="V1477" s="1" t="s">
        <v>46</v>
      </c>
      <c r="W1477" s="1" t="s">
        <v>47</v>
      </c>
      <c r="X1477" s="1">
        <v>8063169</v>
      </c>
      <c r="Y1477" s="11">
        <v>42061</v>
      </c>
      <c r="Z1477" s="11">
        <v>42062</v>
      </c>
      <c r="AA1477" s="9">
        <f t="shared" si="131"/>
        <v>36741.250000000007</v>
      </c>
      <c r="AB1477" s="12">
        <v>70.150000000000006</v>
      </c>
      <c r="AC1477" s="9">
        <f t="shared" si="134"/>
        <v>2642666.9490000005</v>
      </c>
      <c r="AD1477" s="9">
        <f t="shared" si="135"/>
        <v>2577398.6875000009</v>
      </c>
      <c r="AE1477" s="1" t="s">
        <v>48</v>
      </c>
      <c r="AF1477" s="1" t="s">
        <v>45</v>
      </c>
      <c r="AG1477" s="4">
        <f t="shared" si="137"/>
        <v>37671.660000000003</v>
      </c>
      <c r="AH1477" s="10">
        <v>37671.660000000003</v>
      </c>
      <c r="AI1477" s="9">
        <v>922</v>
      </c>
      <c r="AJ1477" s="9">
        <v>5.39</v>
      </c>
      <c r="AK1477" s="9">
        <v>0</v>
      </c>
      <c r="AL1477" s="9">
        <f t="shared" si="138"/>
        <v>36744.270000000004</v>
      </c>
      <c r="AM1477" s="1"/>
      <c r="AN1477" s="1"/>
      <c r="AO1477" s="12" t="e">
        <f>AB1477/#REF!</f>
        <v>#REF!</v>
      </c>
      <c r="AP1477" s="1"/>
      <c r="AQ1477" s="11">
        <v>42114</v>
      </c>
      <c r="AR1477" s="1" t="s">
        <v>3715</v>
      </c>
      <c r="AS1477" s="11">
        <v>42115</v>
      </c>
      <c r="AT1477" s="1" t="s">
        <v>49</v>
      </c>
      <c r="AU1477" s="1" t="s">
        <v>4171</v>
      </c>
    </row>
    <row r="1478" spans="1:47" ht="15" customHeight="1" x14ac:dyDescent="0.25">
      <c r="A1478" s="1">
        <v>1466</v>
      </c>
      <c r="B1478" s="1" t="s">
        <v>1258</v>
      </c>
      <c r="C1478" s="1" t="s">
        <v>38</v>
      </c>
      <c r="D1478" s="1">
        <v>9103551269</v>
      </c>
      <c r="E1478" s="5">
        <v>42068</v>
      </c>
      <c r="F1478" s="1" t="s">
        <v>3252</v>
      </c>
      <c r="G1478" s="1" t="s">
        <v>40</v>
      </c>
      <c r="H1478" s="1" t="s">
        <v>41</v>
      </c>
      <c r="I1478" s="1" t="s">
        <v>2809</v>
      </c>
      <c r="J1478" s="1" t="s">
        <v>2153</v>
      </c>
      <c r="K1478" s="1">
        <v>29159090</v>
      </c>
      <c r="L1478" s="6">
        <v>39.61</v>
      </c>
      <c r="M1478" s="1" t="s">
        <v>70</v>
      </c>
      <c r="N1478" s="7" t="s">
        <v>44</v>
      </c>
      <c r="O1478" s="1" t="s">
        <v>45</v>
      </c>
      <c r="P1478" s="8">
        <v>1894</v>
      </c>
      <c r="Q1478" s="17">
        <f t="shared" si="136"/>
        <v>75021.34</v>
      </c>
      <c r="R1478" s="9">
        <v>1850.04</v>
      </c>
      <c r="S1478" s="9">
        <v>10.73</v>
      </c>
      <c r="T1478" s="9">
        <v>0</v>
      </c>
      <c r="U1478" s="10">
        <v>0</v>
      </c>
      <c r="V1478" s="1" t="s">
        <v>46</v>
      </c>
      <c r="W1478" s="1" t="s">
        <v>47</v>
      </c>
      <c r="X1478" s="1">
        <v>8075414</v>
      </c>
      <c r="Y1478" s="11">
        <v>42062</v>
      </c>
      <c r="Z1478" s="11">
        <v>42063</v>
      </c>
      <c r="AA1478" s="9">
        <f t="shared" si="131"/>
        <v>73160.570000000007</v>
      </c>
      <c r="AB1478" s="12">
        <v>70.150000000000006</v>
      </c>
      <c r="AC1478" s="9">
        <f t="shared" si="134"/>
        <v>5262747.0010000002</v>
      </c>
      <c r="AD1478" s="9">
        <f t="shared" si="135"/>
        <v>5132213.9855000013</v>
      </c>
      <c r="AE1478" s="1" t="s">
        <v>48</v>
      </c>
      <c r="AF1478" s="1" t="s">
        <v>45</v>
      </c>
      <c r="AG1478" s="4">
        <f t="shared" si="137"/>
        <v>75021.34</v>
      </c>
      <c r="AH1478" s="10">
        <v>75021.34</v>
      </c>
      <c r="AI1478" s="9">
        <v>1846.3</v>
      </c>
      <c r="AJ1478" s="9">
        <v>10.73</v>
      </c>
      <c r="AK1478" s="9">
        <v>0</v>
      </c>
      <c r="AL1478" s="9">
        <f t="shared" si="138"/>
        <v>73164.31</v>
      </c>
      <c r="AM1478" s="1"/>
      <c r="AN1478" s="1"/>
      <c r="AO1478" s="12" t="e">
        <f>AB1478/#REF!</f>
        <v>#REF!</v>
      </c>
      <c r="AP1478" s="1"/>
      <c r="AQ1478" s="11">
        <v>42114</v>
      </c>
      <c r="AR1478" s="1" t="s">
        <v>3716</v>
      </c>
      <c r="AS1478" s="11">
        <v>42115</v>
      </c>
      <c r="AT1478" s="1" t="s">
        <v>49</v>
      </c>
      <c r="AU1478" s="1" t="s">
        <v>4171</v>
      </c>
    </row>
    <row r="1479" spans="1:47" ht="15" customHeight="1" x14ac:dyDescent="0.25">
      <c r="A1479" s="1">
        <v>1467</v>
      </c>
      <c r="B1479" s="1" t="s">
        <v>1258</v>
      </c>
      <c r="C1479" s="1" t="s">
        <v>38</v>
      </c>
      <c r="D1479" s="1">
        <v>9103551270</v>
      </c>
      <c r="E1479" s="5">
        <v>42067</v>
      </c>
      <c r="F1479" s="1" t="s">
        <v>3253</v>
      </c>
      <c r="G1479" s="1" t="s">
        <v>40</v>
      </c>
      <c r="H1479" s="1" t="s">
        <v>41</v>
      </c>
      <c r="I1479" s="1" t="s">
        <v>2809</v>
      </c>
      <c r="J1479" s="1" t="s">
        <v>78</v>
      </c>
      <c r="K1479" s="1">
        <v>29051700</v>
      </c>
      <c r="L1479" s="6">
        <v>55.51</v>
      </c>
      <c r="M1479" s="1" t="s">
        <v>70</v>
      </c>
      <c r="N1479" s="7" t="s">
        <v>67</v>
      </c>
      <c r="O1479" s="1" t="s">
        <v>53</v>
      </c>
      <c r="P1479" s="8">
        <v>1545</v>
      </c>
      <c r="Q1479" s="17">
        <f t="shared" si="136"/>
        <v>85762.95</v>
      </c>
      <c r="R1479" s="9">
        <v>0</v>
      </c>
      <c r="S1479" s="9">
        <v>0</v>
      </c>
      <c r="T1479" s="9">
        <v>0</v>
      </c>
      <c r="U1479" s="10">
        <v>0</v>
      </c>
      <c r="V1479" s="1" t="s">
        <v>46</v>
      </c>
      <c r="W1479" s="1" t="s">
        <v>690</v>
      </c>
      <c r="X1479" s="1">
        <v>8089869</v>
      </c>
      <c r="Y1479" s="11">
        <v>42062</v>
      </c>
      <c r="Z1479" s="11">
        <v>42063</v>
      </c>
      <c r="AA1479" s="9">
        <f t="shared" si="131"/>
        <v>85762.95</v>
      </c>
      <c r="AB1479" s="12">
        <v>61.8</v>
      </c>
      <c r="AC1479" s="9">
        <f t="shared" si="134"/>
        <v>5300150.3099999996</v>
      </c>
      <c r="AD1479" s="9">
        <f t="shared" si="135"/>
        <v>5300150.3099999996</v>
      </c>
      <c r="AE1479" s="1" t="s">
        <v>48</v>
      </c>
      <c r="AF1479" s="1" t="s">
        <v>53</v>
      </c>
      <c r="AG1479" s="4">
        <f t="shared" si="137"/>
        <v>85762.95</v>
      </c>
      <c r="AH1479" s="10">
        <v>85762.95</v>
      </c>
      <c r="AI1479" s="10">
        <v>0</v>
      </c>
      <c r="AJ1479" s="10">
        <v>0</v>
      </c>
      <c r="AK1479" s="10">
        <v>0</v>
      </c>
      <c r="AL1479" s="9">
        <f t="shared" si="138"/>
        <v>85762.95</v>
      </c>
      <c r="AM1479" s="1"/>
      <c r="AN1479" s="1"/>
      <c r="AO1479" s="12" t="e">
        <f>AB1479/#REF!</f>
        <v>#REF!</v>
      </c>
      <c r="AP1479" s="1"/>
      <c r="AQ1479" s="11">
        <v>42103</v>
      </c>
      <c r="AR1479" s="1" t="s">
        <v>3603</v>
      </c>
      <c r="AS1479" s="11">
        <v>42105</v>
      </c>
      <c r="AT1479" s="1" t="s">
        <v>49</v>
      </c>
      <c r="AU1479" s="1" t="s">
        <v>4171</v>
      </c>
    </row>
    <row r="1480" spans="1:47" ht="15" customHeight="1" x14ac:dyDescent="0.25">
      <c r="A1480" s="1">
        <v>1468</v>
      </c>
      <c r="B1480" s="1" t="s">
        <v>1258</v>
      </c>
      <c r="C1480" s="1" t="s">
        <v>38</v>
      </c>
      <c r="D1480" s="1">
        <v>9103551271</v>
      </c>
      <c r="E1480" s="5">
        <v>42068</v>
      </c>
      <c r="F1480" s="1" t="s">
        <v>3167</v>
      </c>
      <c r="G1480" s="1" t="s">
        <v>40</v>
      </c>
      <c r="H1480" s="1" t="s">
        <v>41</v>
      </c>
      <c r="I1480" s="1" t="s">
        <v>2809</v>
      </c>
      <c r="J1480" s="1" t="s">
        <v>2740</v>
      </c>
      <c r="K1480" s="1">
        <v>38237090</v>
      </c>
      <c r="L1480" s="6">
        <v>12</v>
      </c>
      <c r="M1480" s="1" t="s">
        <v>70</v>
      </c>
      <c r="N1480" s="7" t="s">
        <v>44</v>
      </c>
      <c r="O1480" s="1" t="s">
        <v>53</v>
      </c>
      <c r="P1480" s="8">
        <v>1500</v>
      </c>
      <c r="Q1480" s="17">
        <f t="shared" si="136"/>
        <v>18000</v>
      </c>
      <c r="R1480" s="9">
        <v>750</v>
      </c>
      <c r="S1480" s="9">
        <v>2.57</v>
      </c>
      <c r="T1480" s="9">
        <v>0</v>
      </c>
      <c r="U1480" s="10">
        <v>0</v>
      </c>
      <c r="V1480" s="1" t="s">
        <v>46</v>
      </c>
      <c r="W1480" s="1" t="s">
        <v>205</v>
      </c>
      <c r="X1480" s="1">
        <v>8086684</v>
      </c>
      <c r="Y1480" s="11">
        <v>42062</v>
      </c>
      <c r="Z1480" s="11">
        <v>42063</v>
      </c>
      <c r="AA1480" s="9">
        <f t="shared" si="131"/>
        <v>17247.43</v>
      </c>
      <c r="AB1480" s="12">
        <v>61.8</v>
      </c>
      <c r="AC1480" s="9">
        <f t="shared" si="134"/>
        <v>1112400</v>
      </c>
      <c r="AD1480" s="9">
        <f t="shared" si="135"/>
        <v>1065891.1739999999</v>
      </c>
      <c r="AE1480" s="1" t="s">
        <v>284</v>
      </c>
      <c r="AF1480" s="1" t="s">
        <v>53</v>
      </c>
      <c r="AG1480" s="4">
        <f t="shared" si="137"/>
        <v>18000</v>
      </c>
      <c r="AH1480" s="10">
        <v>17986</v>
      </c>
      <c r="AI1480" s="10">
        <v>750</v>
      </c>
      <c r="AJ1480" s="10">
        <v>2.57</v>
      </c>
      <c r="AK1480" s="10">
        <v>0</v>
      </c>
      <c r="AL1480" s="9">
        <f t="shared" si="138"/>
        <v>17233.43</v>
      </c>
      <c r="AM1480" s="1"/>
      <c r="AN1480" s="1"/>
      <c r="AO1480" s="12" t="e">
        <f>AB1480/#REF!</f>
        <v>#REF!</v>
      </c>
      <c r="AP1480" s="1"/>
      <c r="AQ1480" s="11">
        <v>42088</v>
      </c>
      <c r="AR1480" s="1" t="s">
        <v>3648</v>
      </c>
      <c r="AS1480" s="11">
        <v>42088</v>
      </c>
      <c r="AT1480" s="1" t="s">
        <v>49</v>
      </c>
      <c r="AU1480" s="1" t="s">
        <v>4171</v>
      </c>
    </row>
    <row r="1481" spans="1:47" ht="15" customHeight="1" x14ac:dyDescent="0.25">
      <c r="A1481" s="1">
        <v>1469</v>
      </c>
      <c r="B1481" s="1" t="s">
        <v>1258</v>
      </c>
      <c r="C1481" s="1" t="s">
        <v>38</v>
      </c>
      <c r="D1481" s="1">
        <v>9103551272</v>
      </c>
      <c r="E1481" s="5">
        <v>42067</v>
      </c>
      <c r="F1481" s="1" t="s">
        <v>3168</v>
      </c>
      <c r="G1481" s="1" t="s">
        <v>40</v>
      </c>
      <c r="H1481" s="1" t="s">
        <v>41</v>
      </c>
      <c r="I1481" s="1" t="s">
        <v>2809</v>
      </c>
      <c r="J1481" s="1" t="s">
        <v>2812</v>
      </c>
      <c r="K1481" s="1">
        <v>29161990</v>
      </c>
      <c r="L1481" s="6">
        <v>72</v>
      </c>
      <c r="M1481" s="1" t="s">
        <v>70</v>
      </c>
      <c r="N1481" s="7" t="s">
        <v>67</v>
      </c>
      <c r="O1481" s="1" t="s">
        <v>53</v>
      </c>
      <c r="P1481" s="8">
        <v>2480</v>
      </c>
      <c r="Q1481" s="17">
        <f t="shared" si="136"/>
        <v>178560</v>
      </c>
      <c r="R1481" s="9">
        <v>0</v>
      </c>
      <c r="S1481" s="9">
        <v>0</v>
      </c>
      <c r="T1481" s="9">
        <v>0</v>
      </c>
      <c r="U1481" s="10">
        <v>0</v>
      </c>
      <c r="V1481" s="1" t="s">
        <v>46</v>
      </c>
      <c r="W1481" s="1" t="s">
        <v>54</v>
      </c>
      <c r="X1481" s="1">
        <v>8083230</v>
      </c>
      <c r="Y1481" s="11">
        <v>42062</v>
      </c>
      <c r="Z1481" s="11">
        <v>42063</v>
      </c>
      <c r="AA1481" s="9">
        <f t="shared" si="131"/>
        <v>178560</v>
      </c>
      <c r="AB1481" s="12">
        <v>61.8</v>
      </c>
      <c r="AC1481" s="9">
        <f t="shared" si="134"/>
        <v>11035008</v>
      </c>
      <c r="AD1481" s="9">
        <f t="shared" si="135"/>
        <v>11035008</v>
      </c>
      <c r="AE1481" s="1" t="s">
        <v>48</v>
      </c>
      <c r="AF1481" s="1" t="s">
        <v>53</v>
      </c>
      <c r="AG1481" s="4">
        <f t="shared" si="137"/>
        <v>178560</v>
      </c>
      <c r="AH1481" s="10">
        <v>178305</v>
      </c>
      <c r="AI1481" s="10">
        <v>0</v>
      </c>
      <c r="AJ1481" s="10">
        <v>0</v>
      </c>
      <c r="AK1481" s="10">
        <v>0</v>
      </c>
      <c r="AL1481" s="9">
        <f t="shared" si="138"/>
        <v>178305</v>
      </c>
      <c r="AM1481" s="1"/>
      <c r="AN1481" s="1"/>
      <c r="AO1481" s="12" t="e">
        <f>AB1481/#REF!</f>
        <v>#REF!</v>
      </c>
      <c r="AP1481" s="1"/>
      <c r="AQ1481" s="11">
        <v>42093</v>
      </c>
      <c r="AR1481" s="1" t="s">
        <v>3604</v>
      </c>
      <c r="AS1481" s="11">
        <v>42094</v>
      </c>
      <c r="AT1481" s="1" t="s">
        <v>49</v>
      </c>
      <c r="AU1481" s="1" t="s">
        <v>4171</v>
      </c>
    </row>
    <row r="1482" spans="1:47" ht="15" customHeight="1" x14ac:dyDescent="0.25">
      <c r="A1482" s="1">
        <v>1470</v>
      </c>
      <c r="B1482" s="1" t="s">
        <v>1258</v>
      </c>
      <c r="C1482" s="1" t="s">
        <v>38</v>
      </c>
      <c r="D1482" s="1" t="s">
        <v>3254</v>
      </c>
      <c r="E1482" s="5">
        <v>42074</v>
      </c>
      <c r="F1482" s="1" t="s">
        <v>3255</v>
      </c>
      <c r="G1482" s="1" t="s">
        <v>40</v>
      </c>
      <c r="H1482" s="1" t="s">
        <v>41</v>
      </c>
      <c r="I1482" s="1" t="s">
        <v>2809</v>
      </c>
      <c r="J1482" s="1" t="s">
        <v>3256</v>
      </c>
      <c r="K1482" s="1">
        <v>38237090</v>
      </c>
      <c r="L1482" s="6">
        <v>72</v>
      </c>
      <c r="M1482" s="1" t="s">
        <v>70</v>
      </c>
      <c r="N1482" s="7" t="s">
        <v>44</v>
      </c>
      <c r="O1482" s="1" t="s">
        <v>53</v>
      </c>
      <c r="P1482" s="8">
        <v>3870</v>
      </c>
      <c r="Q1482" s="17">
        <f t="shared" si="136"/>
        <v>278640</v>
      </c>
      <c r="R1482" s="9">
        <v>2850</v>
      </c>
      <c r="S1482" s="9">
        <v>39.85</v>
      </c>
      <c r="T1482" s="9">
        <v>0</v>
      </c>
      <c r="U1482" s="10">
        <v>0</v>
      </c>
      <c r="V1482" s="1" t="s">
        <v>46</v>
      </c>
      <c r="W1482" s="1" t="s">
        <v>146</v>
      </c>
      <c r="X1482" s="1">
        <v>8061606</v>
      </c>
      <c r="Y1482" s="11">
        <v>42061</v>
      </c>
      <c r="Z1482" s="11">
        <v>42062</v>
      </c>
      <c r="AA1482" s="9">
        <f t="shared" si="131"/>
        <v>275750.15000000002</v>
      </c>
      <c r="AB1482" s="12">
        <v>61.8</v>
      </c>
      <c r="AC1482" s="9">
        <f t="shared" si="134"/>
        <v>17219952</v>
      </c>
      <c r="AD1482" s="9">
        <f t="shared" si="135"/>
        <v>17041359.27</v>
      </c>
      <c r="AE1482" s="1" t="s">
        <v>48</v>
      </c>
      <c r="AF1482" s="1" t="s">
        <v>53</v>
      </c>
      <c r="AG1482" s="4">
        <f t="shared" si="137"/>
        <v>278640</v>
      </c>
      <c r="AH1482" s="10">
        <v>278640</v>
      </c>
      <c r="AI1482" s="10">
        <v>2746</v>
      </c>
      <c r="AJ1482" s="10">
        <v>39.85</v>
      </c>
      <c r="AK1482" s="10">
        <v>0</v>
      </c>
      <c r="AL1482" s="9">
        <f t="shared" si="138"/>
        <v>275854.15000000002</v>
      </c>
      <c r="AM1482" s="1"/>
      <c r="AN1482" s="1"/>
      <c r="AO1482" s="12" t="e">
        <f>AB1482/#REF!</f>
        <v>#REF!</v>
      </c>
      <c r="AP1482" s="1"/>
      <c r="AQ1482" s="11">
        <v>42089</v>
      </c>
      <c r="AR1482" s="1" t="s">
        <v>3605</v>
      </c>
      <c r="AS1482" s="11">
        <v>42090</v>
      </c>
      <c r="AT1482" s="1" t="s">
        <v>49</v>
      </c>
      <c r="AU1482" s="1" t="s">
        <v>4171</v>
      </c>
    </row>
    <row r="1483" spans="1:47" ht="15" customHeight="1" x14ac:dyDescent="0.25">
      <c r="A1483" s="1">
        <v>1471</v>
      </c>
      <c r="B1483" s="1" t="s">
        <v>1258</v>
      </c>
      <c r="C1483" s="1" t="s">
        <v>38</v>
      </c>
      <c r="D1483" s="1" t="s">
        <v>3254</v>
      </c>
      <c r="E1483" s="5">
        <v>42074</v>
      </c>
      <c r="F1483" s="1" t="s">
        <v>3257</v>
      </c>
      <c r="G1483" s="1" t="s">
        <v>40</v>
      </c>
      <c r="H1483" s="1" t="s">
        <v>41</v>
      </c>
      <c r="I1483" s="1" t="s">
        <v>2809</v>
      </c>
      <c r="J1483" s="1" t="s">
        <v>3256</v>
      </c>
      <c r="K1483" s="1">
        <v>38237090</v>
      </c>
      <c r="L1483" s="6">
        <v>48</v>
      </c>
      <c r="M1483" s="1" t="s">
        <v>70</v>
      </c>
      <c r="N1483" s="7" t="s">
        <v>44</v>
      </c>
      <c r="O1483" s="1" t="s">
        <v>53</v>
      </c>
      <c r="P1483" s="8">
        <v>3870</v>
      </c>
      <c r="Q1483" s="17">
        <f t="shared" si="136"/>
        <v>185760</v>
      </c>
      <c r="R1483" s="9">
        <v>1900</v>
      </c>
      <c r="S1483" s="9">
        <v>26.56</v>
      </c>
      <c r="T1483" s="9">
        <v>0</v>
      </c>
      <c r="U1483" s="10">
        <v>0</v>
      </c>
      <c r="V1483" s="1" t="s">
        <v>46</v>
      </c>
      <c r="W1483" s="1" t="s">
        <v>146</v>
      </c>
      <c r="X1483" s="1">
        <v>8078581</v>
      </c>
      <c r="Y1483" s="11">
        <v>42062</v>
      </c>
      <c r="Z1483" s="11">
        <v>42063</v>
      </c>
      <c r="AA1483" s="9">
        <f t="shared" ref="AA1483:AA1520" si="139">Q1483-R1483-S1483</f>
        <v>183833.44</v>
      </c>
      <c r="AB1483" s="12">
        <v>61.8</v>
      </c>
      <c r="AC1483" s="9">
        <f t="shared" si="134"/>
        <v>11479968</v>
      </c>
      <c r="AD1483" s="9">
        <f t="shared" si="135"/>
        <v>11360906.592</v>
      </c>
      <c r="AE1483" s="1" t="s">
        <v>48</v>
      </c>
      <c r="AF1483" s="1" t="s">
        <v>53</v>
      </c>
      <c r="AG1483" s="4">
        <f t="shared" si="137"/>
        <v>185760</v>
      </c>
      <c r="AH1483" s="10">
        <v>185760</v>
      </c>
      <c r="AI1483" s="10">
        <v>1830.6</v>
      </c>
      <c r="AJ1483" s="10">
        <v>26.56</v>
      </c>
      <c r="AK1483" s="10">
        <v>0</v>
      </c>
      <c r="AL1483" s="9">
        <f t="shared" si="138"/>
        <v>183902.84</v>
      </c>
      <c r="AM1483" s="1"/>
      <c r="AN1483" s="1"/>
      <c r="AO1483" s="12" t="e">
        <f>AB1483/#REF!</f>
        <v>#REF!</v>
      </c>
      <c r="AP1483" s="1"/>
      <c r="AQ1483" s="11">
        <v>42089</v>
      </c>
      <c r="AR1483" s="1" t="s">
        <v>3606</v>
      </c>
      <c r="AS1483" s="11">
        <v>42090</v>
      </c>
      <c r="AT1483" s="1" t="s">
        <v>49</v>
      </c>
      <c r="AU1483" s="1" t="s">
        <v>4171</v>
      </c>
    </row>
    <row r="1484" spans="1:47" ht="15" customHeight="1" x14ac:dyDescent="0.25">
      <c r="A1484" s="1">
        <v>1472</v>
      </c>
      <c r="B1484" s="1" t="s">
        <v>1258</v>
      </c>
      <c r="C1484" s="1" t="s">
        <v>38</v>
      </c>
      <c r="D1484" s="1" t="s">
        <v>3254</v>
      </c>
      <c r="E1484" s="5">
        <v>42074</v>
      </c>
      <c r="F1484" s="1" t="s">
        <v>3258</v>
      </c>
      <c r="G1484" s="1" t="s">
        <v>40</v>
      </c>
      <c r="H1484" s="1" t="s">
        <v>41</v>
      </c>
      <c r="I1484" s="1" t="s">
        <v>2809</v>
      </c>
      <c r="J1484" s="1" t="s">
        <v>3256</v>
      </c>
      <c r="K1484" s="1">
        <v>38237090</v>
      </c>
      <c r="L1484" s="6">
        <v>72</v>
      </c>
      <c r="M1484" s="1" t="s">
        <v>70</v>
      </c>
      <c r="N1484" s="7" t="s">
        <v>44</v>
      </c>
      <c r="O1484" s="1" t="s">
        <v>53</v>
      </c>
      <c r="P1484" s="8">
        <v>3870</v>
      </c>
      <c r="Q1484" s="17">
        <f t="shared" si="136"/>
        <v>278640</v>
      </c>
      <c r="R1484" s="9">
        <v>2850</v>
      </c>
      <c r="S1484" s="9">
        <v>39.85</v>
      </c>
      <c r="T1484" s="9">
        <v>0</v>
      </c>
      <c r="U1484" s="10">
        <v>0</v>
      </c>
      <c r="V1484" s="1" t="s">
        <v>46</v>
      </c>
      <c r="W1484" s="1" t="s">
        <v>146</v>
      </c>
      <c r="X1484" s="1">
        <v>8083744</v>
      </c>
      <c r="Y1484" s="11">
        <v>42062</v>
      </c>
      <c r="Z1484" s="11">
        <v>42063</v>
      </c>
      <c r="AA1484" s="9">
        <f t="shared" si="139"/>
        <v>275750.15000000002</v>
      </c>
      <c r="AB1484" s="12">
        <v>61.8</v>
      </c>
      <c r="AC1484" s="9">
        <f t="shared" si="134"/>
        <v>17219952</v>
      </c>
      <c r="AD1484" s="9">
        <f t="shared" si="135"/>
        <v>17041359.27</v>
      </c>
      <c r="AE1484" s="1" t="s">
        <v>48</v>
      </c>
      <c r="AF1484" s="1" t="s">
        <v>53</v>
      </c>
      <c r="AG1484" s="4">
        <f t="shared" si="137"/>
        <v>278640</v>
      </c>
      <c r="AH1484" s="10">
        <v>278640</v>
      </c>
      <c r="AI1484" s="10">
        <v>2746</v>
      </c>
      <c r="AJ1484" s="10">
        <v>39.85</v>
      </c>
      <c r="AK1484" s="10">
        <v>0</v>
      </c>
      <c r="AL1484" s="9">
        <f t="shared" si="138"/>
        <v>275854.15000000002</v>
      </c>
      <c r="AM1484" s="1"/>
      <c r="AN1484" s="1"/>
      <c r="AO1484" s="12" t="e">
        <f>AB1484/#REF!</f>
        <v>#REF!</v>
      </c>
      <c r="AP1484" s="1"/>
      <c r="AQ1484" s="11">
        <v>42089</v>
      </c>
      <c r="AR1484" s="1" t="s">
        <v>3607</v>
      </c>
      <c r="AS1484" s="11">
        <v>42090</v>
      </c>
      <c r="AT1484" s="1" t="s">
        <v>49</v>
      </c>
      <c r="AU1484" s="1" t="s">
        <v>4171</v>
      </c>
    </row>
    <row r="1485" spans="1:47" ht="15" customHeight="1" x14ac:dyDescent="0.25">
      <c r="A1485" s="1">
        <v>1473</v>
      </c>
      <c r="B1485" s="1" t="s">
        <v>1258</v>
      </c>
      <c r="C1485" s="1" t="s">
        <v>38</v>
      </c>
      <c r="D1485" s="1" t="s">
        <v>3254</v>
      </c>
      <c r="E1485" s="5">
        <v>42074</v>
      </c>
      <c r="F1485" s="1" t="s">
        <v>3259</v>
      </c>
      <c r="G1485" s="1" t="s">
        <v>40</v>
      </c>
      <c r="H1485" s="1" t="s">
        <v>41</v>
      </c>
      <c r="I1485" s="1" t="s">
        <v>2809</v>
      </c>
      <c r="J1485" s="1" t="s">
        <v>3256</v>
      </c>
      <c r="K1485" s="1">
        <v>38237090</v>
      </c>
      <c r="L1485" s="6">
        <v>72</v>
      </c>
      <c r="M1485" s="1" t="s">
        <v>70</v>
      </c>
      <c r="N1485" s="7" t="s">
        <v>44</v>
      </c>
      <c r="O1485" s="1" t="s">
        <v>53</v>
      </c>
      <c r="P1485" s="8">
        <v>3870</v>
      </c>
      <c r="Q1485" s="17">
        <f t="shared" si="136"/>
        <v>278640</v>
      </c>
      <c r="R1485" s="9">
        <v>2850</v>
      </c>
      <c r="S1485" s="9">
        <v>39.85</v>
      </c>
      <c r="T1485" s="9">
        <v>0</v>
      </c>
      <c r="U1485" s="10">
        <v>0</v>
      </c>
      <c r="V1485" s="1" t="s">
        <v>46</v>
      </c>
      <c r="W1485" s="1" t="s">
        <v>146</v>
      </c>
      <c r="X1485" s="1">
        <v>8103719</v>
      </c>
      <c r="Y1485" s="11">
        <v>42063</v>
      </c>
      <c r="Z1485" s="11">
        <v>42065</v>
      </c>
      <c r="AA1485" s="9">
        <f t="shared" si="139"/>
        <v>275750.15000000002</v>
      </c>
      <c r="AB1485" s="12">
        <v>61.8</v>
      </c>
      <c r="AC1485" s="9">
        <f t="shared" si="134"/>
        <v>17219952</v>
      </c>
      <c r="AD1485" s="9">
        <f t="shared" si="135"/>
        <v>17041359.27</v>
      </c>
      <c r="AE1485" s="1" t="s">
        <v>48</v>
      </c>
      <c r="AF1485" s="1" t="s">
        <v>53</v>
      </c>
      <c r="AG1485" s="4">
        <f t="shared" si="137"/>
        <v>278640</v>
      </c>
      <c r="AH1485" s="10">
        <v>278640</v>
      </c>
      <c r="AI1485" s="10">
        <v>2746</v>
      </c>
      <c r="AJ1485" s="10">
        <v>39.85</v>
      </c>
      <c r="AK1485" s="10">
        <v>0</v>
      </c>
      <c r="AL1485" s="9">
        <f t="shared" si="138"/>
        <v>275854.15000000002</v>
      </c>
      <c r="AM1485" s="1"/>
      <c r="AN1485" s="1"/>
      <c r="AO1485" s="12" t="e">
        <f>AB1485/#REF!</f>
        <v>#REF!</v>
      </c>
      <c r="AP1485" s="1"/>
      <c r="AQ1485" s="11">
        <v>42089</v>
      </c>
      <c r="AR1485" s="1" t="s">
        <v>3608</v>
      </c>
      <c r="AS1485" s="11">
        <v>42090</v>
      </c>
      <c r="AT1485" s="1" t="s">
        <v>49</v>
      </c>
      <c r="AU1485" s="1" t="s">
        <v>4171</v>
      </c>
    </row>
    <row r="1486" spans="1:47" ht="15" customHeight="1" x14ac:dyDescent="0.25">
      <c r="A1486" s="1">
        <v>1474</v>
      </c>
      <c r="B1486" s="1" t="s">
        <v>1258</v>
      </c>
      <c r="C1486" s="1" t="s">
        <v>38</v>
      </c>
      <c r="D1486" s="1" t="s">
        <v>3254</v>
      </c>
      <c r="E1486" s="5">
        <v>42074</v>
      </c>
      <c r="F1486" s="1" t="s">
        <v>3260</v>
      </c>
      <c r="G1486" s="1" t="s">
        <v>40</v>
      </c>
      <c r="H1486" s="1" t="s">
        <v>41</v>
      </c>
      <c r="I1486" s="1" t="s">
        <v>2809</v>
      </c>
      <c r="J1486" s="1" t="s">
        <v>3256</v>
      </c>
      <c r="K1486" s="1">
        <v>38237090</v>
      </c>
      <c r="L1486" s="6">
        <v>24</v>
      </c>
      <c r="M1486" s="1" t="s">
        <v>70</v>
      </c>
      <c r="N1486" s="7" t="s">
        <v>44</v>
      </c>
      <c r="O1486" s="1" t="s">
        <v>53</v>
      </c>
      <c r="P1486" s="8">
        <v>3870</v>
      </c>
      <c r="Q1486" s="17">
        <f t="shared" si="136"/>
        <v>92880</v>
      </c>
      <c r="R1486" s="9">
        <v>950</v>
      </c>
      <c r="S1486" s="9">
        <v>13.28</v>
      </c>
      <c r="T1486" s="9">
        <v>0</v>
      </c>
      <c r="U1486" s="10">
        <v>0</v>
      </c>
      <c r="V1486" s="1" t="s">
        <v>46</v>
      </c>
      <c r="W1486" s="1" t="s">
        <v>146</v>
      </c>
      <c r="X1486" s="1">
        <v>8103635</v>
      </c>
      <c r="Y1486" s="11">
        <v>42063</v>
      </c>
      <c r="Z1486" s="11">
        <v>42065</v>
      </c>
      <c r="AA1486" s="9">
        <f t="shared" si="139"/>
        <v>91916.72</v>
      </c>
      <c r="AB1486" s="12">
        <v>61.8</v>
      </c>
      <c r="AC1486" s="9">
        <f t="shared" si="134"/>
        <v>5739984</v>
      </c>
      <c r="AD1486" s="9">
        <f t="shared" si="135"/>
        <v>5680453.2960000001</v>
      </c>
      <c r="AE1486" s="1" t="s">
        <v>48</v>
      </c>
      <c r="AF1486" s="1" t="s">
        <v>53</v>
      </c>
      <c r="AG1486" s="4">
        <f t="shared" si="137"/>
        <v>92880</v>
      </c>
      <c r="AH1486" s="10">
        <v>92880</v>
      </c>
      <c r="AI1486" s="10">
        <v>915.3</v>
      </c>
      <c r="AJ1486" s="10">
        <v>13.28</v>
      </c>
      <c r="AK1486" s="10">
        <v>0</v>
      </c>
      <c r="AL1486" s="9">
        <f t="shared" si="138"/>
        <v>91951.42</v>
      </c>
      <c r="AM1486" s="1"/>
      <c r="AN1486" s="1"/>
      <c r="AO1486" s="12" t="e">
        <f>AB1486/#REF!</f>
        <v>#REF!</v>
      </c>
      <c r="AP1486" s="1"/>
      <c r="AQ1486" s="11">
        <v>42089</v>
      </c>
      <c r="AR1486" s="1" t="s">
        <v>3609</v>
      </c>
      <c r="AS1486" s="11">
        <v>42090</v>
      </c>
      <c r="AT1486" s="1" t="s">
        <v>49</v>
      </c>
      <c r="AU1486" s="1" t="s">
        <v>4171</v>
      </c>
    </row>
    <row r="1487" spans="1:47" ht="15" customHeight="1" x14ac:dyDescent="0.25">
      <c r="A1487" s="1">
        <v>1475</v>
      </c>
      <c r="B1487" s="1" t="s">
        <v>1258</v>
      </c>
      <c r="C1487" s="1" t="s">
        <v>38</v>
      </c>
      <c r="D1487" s="1" t="s">
        <v>3254</v>
      </c>
      <c r="E1487" s="5">
        <v>42074</v>
      </c>
      <c r="F1487" s="1" t="s">
        <v>3261</v>
      </c>
      <c r="G1487" s="1" t="s">
        <v>40</v>
      </c>
      <c r="H1487" s="1" t="s">
        <v>41</v>
      </c>
      <c r="I1487" s="1" t="s">
        <v>2809</v>
      </c>
      <c r="J1487" s="1" t="s">
        <v>3256</v>
      </c>
      <c r="K1487" s="1">
        <v>38237090</v>
      </c>
      <c r="L1487" s="6">
        <v>12</v>
      </c>
      <c r="M1487" s="1" t="s">
        <v>70</v>
      </c>
      <c r="N1487" s="7" t="s">
        <v>44</v>
      </c>
      <c r="O1487" s="1" t="s">
        <v>53</v>
      </c>
      <c r="P1487" s="8">
        <v>3870</v>
      </c>
      <c r="Q1487" s="17">
        <f t="shared" si="136"/>
        <v>46440</v>
      </c>
      <c r="R1487" s="9">
        <v>750</v>
      </c>
      <c r="S1487" s="9">
        <v>6.64</v>
      </c>
      <c r="T1487" s="9">
        <v>0</v>
      </c>
      <c r="U1487" s="10">
        <v>0</v>
      </c>
      <c r="V1487" s="1" t="s">
        <v>46</v>
      </c>
      <c r="W1487" s="1" t="s">
        <v>146</v>
      </c>
      <c r="X1487" s="1">
        <v>8106178</v>
      </c>
      <c r="Y1487" s="11">
        <v>42063</v>
      </c>
      <c r="Z1487" s="11">
        <v>42065</v>
      </c>
      <c r="AA1487" s="9">
        <f t="shared" si="139"/>
        <v>45683.360000000001</v>
      </c>
      <c r="AB1487" s="12">
        <v>61.8</v>
      </c>
      <c r="AC1487" s="9">
        <f t="shared" si="134"/>
        <v>2869992</v>
      </c>
      <c r="AD1487" s="9">
        <f t="shared" si="135"/>
        <v>2823231.648</v>
      </c>
      <c r="AE1487" s="1" t="s">
        <v>48</v>
      </c>
      <c r="AF1487" s="1" t="s">
        <v>53</v>
      </c>
      <c r="AG1487" s="4">
        <f t="shared" si="137"/>
        <v>46440</v>
      </c>
      <c r="AH1487" s="10">
        <v>46440</v>
      </c>
      <c r="AI1487" s="10">
        <v>690.3</v>
      </c>
      <c r="AJ1487" s="10">
        <v>6.64</v>
      </c>
      <c r="AK1487" s="10">
        <v>0</v>
      </c>
      <c r="AL1487" s="9">
        <f t="shared" si="138"/>
        <v>45743.06</v>
      </c>
      <c r="AM1487" s="1"/>
      <c r="AN1487" s="1"/>
      <c r="AO1487" s="12" t="e">
        <f>AB1487/#REF!</f>
        <v>#REF!</v>
      </c>
      <c r="AP1487" s="1"/>
      <c r="AQ1487" s="11">
        <v>42089</v>
      </c>
      <c r="AR1487" s="1" t="s">
        <v>3610</v>
      </c>
      <c r="AS1487" s="11">
        <v>42090</v>
      </c>
      <c r="AT1487" s="1" t="s">
        <v>49</v>
      </c>
      <c r="AU1487" s="1" t="s">
        <v>4171</v>
      </c>
    </row>
    <row r="1488" spans="1:47" ht="15" customHeight="1" x14ac:dyDescent="0.25">
      <c r="A1488" s="1">
        <v>1476</v>
      </c>
      <c r="B1488" s="1" t="s">
        <v>1258</v>
      </c>
      <c r="C1488" s="1" t="s">
        <v>38</v>
      </c>
      <c r="D1488" s="1">
        <v>9103551276</v>
      </c>
      <c r="E1488" s="5">
        <v>42068</v>
      </c>
      <c r="F1488" s="1" t="s">
        <v>3169</v>
      </c>
      <c r="G1488" s="1" t="s">
        <v>40</v>
      </c>
      <c r="H1488" s="1" t="s">
        <v>41</v>
      </c>
      <c r="I1488" s="1" t="s">
        <v>2809</v>
      </c>
      <c r="J1488" s="1" t="s">
        <v>2690</v>
      </c>
      <c r="K1488" s="1">
        <v>38237090</v>
      </c>
      <c r="L1488" s="6">
        <v>17.600000000000001</v>
      </c>
      <c r="M1488" s="1" t="s">
        <v>70</v>
      </c>
      <c r="N1488" s="7" t="s">
        <v>44</v>
      </c>
      <c r="O1488" s="1" t="s">
        <v>53</v>
      </c>
      <c r="P1488" s="8">
        <v>1705</v>
      </c>
      <c r="Q1488" s="17">
        <f t="shared" si="136"/>
        <v>30008.000000000004</v>
      </c>
      <c r="R1488" s="9">
        <v>1050</v>
      </c>
      <c r="S1488" s="9">
        <v>4.29</v>
      </c>
      <c r="T1488" s="9">
        <v>0</v>
      </c>
      <c r="U1488" s="10">
        <v>0</v>
      </c>
      <c r="V1488" s="1" t="s">
        <v>46</v>
      </c>
      <c r="W1488" s="1" t="s">
        <v>205</v>
      </c>
      <c r="X1488" s="1">
        <v>8136285</v>
      </c>
      <c r="Y1488" s="11">
        <v>42065</v>
      </c>
      <c r="Z1488" s="11">
        <v>42066</v>
      </c>
      <c r="AA1488" s="9">
        <f t="shared" si="139"/>
        <v>28953.710000000003</v>
      </c>
      <c r="AB1488" s="12">
        <v>61.8</v>
      </c>
      <c r="AC1488" s="9">
        <f t="shared" si="134"/>
        <v>1854494.4000000001</v>
      </c>
      <c r="AD1488" s="9">
        <f t="shared" si="135"/>
        <v>1789339.2780000002</v>
      </c>
      <c r="AE1488" s="1" t="s">
        <v>48</v>
      </c>
      <c r="AF1488" s="1" t="s">
        <v>53</v>
      </c>
      <c r="AG1488" s="4">
        <f t="shared" si="137"/>
        <v>30008.000000000004</v>
      </c>
      <c r="AH1488" s="10">
        <v>29993</v>
      </c>
      <c r="AI1488" s="10">
        <v>1050</v>
      </c>
      <c r="AJ1488" s="10">
        <v>4.29</v>
      </c>
      <c r="AK1488" s="10">
        <v>0</v>
      </c>
      <c r="AL1488" s="9">
        <f t="shared" si="138"/>
        <v>28938.71</v>
      </c>
      <c r="AM1488" s="1"/>
      <c r="AN1488" s="1"/>
      <c r="AO1488" s="12" t="e">
        <f>AB1488/#REF!</f>
        <v>#REF!</v>
      </c>
      <c r="AP1488" s="1"/>
      <c r="AQ1488" s="11">
        <v>42087</v>
      </c>
      <c r="AR1488" s="1" t="s">
        <v>3611</v>
      </c>
      <c r="AS1488" s="11">
        <v>42088</v>
      </c>
      <c r="AT1488" s="1" t="s">
        <v>49</v>
      </c>
      <c r="AU1488" s="1" t="s">
        <v>4171</v>
      </c>
    </row>
    <row r="1489" spans="1:47" ht="15" customHeight="1" x14ac:dyDescent="0.25">
      <c r="A1489" s="1">
        <v>1477</v>
      </c>
      <c r="B1489" s="1" t="s">
        <v>1258</v>
      </c>
      <c r="C1489" s="1" t="s">
        <v>38</v>
      </c>
      <c r="D1489" s="1">
        <v>9103551277</v>
      </c>
      <c r="E1489" s="5">
        <v>42068</v>
      </c>
      <c r="F1489" s="1" t="s">
        <v>3262</v>
      </c>
      <c r="G1489" s="1" t="s">
        <v>40</v>
      </c>
      <c r="H1489" s="1" t="s">
        <v>41</v>
      </c>
      <c r="I1489" s="1" t="s">
        <v>2809</v>
      </c>
      <c r="J1489" s="1" t="s">
        <v>2913</v>
      </c>
      <c r="K1489" s="1">
        <v>38237090</v>
      </c>
      <c r="L1489" s="6">
        <v>33</v>
      </c>
      <c r="M1489" s="1" t="s">
        <v>70</v>
      </c>
      <c r="N1489" s="7" t="s">
        <v>44</v>
      </c>
      <c r="O1489" s="1" t="s">
        <v>53</v>
      </c>
      <c r="P1489" s="8">
        <v>1720</v>
      </c>
      <c r="Q1489" s="17">
        <f t="shared" si="136"/>
        <v>56760</v>
      </c>
      <c r="R1489" s="9">
        <v>2300</v>
      </c>
      <c r="S1489" s="9">
        <v>8.1199999999999992</v>
      </c>
      <c r="T1489" s="9">
        <v>0</v>
      </c>
      <c r="U1489" s="10">
        <v>0</v>
      </c>
      <c r="V1489" s="1" t="s">
        <v>46</v>
      </c>
      <c r="W1489" s="1" t="s">
        <v>137</v>
      </c>
      <c r="X1489" s="1">
        <v>8136305</v>
      </c>
      <c r="Y1489" s="11">
        <v>42065</v>
      </c>
      <c r="Z1489" s="11">
        <v>42066</v>
      </c>
      <c r="AA1489" s="9">
        <f t="shared" si="139"/>
        <v>54451.88</v>
      </c>
      <c r="AB1489" s="12">
        <v>61.8</v>
      </c>
      <c r="AC1489" s="9">
        <f t="shared" si="134"/>
        <v>3507768</v>
      </c>
      <c r="AD1489" s="9">
        <f t="shared" si="135"/>
        <v>3365126.1839999999</v>
      </c>
      <c r="AE1489" s="1" t="s">
        <v>48</v>
      </c>
      <c r="AF1489" s="1" t="s">
        <v>53</v>
      </c>
      <c r="AG1489" s="4">
        <f t="shared" si="137"/>
        <v>56760</v>
      </c>
      <c r="AH1489" s="10">
        <v>56725</v>
      </c>
      <c r="AI1489" s="10">
        <v>2300</v>
      </c>
      <c r="AJ1489" s="10">
        <v>8.1199999999999992</v>
      </c>
      <c r="AK1489" s="10">
        <v>0</v>
      </c>
      <c r="AL1489" s="9">
        <f t="shared" si="138"/>
        <v>54416.88</v>
      </c>
      <c r="AM1489" s="1"/>
      <c r="AN1489" s="1"/>
      <c r="AO1489" s="12" t="e">
        <f>AB1489/#REF!</f>
        <v>#REF!</v>
      </c>
      <c r="AP1489" s="1"/>
      <c r="AQ1489" s="11">
        <v>42121</v>
      </c>
      <c r="AR1489" s="1" t="s">
        <v>3612</v>
      </c>
      <c r="AS1489" s="11">
        <v>42091</v>
      </c>
      <c r="AT1489" s="1" t="s">
        <v>49</v>
      </c>
      <c r="AU1489" s="1" t="s">
        <v>4171</v>
      </c>
    </row>
    <row r="1490" spans="1:47" ht="15" customHeight="1" x14ac:dyDescent="0.25">
      <c r="A1490" s="1">
        <v>1478</v>
      </c>
      <c r="B1490" s="1" t="s">
        <v>1258</v>
      </c>
      <c r="C1490" s="1" t="s">
        <v>38</v>
      </c>
      <c r="D1490" s="1">
        <v>9103551278</v>
      </c>
      <c r="E1490" s="5">
        <v>42070</v>
      </c>
      <c r="F1490" s="1" t="s">
        <v>3263</v>
      </c>
      <c r="G1490" s="1" t="s">
        <v>40</v>
      </c>
      <c r="H1490" s="1" t="s">
        <v>41</v>
      </c>
      <c r="I1490" s="1" t="s">
        <v>2809</v>
      </c>
      <c r="J1490" s="1" t="s">
        <v>2641</v>
      </c>
      <c r="K1490" s="1">
        <v>38237090</v>
      </c>
      <c r="L1490" s="6">
        <v>12</v>
      </c>
      <c r="M1490" s="1" t="s">
        <v>70</v>
      </c>
      <c r="N1490" s="7" t="s">
        <v>44</v>
      </c>
      <c r="O1490" s="1" t="s">
        <v>53</v>
      </c>
      <c r="P1490" s="8">
        <v>3920</v>
      </c>
      <c r="Q1490" s="17">
        <f t="shared" si="136"/>
        <v>47040</v>
      </c>
      <c r="R1490" s="9">
        <v>45</v>
      </c>
      <c r="S1490" s="9">
        <v>6.73</v>
      </c>
      <c r="T1490" s="9">
        <v>0</v>
      </c>
      <c r="U1490" s="10">
        <v>0</v>
      </c>
      <c r="V1490" s="1" t="s">
        <v>46</v>
      </c>
      <c r="W1490" s="1" t="s">
        <v>54</v>
      </c>
      <c r="X1490" s="1">
        <v>8136918</v>
      </c>
      <c r="Y1490" s="11">
        <v>42065</v>
      </c>
      <c r="Z1490" s="11">
        <v>42067</v>
      </c>
      <c r="AA1490" s="9">
        <f t="shared" si="139"/>
        <v>46988.27</v>
      </c>
      <c r="AB1490" s="12">
        <v>61.8</v>
      </c>
      <c r="AC1490" s="9">
        <f t="shared" si="134"/>
        <v>2907072</v>
      </c>
      <c r="AD1490" s="9">
        <f t="shared" si="135"/>
        <v>2903875.0859999997</v>
      </c>
      <c r="AE1490" s="1"/>
      <c r="AF1490" s="1" t="s">
        <v>53</v>
      </c>
      <c r="AG1490" s="4">
        <f t="shared" si="137"/>
        <v>47040</v>
      </c>
      <c r="AH1490" s="10">
        <v>46890</v>
      </c>
      <c r="AI1490" s="10"/>
      <c r="AJ1490" s="10"/>
      <c r="AK1490" s="10"/>
      <c r="AL1490" s="9">
        <f t="shared" si="138"/>
        <v>46890</v>
      </c>
      <c r="AM1490" s="1"/>
      <c r="AN1490" s="1"/>
      <c r="AO1490" s="12" t="e">
        <f>AB1490/#REF!</f>
        <v>#REF!</v>
      </c>
      <c r="AP1490" s="1" t="s">
        <v>4271</v>
      </c>
      <c r="AQ1490" s="11">
        <v>42163</v>
      </c>
      <c r="AR1490" s="1" t="s">
        <v>4272</v>
      </c>
      <c r="AS1490" s="11">
        <v>42165</v>
      </c>
      <c r="AT1490" s="1" t="s">
        <v>49</v>
      </c>
      <c r="AU1490" s="1" t="s">
        <v>4243</v>
      </c>
    </row>
    <row r="1491" spans="1:47" ht="15" customHeight="1" x14ac:dyDescent="0.25">
      <c r="A1491" s="1">
        <v>1479</v>
      </c>
      <c r="B1491" s="1" t="s">
        <v>1258</v>
      </c>
      <c r="C1491" s="1" t="s">
        <v>38</v>
      </c>
      <c r="D1491" s="1">
        <v>9103551279</v>
      </c>
      <c r="E1491" s="5">
        <v>42070</v>
      </c>
      <c r="F1491" s="1" t="s">
        <v>3264</v>
      </c>
      <c r="G1491" s="1" t="s">
        <v>40</v>
      </c>
      <c r="H1491" s="1" t="s">
        <v>41</v>
      </c>
      <c r="I1491" s="1" t="s">
        <v>2809</v>
      </c>
      <c r="J1491" s="1" t="s">
        <v>2641</v>
      </c>
      <c r="K1491" s="1">
        <v>38237090</v>
      </c>
      <c r="L1491" s="6">
        <v>72</v>
      </c>
      <c r="M1491" s="1" t="s">
        <v>70</v>
      </c>
      <c r="N1491" s="7" t="s">
        <v>44</v>
      </c>
      <c r="O1491" s="1" t="s">
        <v>53</v>
      </c>
      <c r="P1491" s="8">
        <v>3920</v>
      </c>
      <c r="Q1491" s="17">
        <f t="shared" si="136"/>
        <v>282240</v>
      </c>
      <c r="R1491" s="9">
        <v>270</v>
      </c>
      <c r="S1491" s="9">
        <v>40.36</v>
      </c>
      <c r="T1491" s="9">
        <v>0</v>
      </c>
      <c r="U1491" s="10">
        <v>0</v>
      </c>
      <c r="V1491" s="1" t="s">
        <v>46</v>
      </c>
      <c r="W1491" s="1" t="s">
        <v>54</v>
      </c>
      <c r="X1491" s="1">
        <v>8138226</v>
      </c>
      <c r="Y1491" s="11">
        <v>42065</v>
      </c>
      <c r="Z1491" s="11">
        <v>42067</v>
      </c>
      <c r="AA1491" s="9">
        <f t="shared" si="139"/>
        <v>281929.64</v>
      </c>
      <c r="AB1491" s="12">
        <v>61.8</v>
      </c>
      <c r="AC1491" s="9">
        <f t="shared" si="134"/>
        <v>17442432</v>
      </c>
      <c r="AD1491" s="9">
        <f t="shared" si="135"/>
        <v>17423251.752</v>
      </c>
      <c r="AE1491" s="1"/>
      <c r="AF1491" s="1" t="s">
        <v>53</v>
      </c>
      <c r="AG1491" s="4">
        <f t="shared" si="137"/>
        <v>282240</v>
      </c>
      <c r="AH1491" s="10">
        <v>282090</v>
      </c>
      <c r="AI1491" s="10"/>
      <c r="AJ1491" s="10"/>
      <c r="AK1491" s="10"/>
      <c r="AL1491" s="9">
        <f t="shared" si="138"/>
        <v>282090</v>
      </c>
      <c r="AM1491" s="1"/>
      <c r="AN1491" s="1"/>
      <c r="AO1491" s="12" t="e">
        <f>AB1491/#REF!</f>
        <v>#REF!</v>
      </c>
      <c r="AP1491" s="1" t="s">
        <v>4273</v>
      </c>
      <c r="AQ1491" s="11">
        <v>42163</v>
      </c>
      <c r="AR1491" s="1" t="s">
        <v>4274</v>
      </c>
      <c r="AS1491" s="11">
        <v>42165</v>
      </c>
      <c r="AT1491" s="1" t="s">
        <v>49</v>
      </c>
      <c r="AU1491" s="1" t="s">
        <v>4171</v>
      </c>
    </row>
    <row r="1492" spans="1:47" ht="15" customHeight="1" x14ac:dyDescent="0.25">
      <c r="A1492" s="1">
        <v>1480</v>
      </c>
      <c r="B1492" s="1" t="s">
        <v>1258</v>
      </c>
      <c r="C1492" s="1" t="s">
        <v>38</v>
      </c>
      <c r="D1492" s="1">
        <v>9103551280</v>
      </c>
      <c r="E1492" s="5">
        <v>42070</v>
      </c>
      <c r="F1492" s="1" t="s">
        <v>3170</v>
      </c>
      <c r="G1492" s="1" t="s">
        <v>40</v>
      </c>
      <c r="H1492" s="1" t="s">
        <v>41</v>
      </c>
      <c r="I1492" s="1" t="s">
        <v>2809</v>
      </c>
      <c r="J1492" s="1" t="s">
        <v>200</v>
      </c>
      <c r="K1492" s="1">
        <v>29157010</v>
      </c>
      <c r="L1492" s="6">
        <v>117.64</v>
      </c>
      <c r="M1492" s="1" t="s">
        <v>70</v>
      </c>
      <c r="N1492" s="7" t="s">
        <v>44</v>
      </c>
      <c r="O1492" s="1" t="s">
        <v>53</v>
      </c>
      <c r="P1492" s="8">
        <v>1030</v>
      </c>
      <c r="Q1492" s="17">
        <f t="shared" si="136"/>
        <v>121169.2</v>
      </c>
      <c r="R1492" s="9">
        <v>4800</v>
      </c>
      <c r="S1492" s="9">
        <v>17.329999999999998</v>
      </c>
      <c r="T1492" s="9">
        <v>2352.8000000000002</v>
      </c>
      <c r="U1492" s="10">
        <v>0</v>
      </c>
      <c r="V1492" s="1" t="s">
        <v>46</v>
      </c>
      <c r="W1492" s="1" t="s">
        <v>59</v>
      </c>
      <c r="X1492" s="1">
        <v>8138044</v>
      </c>
      <c r="Y1492" s="11">
        <v>42065</v>
      </c>
      <c r="Z1492" s="11">
        <v>42066</v>
      </c>
      <c r="AA1492" s="9">
        <f t="shared" si="139"/>
        <v>116351.87</v>
      </c>
      <c r="AB1492" s="12">
        <v>61.8</v>
      </c>
      <c r="AC1492" s="9">
        <f t="shared" si="134"/>
        <v>7488256.5599999996</v>
      </c>
      <c r="AD1492" s="9">
        <f t="shared" si="135"/>
        <v>7190545.5659999996</v>
      </c>
      <c r="AE1492" s="1" t="s">
        <v>51</v>
      </c>
      <c r="AF1492" s="1" t="s">
        <v>53</v>
      </c>
      <c r="AG1492" s="4">
        <f t="shared" si="137"/>
        <v>121169.2</v>
      </c>
      <c r="AH1492" s="10">
        <v>121169.2</v>
      </c>
      <c r="AI1492" s="9">
        <v>4800</v>
      </c>
      <c r="AJ1492" s="9">
        <v>17.329999999999998</v>
      </c>
      <c r="AK1492" s="9">
        <v>2352.8000000000002</v>
      </c>
      <c r="AL1492" s="9">
        <f t="shared" si="138"/>
        <v>113999.06999999999</v>
      </c>
      <c r="AM1492" s="1"/>
      <c r="AN1492" s="1"/>
      <c r="AO1492" s="12" t="e">
        <f>AB1492/#REF!</f>
        <v>#REF!</v>
      </c>
      <c r="AP1492" s="1"/>
      <c r="AQ1492" s="11">
        <v>42083</v>
      </c>
      <c r="AR1492" s="1" t="s">
        <v>3649</v>
      </c>
      <c r="AS1492" s="11">
        <v>42083</v>
      </c>
      <c r="AT1492" s="1" t="s">
        <v>3650</v>
      </c>
      <c r="AU1492" s="1" t="s">
        <v>4171</v>
      </c>
    </row>
    <row r="1493" spans="1:47" ht="15" customHeight="1" x14ac:dyDescent="0.25">
      <c r="A1493" s="1">
        <v>1481</v>
      </c>
      <c r="B1493" s="1" t="s">
        <v>1258</v>
      </c>
      <c r="C1493" s="1" t="s">
        <v>38</v>
      </c>
      <c r="D1493" s="1">
        <v>9103551281</v>
      </c>
      <c r="E1493" s="5">
        <v>42075</v>
      </c>
      <c r="F1493" s="1" t="s">
        <v>3265</v>
      </c>
      <c r="G1493" s="1" t="s">
        <v>40</v>
      </c>
      <c r="H1493" s="1" t="s">
        <v>41</v>
      </c>
      <c r="I1493" s="1" t="s">
        <v>2809</v>
      </c>
      <c r="J1493" s="1" t="s">
        <v>4343</v>
      </c>
      <c r="K1493" s="1">
        <v>38237090</v>
      </c>
      <c r="L1493" s="6">
        <v>18.14</v>
      </c>
      <c r="M1493" s="1" t="s">
        <v>70</v>
      </c>
      <c r="N1493" s="7" t="s">
        <v>44</v>
      </c>
      <c r="O1493" s="1" t="s">
        <v>53</v>
      </c>
      <c r="P1493" s="8">
        <v>1694</v>
      </c>
      <c r="Q1493" s="17">
        <f t="shared" si="136"/>
        <v>30729.16</v>
      </c>
      <c r="R1493" s="9">
        <v>3200</v>
      </c>
      <c r="S1493" s="9">
        <v>4.3899999999999997</v>
      </c>
      <c r="T1493" s="9">
        <v>0</v>
      </c>
      <c r="U1493" s="10">
        <v>0</v>
      </c>
      <c r="V1493" s="1" t="s">
        <v>46</v>
      </c>
      <c r="W1493" s="1" t="s">
        <v>188</v>
      </c>
      <c r="X1493" s="1">
        <v>8155472</v>
      </c>
      <c r="Y1493" s="11">
        <v>42066</v>
      </c>
      <c r="Z1493" s="11">
        <v>42067</v>
      </c>
      <c r="AA1493" s="9">
        <f t="shared" si="139"/>
        <v>27524.77</v>
      </c>
      <c r="AB1493" s="12">
        <v>61.8</v>
      </c>
      <c r="AC1493" s="9">
        <f t="shared" si="134"/>
        <v>1899062.088</v>
      </c>
      <c r="AD1493" s="9">
        <f t="shared" si="135"/>
        <v>1701030.7859999998</v>
      </c>
      <c r="AE1493" s="1" t="s">
        <v>48</v>
      </c>
      <c r="AF1493" s="1" t="s">
        <v>53</v>
      </c>
      <c r="AG1493" s="4">
        <f t="shared" si="137"/>
        <v>30729.16</v>
      </c>
      <c r="AH1493" s="10">
        <v>30729.16</v>
      </c>
      <c r="AI1493" s="10">
        <v>3204</v>
      </c>
      <c r="AJ1493" s="10">
        <v>4.3899999999999997</v>
      </c>
      <c r="AK1493" s="10">
        <v>0</v>
      </c>
      <c r="AL1493" s="9">
        <f t="shared" si="138"/>
        <v>27520.77</v>
      </c>
      <c r="AM1493" s="1"/>
      <c r="AN1493" s="1"/>
      <c r="AO1493" s="12" t="e">
        <f>AB1493/#REF!</f>
        <v>#REF!</v>
      </c>
      <c r="AP1493" s="1"/>
      <c r="AQ1493" s="11">
        <v>42136</v>
      </c>
      <c r="AR1493" s="1" t="s">
        <v>3672</v>
      </c>
      <c r="AS1493" s="11">
        <v>42139</v>
      </c>
      <c r="AT1493" s="1" t="s">
        <v>3650</v>
      </c>
      <c r="AU1493" s="1" t="s">
        <v>4171</v>
      </c>
    </row>
    <row r="1494" spans="1:47" ht="15" customHeight="1" x14ac:dyDescent="0.25">
      <c r="A1494" s="1">
        <v>1482</v>
      </c>
      <c r="B1494" s="1" t="s">
        <v>1258</v>
      </c>
      <c r="C1494" s="1" t="s">
        <v>38</v>
      </c>
      <c r="D1494" s="1">
        <v>9103551282</v>
      </c>
      <c r="E1494" s="5">
        <v>42070</v>
      </c>
      <c r="F1494" s="1" t="s">
        <v>3266</v>
      </c>
      <c r="G1494" s="1" t="s">
        <v>40</v>
      </c>
      <c r="H1494" s="1" t="s">
        <v>41</v>
      </c>
      <c r="I1494" s="1" t="s">
        <v>2809</v>
      </c>
      <c r="J1494" s="1" t="s">
        <v>4343</v>
      </c>
      <c r="K1494" s="1">
        <v>29051700</v>
      </c>
      <c r="L1494" s="6">
        <v>18.14</v>
      </c>
      <c r="M1494" s="1" t="s">
        <v>70</v>
      </c>
      <c r="N1494" s="7" t="s">
        <v>44</v>
      </c>
      <c r="O1494" s="1" t="s">
        <v>53</v>
      </c>
      <c r="P1494" s="8">
        <v>1708</v>
      </c>
      <c r="Q1494" s="17">
        <f t="shared" si="136"/>
        <v>30983.120000000003</v>
      </c>
      <c r="R1494" s="9">
        <v>2100</v>
      </c>
      <c r="S1494" s="9">
        <v>4.43</v>
      </c>
      <c r="T1494" s="9">
        <v>0</v>
      </c>
      <c r="U1494" s="10">
        <v>0</v>
      </c>
      <c r="V1494" s="1" t="s">
        <v>46</v>
      </c>
      <c r="W1494" s="1" t="s">
        <v>56</v>
      </c>
      <c r="X1494" s="1">
        <v>8156617</v>
      </c>
      <c r="Y1494" s="11">
        <v>42066</v>
      </c>
      <c r="Z1494" s="11">
        <v>42067</v>
      </c>
      <c r="AA1494" s="9">
        <f t="shared" si="139"/>
        <v>28878.690000000002</v>
      </c>
      <c r="AB1494" s="12">
        <v>61.8</v>
      </c>
      <c r="AC1494" s="9">
        <f t="shared" si="134"/>
        <v>1914756.8160000001</v>
      </c>
      <c r="AD1494" s="9">
        <f t="shared" si="135"/>
        <v>1784703.0420000001</v>
      </c>
      <c r="AE1494" s="1" t="s">
        <v>48</v>
      </c>
      <c r="AF1494" s="1" t="s">
        <v>53</v>
      </c>
      <c r="AG1494" s="4">
        <f t="shared" si="137"/>
        <v>30983.120000000003</v>
      </c>
      <c r="AH1494" s="10">
        <v>30983.119999999999</v>
      </c>
      <c r="AI1494" s="10">
        <v>2085</v>
      </c>
      <c r="AJ1494" s="10">
        <v>4.43</v>
      </c>
      <c r="AK1494" s="10">
        <v>0</v>
      </c>
      <c r="AL1494" s="9">
        <f t="shared" si="138"/>
        <v>28893.69</v>
      </c>
      <c r="AM1494" s="1"/>
      <c r="AN1494" s="1"/>
      <c r="AO1494" s="12" t="e">
        <f>AB1494/#REF!</f>
        <v>#REF!</v>
      </c>
      <c r="AP1494" s="1"/>
      <c r="AQ1494" s="11">
        <v>42136</v>
      </c>
      <c r="AR1494" s="1" t="s">
        <v>3673</v>
      </c>
      <c r="AS1494" s="11">
        <v>42139</v>
      </c>
      <c r="AT1494" s="1" t="s">
        <v>3650</v>
      </c>
      <c r="AU1494" s="1" t="s">
        <v>4171</v>
      </c>
    </row>
    <row r="1495" spans="1:47" ht="15" customHeight="1" x14ac:dyDescent="0.25">
      <c r="A1495" s="1">
        <v>1483</v>
      </c>
      <c r="B1495" s="1" t="s">
        <v>1258</v>
      </c>
      <c r="C1495" s="1" t="s">
        <v>38</v>
      </c>
      <c r="D1495" s="1">
        <v>9103551283</v>
      </c>
      <c r="E1495" s="5">
        <v>42070</v>
      </c>
      <c r="F1495" s="1" t="s">
        <v>3267</v>
      </c>
      <c r="G1495" s="1" t="s">
        <v>40</v>
      </c>
      <c r="H1495" s="1" t="s">
        <v>41</v>
      </c>
      <c r="I1495" s="1" t="s">
        <v>2809</v>
      </c>
      <c r="J1495" s="1" t="s">
        <v>187</v>
      </c>
      <c r="K1495" s="1">
        <v>29051700</v>
      </c>
      <c r="L1495" s="6">
        <v>18.14</v>
      </c>
      <c r="M1495" s="1" t="s">
        <v>70</v>
      </c>
      <c r="N1495" s="7" t="s">
        <v>44</v>
      </c>
      <c r="O1495" s="1" t="s">
        <v>53</v>
      </c>
      <c r="P1495" s="8">
        <v>1858</v>
      </c>
      <c r="Q1495" s="17">
        <f t="shared" si="136"/>
        <v>33704.120000000003</v>
      </c>
      <c r="R1495" s="9">
        <v>2100</v>
      </c>
      <c r="S1495" s="9">
        <v>4.82</v>
      </c>
      <c r="T1495" s="9">
        <v>0</v>
      </c>
      <c r="U1495" s="10">
        <v>0</v>
      </c>
      <c r="V1495" s="1" t="s">
        <v>46</v>
      </c>
      <c r="W1495" s="1" t="s">
        <v>56</v>
      </c>
      <c r="X1495" s="1">
        <v>8160153</v>
      </c>
      <c r="Y1495" s="11">
        <v>42066</v>
      </c>
      <c r="Z1495" s="11">
        <v>42067</v>
      </c>
      <c r="AA1495" s="9">
        <f t="shared" si="139"/>
        <v>31599.300000000003</v>
      </c>
      <c r="AB1495" s="12">
        <v>61.8</v>
      </c>
      <c r="AC1495" s="9">
        <f t="shared" si="134"/>
        <v>2082914.6160000002</v>
      </c>
      <c r="AD1495" s="9">
        <f t="shared" si="135"/>
        <v>1952836.74</v>
      </c>
      <c r="AE1495" s="1" t="s">
        <v>48</v>
      </c>
      <c r="AF1495" s="1" t="s">
        <v>53</v>
      </c>
      <c r="AG1495" s="4">
        <f t="shared" si="137"/>
        <v>33704.120000000003</v>
      </c>
      <c r="AH1495" s="10">
        <v>33704.120000000003</v>
      </c>
      <c r="AI1495" s="10">
        <v>2085</v>
      </c>
      <c r="AJ1495" s="10">
        <v>4.82</v>
      </c>
      <c r="AK1495" s="10">
        <v>0</v>
      </c>
      <c r="AL1495" s="9">
        <f t="shared" si="138"/>
        <v>31614.300000000003</v>
      </c>
      <c r="AM1495" s="1"/>
      <c r="AN1495" s="1"/>
      <c r="AO1495" s="12" t="e">
        <f>AB1495/#REF!</f>
        <v>#REF!</v>
      </c>
      <c r="AP1495" s="1"/>
      <c r="AQ1495" s="11">
        <v>42136</v>
      </c>
      <c r="AR1495" s="1" t="s">
        <v>3674</v>
      </c>
      <c r="AS1495" s="11">
        <v>42139</v>
      </c>
      <c r="AT1495" s="1" t="s">
        <v>3650</v>
      </c>
      <c r="AU1495" s="1" t="s">
        <v>4171</v>
      </c>
    </row>
    <row r="1496" spans="1:47" ht="15" customHeight="1" x14ac:dyDescent="0.25">
      <c r="A1496" s="1">
        <v>1484</v>
      </c>
      <c r="B1496" s="1" t="s">
        <v>1258</v>
      </c>
      <c r="C1496" s="1" t="s">
        <v>38</v>
      </c>
      <c r="D1496" s="1">
        <v>9103551284</v>
      </c>
      <c r="E1496" s="5">
        <v>42067</v>
      </c>
      <c r="F1496" s="1" t="s">
        <v>3268</v>
      </c>
      <c r="G1496" s="1" t="s">
        <v>40</v>
      </c>
      <c r="H1496" s="1" t="s">
        <v>41</v>
      </c>
      <c r="I1496" s="1" t="s">
        <v>2809</v>
      </c>
      <c r="J1496" s="1" t="s">
        <v>2913</v>
      </c>
      <c r="K1496" s="1">
        <v>38237090</v>
      </c>
      <c r="L1496" s="6">
        <v>0.15</v>
      </c>
      <c r="M1496" s="1" t="s">
        <v>70</v>
      </c>
      <c r="N1496" s="7" t="s">
        <v>67</v>
      </c>
      <c r="O1496" s="1" t="s">
        <v>53</v>
      </c>
      <c r="P1496" s="8">
        <v>4160</v>
      </c>
      <c r="Q1496" s="17">
        <f t="shared" si="136"/>
        <v>624</v>
      </c>
      <c r="R1496" s="9">
        <v>0</v>
      </c>
      <c r="S1496" s="9">
        <v>0</v>
      </c>
      <c r="T1496" s="9">
        <v>0</v>
      </c>
      <c r="U1496" s="10">
        <v>0</v>
      </c>
      <c r="V1496" s="1" t="s">
        <v>46</v>
      </c>
      <c r="W1496" s="1" t="s">
        <v>137</v>
      </c>
      <c r="X1496" s="1">
        <v>8152141</v>
      </c>
      <c r="Y1496" s="11">
        <v>42066</v>
      </c>
      <c r="Z1496" s="11">
        <v>42067</v>
      </c>
      <c r="AA1496" s="9">
        <f t="shared" si="139"/>
        <v>624</v>
      </c>
      <c r="AB1496" s="12">
        <v>61.8</v>
      </c>
      <c r="AC1496" s="9">
        <f t="shared" si="134"/>
        <v>38563.199999999997</v>
      </c>
      <c r="AD1496" s="9">
        <f t="shared" si="135"/>
        <v>38563.199999999997</v>
      </c>
      <c r="AE1496" s="1" t="s">
        <v>48</v>
      </c>
      <c r="AF1496" s="1" t="s">
        <v>53</v>
      </c>
      <c r="AG1496" s="4">
        <f t="shared" si="137"/>
        <v>624</v>
      </c>
      <c r="AH1496" s="10">
        <v>614</v>
      </c>
      <c r="AI1496" s="10">
        <v>0</v>
      </c>
      <c r="AJ1496" s="10">
        <v>0</v>
      </c>
      <c r="AK1496" s="10">
        <v>0</v>
      </c>
      <c r="AL1496" s="9">
        <f t="shared" si="138"/>
        <v>614</v>
      </c>
      <c r="AM1496" s="1"/>
      <c r="AN1496" s="1"/>
      <c r="AO1496" s="12" t="e">
        <f>AB1496/#REF!</f>
        <v>#REF!</v>
      </c>
      <c r="AP1496" s="1"/>
      <c r="AQ1496" s="11">
        <v>42121</v>
      </c>
      <c r="AR1496" s="1" t="s">
        <v>3613</v>
      </c>
      <c r="AS1496" s="11">
        <v>42122</v>
      </c>
      <c r="AT1496" s="1" t="s">
        <v>49</v>
      </c>
      <c r="AU1496" s="1" t="s">
        <v>4171</v>
      </c>
    </row>
    <row r="1497" spans="1:47" ht="15" customHeight="1" x14ac:dyDescent="0.25">
      <c r="A1497" s="1">
        <v>1485</v>
      </c>
      <c r="B1497" s="1" t="s">
        <v>1258</v>
      </c>
      <c r="C1497" s="1" t="s">
        <v>38</v>
      </c>
      <c r="D1497" s="1" t="s">
        <v>3269</v>
      </c>
      <c r="E1497" s="5">
        <v>42072</v>
      </c>
      <c r="F1497" s="1" t="s">
        <v>3270</v>
      </c>
      <c r="G1497" s="1" t="s">
        <v>40</v>
      </c>
      <c r="H1497" s="1" t="s">
        <v>41</v>
      </c>
      <c r="I1497" s="1" t="s">
        <v>2809</v>
      </c>
      <c r="J1497" s="1" t="s">
        <v>78</v>
      </c>
      <c r="K1497" s="1">
        <v>29051700</v>
      </c>
      <c r="L1497" s="6">
        <v>18.559999999999999</v>
      </c>
      <c r="M1497" s="1" t="s">
        <v>70</v>
      </c>
      <c r="N1497" s="7" t="s">
        <v>67</v>
      </c>
      <c r="O1497" s="1" t="s">
        <v>53</v>
      </c>
      <c r="P1497" s="8">
        <v>1545</v>
      </c>
      <c r="Q1497" s="17">
        <f t="shared" si="136"/>
        <v>28675.199999999997</v>
      </c>
      <c r="R1497" s="9">
        <v>0</v>
      </c>
      <c r="S1497" s="9">
        <v>0</v>
      </c>
      <c r="T1497" s="9">
        <v>0</v>
      </c>
      <c r="U1497" s="10">
        <v>0</v>
      </c>
      <c r="V1497" s="1" t="s">
        <v>46</v>
      </c>
      <c r="W1497" s="1" t="s">
        <v>56</v>
      </c>
      <c r="X1497" s="1">
        <v>8162708</v>
      </c>
      <c r="Y1497" s="11">
        <v>42066</v>
      </c>
      <c r="Z1497" s="11">
        <v>42067</v>
      </c>
      <c r="AA1497" s="9">
        <f t="shared" si="139"/>
        <v>28675.199999999997</v>
      </c>
      <c r="AB1497" s="12">
        <v>61.8</v>
      </c>
      <c r="AC1497" s="9">
        <f t="shared" si="134"/>
        <v>1772127.3599999996</v>
      </c>
      <c r="AD1497" s="9">
        <f t="shared" si="135"/>
        <v>1772127.3599999996</v>
      </c>
      <c r="AE1497" s="1" t="s">
        <v>48</v>
      </c>
      <c r="AF1497" s="1" t="s">
        <v>53</v>
      </c>
      <c r="AG1497" s="4">
        <f t="shared" si="137"/>
        <v>28675.199999999997</v>
      </c>
      <c r="AH1497" s="10">
        <v>28675.200000000001</v>
      </c>
      <c r="AI1497" s="10">
        <v>0</v>
      </c>
      <c r="AJ1497" s="10">
        <v>0</v>
      </c>
      <c r="AK1497" s="10">
        <v>0</v>
      </c>
      <c r="AL1497" s="9">
        <f t="shared" si="138"/>
        <v>28675.200000000001</v>
      </c>
      <c r="AM1497" s="1"/>
      <c r="AN1497" s="1"/>
      <c r="AO1497" s="12" t="e">
        <f>AB1497/#REF!</f>
        <v>#REF!</v>
      </c>
      <c r="AP1497" s="1"/>
      <c r="AQ1497" s="11">
        <v>42103</v>
      </c>
      <c r="AR1497" s="1" t="s">
        <v>3614</v>
      </c>
      <c r="AS1497" s="11">
        <v>42105</v>
      </c>
      <c r="AT1497" s="1" t="s">
        <v>49</v>
      </c>
      <c r="AU1497" s="1" t="s">
        <v>4171</v>
      </c>
    </row>
    <row r="1498" spans="1:47" ht="15" customHeight="1" x14ac:dyDescent="0.25">
      <c r="A1498" s="1">
        <v>1486</v>
      </c>
      <c r="B1498" s="1" t="s">
        <v>1258</v>
      </c>
      <c r="C1498" s="1" t="s">
        <v>38</v>
      </c>
      <c r="D1498" s="1" t="s">
        <v>3269</v>
      </c>
      <c r="E1498" s="5">
        <v>42072</v>
      </c>
      <c r="F1498" s="1" t="s">
        <v>3271</v>
      </c>
      <c r="G1498" s="1" t="s">
        <v>40</v>
      </c>
      <c r="H1498" s="1" t="s">
        <v>41</v>
      </c>
      <c r="I1498" s="1" t="s">
        <v>2809</v>
      </c>
      <c r="J1498" s="1" t="s">
        <v>78</v>
      </c>
      <c r="K1498" s="1">
        <v>29051700</v>
      </c>
      <c r="L1498" s="6">
        <v>18.61</v>
      </c>
      <c r="M1498" s="1" t="s">
        <v>70</v>
      </c>
      <c r="N1498" s="7" t="s">
        <v>67</v>
      </c>
      <c r="O1498" s="1" t="s">
        <v>53</v>
      </c>
      <c r="P1498" s="8">
        <v>1545</v>
      </c>
      <c r="Q1498" s="17">
        <f t="shared" si="136"/>
        <v>28752.45</v>
      </c>
      <c r="R1498" s="9">
        <v>0</v>
      </c>
      <c r="S1498" s="9">
        <v>0</v>
      </c>
      <c r="T1498" s="9">
        <v>0</v>
      </c>
      <c r="U1498" s="10">
        <v>0</v>
      </c>
      <c r="V1498" s="1" t="s">
        <v>46</v>
      </c>
      <c r="W1498" s="1" t="s">
        <v>56</v>
      </c>
      <c r="X1498" s="1">
        <v>8186838</v>
      </c>
      <c r="Y1498" s="11">
        <v>42067</v>
      </c>
      <c r="Z1498" s="11">
        <v>42068</v>
      </c>
      <c r="AA1498" s="9">
        <f t="shared" si="139"/>
        <v>28752.45</v>
      </c>
      <c r="AB1498" s="12">
        <v>61.8</v>
      </c>
      <c r="AC1498" s="9">
        <f t="shared" si="134"/>
        <v>1776901.41</v>
      </c>
      <c r="AD1498" s="9">
        <f t="shared" si="135"/>
        <v>1776901.41</v>
      </c>
      <c r="AE1498" s="1" t="s">
        <v>48</v>
      </c>
      <c r="AF1498" s="1" t="s">
        <v>53</v>
      </c>
      <c r="AG1498" s="4">
        <f t="shared" si="137"/>
        <v>28752.45</v>
      </c>
      <c r="AH1498" s="10">
        <v>28752.45</v>
      </c>
      <c r="AI1498" s="10">
        <v>0</v>
      </c>
      <c r="AJ1498" s="10">
        <v>0</v>
      </c>
      <c r="AK1498" s="10">
        <v>0</v>
      </c>
      <c r="AL1498" s="9">
        <f t="shared" si="138"/>
        <v>28752.45</v>
      </c>
      <c r="AM1498" s="1"/>
      <c r="AN1498" s="1"/>
      <c r="AO1498" s="12" t="e">
        <f>AB1498/#REF!</f>
        <v>#REF!</v>
      </c>
      <c r="AP1498" s="1"/>
      <c r="AQ1498" s="11">
        <v>42103</v>
      </c>
      <c r="AR1498" s="1" t="s">
        <v>3615</v>
      </c>
      <c r="AS1498" s="11">
        <v>42105</v>
      </c>
      <c r="AT1498" s="1" t="s">
        <v>49</v>
      </c>
      <c r="AU1498" s="1" t="s">
        <v>4171</v>
      </c>
    </row>
    <row r="1499" spans="1:47" ht="15" customHeight="1" x14ac:dyDescent="0.25">
      <c r="A1499" s="1">
        <v>1487</v>
      </c>
      <c r="B1499" s="1" t="s">
        <v>1258</v>
      </c>
      <c r="C1499" s="1" t="s">
        <v>38</v>
      </c>
      <c r="D1499" s="1">
        <v>9103551287</v>
      </c>
      <c r="E1499" s="5">
        <v>42068</v>
      </c>
      <c r="F1499" s="1" t="s">
        <v>3272</v>
      </c>
      <c r="G1499" s="1" t="s">
        <v>40</v>
      </c>
      <c r="H1499" s="1" t="s">
        <v>41</v>
      </c>
      <c r="I1499" s="1" t="s">
        <v>2809</v>
      </c>
      <c r="J1499" s="1" t="s">
        <v>2769</v>
      </c>
      <c r="K1499" s="1">
        <v>29051700</v>
      </c>
      <c r="L1499" s="6">
        <v>16</v>
      </c>
      <c r="M1499" s="1" t="s">
        <v>70</v>
      </c>
      <c r="N1499" s="7" t="s">
        <v>44</v>
      </c>
      <c r="O1499" s="1" t="s">
        <v>53</v>
      </c>
      <c r="P1499" s="8">
        <v>1635</v>
      </c>
      <c r="Q1499" s="17">
        <f t="shared" si="136"/>
        <v>26160</v>
      </c>
      <c r="R1499" s="9">
        <v>800</v>
      </c>
      <c r="S1499" s="9">
        <v>3.74</v>
      </c>
      <c r="T1499" s="9">
        <v>0</v>
      </c>
      <c r="U1499" s="10">
        <v>0</v>
      </c>
      <c r="V1499" s="1" t="s">
        <v>46</v>
      </c>
      <c r="W1499" s="1" t="s">
        <v>205</v>
      </c>
      <c r="X1499" s="1">
        <v>8203848</v>
      </c>
      <c r="Y1499" s="11">
        <v>42068</v>
      </c>
      <c r="Z1499" s="11">
        <v>42070</v>
      </c>
      <c r="AA1499" s="9">
        <f t="shared" si="139"/>
        <v>25356.26</v>
      </c>
      <c r="AB1499" s="12">
        <v>61.8</v>
      </c>
      <c r="AC1499" s="9">
        <f t="shared" si="134"/>
        <v>1616688</v>
      </c>
      <c r="AD1499" s="9">
        <f t="shared" si="135"/>
        <v>1567016.8679999998</v>
      </c>
      <c r="AE1499" s="1" t="s">
        <v>48</v>
      </c>
      <c r="AF1499" s="1" t="s">
        <v>53</v>
      </c>
      <c r="AG1499" s="4">
        <f t="shared" si="137"/>
        <v>26160</v>
      </c>
      <c r="AH1499" s="10">
        <v>26145</v>
      </c>
      <c r="AI1499" s="10">
        <v>690</v>
      </c>
      <c r="AJ1499" s="10">
        <v>3.74</v>
      </c>
      <c r="AK1499" s="10">
        <v>0</v>
      </c>
      <c r="AL1499" s="9">
        <f t="shared" si="138"/>
        <v>25451.26</v>
      </c>
      <c r="AM1499" s="1"/>
      <c r="AN1499" s="1"/>
      <c r="AO1499" s="12" t="e">
        <f>AB1499/#REF!</f>
        <v>#REF!</v>
      </c>
      <c r="AP1499" s="1"/>
      <c r="AQ1499" s="11">
        <v>42103</v>
      </c>
      <c r="AR1499" s="1" t="s">
        <v>3615</v>
      </c>
      <c r="AS1499" s="11">
        <v>42105</v>
      </c>
      <c r="AT1499" s="1" t="s">
        <v>49</v>
      </c>
      <c r="AU1499" s="1" t="s">
        <v>4171</v>
      </c>
    </row>
    <row r="1500" spans="1:47" ht="15" customHeight="1" x14ac:dyDescent="0.25">
      <c r="A1500" s="1">
        <v>1488</v>
      </c>
      <c r="B1500" s="1" t="s">
        <v>1258</v>
      </c>
      <c r="C1500" s="1" t="s">
        <v>38</v>
      </c>
      <c r="D1500" s="1">
        <v>9103551288</v>
      </c>
      <c r="E1500" s="5">
        <v>42072</v>
      </c>
      <c r="F1500" s="1" t="s">
        <v>3273</v>
      </c>
      <c r="G1500" s="1" t="s">
        <v>40</v>
      </c>
      <c r="H1500" s="1" t="s">
        <v>41</v>
      </c>
      <c r="I1500" s="1" t="s">
        <v>2809</v>
      </c>
      <c r="J1500" s="1" t="s">
        <v>2805</v>
      </c>
      <c r="K1500" s="1">
        <v>38237090</v>
      </c>
      <c r="L1500" s="6">
        <v>48</v>
      </c>
      <c r="M1500" s="1" t="s">
        <v>70</v>
      </c>
      <c r="N1500" s="7" t="s">
        <v>44</v>
      </c>
      <c r="O1500" s="1" t="s">
        <v>53</v>
      </c>
      <c r="P1500" s="8">
        <v>3700</v>
      </c>
      <c r="Q1500" s="17">
        <f t="shared" si="136"/>
        <v>177600</v>
      </c>
      <c r="R1500" s="9">
        <v>180</v>
      </c>
      <c r="S1500" s="9">
        <v>25.4</v>
      </c>
      <c r="T1500" s="9">
        <v>0</v>
      </c>
      <c r="U1500" s="10">
        <v>0</v>
      </c>
      <c r="V1500" s="1" t="s">
        <v>46</v>
      </c>
      <c r="W1500" s="1" t="s">
        <v>1756</v>
      </c>
      <c r="X1500" s="1">
        <v>8204018</v>
      </c>
      <c r="Y1500" s="11">
        <v>42068</v>
      </c>
      <c r="Z1500" s="11">
        <v>42070</v>
      </c>
      <c r="AA1500" s="9">
        <f t="shared" si="139"/>
        <v>177394.6</v>
      </c>
      <c r="AB1500" s="12">
        <v>61.8</v>
      </c>
      <c r="AC1500" s="9">
        <f t="shared" si="134"/>
        <v>10975680</v>
      </c>
      <c r="AD1500" s="9">
        <f t="shared" si="135"/>
        <v>10962986.279999999</v>
      </c>
      <c r="AE1500" s="1" t="s">
        <v>48</v>
      </c>
      <c r="AF1500" s="1" t="s">
        <v>53</v>
      </c>
      <c r="AG1500" s="4">
        <f t="shared" si="137"/>
        <v>177600</v>
      </c>
      <c r="AH1500" s="10">
        <v>177415</v>
      </c>
      <c r="AI1500" s="10">
        <v>179.32</v>
      </c>
      <c r="AJ1500" s="10">
        <v>25.4</v>
      </c>
      <c r="AK1500" s="10">
        <v>0</v>
      </c>
      <c r="AL1500" s="9">
        <f t="shared" si="138"/>
        <v>177210.28</v>
      </c>
      <c r="AM1500" s="1"/>
      <c r="AN1500" s="1"/>
      <c r="AO1500" s="12" t="e">
        <f>AB1500/#REF!</f>
        <v>#REF!</v>
      </c>
      <c r="AP1500" s="1"/>
      <c r="AQ1500" s="11">
        <v>42100</v>
      </c>
      <c r="AR1500" s="1" t="s">
        <v>3616</v>
      </c>
      <c r="AS1500" s="11">
        <v>42101</v>
      </c>
      <c r="AT1500" s="1" t="s">
        <v>49</v>
      </c>
      <c r="AU1500" s="1" t="s">
        <v>4171</v>
      </c>
    </row>
    <row r="1501" spans="1:47" ht="15" customHeight="1" x14ac:dyDescent="0.25">
      <c r="A1501" s="1">
        <v>1489</v>
      </c>
      <c r="B1501" s="1" t="s">
        <v>1258</v>
      </c>
      <c r="C1501" s="1" t="s">
        <v>38</v>
      </c>
      <c r="D1501" s="1">
        <v>9103551289</v>
      </c>
      <c r="E1501" s="5">
        <v>42072</v>
      </c>
      <c r="F1501" s="1" t="s">
        <v>3274</v>
      </c>
      <c r="G1501" s="1" t="s">
        <v>40</v>
      </c>
      <c r="H1501" s="1" t="s">
        <v>41</v>
      </c>
      <c r="I1501" s="1" t="s">
        <v>2809</v>
      </c>
      <c r="J1501" s="1" t="s">
        <v>78</v>
      </c>
      <c r="K1501" s="1">
        <v>29051700</v>
      </c>
      <c r="L1501" s="6">
        <v>18.63</v>
      </c>
      <c r="M1501" s="1" t="s">
        <v>70</v>
      </c>
      <c r="N1501" s="7" t="s">
        <v>67</v>
      </c>
      <c r="O1501" s="1" t="s">
        <v>53</v>
      </c>
      <c r="P1501" s="8">
        <v>1545</v>
      </c>
      <c r="Q1501" s="17">
        <f t="shared" si="136"/>
        <v>28783.35</v>
      </c>
      <c r="R1501" s="9">
        <v>0</v>
      </c>
      <c r="S1501" s="9">
        <v>0</v>
      </c>
      <c r="T1501" s="9">
        <v>0</v>
      </c>
      <c r="U1501" s="10">
        <v>0</v>
      </c>
      <c r="V1501" s="1" t="s">
        <v>46</v>
      </c>
      <c r="W1501" s="1" t="s">
        <v>56</v>
      </c>
      <c r="X1501" s="1">
        <v>8207616</v>
      </c>
      <c r="Y1501" s="11">
        <v>42068</v>
      </c>
      <c r="Z1501" s="11">
        <v>42070</v>
      </c>
      <c r="AA1501" s="9">
        <f t="shared" si="139"/>
        <v>28783.35</v>
      </c>
      <c r="AB1501" s="12">
        <v>61.8</v>
      </c>
      <c r="AC1501" s="9">
        <f t="shared" si="134"/>
        <v>1778811.0299999998</v>
      </c>
      <c r="AD1501" s="9">
        <f t="shared" si="135"/>
        <v>1778811.0299999998</v>
      </c>
      <c r="AE1501" s="1" t="s">
        <v>48</v>
      </c>
      <c r="AF1501" s="1" t="s">
        <v>53</v>
      </c>
      <c r="AG1501" s="4">
        <f t="shared" si="137"/>
        <v>28783.35</v>
      </c>
      <c r="AH1501" s="10">
        <v>28783.35</v>
      </c>
      <c r="AI1501" s="10">
        <v>0</v>
      </c>
      <c r="AJ1501" s="10">
        <v>0</v>
      </c>
      <c r="AK1501" s="10">
        <v>0</v>
      </c>
      <c r="AL1501" s="9">
        <f t="shared" si="138"/>
        <v>28783.35</v>
      </c>
      <c r="AM1501" s="1"/>
      <c r="AN1501" s="1"/>
      <c r="AO1501" s="12" t="e">
        <f>AB1501/#REF!</f>
        <v>#REF!</v>
      </c>
      <c r="AP1501" s="1"/>
      <c r="AQ1501" s="11">
        <v>42103</v>
      </c>
      <c r="AR1501" s="1" t="s">
        <v>3617</v>
      </c>
      <c r="AS1501" s="11">
        <v>42105</v>
      </c>
      <c r="AT1501" s="1" t="s">
        <v>49</v>
      </c>
      <c r="AU1501" s="1" t="s">
        <v>4171</v>
      </c>
    </row>
    <row r="1502" spans="1:47" ht="15" customHeight="1" x14ac:dyDescent="0.25">
      <c r="A1502" s="1">
        <v>1490</v>
      </c>
      <c r="B1502" s="1" t="s">
        <v>1258</v>
      </c>
      <c r="C1502" s="1" t="s">
        <v>38</v>
      </c>
      <c r="D1502" s="1">
        <v>9103551290</v>
      </c>
      <c r="E1502" s="5">
        <v>42075</v>
      </c>
      <c r="F1502" s="1" t="s">
        <v>3275</v>
      </c>
      <c r="G1502" s="1" t="s">
        <v>40</v>
      </c>
      <c r="H1502" s="1" t="s">
        <v>41</v>
      </c>
      <c r="I1502" s="1" t="s">
        <v>2809</v>
      </c>
      <c r="J1502" s="1" t="s">
        <v>2690</v>
      </c>
      <c r="K1502" s="1">
        <v>38237090</v>
      </c>
      <c r="L1502" s="6">
        <v>17.600000000000001</v>
      </c>
      <c r="M1502" s="1" t="s">
        <v>70</v>
      </c>
      <c r="N1502" s="7" t="s">
        <v>44</v>
      </c>
      <c r="O1502" s="1" t="s">
        <v>53</v>
      </c>
      <c r="P1502" s="8">
        <v>1705</v>
      </c>
      <c r="Q1502" s="17">
        <f t="shared" si="136"/>
        <v>30008.000000000004</v>
      </c>
      <c r="R1502" s="9">
        <v>1050</v>
      </c>
      <c r="S1502" s="9">
        <v>4.29</v>
      </c>
      <c r="T1502" s="9">
        <v>0</v>
      </c>
      <c r="U1502" s="10">
        <v>0</v>
      </c>
      <c r="V1502" s="1" t="s">
        <v>46</v>
      </c>
      <c r="W1502" s="1" t="s">
        <v>205</v>
      </c>
      <c r="X1502" s="1">
        <v>8232118</v>
      </c>
      <c r="Y1502" s="11">
        <v>42070</v>
      </c>
      <c r="Z1502" s="11">
        <v>42072</v>
      </c>
      <c r="AA1502" s="9">
        <f t="shared" si="139"/>
        <v>28953.710000000003</v>
      </c>
      <c r="AB1502" s="12">
        <v>61.8</v>
      </c>
      <c r="AC1502" s="9">
        <f t="shared" ref="AC1502:AC1574" si="140">+Q1502*AB1502</f>
        <v>1854494.4000000001</v>
      </c>
      <c r="AD1502" s="9">
        <f t="shared" ref="AD1502:AD1522" si="141">+AA1502*AB1502</f>
        <v>1789339.2780000002</v>
      </c>
      <c r="AE1502" s="1" t="s">
        <v>48</v>
      </c>
      <c r="AF1502" s="1" t="s">
        <v>53</v>
      </c>
      <c r="AG1502" s="4">
        <f t="shared" si="137"/>
        <v>30008.000000000004</v>
      </c>
      <c r="AH1502" s="10">
        <v>29993</v>
      </c>
      <c r="AI1502" s="10">
        <v>990</v>
      </c>
      <c r="AJ1502" s="10">
        <v>4.29</v>
      </c>
      <c r="AK1502" s="10">
        <v>0</v>
      </c>
      <c r="AL1502" s="9">
        <f t="shared" si="138"/>
        <v>28998.71</v>
      </c>
      <c r="AM1502" s="1"/>
      <c r="AN1502" s="1"/>
      <c r="AO1502" s="12" t="e">
        <f>AB1502/#REF!</f>
        <v>#REF!</v>
      </c>
      <c r="AP1502" s="1"/>
      <c r="AQ1502" s="11">
        <v>42103</v>
      </c>
      <c r="AR1502" s="1" t="s">
        <v>3618</v>
      </c>
      <c r="AS1502" s="11">
        <v>42105</v>
      </c>
      <c r="AT1502" s="1" t="s">
        <v>49</v>
      </c>
      <c r="AU1502" s="1" t="s">
        <v>4171</v>
      </c>
    </row>
    <row r="1503" spans="1:47" ht="15" customHeight="1" x14ac:dyDescent="0.25">
      <c r="A1503" s="1">
        <v>1491</v>
      </c>
      <c r="B1503" s="1" t="s">
        <v>1258</v>
      </c>
      <c r="C1503" s="1" t="s">
        <v>38</v>
      </c>
      <c r="D1503" s="1">
        <v>9103551291</v>
      </c>
      <c r="E1503" s="5">
        <v>42078</v>
      </c>
      <c r="F1503" s="1" t="s">
        <v>3276</v>
      </c>
      <c r="G1503" s="1" t="s">
        <v>40</v>
      </c>
      <c r="H1503" s="1" t="s">
        <v>41</v>
      </c>
      <c r="I1503" s="1" t="s">
        <v>2809</v>
      </c>
      <c r="J1503" s="1" t="s">
        <v>76</v>
      </c>
      <c r="K1503" s="1">
        <v>29157010</v>
      </c>
      <c r="L1503" s="6">
        <v>15</v>
      </c>
      <c r="M1503" s="1" t="s">
        <v>70</v>
      </c>
      <c r="N1503" s="7" t="s">
        <v>67</v>
      </c>
      <c r="O1503" s="1" t="s">
        <v>53</v>
      </c>
      <c r="P1503" s="8">
        <v>1100</v>
      </c>
      <c r="Q1503" s="17">
        <f t="shared" si="136"/>
        <v>16500</v>
      </c>
      <c r="R1503" s="9">
        <v>0</v>
      </c>
      <c r="S1503" s="9">
        <v>0</v>
      </c>
      <c r="T1503" s="9">
        <v>0</v>
      </c>
      <c r="U1503" s="10">
        <v>0</v>
      </c>
      <c r="V1503" s="1" t="s">
        <v>46</v>
      </c>
      <c r="W1503" s="1" t="s">
        <v>690</v>
      </c>
      <c r="X1503" s="1">
        <v>8232889</v>
      </c>
      <c r="Y1503" s="11">
        <v>42070</v>
      </c>
      <c r="Z1503" s="11">
        <v>42072</v>
      </c>
      <c r="AA1503" s="9">
        <f t="shared" si="139"/>
        <v>16500</v>
      </c>
      <c r="AB1503" s="12">
        <v>61.8</v>
      </c>
      <c r="AC1503" s="9">
        <f t="shared" si="140"/>
        <v>1019700</v>
      </c>
      <c r="AD1503" s="9">
        <f t="shared" si="141"/>
        <v>1019700</v>
      </c>
      <c r="AE1503" s="1"/>
      <c r="AF1503" s="1" t="s">
        <v>53</v>
      </c>
      <c r="AG1503" s="4">
        <f t="shared" si="137"/>
        <v>16500</v>
      </c>
      <c r="AH1503" s="10">
        <v>16500</v>
      </c>
      <c r="AI1503" s="10"/>
      <c r="AJ1503" s="10"/>
      <c r="AK1503" s="10"/>
      <c r="AL1503" s="9">
        <f t="shared" si="138"/>
        <v>16500</v>
      </c>
      <c r="AM1503" s="1"/>
      <c r="AN1503" s="1"/>
      <c r="AO1503" s="12" t="e">
        <f>AB1503/#REF!</f>
        <v>#REF!</v>
      </c>
      <c r="AP1503" s="1" t="s">
        <v>4275</v>
      </c>
      <c r="AQ1503" s="11">
        <v>42228</v>
      </c>
      <c r="AR1503" s="1" t="s">
        <v>4276</v>
      </c>
      <c r="AS1503" s="11">
        <v>42229</v>
      </c>
      <c r="AT1503" s="1" t="s">
        <v>49</v>
      </c>
      <c r="AU1503" s="1" t="s">
        <v>4171</v>
      </c>
    </row>
    <row r="1504" spans="1:47" ht="15" customHeight="1" x14ac:dyDescent="0.25">
      <c r="A1504" s="1">
        <v>1492</v>
      </c>
      <c r="B1504" s="1" t="s">
        <v>1258</v>
      </c>
      <c r="C1504" s="1" t="s">
        <v>38</v>
      </c>
      <c r="D1504" s="1">
        <v>9103551292</v>
      </c>
      <c r="E1504" s="5">
        <v>42075</v>
      </c>
      <c r="F1504" s="1" t="s">
        <v>3277</v>
      </c>
      <c r="G1504" s="1" t="s">
        <v>40</v>
      </c>
      <c r="H1504" s="1" t="s">
        <v>41</v>
      </c>
      <c r="I1504" s="1" t="s">
        <v>2809</v>
      </c>
      <c r="J1504" s="1" t="s">
        <v>63</v>
      </c>
      <c r="K1504" s="1">
        <v>29161990</v>
      </c>
      <c r="L1504" s="6">
        <v>58.74</v>
      </c>
      <c r="M1504" s="1" t="s">
        <v>70</v>
      </c>
      <c r="N1504" s="7" t="s">
        <v>44</v>
      </c>
      <c r="O1504" s="1" t="s">
        <v>53</v>
      </c>
      <c r="P1504" s="8">
        <v>2615</v>
      </c>
      <c r="Q1504" s="17">
        <f t="shared" si="136"/>
        <v>153605.1</v>
      </c>
      <c r="R1504" s="9">
        <v>1080</v>
      </c>
      <c r="S1504" s="9">
        <v>21.97</v>
      </c>
      <c r="T1504" s="9">
        <v>0</v>
      </c>
      <c r="U1504" s="10">
        <v>0</v>
      </c>
      <c r="V1504" s="1" t="s">
        <v>46</v>
      </c>
      <c r="W1504" s="1" t="s">
        <v>64</v>
      </c>
      <c r="X1504" s="1">
        <v>8236067</v>
      </c>
      <c r="Y1504" s="11">
        <v>42070</v>
      </c>
      <c r="Z1504" s="11">
        <v>42072</v>
      </c>
      <c r="AA1504" s="9">
        <f t="shared" si="139"/>
        <v>152503.13</v>
      </c>
      <c r="AB1504" s="12">
        <v>61.8</v>
      </c>
      <c r="AC1504" s="9">
        <f t="shared" si="140"/>
        <v>9492795.1799999997</v>
      </c>
      <c r="AD1504" s="9">
        <f t="shared" si="141"/>
        <v>9424693.4340000004</v>
      </c>
      <c r="AE1504" s="1" t="s">
        <v>48</v>
      </c>
      <c r="AF1504" s="1" t="s">
        <v>53</v>
      </c>
      <c r="AG1504" s="4">
        <f t="shared" si="137"/>
        <v>153605.1</v>
      </c>
      <c r="AH1504" s="10">
        <v>153563.1</v>
      </c>
      <c r="AI1504" s="10">
        <v>1080</v>
      </c>
      <c r="AJ1504" s="10">
        <v>21.97</v>
      </c>
      <c r="AK1504" s="10">
        <v>0</v>
      </c>
      <c r="AL1504" s="9">
        <f t="shared" si="138"/>
        <v>152461.13</v>
      </c>
      <c r="AM1504" s="1"/>
      <c r="AN1504" s="1"/>
      <c r="AO1504" s="12" t="e">
        <f>AB1504/#REF!</f>
        <v>#REF!</v>
      </c>
      <c r="AP1504" s="1"/>
      <c r="AQ1504" s="11">
        <v>42100</v>
      </c>
      <c r="AR1504" s="1" t="s">
        <v>3619</v>
      </c>
      <c r="AS1504" s="11">
        <v>42101</v>
      </c>
      <c r="AT1504" s="1" t="s">
        <v>49</v>
      </c>
      <c r="AU1504" s="1" t="s">
        <v>4171</v>
      </c>
    </row>
    <row r="1505" spans="1:47" ht="15" customHeight="1" x14ac:dyDescent="0.25">
      <c r="A1505" s="1">
        <v>1493</v>
      </c>
      <c r="B1505" s="1" t="s">
        <v>1258</v>
      </c>
      <c r="C1505" s="1" t="s">
        <v>38</v>
      </c>
      <c r="D1505" s="1">
        <v>9103551293</v>
      </c>
      <c r="E1505" s="5">
        <v>42078</v>
      </c>
      <c r="F1505" s="1" t="s">
        <v>3278</v>
      </c>
      <c r="G1505" s="1" t="s">
        <v>40</v>
      </c>
      <c r="H1505" s="1" t="s">
        <v>41</v>
      </c>
      <c r="I1505" s="1" t="s">
        <v>2809</v>
      </c>
      <c r="J1505" s="1" t="s">
        <v>187</v>
      </c>
      <c r="K1505" s="1">
        <v>38237090</v>
      </c>
      <c r="L1505" s="6">
        <v>18.14</v>
      </c>
      <c r="M1505" s="1" t="s">
        <v>70</v>
      </c>
      <c r="N1505" s="7" t="s">
        <v>44</v>
      </c>
      <c r="O1505" s="1" t="s">
        <v>53</v>
      </c>
      <c r="P1505" s="8">
        <v>1567</v>
      </c>
      <c r="Q1505" s="17">
        <f t="shared" si="136"/>
        <v>28425.38</v>
      </c>
      <c r="R1505" s="9">
        <v>2750</v>
      </c>
      <c r="S1505" s="9">
        <v>4.0599999999999996</v>
      </c>
      <c r="T1505" s="9">
        <v>0</v>
      </c>
      <c r="U1505" s="10">
        <v>0</v>
      </c>
      <c r="V1505" s="1" t="s">
        <v>46</v>
      </c>
      <c r="W1505" s="1" t="s">
        <v>56</v>
      </c>
      <c r="X1505" s="1">
        <v>8249967</v>
      </c>
      <c r="Y1505" s="11">
        <v>42072</v>
      </c>
      <c r="Z1505" s="11">
        <v>42073</v>
      </c>
      <c r="AA1505" s="9">
        <f t="shared" si="139"/>
        <v>25671.32</v>
      </c>
      <c r="AB1505" s="12">
        <v>61.8</v>
      </c>
      <c r="AC1505" s="9">
        <f t="shared" si="140"/>
        <v>1756688.4839999999</v>
      </c>
      <c r="AD1505" s="9">
        <f t="shared" si="141"/>
        <v>1586487.5759999999</v>
      </c>
      <c r="AE1505" s="1" t="s">
        <v>48</v>
      </c>
      <c r="AF1505" s="1" t="s">
        <v>53</v>
      </c>
      <c r="AG1505" s="4">
        <f t="shared" si="137"/>
        <v>28425.38</v>
      </c>
      <c r="AH1505" s="10">
        <v>28425.38</v>
      </c>
      <c r="AI1505" s="10">
        <v>2805</v>
      </c>
      <c r="AJ1505" s="10">
        <v>4.0599999999999996</v>
      </c>
      <c r="AK1505" s="10">
        <v>0</v>
      </c>
      <c r="AL1505" s="9">
        <f t="shared" si="138"/>
        <v>25616.32</v>
      </c>
      <c r="AM1505" s="1"/>
      <c r="AN1505" s="1"/>
      <c r="AO1505" s="12" t="e">
        <f>AB1505/#REF!</f>
        <v>#REF!</v>
      </c>
      <c r="AP1505" s="1"/>
      <c r="AQ1505" s="11">
        <v>42136</v>
      </c>
      <c r="AR1505" s="1" t="s">
        <v>3675</v>
      </c>
      <c r="AS1505" s="11">
        <v>42139</v>
      </c>
      <c r="AT1505" s="1" t="s">
        <v>3650</v>
      </c>
      <c r="AU1505" s="1" t="s">
        <v>4171</v>
      </c>
    </row>
    <row r="1506" spans="1:47" ht="15" customHeight="1" x14ac:dyDescent="0.25">
      <c r="A1506" s="1">
        <v>1493</v>
      </c>
      <c r="B1506" s="1" t="s">
        <v>1258</v>
      </c>
      <c r="C1506" s="1" t="s">
        <v>38</v>
      </c>
      <c r="D1506" s="1">
        <v>9103551294</v>
      </c>
      <c r="E1506" s="5">
        <v>42079</v>
      </c>
      <c r="F1506" s="1" t="s">
        <v>4341</v>
      </c>
      <c r="G1506" s="1" t="s">
        <v>40</v>
      </c>
      <c r="H1506" s="1" t="s">
        <v>41</v>
      </c>
      <c r="I1506" s="1" t="s">
        <v>2809</v>
      </c>
      <c r="J1506" s="1" t="s">
        <v>2805</v>
      </c>
      <c r="K1506" s="1"/>
      <c r="L1506" s="6">
        <v>120</v>
      </c>
      <c r="M1506" s="1" t="s">
        <v>70</v>
      </c>
      <c r="N1506" s="7" t="s">
        <v>44</v>
      </c>
      <c r="O1506" s="1" t="s">
        <v>53</v>
      </c>
      <c r="P1506" s="8">
        <v>3700</v>
      </c>
      <c r="Q1506" s="17">
        <f t="shared" si="136"/>
        <v>444000</v>
      </c>
      <c r="R1506" s="9"/>
      <c r="S1506" s="9"/>
      <c r="T1506" s="9"/>
      <c r="U1506" s="10"/>
      <c r="V1506" s="1" t="s">
        <v>46</v>
      </c>
      <c r="W1506" s="1" t="s">
        <v>54</v>
      </c>
      <c r="X1506" s="1">
        <v>8256711</v>
      </c>
      <c r="Y1506" s="11">
        <v>42072</v>
      </c>
      <c r="Z1506" s="11"/>
      <c r="AA1506" s="9"/>
      <c r="AB1506" s="12"/>
      <c r="AC1506" s="9"/>
      <c r="AD1506" s="9"/>
      <c r="AE1506" s="1"/>
      <c r="AF1506" s="1"/>
      <c r="AG1506" s="4">
        <f t="shared" si="137"/>
        <v>444000</v>
      </c>
      <c r="AH1506" s="10"/>
      <c r="AI1506" s="10"/>
      <c r="AJ1506" s="10"/>
      <c r="AK1506" s="10"/>
      <c r="AL1506" s="9"/>
      <c r="AM1506" s="1"/>
      <c r="AN1506" s="1"/>
      <c r="AO1506" s="12"/>
      <c r="AP1506" s="1"/>
      <c r="AQ1506" s="11"/>
      <c r="AR1506" s="1"/>
      <c r="AS1506" s="11"/>
      <c r="AT1506" s="1"/>
      <c r="AU1506" s="1"/>
    </row>
    <row r="1507" spans="1:47" ht="15" customHeight="1" x14ac:dyDescent="0.25">
      <c r="A1507" s="1">
        <v>1494</v>
      </c>
      <c r="B1507" s="1" t="s">
        <v>1258</v>
      </c>
      <c r="C1507" s="1" t="s">
        <v>38</v>
      </c>
      <c r="D1507" s="1">
        <v>9103551295</v>
      </c>
      <c r="E1507" s="5">
        <v>42079</v>
      </c>
      <c r="F1507" s="1" t="s">
        <v>3279</v>
      </c>
      <c r="G1507" s="1" t="s">
        <v>40</v>
      </c>
      <c r="H1507" s="1" t="s">
        <v>41</v>
      </c>
      <c r="I1507" s="1" t="s">
        <v>2809</v>
      </c>
      <c r="J1507" s="1" t="s">
        <v>2671</v>
      </c>
      <c r="K1507" s="1">
        <v>38237090</v>
      </c>
      <c r="L1507" s="6">
        <v>2</v>
      </c>
      <c r="M1507" s="1" t="s">
        <v>70</v>
      </c>
      <c r="N1507" s="7" t="s">
        <v>52</v>
      </c>
      <c r="O1507" s="1" t="s">
        <v>53</v>
      </c>
      <c r="P1507" s="8">
        <v>4470</v>
      </c>
      <c r="Q1507" s="17">
        <f t="shared" si="136"/>
        <v>8940</v>
      </c>
      <c r="R1507" s="9">
        <v>150</v>
      </c>
      <c r="S1507" s="9">
        <v>0</v>
      </c>
      <c r="T1507" s="9">
        <v>0</v>
      </c>
      <c r="U1507" s="10">
        <v>0</v>
      </c>
      <c r="V1507" s="1" t="s">
        <v>46</v>
      </c>
      <c r="W1507" s="1" t="s">
        <v>236</v>
      </c>
      <c r="X1507" s="1">
        <v>8151036</v>
      </c>
      <c r="Y1507" s="11">
        <v>42066</v>
      </c>
      <c r="Z1507" s="11">
        <v>42073</v>
      </c>
      <c r="AA1507" s="9">
        <f t="shared" si="139"/>
        <v>8790</v>
      </c>
      <c r="AB1507" s="12">
        <v>61.8</v>
      </c>
      <c r="AC1507" s="9">
        <f t="shared" si="140"/>
        <v>552492</v>
      </c>
      <c r="AD1507" s="9">
        <f t="shared" si="141"/>
        <v>543222</v>
      </c>
      <c r="AE1507" s="1"/>
      <c r="AF1507" s="1" t="s">
        <v>53</v>
      </c>
      <c r="AG1507" s="4">
        <f t="shared" si="137"/>
        <v>8940</v>
      </c>
      <c r="AH1507" s="10">
        <v>8905</v>
      </c>
      <c r="AI1507" s="10"/>
      <c r="AJ1507" s="10"/>
      <c r="AK1507" s="10"/>
      <c r="AL1507" s="9">
        <f>AH1507-(AI1507+AJ1507+AK1507)</f>
        <v>8905</v>
      </c>
      <c r="AM1507" s="1"/>
      <c r="AN1507" s="1"/>
      <c r="AO1507" s="12" t="e">
        <f>AB1507/#REF!</f>
        <v>#REF!</v>
      </c>
      <c r="AP1507" s="1" t="s">
        <v>4277</v>
      </c>
      <c r="AQ1507" s="11">
        <v>42144</v>
      </c>
      <c r="AR1507" s="1" t="s">
        <v>4278</v>
      </c>
      <c r="AS1507" s="11">
        <v>42147</v>
      </c>
      <c r="AT1507" s="1" t="s">
        <v>49</v>
      </c>
      <c r="AU1507" s="1" t="s">
        <v>4171</v>
      </c>
    </row>
    <row r="1508" spans="1:47" ht="15" customHeight="1" x14ac:dyDescent="0.2">
      <c r="A1508" s="1">
        <v>1494</v>
      </c>
      <c r="B1508" s="1" t="s">
        <v>1258</v>
      </c>
      <c r="C1508" s="1" t="s">
        <v>38</v>
      </c>
      <c r="D1508" s="1">
        <v>9103551296</v>
      </c>
      <c r="E1508" s="5">
        <v>42078</v>
      </c>
      <c r="F1508" s="1" t="s">
        <v>4339</v>
      </c>
      <c r="G1508" s="1" t="s">
        <v>40</v>
      </c>
      <c r="H1508" s="1" t="s">
        <v>41</v>
      </c>
      <c r="I1508" s="1" t="s">
        <v>2809</v>
      </c>
      <c r="J1508" s="1" t="s">
        <v>4340</v>
      </c>
      <c r="K1508" s="1">
        <v>29051700</v>
      </c>
      <c r="L1508" s="6">
        <v>16</v>
      </c>
      <c r="M1508" s="1" t="s">
        <v>70</v>
      </c>
      <c r="N1508" s="7" t="s">
        <v>67</v>
      </c>
      <c r="O1508" s="1" t="s">
        <v>53</v>
      </c>
      <c r="P1508" s="8">
        <v>1570</v>
      </c>
      <c r="Q1508" s="17">
        <f t="shared" si="136"/>
        <v>25120</v>
      </c>
      <c r="R1508" s="9">
        <v>0</v>
      </c>
      <c r="S1508" s="9">
        <v>0</v>
      </c>
      <c r="T1508" s="9">
        <v>0</v>
      </c>
      <c r="U1508" s="10">
        <v>0</v>
      </c>
      <c r="V1508" s="1" t="s">
        <v>46</v>
      </c>
      <c r="W1508" s="1" t="s">
        <v>2963</v>
      </c>
      <c r="X1508" s="1">
        <v>8278741</v>
      </c>
      <c r="Y1508" s="11">
        <v>42073</v>
      </c>
      <c r="Z1508" s="11"/>
      <c r="AA1508" s="9">
        <f t="shared" si="139"/>
        <v>25120</v>
      </c>
      <c r="AB1508" s="12"/>
      <c r="AC1508" s="9"/>
      <c r="AD1508" s="9"/>
      <c r="AE1508" s="1"/>
      <c r="AF1508" s="1"/>
      <c r="AG1508" s="4">
        <f t="shared" si="137"/>
        <v>25120</v>
      </c>
      <c r="AH1508" s="10">
        <v>25056</v>
      </c>
      <c r="AI1508" s="10"/>
      <c r="AJ1508" s="10"/>
      <c r="AK1508" s="10"/>
      <c r="AL1508" s="9">
        <f>AH1508-(AI1508+AJ1508+AK1508)</f>
        <v>25056</v>
      </c>
      <c r="AM1508" s="1"/>
      <c r="AN1508" s="1"/>
      <c r="AO1508" s="12"/>
      <c r="AP1508" s="18" t="s">
        <v>4378</v>
      </c>
      <c r="AQ1508" s="11">
        <v>42143</v>
      </c>
      <c r="AR1508" s="18" t="s">
        <v>4377</v>
      </c>
      <c r="AS1508" s="11">
        <v>42147</v>
      </c>
      <c r="AT1508" s="1" t="s">
        <v>49</v>
      </c>
      <c r="AU1508" s="1" t="s">
        <v>4171</v>
      </c>
    </row>
    <row r="1509" spans="1:47" ht="15" customHeight="1" x14ac:dyDescent="0.25">
      <c r="A1509" s="1">
        <v>1495</v>
      </c>
      <c r="B1509" s="1" t="s">
        <v>1258</v>
      </c>
      <c r="C1509" s="1" t="s">
        <v>38</v>
      </c>
      <c r="D1509" s="1">
        <v>9103551297</v>
      </c>
      <c r="E1509" s="5">
        <v>42078</v>
      </c>
      <c r="F1509" s="1" t="s">
        <v>3280</v>
      </c>
      <c r="G1509" s="1" t="s">
        <v>40</v>
      </c>
      <c r="H1509" s="1" t="s">
        <v>41</v>
      </c>
      <c r="I1509" s="1" t="s">
        <v>2809</v>
      </c>
      <c r="J1509" s="1" t="s">
        <v>76</v>
      </c>
      <c r="K1509" s="1">
        <v>38237090</v>
      </c>
      <c r="L1509" s="6">
        <v>30</v>
      </c>
      <c r="M1509" s="1" t="s">
        <v>70</v>
      </c>
      <c r="N1509" s="7" t="s">
        <v>67</v>
      </c>
      <c r="O1509" s="1" t="s">
        <v>53</v>
      </c>
      <c r="P1509" s="8">
        <v>1420</v>
      </c>
      <c r="Q1509" s="17">
        <f t="shared" si="136"/>
        <v>42600</v>
      </c>
      <c r="R1509" s="9">
        <v>0</v>
      </c>
      <c r="S1509" s="9">
        <v>0</v>
      </c>
      <c r="T1509" s="9">
        <v>0</v>
      </c>
      <c r="U1509" s="10">
        <v>0</v>
      </c>
      <c r="V1509" s="1" t="s">
        <v>46</v>
      </c>
      <c r="W1509" s="1" t="s">
        <v>690</v>
      </c>
      <c r="X1509" s="1">
        <v>8284109</v>
      </c>
      <c r="Y1509" s="11">
        <v>42073</v>
      </c>
      <c r="Z1509" s="11">
        <v>42074</v>
      </c>
      <c r="AA1509" s="9">
        <f t="shared" si="139"/>
        <v>42600</v>
      </c>
      <c r="AB1509" s="12">
        <v>61.8</v>
      </c>
      <c r="AC1509" s="9">
        <f t="shared" si="140"/>
        <v>2632680</v>
      </c>
      <c r="AD1509" s="9">
        <f t="shared" si="141"/>
        <v>2632680</v>
      </c>
      <c r="AE1509" s="1"/>
      <c r="AF1509" s="1" t="s">
        <v>53</v>
      </c>
      <c r="AG1509" s="4">
        <f t="shared" si="137"/>
        <v>42600</v>
      </c>
      <c r="AH1509" s="10">
        <v>42600</v>
      </c>
      <c r="AI1509" s="10"/>
      <c r="AJ1509" s="10"/>
      <c r="AK1509" s="10"/>
      <c r="AL1509" s="9">
        <f>AH1509-(AI1509+AJ1509+AK1509)</f>
        <v>42600</v>
      </c>
      <c r="AM1509" s="1"/>
      <c r="AN1509" s="1"/>
      <c r="AO1509" s="12" t="e">
        <f>AB1509/#REF!</f>
        <v>#REF!</v>
      </c>
      <c r="AP1509" s="1" t="s">
        <v>4279</v>
      </c>
      <c r="AQ1509" s="11">
        <v>42228</v>
      </c>
      <c r="AR1509" s="1" t="s">
        <v>4280</v>
      </c>
      <c r="AS1509" s="11">
        <v>42229</v>
      </c>
      <c r="AT1509" s="1" t="s">
        <v>49</v>
      </c>
      <c r="AU1509" s="1" t="s">
        <v>4171</v>
      </c>
    </row>
    <row r="1510" spans="1:47" ht="15" customHeight="1" x14ac:dyDescent="0.2">
      <c r="A1510" s="1">
        <v>1495</v>
      </c>
      <c r="B1510" s="1" t="s">
        <v>1258</v>
      </c>
      <c r="C1510" s="1" t="s">
        <v>38</v>
      </c>
      <c r="D1510" s="1" t="s">
        <v>4331</v>
      </c>
      <c r="E1510" s="5">
        <v>42083</v>
      </c>
      <c r="F1510" s="1" t="s">
        <v>4330</v>
      </c>
      <c r="G1510" s="1" t="s">
        <v>40</v>
      </c>
      <c r="H1510" s="1" t="s">
        <v>41</v>
      </c>
      <c r="I1510" s="1" t="s">
        <v>2809</v>
      </c>
      <c r="J1510" s="1" t="s">
        <v>63</v>
      </c>
      <c r="K1510" s="1"/>
      <c r="L1510" s="6">
        <v>59.12</v>
      </c>
      <c r="M1510" s="1" t="s">
        <v>70</v>
      </c>
      <c r="N1510" s="7" t="s">
        <v>44</v>
      </c>
      <c r="O1510" s="1" t="s">
        <v>53</v>
      </c>
      <c r="P1510" s="8">
        <v>2615</v>
      </c>
      <c r="Q1510" s="17">
        <f t="shared" si="136"/>
        <v>154598.79999999999</v>
      </c>
      <c r="R1510" s="9"/>
      <c r="S1510" s="9"/>
      <c r="T1510" s="9"/>
      <c r="U1510" s="10"/>
      <c r="V1510" s="1" t="s">
        <v>46</v>
      </c>
      <c r="W1510" s="1" t="s">
        <v>64</v>
      </c>
      <c r="X1510" s="1">
        <v>8371744</v>
      </c>
      <c r="Y1510" s="11">
        <v>42077</v>
      </c>
      <c r="Z1510" s="11"/>
      <c r="AA1510" s="9"/>
      <c r="AB1510" s="12"/>
      <c r="AC1510" s="9"/>
      <c r="AD1510" s="9"/>
      <c r="AE1510" s="1"/>
      <c r="AF1510" s="1"/>
      <c r="AG1510" s="4">
        <f t="shared" si="137"/>
        <v>154598.79999999999</v>
      </c>
      <c r="AH1510" s="10">
        <f>51254 + 103344</f>
        <v>154598</v>
      </c>
      <c r="AI1510" s="10"/>
      <c r="AJ1510" s="10"/>
      <c r="AK1510" s="10"/>
      <c r="AL1510" s="9">
        <f>AH1510-(AI1510+AJ1510+AK1510)</f>
        <v>154598</v>
      </c>
      <c r="AM1510" s="1"/>
      <c r="AN1510" s="1"/>
      <c r="AO1510" s="12"/>
      <c r="AP1510" s="18" t="s">
        <v>4380</v>
      </c>
      <c r="AQ1510" s="11">
        <v>42101</v>
      </c>
      <c r="AR1510" s="1" t="s">
        <v>4379</v>
      </c>
      <c r="AS1510" s="11">
        <v>42101</v>
      </c>
      <c r="AT1510" s="1" t="s">
        <v>49</v>
      </c>
      <c r="AU1510" s="1" t="s">
        <v>4171</v>
      </c>
    </row>
    <row r="1511" spans="1:47" ht="15" customHeight="1" x14ac:dyDescent="0.25">
      <c r="A1511" s="1">
        <v>1495</v>
      </c>
      <c r="B1511" s="1" t="s">
        <v>1258</v>
      </c>
      <c r="C1511" s="1" t="s">
        <v>38</v>
      </c>
      <c r="D1511" s="1">
        <v>9103551299</v>
      </c>
      <c r="E1511" s="5">
        <v>42080</v>
      </c>
      <c r="F1511" s="1" t="s">
        <v>4326</v>
      </c>
      <c r="G1511" s="1" t="s">
        <v>40</v>
      </c>
      <c r="H1511" s="1" t="s">
        <v>41</v>
      </c>
      <c r="I1511" s="1" t="s">
        <v>2809</v>
      </c>
      <c r="J1511" s="1" t="s">
        <v>187</v>
      </c>
      <c r="K1511" s="1">
        <v>38237090</v>
      </c>
      <c r="L1511" s="6">
        <v>36</v>
      </c>
      <c r="M1511" s="1" t="s">
        <v>70</v>
      </c>
      <c r="N1511" s="7" t="s">
        <v>44</v>
      </c>
      <c r="O1511" s="1" t="s">
        <v>53</v>
      </c>
      <c r="P1511" s="8">
        <v>1704</v>
      </c>
      <c r="Q1511" s="17">
        <f t="shared" si="136"/>
        <v>61344</v>
      </c>
      <c r="R1511" s="9"/>
      <c r="S1511" s="9"/>
      <c r="T1511" s="9"/>
      <c r="U1511" s="10"/>
      <c r="V1511" s="1" t="s">
        <v>46</v>
      </c>
      <c r="W1511" s="1" t="s">
        <v>56</v>
      </c>
      <c r="X1511" s="1">
        <v>8305639</v>
      </c>
      <c r="Y1511" s="11">
        <v>42074</v>
      </c>
      <c r="Z1511" s="11"/>
      <c r="AA1511" s="9"/>
      <c r="AB1511" s="12"/>
      <c r="AC1511" s="9"/>
      <c r="AD1511" s="9"/>
      <c r="AE1511" s="1"/>
      <c r="AF1511" s="1"/>
      <c r="AG1511" s="4">
        <f t="shared" si="137"/>
        <v>61344</v>
      </c>
      <c r="AH1511" s="10"/>
      <c r="AI1511" s="10"/>
      <c r="AJ1511" s="10"/>
      <c r="AK1511" s="10"/>
      <c r="AL1511" s="9"/>
      <c r="AM1511" s="1"/>
      <c r="AN1511" s="1"/>
      <c r="AO1511" s="12"/>
      <c r="AP1511" s="1"/>
      <c r="AQ1511" s="11"/>
      <c r="AR1511" s="1"/>
      <c r="AS1511" s="11"/>
      <c r="AT1511" s="1"/>
      <c r="AU1511" s="1"/>
    </row>
    <row r="1512" spans="1:47" ht="15" customHeight="1" x14ac:dyDescent="0.25">
      <c r="A1512" s="1">
        <v>1496</v>
      </c>
      <c r="B1512" s="1" t="s">
        <v>1258</v>
      </c>
      <c r="C1512" s="1" t="s">
        <v>38</v>
      </c>
      <c r="D1512" s="1">
        <v>9103551300</v>
      </c>
      <c r="E1512" s="5">
        <v>42080</v>
      </c>
      <c r="F1512" s="1" t="s">
        <v>3281</v>
      </c>
      <c r="G1512" s="1" t="s">
        <v>40</v>
      </c>
      <c r="H1512" s="1" t="s">
        <v>41</v>
      </c>
      <c r="I1512" s="1" t="s">
        <v>2809</v>
      </c>
      <c r="J1512" s="1" t="s">
        <v>2731</v>
      </c>
      <c r="K1512" s="1">
        <v>38231900</v>
      </c>
      <c r="L1512" s="6">
        <v>72</v>
      </c>
      <c r="M1512" s="1" t="s">
        <v>70</v>
      </c>
      <c r="N1512" s="7" t="s">
        <v>52</v>
      </c>
      <c r="O1512" s="1" t="s">
        <v>53</v>
      </c>
      <c r="P1512" s="8">
        <v>1200</v>
      </c>
      <c r="Q1512" s="17">
        <f t="shared" si="136"/>
        <v>86400</v>
      </c>
      <c r="R1512" s="9">
        <v>1750</v>
      </c>
      <c r="S1512" s="9">
        <v>0</v>
      </c>
      <c r="T1512" s="9">
        <v>0</v>
      </c>
      <c r="U1512" s="10">
        <v>0</v>
      </c>
      <c r="V1512" s="1" t="s">
        <v>46</v>
      </c>
      <c r="W1512" s="1" t="s">
        <v>54</v>
      </c>
      <c r="X1512" s="1">
        <v>8309622</v>
      </c>
      <c r="Y1512" s="11">
        <v>42074</v>
      </c>
      <c r="Z1512" s="11">
        <v>42076</v>
      </c>
      <c r="AA1512" s="9">
        <f t="shared" si="139"/>
        <v>84650</v>
      </c>
      <c r="AB1512" s="12">
        <v>61.8</v>
      </c>
      <c r="AC1512" s="9">
        <f t="shared" si="140"/>
        <v>5339520</v>
      </c>
      <c r="AD1512" s="9">
        <f t="shared" si="141"/>
        <v>5231370</v>
      </c>
      <c r="AE1512" s="1" t="s">
        <v>48</v>
      </c>
      <c r="AF1512" s="1" t="s">
        <v>53</v>
      </c>
      <c r="AG1512" s="4">
        <f t="shared" si="137"/>
        <v>86400</v>
      </c>
      <c r="AH1512" s="10">
        <v>86228</v>
      </c>
      <c r="AI1512" s="10">
        <v>1750</v>
      </c>
      <c r="AJ1512" s="10">
        <v>0</v>
      </c>
      <c r="AK1512" s="10">
        <v>0</v>
      </c>
      <c r="AL1512" s="9">
        <f>AH1512-(AI1512+AJ1512+AK1512)</f>
        <v>84478</v>
      </c>
      <c r="AM1512" s="1"/>
      <c r="AN1512" s="1"/>
      <c r="AO1512" s="12" t="e">
        <f>AB1512/#REF!</f>
        <v>#REF!</v>
      </c>
      <c r="AP1512" s="1"/>
      <c r="AQ1512" s="11">
        <v>42102</v>
      </c>
      <c r="AR1512" s="1" t="s">
        <v>3620</v>
      </c>
      <c r="AS1512" s="11">
        <v>42103</v>
      </c>
      <c r="AT1512" s="1" t="s">
        <v>49</v>
      </c>
      <c r="AU1512" s="1" t="s">
        <v>4171</v>
      </c>
    </row>
    <row r="1513" spans="1:47" ht="15" customHeight="1" x14ac:dyDescent="0.25">
      <c r="A1513" s="1">
        <v>1497</v>
      </c>
      <c r="B1513" s="1" t="s">
        <v>1258</v>
      </c>
      <c r="C1513" s="1" t="s">
        <v>38</v>
      </c>
      <c r="D1513" s="1">
        <v>9103551301</v>
      </c>
      <c r="E1513" s="5">
        <v>42078</v>
      </c>
      <c r="F1513" s="1" t="s">
        <v>3282</v>
      </c>
      <c r="G1513" s="1" t="s">
        <v>40</v>
      </c>
      <c r="H1513" s="1" t="s">
        <v>41</v>
      </c>
      <c r="I1513" s="1" t="s">
        <v>2809</v>
      </c>
      <c r="J1513" s="1" t="s">
        <v>187</v>
      </c>
      <c r="K1513" s="1">
        <v>38237090</v>
      </c>
      <c r="L1513" s="6">
        <v>18.5</v>
      </c>
      <c r="M1513" s="1" t="s">
        <v>70</v>
      </c>
      <c r="N1513" s="7" t="s">
        <v>44</v>
      </c>
      <c r="O1513" s="1" t="s">
        <v>53</v>
      </c>
      <c r="P1513" s="8">
        <v>1495</v>
      </c>
      <c r="Q1513" s="17">
        <f t="shared" si="136"/>
        <v>27657.5</v>
      </c>
      <c r="R1513" s="9">
        <v>3000</v>
      </c>
      <c r="S1513" s="9">
        <v>3.96</v>
      </c>
      <c r="T1513" s="9">
        <v>0</v>
      </c>
      <c r="U1513" s="10">
        <v>0</v>
      </c>
      <c r="V1513" s="1" t="s">
        <v>46</v>
      </c>
      <c r="W1513" s="1" t="s">
        <v>56</v>
      </c>
      <c r="X1513" s="1">
        <v>8309862</v>
      </c>
      <c r="Y1513" s="11">
        <v>42074</v>
      </c>
      <c r="Z1513" s="11">
        <v>42075</v>
      </c>
      <c r="AA1513" s="9">
        <f t="shared" si="139"/>
        <v>24653.54</v>
      </c>
      <c r="AB1513" s="12">
        <v>61.8</v>
      </c>
      <c r="AC1513" s="9">
        <f t="shared" si="140"/>
        <v>1709233.5</v>
      </c>
      <c r="AD1513" s="9">
        <f t="shared" si="141"/>
        <v>1523588.7719999999</v>
      </c>
      <c r="AE1513" s="1" t="s">
        <v>48</v>
      </c>
      <c r="AF1513" s="1" t="s">
        <v>53</v>
      </c>
      <c r="AG1513" s="4">
        <f t="shared" si="137"/>
        <v>27657.5</v>
      </c>
      <c r="AH1513" s="10">
        <v>27657.5</v>
      </c>
      <c r="AI1513" s="10">
        <v>3000</v>
      </c>
      <c r="AJ1513" s="10">
        <v>3.96</v>
      </c>
      <c r="AK1513" s="10">
        <v>0</v>
      </c>
      <c r="AL1513" s="9">
        <f>AH1513-(AI1513+AJ1513+AK1513)</f>
        <v>24653.54</v>
      </c>
      <c r="AM1513" s="1"/>
      <c r="AN1513" s="1"/>
      <c r="AO1513" s="12" t="e">
        <f>AB1513/#REF!</f>
        <v>#REF!</v>
      </c>
      <c r="AP1513" s="1"/>
      <c r="AQ1513" s="11">
        <v>42136</v>
      </c>
      <c r="AR1513" s="1" t="s">
        <v>3676</v>
      </c>
      <c r="AS1513" s="11">
        <v>42139</v>
      </c>
      <c r="AT1513" s="1" t="s">
        <v>3650</v>
      </c>
      <c r="AU1513" s="1" t="s">
        <v>4171</v>
      </c>
    </row>
    <row r="1514" spans="1:47" ht="15" customHeight="1" x14ac:dyDescent="0.25">
      <c r="A1514" s="1">
        <v>1498</v>
      </c>
      <c r="B1514" s="1" t="s">
        <v>1258</v>
      </c>
      <c r="C1514" s="1" t="s">
        <v>38</v>
      </c>
      <c r="D1514" s="1">
        <v>9103551302</v>
      </c>
      <c r="E1514" s="5">
        <v>42079</v>
      </c>
      <c r="F1514" s="1" t="s">
        <v>3296</v>
      </c>
      <c r="G1514" s="1" t="s">
        <v>40</v>
      </c>
      <c r="H1514" s="1" t="s">
        <v>41</v>
      </c>
      <c r="I1514" s="1" t="s">
        <v>2809</v>
      </c>
      <c r="J1514" s="1" t="s">
        <v>1315</v>
      </c>
      <c r="K1514" s="1">
        <v>29159020</v>
      </c>
      <c r="L1514" s="6">
        <v>59.76</v>
      </c>
      <c r="M1514" s="1" t="s">
        <v>70</v>
      </c>
      <c r="N1514" s="7" t="s">
        <v>44</v>
      </c>
      <c r="O1514" s="1" t="s">
        <v>45</v>
      </c>
      <c r="P1514" s="8">
        <v>4024</v>
      </c>
      <c r="Q1514" s="17">
        <f t="shared" si="136"/>
        <v>240474.23999999999</v>
      </c>
      <c r="R1514" s="9">
        <v>2339.6</v>
      </c>
      <c r="S1514" s="9">
        <v>34.39</v>
      </c>
      <c r="T1514" s="9">
        <v>0</v>
      </c>
      <c r="U1514" s="10">
        <v>0</v>
      </c>
      <c r="V1514" s="1" t="s">
        <v>46</v>
      </c>
      <c r="W1514" s="1" t="s">
        <v>59</v>
      </c>
      <c r="X1514" s="1">
        <v>8310739</v>
      </c>
      <c r="Y1514" s="11">
        <v>42074</v>
      </c>
      <c r="Z1514" s="11">
        <v>42075</v>
      </c>
      <c r="AA1514" s="9">
        <f t="shared" si="139"/>
        <v>238100.24999999997</v>
      </c>
      <c r="AB1514" s="12">
        <v>68.150000000000006</v>
      </c>
      <c r="AC1514" s="9">
        <f t="shared" si="140"/>
        <v>16388319.456</v>
      </c>
      <c r="AD1514" s="9">
        <f t="shared" si="141"/>
        <v>16226532.0375</v>
      </c>
      <c r="AE1514" s="1" t="s">
        <v>48</v>
      </c>
      <c r="AF1514" s="1" t="s">
        <v>45</v>
      </c>
      <c r="AG1514" s="4">
        <f t="shared" si="137"/>
        <v>240474.23999999999</v>
      </c>
      <c r="AH1514" s="10">
        <v>240474.23999999999</v>
      </c>
      <c r="AI1514" s="10">
        <v>1934.27</v>
      </c>
      <c r="AJ1514" s="10">
        <v>34.39</v>
      </c>
      <c r="AK1514" s="10">
        <v>0</v>
      </c>
      <c r="AL1514" s="9">
        <f>AH1514-(AI1514+AJ1514+AK1514)</f>
        <v>238505.58</v>
      </c>
      <c r="AM1514" s="1"/>
      <c r="AN1514" s="1"/>
      <c r="AO1514" s="12" t="e">
        <f>AB1514/#REF!</f>
        <v>#REF!</v>
      </c>
      <c r="AP1514" s="1"/>
      <c r="AQ1514" s="11">
        <v>42110</v>
      </c>
      <c r="AR1514" s="1" t="s">
        <v>3717</v>
      </c>
      <c r="AS1514" s="11">
        <v>42111</v>
      </c>
      <c r="AT1514" s="1" t="s">
        <v>49</v>
      </c>
      <c r="AU1514" s="1" t="s">
        <v>4171</v>
      </c>
    </row>
    <row r="1515" spans="1:47" ht="15" customHeight="1" x14ac:dyDescent="0.25">
      <c r="A1515" s="1">
        <v>1499</v>
      </c>
      <c r="B1515" s="1" t="s">
        <v>1258</v>
      </c>
      <c r="C1515" s="1" t="s">
        <v>38</v>
      </c>
      <c r="D1515" s="1">
        <v>9103551303</v>
      </c>
      <c r="E1515" s="5">
        <v>42082</v>
      </c>
      <c r="F1515" s="1" t="s">
        <v>3297</v>
      </c>
      <c r="G1515" s="1" t="s">
        <v>40</v>
      </c>
      <c r="H1515" s="1" t="s">
        <v>41</v>
      </c>
      <c r="I1515" s="1" t="s">
        <v>2809</v>
      </c>
      <c r="J1515" s="1" t="s">
        <v>78</v>
      </c>
      <c r="K1515" s="1">
        <v>29051700</v>
      </c>
      <c r="L1515" s="6">
        <v>18.670000000000002</v>
      </c>
      <c r="M1515" s="1" t="s">
        <v>70</v>
      </c>
      <c r="N1515" s="7" t="s">
        <v>67</v>
      </c>
      <c r="O1515" s="1" t="s">
        <v>53</v>
      </c>
      <c r="P1515" s="8">
        <v>1545</v>
      </c>
      <c r="Q1515" s="17">
        <f t="shared" ref="Q1515:Q1583" si="142">+L1515*P1515</f>
        <v>28845.15</v>
      </c>
      <c r="R1515" s="9">
        <v>0</v>
      </c>
      <c r="S1515" s="9">
        <v>0</v>
      </c>
      <c r="T1515" s="9">
        <v>0</v>
      </c>
      <c r="U1515" s="10">
        <v>0</v>
      </c>
      <c r="V1515" s="1" t="s">
        <v>46</v>
      </c>
      <c r="W1515" s="1" t="s">
        <v>56</v>
      </c>
      <c r="X1515" s="1">
        <v>8322970</v>
      </c>
      <c r="Y1515" s="11">
        <v>42075</v>
      </c>
      <c r="Z1515" s="11">
        <v>42076</v>
      </c>
      <c r="AA1515" s="9">
        <f t="shared" si="139"/>
        <v>28845.15</v>
      </c>
      <c r="AB1515" s="12">
        <v>61.8</v>
      </c>
      <c r="AC1515" s="9">
        <f t="shared" si="140"/>
        <v>1782630.27</v>
      </c>
      <c r="AD1515" s="9">
        <f t="shared" si="141"/>
        <v>1782630.27</v>
      </c>
      <c r="AE1515" s="1" t="s">
        <v>48</v>
      </c>
      <c r="AF1515" s="1" t="s">
        <v>53</v>
      </c>
      <c r="AG1515" s="4">
        <f t="shared" si="137"/>
        <v>28845.15</v>
      </c>
      <c r="AH1515" s="10">
        <v>28845.15</v>
      </c>
      <c r="AI1515" s="10">
        <v>0</v>
      </c>
      <c r="AJ1515" s="10">
        <v>0</v>
      </c>
      <c r="AK1515" s="10">
        <v>0</v>
      </c>
      <c r="AL1515" s="9">
        <f>AH1515-(AI1515+AJ1515+AK1515)</f>
        <v>28845.15</v>
      </c>
      <c r="AM1515" s="1"/>
      <c r="AN1515" s="1"/>
      <c r="AO1515" s="12" t="e">
        <f>AB1515/#REF!</f>
        <v>#REF!</v>
      </c>
      <c r="AP1515" s="1"/>
      <c r="AQ1515" s="11">
        <v>42118</v>
      </c>
      <c r="AR1515" s="1" t="s">
        <v>3621</v>
      </c>
      <c r="AS1515" s="11">
        <v>42119</v>
      </c>
      <c r="AT1515" s="1" t="s">
        <v>49</v>
      </c>
      <c r="AU1515" s="1" t="s">
        <v>4171</v>
      </c>
    </row>
    <row r="1516" spans="1:47" ht="15" customHeight="1" x14ac:dyDescent="0.25">
      <c r="A1516" s="1">
        <v>1499</v>
      </c>
      <c r="B1516" s="1" t="s">
        <v>1258</v>
      </c>
      <c r="C1516" s="1" t="s">
        <v>38</v>
      </c>
      <c r="D1516" s="1">
        <v>9103551304</v>
      </c>
      <c r="E1516" s="5">
        <v>42079</v>
      </c>
      <c r="F1516" s="1" t="s">
        <v>4327</v>
      </c>
      <c r="G1516" s="1" t="s">
        <v>40</v>
      </c>
      <c r="H1516" s="1" t="s">
        <v>41</v>
      </c>
      <c r="I1516" s="1" t="s">
        <v>2809</v>
      </c>
      <c r="J1516" s="1" t="s">
        <v>4328</v>
      </c>
      <c r="K1516" s="1">
        <v>38237090</v>
      </c>
      <c r="L1516" s="6">
        <v>15</v>
      </c>
      <c r="M1516" s="1" t="s">
        <v>70</v>
      </c>
      <c r="N1516" s="7" t="s">
        <v>52</v>
      </c>
      <c r="O1516" s="1" t="s">
        <v>53</v>
      </c>
      <c r="P1516" s="8">
        <v>1695</v>
      </c>
      <c r="Q1516" s="17">
        <f t="shared" si="142"/>
        <v>25425</v>
      </c>
      <c r="R1516" s="9"/>
      <c r="S1516" s="9"/>
      <c r="T1516" s="9"/>
      <c r="U1516" s="10"/>
      <c r="V1516" s="1" t="s">
        <v>46</v>
      </c>
      <c r="W1516" s="1" t="s">
        <v>4329</v>
      </c>
      <c r="X1516" s="1">
        <v>8328237</v>
      </c>
      <c r="Y1516" s="11">
        <v>42086</v>
      </c>
      <c r="Z1516" s="11"/>
      <c r="AA1516" s="9"/>
      <c r="AB1516" s="12"/>
      <c r="AC1516" s="9"/>
      <c r="AD1516" s="9"/>
      <c r="AE1516" s="1"/>
      <c r="AF1516" s="1"/>
      <c r="AG1516" s="4">
        <f t="shared" ref="AG1516:AG1524" si="143">Q1516</f>
        <v>25425</v>
      </c>
      <c r="AH1516" s="10"/>
      <c r="AI1516" s="10"/>
      <c r="AJ1516" s="10"/>
      <c r="AK1516" s="10"/>
      <c r="AL1516" s="9"/>
      <c r="AM1516" s="1"/>
      <c r="AN1516" s="1"/>
      <c r="AO1516" s="12"/>
      <c r="AP1516" s="1"/>
      <c r="AQ1516" s="11"/>
      <c r="AR1516" s="1"/>
      <c r="AS1516" s="11"/>
      <c r="AT1516" s="1"/>
      <c r="AU1516" s="1"/>
    </row>
    <row r="1517" spans="1:47" ht="15" customHeight="1" x14ac:dyDescent="0.25">
      <c r="A1517" s="1">
        <v>1500</v>
      </c>
      <c r="B1517" s="1" t="s">
        <v>1258</v>
      </c>
      <c r="C1517" s="1" t="s">
        <v>38</v>
      </c>
      <c r="D1517" s="1">
        <v>9103551305</v>
      </c>
      <c r="E1517" s="5">
        <v>42078</v>
      </c>
      <c r="F1517" s="1" t="s">
        <v>3298</v>
      </c>
      <c r="G1517" s="1" t="s">
        <v>40</v>
      </c>
      <c r="H1517" s="1" t="s">
        <v>41</v>
      </c>
      <c r="I1517" s="1" t="s">
        <v>2809</v>
      </c>
      <c r="J1517" s="1" t="s">
        <v>2749</v>
      </c>
      <c r="K1517" s="1">
        <v>38237090</v>
      </c>
      <c r="L1517" s="6">
        <v>20</v>
      </c>
      <c r="M1517" s="1" t="s">
        <v>70</v>
      </c>
      <c r="N1517" s="7" t="s">
        <v>67</v>
      </c>
      <c r="O1517" s="1" t="s">
        <v>53</v>
      </c>
      <c r="P1517" s="8">
        <v>1475</v>
      </c>
      <c r="Q1517" s="17">
        <f t="shared" si="142"/>
        <v>29500</v>
      </c>
      <c r="R1517" s="9">
        <v>0</v>
      </c>
      <c r="S1517" s="9">
        <v>0</v>
      </c>
      <c r="T1517" s="9">
        <v>0</v>
      </c>
      <c r="U1517" s="10">
        <v>0</v>
      </c>
      <c r="V1517" s="1" t="s">
        <v>46</v>
      </c>
      <c r="W1517" s="1" t="s">
        <v>205</v>
      </c>
      <c r="X1517" s="1">
        <v>8329899</v>
      </c>
      <c r="Y1517" s="11">
        <v>42075</v>
      </c>
      <c r="Z1517" s="11">
        <v>42076</v>
      </c>
      <c r="AA1517" s="9">
        <f t="shared" si="139"/>
        <v>29500</v>
      </c>
      <c r="AB1517" s="12">
        <v>61.8</v>
      </c>
      <c r="AC1517" s="9">
        <f t="shared" si="140"/>
        <v>1823100</v>
      </c>
      <c r="AD1517" s="9">
        <f t="shared" si="141"/>
        <v>1823100</v>
      </c>
      <c r="AE1517" s="1" t="s">
        <v>48</v>
      </c>
      <c r="AF1517" s="1" t="s">
        <v>53</v>
      </c>
      <c r="AG1517" s="4">
        <f t="shared" si="143"/>
        <v>29500</v>
      </c>
      <c r="AH1517" s="10">
        <v>29321</v>
      </c>
      <c r="AI1517" s="10">
        <v>0</v>
      </c>
      <c r="AJ1517" s="10">
        <v>0</v>
      </c>
      <c r="AK1517" s="10">
        <v>0</v>
      </c>
      <c r="AL1517" s="9">
        <f>AH1517-(AI1517+AJ1517+AK1517)</f>
        <v>29321</v>
      </c>
      <c r="AM1517" s="1"/>
      <c r="AN1517" s="1"/>
      <c r="AO1517" s="12" t="e">
        <f>AB1517/#REF!</f>
        <v>#REF!</v>
      </c>
      <c r="AP1517" s="1"/>
      <c r="AQ1517" s="11">
        <v>42107</v>
      </c>
      <c r="AR1517" s="1" t="s">
        <v>3622</v>
      </c>
      <c r="AS1517" s="11">
        <v>42109</v>
      </c>
      <c r="AT1517" s="1" t="s">
        <v>49</v>
      </c>
      <c r="AU1517" s="1" t="s">
        <v>4171</v>
      </c>
    </row>
    <row r="1518" spans="1:47" ht="15" customHeight="1" x14ac:dyDescent="0.25">
      <c r="A1518" s="1">
        <v>1501</v>
      </c>
      <c r="B1518" s="1" t="s">
        <v>1258</v>
      </c>
      <c r="C1518" s="1" t="s">
        <v>38</v>
      </c>
      <c r="D1518" s="1">
        <v>9103551306</v>
      </c>
      <c r="E1518" s="5">
        <v>42078</v>
      </c>
      <c r="F1518" s="1" t="s">
        <v>3283</v>
      </c>
      <c r="G1518" s="1" t="s">
        <v>40</v>
      </c>
      <c r="H1518" s="1" t="s">
        <v>41</v>
      </c>
      <c r="I1518" s="1" t="s">
        <v>2809</v>
      </c>
      <c r="J1518" s="1" t="s">
        <v>63</v>
      </c>
      <c r="K1518" s="1">
        <v>38231200</v>
      </c>
      <c r="L1518" s="6">
        <v>20.2</v>
      </c>
      <c r="M1518" s="1" t="s">
        <v>70</v>
      </c>
      <c r="N1518" s="7" t="s">
        <v>44</v>
      </c>
      <c r="O1518" s="1" t="s">
        <v>53</v>
      </c>
      <c r="P1518" s="8">
        <v>1125</v>
      </c>
      <c r="Q1518" s="17">
        <f t="shared" si="142"/>
        <v>22725</v>
      </c>
      <c r="R1518" s="9">
        <v>860</v>
      </c>
      <c r="S1518" s="9">
        <v>3.25</v>
      </c>
      <c r="T1518" s="9">
        <v>0</v>
      </c>
      <c r="U1518" s="10">
        <v>0</v>
      </c>
      <c r="V1518" s="1" t="s">
        <v>46</v>
      </c>
      <c r="W1518" s="1" t="s">
        <v>64</v>
      </c>
      <c r="X1518" s="1">
        <v>8333297</v>
      </c>
      <c r="Y1518" s="11">
        <v>42075</v>
      </c>
      <c r="Z1518" s="11">
        <v>42076</v>
      </c>
      <c r="AA1518" s="9">
        <f t="shared" si="139"/>
        <v>21861.75</v>
      </c>
      <c r="AB1518" s="12">
        <v>61.8</v>
      </c>
      <c r="AC1518" s="9">
        <f t="shared" si="140"/>
        <v>1404405</v>
      </c>
      <c r="AD1518" s="9">
        <f t="shared" si="141"/>
        <v>1351056.15</v>
      </c>
      <c r="AE1518" s="1"/>
      <c r="AF1518" s="1" t="s">
        <v>53</v>
      </c>
      <c r="AG1518" s="4">
        <f t="shared" si="143"/>
        <v>22725</v>
      </c>
      <c r="AH1518" s="10">
        <v>22725</v>
      </c>
      <c r="AI1518" s="10"/>
      <c r="AJ1518" s="10"/>
      <c r="AK1518" s="10"/>
      <c r="AL1518" s="9">
        <f>AH1518-(AI1518+AJ1518+AK1518)</f>
        <v>22725</v>
      </c>
      <c r="AM1518" s="1"/>
      <c r="AN1518" s="1"/>
      <c r="AO1518" s="12" t="e">
        <f>AB1518/#REF!</f>
        <v>#REF!</v>
      </c>
      <c r="AP1518" s="1" t="s">
        <v>4281</v>
      </c>
      <c r="AQ1518" s="11">
        <v>42138</v>
      </c>
      <c r="AR1518" s="1" t="s">
        <v>4282</v>
      </c>
      <c r="AS1518" s="11">
        <v>42312</v>
      </c>
      <c r="AT1518" s="1" t="s">
        <v>49</v>
      </c>
      <c r="AU1518" s="1" t="s">
        <v>4171</v>
      </c>
    </row>
    <row r="1519" spans="1:47" ht="15" customHeight="1" x14ac:dyDescent="0.25">
      <c r="A1519" s="1">
        <v>1502</v>
      </c>
      <c r="B1519" s="1" t="s">
        <v>1258</v>
      </c>
      <c r="C1519" s="1" t="s">
        <v>38</v>
      </c>
      <c r="D1519" s="1">
        <v>9103551307</v>
      </c>
      <c r="E1519" s="5">
        <v>42083</v>
      </c>
      <c r="F1519" s="1" t="s">
        <v>3299</v>
      </c>
      <c r="G1519" s="1" t="s">
        <v>40</v>
      </c>
      <c r="H1519" s="1" t="s">
        <v>41</v>
      </c>
      <c r="I1519" s="1" t="s">
        <v>2809</v>
      </c>
      <c r="J1519" s="1" t="s">
        <v>2715</v>
      </c>
      <c r="K1519" s="1">
        <v>38237090</v>
      </c>
      <c r="L1519" s="6">
        <v>12</v>
      </c>
      <c r="M1519" s="1" t="s">
        <v>70</v>
      </c>
      <c r="N1519" s="7" t="s">
        <v>44</v>
      </c>
      <c r="O1519" s="1" t="s">
        <v>53</v>
      </c>
      <c r="P1519" s="8">
        <v>3596</v>
      </c>
      <c r="Q1519" s="17">
        <f t="shared" si="142"/>
        <v>43152</v>
      </c>
      <c r="R1519" s="9">
        <v>950</v>
      </c>
      <c r="S1519" s="9">
        <v>3.25</v>
      </c>
      <c r="T1519" s="9">
        <v>0</v>
      </c>
      <c r="U1519" s="10">
        <v>0</v>
      </c>
      <c r="V1519" s="1" t="s">
        <v>46</v>
      </c>
      <c r="W1519" s="1" t="s">
        <v>243</v>
      </c>
      <c r="X1519" s="1">
        <v>8349162</v>
      </c>
      <c r="Y1519" s="11">
        <v>42076</v>
      </c>
      <c r="Z1519" s="11">
        <v>42077</v>
      </c>
      <c r="AA1519" s="9">
        <f t="shared" si="139"/>
        <v>42198.75</v>
      </c>
      <c r="AB1519" s="12">
        <v>61.8</v>
      </c>
      <c r="AC1519" s="9">
        <f t="shared" si="140"/>
        <v>2666793.6</v>
      </c>
      <c r="AD1519" s="9">
        <f t="shared" si="141"/>
        <v>2607882.75</v>
      </c>
      <c r="AE1519" s="1"/>
      <c r="AF1519" s="1" t="s">
        <v>53</v>
      </c>
      <c r="AG1519" s="4">
        <f t="shared" si="143"/>
        <v>43152</v>
      </c>
      <c r="AH1519" s="10">
        <v>43095.199999999997</v>
      </c>
      <c r="AI1519" s="10"/>
      <c r="AJ1519" s="10"/>
      <c r="AK1519" s="10"/>
      <c r="AL1519" s="9">
        <f>AH1519-(AI1519+AJ1519+AK1519)</f>
        <v>43095.199999999997</v>
      </c>
      <c r="AM1519" s="1"/>
      <c r="AN1519" s="1"/>
      <c r="AO1519" s="12" t="e">
        <f>AB1519/#REF!</f>
        <v>#REF!</v>
      </c>
      <c r="AP1519" s="1" t="s">
        <v>4283</v>
      </c>
      <c r="AQ1519" s="11">
        <v>42153</v>
      </c>
      <c r="AR1519" s="1" t="s">
        <v>4284</v>
      </c>
      <c r="AS1519" s="11">
        <v>42156</v>
      </c>
      <c r="AT1519" s="1" t="s">
        <v>49</v>
      </c>
      <c r="AU1519" s="1" t="s">
        <v>4171</v>
      </c>
    </row>
    <row r="1520" spans="1:47" x14ac:dyDescent="0.25">
      <c r="A1520" s="1">
        <v>1503</v>
      </c>
      <c r="B1520" s="1" t="s">
        <v>1258</v>
      </c>
      <c r="C1520" s="1" t="s">
        <v>38</v>
      </c>
      <c r="D1520" s="3">
        <v>9103551308</v>
      </c>
      <c r="E1520" s="5">
        <v>42081</v>
      </c>
      <c r="F1520" s="1" t="s">
        <v>3733</v>
      </c>
      <c r="G1520" s="1" t="s">
        <v>40</v>
      </c>
      <c r="H1520" s="1" t="s">
        <v>41</v>
      </c>
      <c r="I1520" s="1" t="s">
        <v>2809</v>
      </c>
      <c r="J1520" s="1" t="s">
        <v>3734</v>
      </c>
      <c r="K1520" s="1">
        <v>38237090</v>
      </c>
      <c r="L1520" s="6">
        <v>24</v>
      </c>
      <c r="M1520" s="1" t="s">
        <v>70</v>
      </c>
      <c r="N1520" s="7" t="s">
        <v>44</v>
      </c>
      <c r="O1520" s="1" t="s">
        <v>53</v>
      </c>
      <c r="P1520" s="8">
        <v>1530</v>
      </c>
      <c r="Q1520" s="17">
        <f t="shared" si="142"/>
        <v>36720</v>
      </c>
      <c r="R1520" s="9">
        <v>1300</v>
      </c>
      <c r="S1520" s="9">
        <v>5.25</v>
      </c>
      <c r="T1520" s="9">
        <v>0</v>
      </c>
      <c r="U1520" s="10">
        <v>0</v>
      </c>
      <c r="V1520" s="1" t="s">
        <v>46</v>
      </c>
      <c r="W1520" s="1" t="s">
        <v>790</v>
      </c>
      <c r="X1520" s="1">
        <v>8353822</v>
      </c>
      <c r="Y1520" s="11">
        <v>42076</v>
      </c>
      <c r="Z1520" s="11">
        <v>42077</v>
      </c>
      <c r="AA1520" s="9">
        <f t="shared" si="139"/>
        <v>35414.75</v>
      </c>
      <c r="AB1520" s="12">
        <v>61.8</v>
      </c>
      <c r="AC1520" s="9">
        <f t="shared" si="140"/>
        <v>2269296</v>
      </c>
      <c r="AD1520" s="9">
        <f t="shared" si="141"/>
        <v>2188631.5499999998</v>
      </c>
      <c r="AE1520" s="1" t="s">
        <v>48</v>
      </c>
      <c r="AF1520" s="1" t="s">
        <v>53</v>
      </c>
      <c r="AG1520" s="4">
        <f t="shared" si="143"/>
        <v>36720</v>
      </c>
      <c r="AH1520" s="10">
        <v>36720</v>
      </c>
      <c r="AI1520" s="10">
        <v>1350</v>
      </c>
      <c r="AJ1520" s="10">
        <v>5.25</v>
      </c>
      <c r="AK1520" s="10">
        <v>0</v>
      </c>
      <c r="AL1520" s="9">
        <f>AH1520-(AI1520+AJ1520+AK1520)</f>
        <v>35364.75</v>
      </c>
      <c r="AM1520" s="1"/>
      <c r="AN1520" s="1"/>
      <c r="AO1520" s="12" t="e">
        <f>AB1520/#REF!</f>
        <v>#REF!</v>
      </c>
      <c r="AP1520" s="1"/>
      <c r="AQ1520" s="11">
        <v>42145</v>
      </c>
      <c r="AR1520" s="1" t="s">
        <v>3856</v>
      </c>
      <c r="AS1520" s="11">
        <v>42147</v>
      </c>
      <c r="AT1520" s="1" t="s">
        <v>49</v>
      </c>
      <c r="AU1520" s="1" t="s">
        <v>4171</v>
      </c>
    </row>
    <row r="1521" spans="1:47" x14ac:dyDescent="0.25">
      <c r="A1521" s="1">
        <v>1504</v>
      </c>
      <c r="B1521" s="1" t="s">
        <v>1258</v>
      </c>
      <c r="C1521" s="1" t="s">
        <v>38</v>
      </c>
      <c r="D1521" s="1">
        <v>9103551309</v>
      </c>
      <c r="E1521" s="5">
        <v>42079</v>
      </c>
      <c r="F1521" s="1" t="s">
        <v>3735</v>
      </c>
      <c r="G1521" s="1" t="s">
        <v>40</v>
      </c>
      <c r="H1521" s="1" t="s">
        <v>41</v>
      </c>
      <c r="I1521" s="1" t="s">
        <v>2809</v>
      </c>
      <c r="J1521" s="1" t="s">
        <v>3736</v>
      </c>
      <c r="K1521" s="1"/>
      <c r="L1521" s="95">
        <v>7.4999999999999997E-2</v>
      </c>
      <c r="M1521" s="1" t="s">
        <v>70</v>
      </c>
      <c r="N1521" s="7" t="s">
        <v>44</v>
      </c>
      <c r="O1521" s="1" t="s">
        <v>53</v>
      </c>
      <c r="P1521" s="8">
        <v>3950</v>
      </c>
      <c r="Q1521" s="17">
        <f t="shared" si="142"/>
        <v>296.25</v>
      </c>
      <c r="R1521" s="9"/>
      <c r="S1521" s="9"/>
      <c r="T1521" s="9"/>
      <c r="U1521" s="10"/>
      <c r="V1521" s="1" t="s">
        <v>46</v>
      </c>
      <c r="W1521" s="1" t="s">
        <v>64</v>
      </c>
      <c r="X1521" s="1">
        <v>8344208</v>
      </c>
      <c r="Y1521" s="11">
        <v>42076</v>
      </c>
      <c r="Z1521" s="11"/>
      <c r="AA1521" s="9"/>
      <c r="AB1521" s="12"/>
      <c r="AC1521" s="9">
        <f t="shared" si="140"/>
        <v>0</v>
      </c>
      <c r="AD1521" s="9"/>
      <c r="AE1521" s="1" t="s">
        <v>48</v>
      </c>
      <c r="AF1521" s="1" t="s">
        <v>53</v>
      </c>
      <c r="AG1521" s="4">
        <f t="shared" si="143"/>
        <v>296.25</v>
      </c>
      <c r="AH1521" s="10">
        <v>260.63</v>
      </c>
      <c r="AI1521" s="10"/>
      <c r="AJ1521" s="10"/>
      <c r="AK1521" s="10"/>
      <c r="AL1521" s="10"/>
      <c r="AM1521" s="1"/>
      <c r="AN1521" s="1"/>
      <c r="AO1521" s="1"/>
      <c r="AP1521" s="1" t="s">
        <v>4200</v>
      </c>
      <c r="AQ1521" s="11">
        <v>42102</v>
      </c>
      <c r="AR1521" s="1" t="s">
        <v>4201</v>
      </c>
      <c r="AS1521" s="11">
        <v>42103</v>
      </c>
      <c r="AT1521" s="1" t="s">
        <v>49</v>
      </c>
      <c r="AU1521" s="1" t="s">
        <v>4171</v>
      </c>
    </row>
    <row r="1522" spans="1:47" x14ac:dyDescent="0.25">
      <c r="A1522" s="1">
        <v>1505</v>
      </c>
      <c r="B1522" s="1" t="s">
        <v>1258</v>
      </c>
      <c r="C1522" s="1" t="s">
        <v>38</v>
      </c>
      <c r="D1522" s="1">
        <v>9103551310</v>
      </c>
      <c r="E1522" s="5">
        <v>42088</v>
      </c>
      <c r="F1522" s="1" t="s">
        <v>3825</v>
      </c>
      <c r="G1522" s="1" t="s">
        <v>40</v>
      </c>
      <c r="H1522" s="1" t="s">
        <v>41</v>
      </c>
      <c r="I1522" s="1" t="s">
        <v>2809</v>
      </c>
      <c r="J1522" s="1" t="s">
        <v>3737</v>
      </c>
      <c r="K1522" s="1">
        <v>38231900</v>
      </c>
      <c r="L1522" s="6">
        <v>19.91</v>
      </c>
      <c r="M1522" s="1" t="s">
        <v>70</v>
      </c>
      <c r="N1522" s="7" t="s">
        <v>44</v>
      </c>
      <c r="O1522" s="1" t="s">
        <v>53</v>
      </c>
      <c r="P1522" s="8">
        <v>3740</v>
      </c>
      <c r="Q1522" s="17">
        <f t="shared" si="142"/>
        <v>74463.399999999994</v>
      </c>
      <c r="R1522" s="9">
        <v>525</v>
      </c>
      <c r="S1522" s="9">
        <v>5.33</v>
      </c>
      <c r="T1522" s="9">
        <v>726.76</v>
      </c>
      <c r="U1522" s="10">
        <v>0</v>
      </c>
      <c r="V1522" s="1" t="s">
        <v>46</v>
      </c>
      <c r="W1522" s="1" t="s">
        <v>47</v>
      </c>
      <c r="X1522" s="1">
        <v>8358349</v>
      </c>
      <c r="Y1522" s="11">
        <v>42076</v>
      </c>
      <c r="Z1522" s="11">
        <v>42077</v>
      </c>
      <c r="AA1522" s="9">
        <f t="shared" ref="AA1522:AA1535" si="144">Q1522-R1522-S1522</f>
        <v>73933.069999999992</v>
      </c>
      <c r="AB1522" s="12">
        <v>61.8</v>
      </c>
      <c r="AC1522" s="9">
        <f t="shared" si="140"/>
        <v>4601838.1199999992</v>
      </c>
      <c r="AD1522" s="9">
        <f t="shared" si="141"/>
        <v>4569063.7259999989</v>
      </c>
      <c r="AE1522" s="1" t="s">
        <v>57</v>
      </c>
      <c r="AF1522" s="1" t="s">
        <v>53</v>
      </c>
      <c r="AG1522" s="4">
        <f t="shared" si="143"/>
        <v>74463.399999999994</v>
      </c>
      <c r="AH1522" s="10">
        <v>74463</v>
      </c>
      <c r="AI1522" s="10">
        <v>1030</v>
      </c>
      <c r="AJ1522" s="10">
        <v>10.199999999999999</v>
      </c>
      <c r="AK1522" s="9">
        <v>726.76</v>
      </c>
      <c r="AL1522" s="9">
        <f>AH1522-(AI1522+AJ1522+AK1522)</f>
        <v>72696.039999999994</v>
      </c>
      <c r="AM1522" s="1"/>
      <c r="AN1522" s="1"/>
      <c r="AO1522" s="12" t="e">
        <f>AB1522/#REF!</f>
        <v>#REF!</v>
      </c>
      <c r="AP1522" s="1"/>
      <c r="AQ1522" s="11">
        <v>42145</v>
      </c>
      <c r="AR1522" s="1" t="s">
        <v>3857</v>
      </c>
      <c r="AS1522" s="11">
        <v>42150</v>
      </c>
      <c r="AT1522" s="1" t="s">
        <v>49</v>
      </c>
      <c r="AU1522" s="1" t="s">
        <v>4171</v>
      </c>
    </row>
    <row r="1523" spans="1:47" x14ac:dyDescent="0.25">
      <c r="A1523" s="1">
        <v>1506</v>
      </c>
      <c r="B1523" s="1" t="s">
        <v>1258</v>
      </c>
      <c r="C1523" s="1" t="s">
        <v>38</v>
      </c>
      <c r="D1523" s="1">
        <v>9103551310</v>
      </c>
      <c r="E1523" s="5">
        <v>42088</v>
      </c>
      <c r="F1523" s="1" t="s">
        <v>3826</v>
      </c>
      <c r="G1523" s="1" t="s">
        <v>40</v>
      </c>
      <c r="H1523" s="1" t="s">
        <v>41</v>
      </c>
      <c r="I1523" s="1" t="s">
        <v>2809</v>
      </c>
      <c r="J1523" s="1" t="s">
        <v>3737</v>
      </c>
      <c r="K1523" s="1">
        <v>38231900</v>
      </c>
      <c r="L1523" s="6">
        <v>19.93</v>
      </c>
      <c r="M1523" s="1" t="s">
        <v>70</v>
      </c>
      <c r="N1523" s="7" t="s">
        <v>44</v>
      </c>
      <c r="O1523" s="1" t="s">
        <v>53</v>
      </c>
      <c r="P1523" s="8">
        <v>3740</v>
      </c>
      <c r="Q1523" s="17">
        <f t="shared" si="142"/>
        <v>74538.2</v>
      </c>
      <c r="R1523" s="9">
        <v>525</v>
      </c>
      <c r="S1523" s="9">
        <v>5.33</v>
      </c>
      <c r="T1523" s="9">
        <v>726.76</v>
      </c>
      <c r="U1523" s="10">
        <v>0</v>
      </c>
      <c r="V1523" s="1" t="s">
        <v>46</v>
      </c>
      <c r="W1523" s="1" t="s">
        <v>47</v>
      </c>
      <c r="X1523" s="1">
        <v>8349373</v>
      </c>
      <c r="Y1523" s="11">
        <v>42076</v>
      </c>
      <c r="Z1523" s="11">
        <v>42077</v>
      </c>
      <c r="AA1523" s="9">
        <f t="shared" si="144"/>
        <v>74007.87</v>
      </c>
      <c r="AB1523" s="12">
        <v>61.8</v>
      </c>
      <c r="AC1523" s="9">
        <f t="shared" si="140"/>
        <v>4606460.76</v>
      </c>
      <c r="AD1523" s="9">
        <f>+AA1523*AB1523</f>
        <v>4573686.3659999995</v>
      </c>
      <c r="AE1523" s="1" t="s">
        <v>57</v>
      </c>
      <c r="AF1523" s="1" t="s">
        <v>53</v>
      </c>
      <c r="AG1523" s="4">
        <f t="shared" si="143"/>
        <v>74538.2</v>
      </c>
      <c r="AH1523" s="10">
        <v>74553.429999999993</v>
      </c>
      <c r="AI1523" s="10">
        <v>1070</v>
      </c>
      <c r="AJ1523" s="10">
        <v>11.11</v>
      </c>
      <c r="AK1523" s="9">
        <v>726.76</v>
      </c>
      <c r="AL1523" s="9">
        <f>AH1523-(AI1523+AJ1523+AK1523)</f>
        <v>72745.56</v>
      </c>
      <c r="AM1523" s="1"/>
      <c r="AN1523" s="1"/>
      <c r="AO1523" s="12" t="e">
        <f>AB1523/#REF!</f>
        <v>#REF!</v>
      </c>
      <c r="AP1523" s="1"/>
      <c r="AQ1523" s="11">
        <v>42145</v>
      </c>
      <c r="AR1523" s="1" t="s">
        <v>3858</v>
      </c>
      <c r="AS1523" s="11">
        <v>42150</v>
      </c>
      <c r="AT1523" s="1" t="s">
        <v>49</v>
      </c>
      <c r="AU1523" s="1" t="s">
        <v>4171</v>
      </c>
    </row>
    <row r="1524" spans="1:47" x14ac:dyDescent="0.25">
      <c r="A1524" s="1">
        <v>1507</v>
      </c>
      <c r="B1524" s="1" t="s">
        <v>1258</v>
      </c>
      <c r="C1524" s="1" t="s">
        <v>38</v>
      </c>
      <c r="D1524" s="1">
        <v>9103551311</v>
      </c>
      <c r="E1524" s="5">
        <v>42081</v>
      </c>
      <c r="F1524" s="1" t="s">
        <v>3738</v>
      </c>
      <c r="G1524" s="1" t="s">
        <v>40</v>
      </c>
      <c r="H1524" s="1" t="s">
        <v>41</v>
      </c>
      <c r="I1524" s="1" t="s">
        <v>2809</v>
      </c>
      <c r="J1524" s="16" t="s">
        <v>3739</v>
      </c>
      <c r="K1524" s="1">
        <v>38237090</v>
      </c>
      <c r="L1524" s="6">
        <v>11.6</v>
      </c>
      <c r="M1524" s="1" t="s">
        <v>70</v>
      </c>
      <c r="N1524" s="7" t="s">
        <v>44</v>
      </c>
      <c r="O1524" s="1" t="s">
        <v>53</v>
      </c>
      <c r="P1524" s="8">
        <v>1705</v>
      </c>
      <c r="Q1524" s="192">
        <v>31478</v>
      </c>
      <c r="R1524" s="190">
        <v>1050</v>
      </c>
      <c r="S1524" s="190">
        <v>4.5</v>
      </c>
      <c r="T1524" s="190">
        <v>0</v>
      </c>
      <c r="U1524" s="188">
        <v>0</v>
      </c>
      <c r="V1524" s="1" t="s">
        <v>46</v>
      </c>
      <c r="W1524" s="1" t="s">
        <v>205</v>
      </c>
      <c r="X1524" s="186">
        <v>8369976</v>
      </c>
      <c r="Y1524" s="196">
        <v>42077</v>
      </c>
      <c r="Z1524" s="196">
        <v>42079</v>
      </c>
      <c r="AA1524" s="190">
        <f t="shared" si="144"/>
        <v>30423.5</v>
      </c>
      <c r="AB1524" s="184">
        <v>61.8</v>
      </c>
      <c r="AC1524" s="190">
        <f t="shared" si="140"/>
        <v>1945340.4</v>
      </c>
      <c r="AD1524" s="190">
        <f>AA1524*AB1524</f>
        <v>1880172.2999999998</v>
      </c>
      <c r="AE1524" s="1" t="s">
        <v>48</v>
      </c>
      <c r="AF1524" s="1" t="s">
        <v>53</v>
      </c>
      <c r="AG1524" s="194">
        <f t="shared" si="143"/>
        <v>31478</v>
      </c>
      <c r="AH1524" s="188">
        <v>31463</v>
      </c>
      <c r="AI1524" s="188">
        <v>1050</v>
      </c>
      <c r="AJ1524" s="188">
        <v>4.5</v>
      </c>
      <c r="AK1524" s="188">
        <v>0</v>
      </c>
      <c r="AL1524" s="188">
        <f>AH1524-(AI1524+AJ1524+AK1524)</f>
        <v>30408.5</v>
      </c>
      <c r="AM1524" s="1"/>
      <c r="AN1524" s="1"/>
      <c r="AO1524" s="184" t="e">
        <f>AB1524/#REF!</f>
        <v>#REF!</v>
      </c>
      <c r="AP1524" s="1"/>
      <c r="AQ1524" s="11">
        <v>42109</v>
      </c>
      <c r="AR1524" s="1" t="s">
        <v>3859</v>
      </c>
      <c r="AS1524" s="11">
        <v>42110</v>
      </c>
      <c r="AT1524" s="1" t="s">
        <v>49</v>
      </c>
      <c r="AU1524" s="1" t="s">
        <v>4171</v>
      </c>
    </row>
    <row r="1525" spans="1:47" x14ac:dyDescent="0.25">
      <c r="A1525" s="1">
        <v>1508</v>
      </c>
      <c r="B1525" s="1" t="s">
        <v>1258</v>
      </c>
      <c r="C1525" s="1" t="s">
        <v>38</v>
      </c>
      <c r="D1525" s="1">
        <v>9103551311</v>
      </c>
      <c r="E1525" s="5">
        <v>42081</v>
      </c>
      <c r="F1525" s="1" t="s">
        <v>3738</v>
      </c>
      <c r="G1525" s="1" t="s">
        <v>40</v>
      </c>
      <c r="H1525" s="1" t="s">
        <v>41</v>
      </c>
      <c r="I1525" s="1" t="s">
        <v>2809</v>
      </c>
      <c r="J1525" s="26" t="s">
        <v>3739</v>
      </c>
      <c r="K1525" s="1">
        <v>29051700</v>
      </c>
      <c r="L1525" s="6">
        <v>6</v>
      </c>
      <c r="M1525" s="1" t="s">
        <v>70</v>
      </c>
      <c r="N1525" s="7" t="s">
        <v>44</v>
      </c>
      <c r="O1525" s="1" t="s">
        <v>53</v>
      </c>
      <c r="P1525" s="8">
        <v>1950</v>
      </c>
      <c r="Q1525" s="193"/>
      <c r="R1525" s="191"/>
      <c r="S1525" s="191"/>
      <c r="T1525" s="191"/>
      <c r="U1525" s="189"/>
      <c r="V1525" s="1" t="s">
        <v>46</v>
      </c>
      <c r="W1525" s="1" t="s">
        <v>205</v>
      </c>
      <c r="X1525" s="187"/>
      <c r="Y1525" s="197"/>
      <c r="Z1525" s="197"/>
      <c r="AA1525" s="191"/>
      <c r="AB1525" s="185"/>
      <c r="AC1525" s="191"/>
      <c r="AD1525" s="191"/>
      <c r="AE1525" s="1" t="s">
        <v>48</v>
      </c>
      <c r="AF1525" s="1" t="s">
        <v>53</v>
      </c>
      <c r="AG1525" s="195"/>
      <c r="AH1525" s="189"/>
      <c r="AI1525" s="189"/>
      <c r="AJ1525" s="189"/>
      <c r="AK1525" s="189"/>
      <c r="AL1525" s="189"/>
      <c r="AM1525" s="1"/>
      <c r="AN1525" s="1"/>
      <c r="AO1525" s="185"/>
      <c r="AP1525" s="1"/>
      <c r="AQ1525" s="11">
        <v>42109</v>
      </c>
      <c r="AR1525" s="1" t="s">
        <v>3859</v>
      </c>
      <c r="AS1525" s="11">
        <v>42110</v>
      </c>
      <c r="AT1525" s="1" t="s">
        <v>49</v>
      </c>
      <c r="AU1525" s="1" t="s">
        <v>4171</v>
      </c>
    </row>
    <row r="1526" spans="1:47" x14ac:dyDescent="0.25">
      <c r="A1526" s="1">
        <v>1509</v>
      </c>
      <c r="B1526" s="1" t="s">
        <v>1258</v>
      </c>
      <c r="C1526" s="1" t="s">
        <v>38</v>
      </c>
      <c r="D1526" s="1">
        <v>9103551312</v>
      </c>
      <c r="E1526" s="5">
        <v>42085</v>
      </c>
      <c r="F1526" s="1" t="s">
        <v>3740</v>
      </c>
      <c r="G1526" s="1" t="s">
        <v>40</v>
      </c>
      <c r="H1526" s="1" t="s">
        <v>41</v>
      </c>
      <c r="I1526" s="1" t="s">
        <v>2809</v>
      </c>
      <c r="J1526" s="1" t="s">
        <v>3741</v>
      </c>
      <c r="K1526" s="1">
        <v>29051700</v>
      </c>
      <c r="L1526" s="6">
        <v>36.28</v>
      </c>
      <c r="M1526" s="1" t="s">
        <v>70</v>
      </c>
      <c r="N1526" s="7" t="s">
        <v>44</v>
      </c>
      <c r="O1526" s="1" t="s">
        <v>53</v>
      </c>
      <c r="P1526" s="8">
        <v>1751</v>
      </c>
      <c r="Q1526" s="17">
        <f t="shared" si="142"/>
        <v>63526.28</v>
      </c>
      <c r="R1526" s="9">
        <v>4100</v>
      </c>
      <c r="S1526" s="9">
        <v>9.08</v>
      </c>
      <c r="T1526" s="9">
        <v>0</v>
      </c>
      <c r="U1526" s="10">
        <v>0</v>
      </c>
      <c r="V1526" s="1" t="s">
        <v>46</v>
      </c>
      <c r="W1526" s="1" t="s">
        <v>56</v>
      </c>
      <c r="X1526" s="1">
        <v>8370704</v>
      </c>
      <c r="Y1526" s="11">
        <v>42077</v>
      </c>
      <c r="Z1526" s="11">
        <v>42079</v>
      </c>
      <c r="AA1526" s="9">
        <f t="shared" si="144"/>
        <v>59417.2</v>
      </c>
      <c r="AB1526" s="12">
        <v>61.8</v>
      </c>
      <c r="AC1526" s="9">
        <f t="shared" si="140"/>
        <v>3925924.1039999998</v>
      </c>
      <c r="AD1526" s="9">
        <f t="shared" ref="AD1526:AD1535" si="145">+AA1526*AB1526</f>
        <v>3671982.9599999995</v>
      </c>
      <c r="AE1526" s="1" t="s">
        <v>48</v>
      </c>
      <c r="AF1526" s="1" t="s">
        <v>53</v>
      </c>
      <c r="AG1526" s="4">
        <f t="shared" ref="AG1526:AG1536" si="146">Q1526</f>
        <v>63526.28</v>
      </c>
      <c r="AH1526" s="10">
        <v>63526.28</v>
      </c>
      <c r="AI1526" s="10">
        <v>4084</v>
      </c>
      <c r="AJ1526" s="10">
        <v>9.08</v>
      </c>
      <c r="AK1526" s="10">
        <v>0</v>
      </c>
      <c r="AL1526" s="10">
        <f>AH1526-(AI1526+AJ1526+AK1526)</f>
        <v>59433.2</v>
      </c>
      <c r="AM1526" s="1"/>
      <c r="AN1526" s="1"/>
      <c r="AO1526" s="12" t="e">
        <f>AB1526/#REF!</f>
        <v>#REF!</v>
      </c>
      <c r="AP1526" s="1"/>
      <c r="AQ1526" s="11">
        <v>42136</v>
      </c>
      <c r="AR1526" s="1" t="s">
        <v>3860</v>
      </c>
      <c r="AS1526" s="11">
        <v>42139</v>
      </c>
      <c r="AT1526" s="1" t="s">
        <v>49</v>
      </c>
      <c r="AU1526" s="1" t="s">
        <v>4171</v>
      </c>
    </row>
    <row r="1527" spans="1:47" ht="15" customHeight="1" x14ac:dyDescent="0.25">
      <c r="A1527" s="1">
        <v>1495</v>
      </c>
      <c r="B1527" s="1" t="s">
        <v>1258</v>
      </c>
      <c r="C1527" s="1" t="s">
        <v>38</v>
      </c>
      <c r="D1527" s="1" t="s">
        <v>4331</v>
      </c>
      <c r="E1527" s="5">
        <v>42083</v>
      </c>
      <c r="F1527" s="1" t="s">
        <v>4332</v>
      </c>
      <c r="G1527" s="1" t="s">
        <v>40</v>
      </c>
      <c r="H1527" s="1" t="s">
        <v>41</v>
      </c>
      <c r="I1527" s="1" t="s">
        <v>2809</v>
      </c>
      <c r="J1527" s="1" t="s">
        <v>63</v>
      </c>
      <c r="K1527" s="1"/>
      <c r="L1527" s="6">
        <v>59.12</v>
      </c>
      <c r="M1527" s="1" t="s">
        <v>70</v>
      </c>
      <c r="N1527" s="7" t="s">
        <v>44</v>
      </c>
      <c r="O1527" s="1" t="s">
        <v>53</v>
      </c>
      <c r="P1527" s="8">
        <v>2615</v>
      </c>
      <c r="Q1527" s="17">
        <f t="shared" si="142"/>
        <v>154598.79999999999</v>
      </c>
      <c r="R1527" s="9"/>
      <c r="S1527" s="9"/>
      <c r="T1527" s="9"/>
      <c r="U1527" s="10"/>
      <c r="V1527" s="1" t="s">
        <v>46</v>
      </c>
      <c r="W1527" s="1" t="s">
        <v>64</v>
      </c>
      <c r="X1527" s="1">
        <v>8300458</v>
      </c>
      <c r="Y1527" s="11">
        <v>42074</v>
      </c>
      <c r="Z1527" s="11"/>
      <c r="AA1527" s="9"/>
      <c r="AB1527" s="12"/>
      <c r="AC1527" s="9"/>
      <c r="AD1527" s="9"/>
      <c r="AE1527" s="1"/>
      <c r="AF1527" s="1"/>
      <c r="AG1527" s="4">
        <f t="shared" si="146"/>
        <v>154598.79999999999</v>
      </c>
      <c r="AH1527" s="10"/>
      <c r="AI1527" s="10"/>
      <c r="AJ1527" s="10"/>
      <c r="AK1527" s="10"/>
      <c r="AL1527" s="9"/>
      <c r="AM1527" s="1"/>
      <c r="AN1527" s="1"/>
      <c r="AO1527" s="12"/>
      <c r="AP1527" s="1"/>
      <c r="AQ1527" s="11"/>
      <c r="AR1527" s="1"/>
      <c r="AS1527" s="11"/>
      <c r="AT1527" s="1"/>
      <c r="AU1527" s="1"/>
    </row>
    <row r="1528" spans="1:47" x14ac:dyDescent="0.25">
      <c r="A1528" s="1">
        <v>1510</v>
      </c>
      <c r="B1528" s="1" t="s">
        <v>1258</v>
      </c>
      <c r="C1528" s="1" t="s">
        <v>38</v>
      </c>
      <c r="D1528" s="1" t="s">
        <v>3742</v>
      </c>
      <c r="E1528" s="5">
        <v>42084</v>
      </c>
      <c r="F1528" s="1" t="s">
        <v>3827</v>
      </c>
      <c r="G1528" s="1" t="s">
        <v>40</v>
      </c>
      <c r="H1528" s="1" t="s">
        <v>41</v>
      </c>
      <c r="I1528" s="1" t="s">
        <v>2809</v>
      </c>
      <c r="J1528" s="1" t="s">
        <v>3741</v>
      </c>
      <c r="K1528" s="1">
        <v>29051700</v>
      </c>
      <c r="L1528" s="6">
        <v>72.56</v>
      </c>
      <c r="M1528" s="1" t="s">
        <v>70</v>
      </c>
      <c r="N1528" s="7" t="s">
        <v>44</v>
      </c>
      <c r="O1528" s="1" t="s">
        <v>53</v>
      </c>
      <c r="P1528" s="8">
        <v>1765</v>
      </c>
      <c r="Q1528" s="17">
        <f t="shared" si="142"/>
        <v>128068.40000000001</v>
      </c>
      <c r="R1528" s="9">
        <v>11000</v>
      </c>
      <c r="S1528" s="9">
        <v>18.309999999999999</v>
      </c>
      <c r="T1528" s="9">
        <v>0</v>
      </c>
      <c r="U1528" s="10">
        <v>0</v>
      </c>
      <c r="V1528" s="1" t="s">
        <v>46</v>
      </c>
      <c r="W1528" s="1" t="s">
        <v>56</v>
      </c>
      <c r="X1528" s="1">
        <v>8393398</v>
      </c>
      <c r="Y1528" s="11">
        <v>42079</v>
      </c>
      <c r="Z1528" s="11">
        <v>42080</v>
      </c>
      <c r="AA1528" s="9">
        <f t="shared" si="144"/>
        <v>117050.09000000001</v>
      </c>
      <c r="AB1528" s="12">
        <v>61.8</v>
      </c>
      <c r="AC1528" s="9">
        <f t="shared" si="140"/>
        <v>7914627.1200000001</v>
      </c>
      <c r="AD1528" s="9">
        <f t="shared" si="145"/>
        <v>7233695.5619999999</v>
      </c>
      <c r="AE1528" s="1" t="s">
        <v>48</v>
      </c>
      <c r="AF1528" s="1" t="s">
        <v>53</v>
      </c>
      <c r="AG1528" s="4">
        <f t="shared" si="146"/>
        <v>128068.40000000001</v>
      </c>
      <c r="AH1528" s="10">
        <v>128068.4</v>
      </c>
      <c r="AI1528" s="10">
        <v>11220</v>
      </c>
      <c r="AJ1528" s="10">
        <v>18.32</v>
      </c>
      <c r="AK1528" s="10">
        <v>0</v>
      </c>
      <c r="AL1528" s="10">
        <f>AH1528-(AI1528+AJ1528+AK1528)</f>
        <v>116830.07999999999</v>
      </c>
      <c r="AM1528" s="1"/>
      <c r="AN1528" s="1"/>
      <c r="AO1528" s="12" t="e">
        <f>AB1528/#REF!</f>
        <v>#REF!</v>
      </c>
      <c r="AP1528" s="1"/>
      <c r="AQ1528" s="11">
        <v>42136</v>
      </c>
      <c r="AR1528" s="1" t="s">
        <v>3861</v>
      </c>
      <c r="AS1528" s="11">
        <v>42139</v>
      </c>
      <c r="AT1528" s="1" t="s">
        <v>49</v>
      </c>
      <c r="AU1528" s="1" t="s">
        <v>4171</v>
      </c>
    </row>
    <row r="1529" spans="1:47" x14ac:dyDescent="0.25">
      <c r="A1529" s="1">
        <v>1511</v>
      </c>
      <c r="B1529" s="1" t="s">
        <v>1258</v>
      </c>
      <c r="C1529" s="1" t="s">
        <v>38</v>
      </c>
      <c r="D1529" s="1" t="s">
        <v>3742</v>
      </c>
      <c r="E1529" s="5">
        <v>42084</v>
      </c>
      <c r="F1529" s="1" t="s">
        <v>3828</v>
      </c>
      <c r="G1529" s="1" t="s">
        <v>40</v>
      </c>
      <c r="H1529" s="1" t="s">
        <v>41</v>
      </c>
      <c r="I1529" s="1" t="s">
        <v>2809</v>
      </c>
      <c r="J1529" s="1" t="s">
        <v>3741</v>
      </c>
      <c r="K1529" s="1">
        <v>29051700</v>
      </c>
      <c r="L1529" s="6">
        <v>36.28</v>
      </c>
      <c r="M1529" s="1" t="s">
        <v>70</v>
      </c>
      <c r="N1529" s="7" t="s">
        <v>44</v>
      </c>
      <c r="O1529" s="1" t="s">
        <v>53</v>
      </c>
      <c r="P1529" s="8">
        <v>1765</v>
      </c>
      <c r="Q1529" s="17">
        <f t="shared" si="142"/>
        <v>64034.200000000004</v>
      </c>
      <c r="R1529" s="9">
        <v>5500</v>
      </c>
      <c r="S1529" s="9">
        <v>9.16</v>
      </c>
      <c r="T1529" s="9">
        <v>0</v>
      </c>
      <c r="U1529" s="10">
        <v>0</v>
      </c>
      <c r="V1529" s="1" t="s">
        <v>46</v>
      </c>
      <c r="W1529" s="1" t="s">
        <v>56</v>
      </c>
      <c r="X1529" s="1">
        <v>8373048</v>
      </c>
      <c r="Y1529" s="11">
        <v>42077</v>
      </c>
      <c r="Z1529" s="11">
        <v>42079</v>
      </c>
      <c r="AA1529" s="9">
        <f t="shared" si="144"/>
        <v>58525.04</v>
      </c>
      <c r="AB1529" s="12">
        <v>61.8</v>
      </c>
      <c r="AC1529" s="9">
        <f t="shared" si="140"/>
        <v>3957313.56</v>
      </c>
      <c r="AD1529" s="9">
        <f t="shared" si="145"/>
        <v>3616847.4720000001</v>
      </c>
      <c r="AE1529" s="1" t="s">
        <v>48</v>
      </c>
      <c r="AF1529" s="1" t="s">
        <v>53</v>
      </c>
      <c r="AG1529" s="4">
        <f t="shared" si="146"/>
        <v>64034.200000000004</v>
      </c>
      <c r="AH1529" s="10">
        <v>64034.2</v>
      </c>
      <c r="AI1529" s="10">
        <v>5610</v>
      </c>
      <c r="AJ1529" s="10">
        <v>9.15</v>
      </c>
      <c r="AK1529" s="10">
        <v>0</v>
      </c>
      <c r="AL1529" s="10">
        <f>AH1529-(AI1529+AJ1529+AK1529)</f>
        <v>58415.049999999996</v>
      </c>
      <c r="AM1529" s="1"/>
      <c r="AN1529" s="1"/>
      <c r="AO1529" s="12" t="e">
        <f>AB1529/#REF!</f>
        <v>#REF!</v>
      </c>
      <c r="AP1529" s="1"/>
      <c r="AQ1529" s="11">
        <v>42136</v>
      </c>
      <c r="AR1529" s="1" t="s">
        <v>3862</v>
      </c>
      <c r="AS1529" s="11">
        <v>42139</v>
      </c>
      <c r="AT1529" s="1" t="s">
        <v>49</v>
      </c>
      <c r="AU1529" s="1" t="s">
        <v>4171</v>
      </c>
    </row>
    <row r="1530" spans="1:47" x14ac:dyDescent="0.25">
      <c r="A1530" s="1">
        <v>1512</v>
      </c>
      <c r="B1530" s="1" t="s">
        <v>1258</v>
      </c>
      <c r="C1530" s="1" t="s">
        <v>38</v>
      </c>
      <c r="D1530" s="1" t="s">
        <v>3743</v>
      </c>
      <c r="E1530" s="5">
        <v>42082</v>
      </c>
      <c r="F1530" s="1" t="s">
        <v>3744</v>
      </c>
      <c r="G1530" s="1" t="s">
        <v>40</v>
      </c>
      <c r="H1530" s="1" t="s">
        <v>41</v>
      </c>
      <c r="I1530" s="1" t="s">
        <v>2809</v>
      </c>
      <c r="J1530" s="1" t="s">
        <v>76</v>
      </c>
      <c r="K1530" s="1">
        <v>38237090</v>
      </c>
      <c r="L1530" s="6">
        <v>15</v>
      </c>
      <c r="M1530" s="1" t="s">
        <v>70</v>
      </c>
      <c r="N1530" s="7" t="s">
        <v>67</v>
      </c>
      <c r="O1530" s="1" t="s">
        <v>53</v>
      </c>
      <c r="P1530" s="8">
        <v>1420</v>
      </c>
      <c r="Q1530" s="17">
        <f t="shared" si="142"/>
        <v>21300</v>
      </c>
      <c r="R1530" s="9">
        <v>0</v>
      </c>
      <c r="S1530" s="9">
        <v>0</v>
      </c>
      <c r="T1530" s="9">
        <v>0</v>
      </c>
      <c r="U1530" s="10">
        <v>0</v>
      </c>
      <c r="V1530" s="1" t="s">
        <v>46</v>
      </c>
      <c r="W1530" s="1" t="s">
        <v>143</v>
      </c>
      <c r="X1530" s="1">
        <v>8397116</v>
      </c>
      <c r="Y1530" s="11">
        <v>42079</v>
      </c>
      <c r="Z1530" s="11">
        <v>42080</v>
      </c>
      <c r="AA1530" s="9">
        <f t="shared" si="144"/>
        <v>21300</v>
      </c>
      <c r="AB1530" s="12">
        <v>61.8</v>
      </c>
      <c r="AC1530" s="9">
        <f t="shared" si="140"/>
        <v>1316340</v>
      </c>
      <c r="AD1530" s="9">
        <f t="shared" si="145"/>
        <v>1316340</v>
      </c>
      <c r="AE1530" s="1" t="s">
        <v>48</v>
      </c>
      <c r="AF1530" s="1" t="s">
        <v>53</v>
      </c>
      <c r="AG1530" s="4">
        <f t="shared" si="146"/>
        <v>21300</v>
      </c>
      <c r="AH1530" s="10">
        <v>21300</v>
      </c>
      <c r="AI1530" s="10"/>
      <c r="AJ1530" s="10"/>
      <c r="AK1530" s="10"/>
      <c r="AL1530" s="10"/>
      <c r="AM1530" s="1"/>
      <c r="AN1530" s="1"/>
      <c r="AO1530" s="1"/>
      <c r="AP1530" s="1" t="s">
        <v>4209</v>
      </c>
      <c r="AQ1530" s="11">
        <v>42213</v>
      </c>
      <c r="AR1530" s="1" t="s">
        <v>4208</v>
      </c>
      <c r="AS1530" s="11">
        <v>42214</v>
      </c>
      <c r="AT1530" s="1" t="s">
        <v>49</v>
      </c>
      <c r="AU1530" s="1" t="s">
        <v>4171</v>
      </c>
    </row>
    <row r="1531" spans="1:47" x14ac:dyDescent="0.25">
      <c r="A1531" s="1">
        <v>1513</v>
      </c>
      <c r="B1531" s="1" t="s">
        <v>1258</v>
      </c>
      <c r="C1531" s="1" t="s">
        <v>38</v>
      </c>
      <c r="D1531" s="1" t="s">
        <v>3743</v>
      </c>
      <c r="E1531" s="5">
        <v>42082</v>
      </c>
      <c r="F1531" s="1" t="s">
        <v>3744</v>
      </c>
      <c r="G1531" s="1" t="s">
        <v>40</v>
      </c>
      <c r="H1531" s="1" t="s">
        <v>41</v>
      </c>
      <c r="I1531" s="1" t="s">
        <v>2809</v>
      </c>
      <c r="J1531" s="1" t="s">
        <v>76</v>
      </c>
      <c r="K1531" s="1">
        <v>38237090</v>
      </c>
      <c r="L1531" s="6">
        <v>0.2</v>
      </c>
      <c r="M1531" s="1" t="s">
        <v>70</v>
      </c>
      <c r="N1531" s="7" t="s">
        <v>44</v>
      </c>
      <c r="O1531" s="1" t="s">
        <v>53</v>
      </c>
      <c r="P1531" s="8">
        <v>1800</v>
      </c>
      <c r="Q1531" s="17">
        <f t="shared" si="142"/>
        <v>360</v>
      </c>
      <c r="R1531" s="9">
        <v>0</v>
      </c>
      <c r="S1531" s="9">
        <v>0</v>
      </c>
      <c r="T1531" s="9">
        <v>0</v>
      </c>
      <c r="U1531" s="10">
        <v>0</v>
      </c>
      <c r="V1531" s="1" t="s">
        <v>46</v>
      </c>
      <c r="W1531" s="1" t="s">
        <v>143</v>
      </c>
      <c r="X1531" s="1">
        <v>8397116</v>
      </c>
      <c r="Y1531" s="11">
        <v>42079</v>
      </c>
      <c r="Z1531" s="11">
        <v>42080</v>
      </c>
      <c r="AA1531" s="9">
        <f t="shared" si="144"/>
        <v>360</v>
      </c>
      <c r="AB1531" s="12">
        <v>61.8</v>
      </c>
      <c r="AC1531" s="9">
        <f t="shared" si="140"/>
        <v>22248</v>
      </c>
      <c r="AD1531" s="9">
        <f t="shared" si="145"/>
        <v>22248</v>
      </c>
      <c r="AE1531" s="1" t="s">
        <v>48</v>
      </c>
      <c r="AF1531" s="1" t="s">
        <v>53</v>
      </c>
      <c r="AG1531" s="4">
        <f t="shared" si="146"/>
        <v>360</v>
      </c>
      <c r="AH1531" s="10">
        <v>360</v>
      </c>
      <c r="AI1531" s="10"/>
      <c r="AJ1531" s="10"/>
      <c r="AK1531" s="10"/>
      <c r="AL1531" s="10"/>
      <c r="AM1531" s="1"/>
      <c r="AN1531" s="1"/>
      <c r="AO1531" s="1"/>
      <c r="AP1531" s="1" t="s">
        <v>4209</v>
      </c>
      <c r="AQ1531" s="11">
        <v>42213</v>
      </c>
      <c r="AR1531" s="1" t="s">
        <v>4208</v>
      </c>
      <c r="AS1531" s="11">
        <v>42214</v>
      </c>
      <c r="AT1531" s="1" t="s">
        <v>49</v>
      </c>
      <c r="AU1531" s="1" t="s">
        <v>4171</v>
      </c>
    </row>
    <row r="1532" spans="1:47" x14ac:dyDescent="0.25">
      <c r="A1532" s="1">
        <v>1514</v>
      </c>
      <c r="B1532" s="1" t="s">
        <v>1258</v>
      </c>
      <c r="C1532" s="1" t="s">
        <v>38</v>
      </c>
      <c r="D1532" s="1">
        <v>9103551318</v>
      </c>
      <c r="E1532" s="5">
        <v>42082</v>
      </c>
      <c r="F1532" s="1" t="s">
        <v>3745</v>
      </c>
      <c r="G1532" s="1" t="s">
        <v>40</v>
      </c>
      <c r="H1532" s="1" t="s">
        <v>41</v>
      </c>
      <c r="I1532" s="1" t="s">
        <v>2809</v>
      </c>
      <c r="J1532" s="1" t="s">
        <v>2468</v>
      </c>
      <c r="K1532" s="1">
        <v>38237090</v>
      </c>
      <c r="L1532" s="6">
        <v>48</v>
      </c>
      <c r="M1532" s="1" t="s">
        <v>70</v>
      </c>
      <c r="N1532" s="7" t="s">
        <v>52</v>
      </c>
      <c r="O1532" s="1" t="s">
        <v>53</v>
      </c>
      <c r="P1532" s="8">
        <v>1550</v>
      </c>
      <c r="Q1532" s="17">
        <f t="shared" si="142"/>
        <v>74400</v>
      </c>
      <c r="R1532" s="9">
        <v>3700</v>
      </c>
      <c r="S1532" s="9">
        <v>0</v>
      </c>
      <c r="T1532" s="9">
        <v>0</v>
      </c>
      <c r="U1532" s="10">
        <v>0</v>
      </c>
      <c r="V1532" s="1" t="s">
        <v>46</v>
      </c>
      <c r="W1532" s="1" t="s">
        <v>123</v>
      </c>
      <c r="X1532" s="1">
        <v>8398897</v>
      </c>
      <c r="Y1532" s="11">
        <v>42079</v>
      </c>
      <c r="Z1532" s="11">
        <v>42080</v>
      </c>
      <c r="AA1532" s="9">
        <f t="shared" si="144"/>
        <v>70700</v>
      </c>
      <c r="AB1532" s="12">
        <v>61.8</v>
      </c>
      <c r="AC1532" s="9">
        <f t="shared" si="140"/>
        <v>4597920</v>
      </c>
      <c r="AD1532" s="9">
        <f t="shared" si="145"/>
        <v>4369260</v>
      </c>
      <c r="AE1532" s="1" t="s">
        <v>48</v>
      </c>
      <c r="AF1532" s="1" t="s">
        <v>53</v>
      </c>
      <c r="AG1532" s="4">
        <f t="shared" si="146"/>
        <v>74400</v>
      </c>
      <c r="AH1532" s="10">
        <v>74338</v>
      </c>
      <c r="AI1532" s="10">
        <v>3620</v>
      </c>
      <c r="AJ1532" s="10">
        <v>0</v>
      </c>
      <c r="AK1532" s="10">
        <v>0</v>
      </c>
      <c r="AL1532" s="10">
        <f>AH1532-(AI1532+AJ1532+AK1532)</f>
        <v>70718</v>
      </c>
      <c r="AM1532" s="1"/>
      <c r="AN1532" s="1"/>
      <c r="AO1532" s="12" t="e">
        <f>AB1532/#REF!</f>
        <v>#REF!</v>
      </c>
      <c r="AP1532" s="1"/>
      <c r="AQ1532" s="11">
        <v>42135</v>
      </c>
      <c r="AR1532" s="1" t="s">
        <v>3863</v>
      </c>
      <c r="AS1532" s="11">
        <v>42139</v>
      </c>
      <c r="AT1532" s="1" t="s">
        <v>49</v>
      </c>
      <c r="AU1532" s="1" t="s">
        <v>4171</v>
      </c>
    </row>
    <row r="1533" spans="1:47" x14ac:dyDescent="0.25">
      <c r="A1533" s="1">
        <v>1515</v>
      </c>
      <c r="B1533" s="1" t="s">
        <v>1258</v>
      </c>
      <c r="C1533" s="1" t="s">
        <v>38</v>
      </c>
      <c r="D1533" s="1">
        <v>9103551319</v>
      </c>
      <c r="E1533" s="5">
        <v>42084</v>
      </c>
      <c r="F1533" s="1" t="s">
        <v>3746</v>
      </c>
      <c r="G1533" s="1" t="s">
        <v>40</v>
      </c>
      <c r="H1533" s="1" t="s">
        <v>41</v>
      </c>
      <c r="I1533" s="1" t="s">
        <v>2809</v>
      </c>
      <c r="J1533" s="1" t="s">
        <v>3741</v>
      </c>
      <c r="K1533" s="1">
        <v>29051700</v>
      </c>
      <c r="L1533" s="6">
        <v>36.28</v>
      </c>
      <c r="M1533" s="1" t="s">
        <v>70</v>
      </c>
      <c r="N1533" s="7" t="s">
        <v>44</v>
      </c>
      <c r="O1533" s="1" t="s">
        <v>53</v>
      </c>
      <c r="P1533" s="8">
        <v>1812</v>
      </c>
      <c r="Q1533" s="17">
        <f t="shared" si="142"/>
        <v>65739.360000000001</v>
      </c>
      <c r="R1533" s="9">
        <v>7200</v>
      </c>
      <c r="S1533" s="9">
        <v>9.4</v>
      </c>
      <c r="T1533" s="9">
        <v>0</v>
      </c>
      <c r="U1533" s="10">
        <v>0</v>
      </c>
      <c r="V1533" s="1" t="s">
        <v>46</v>
      </c>
      <c r="W1533" s="1" t="s">
        <v>56</v>
      </c>
      <c r="X1533" s="1">
        <v>8402504</v>
      </c>
      <c r="Y1533" s="11">
        <v>42079</v>
      </c>
      <c r="Z1533" s="11">
        <v>42080</v>
      </c>
      <c r="AA1533" s="9">
        <f t="shared" si="144"/>
        <v>58529.96</v>
      </c>
      <c r="AB1533" s="12">
        <v>61.8</v>
      </c>
      <c r="AC1533" s="9">
        <f t="shared" si="140"/>
        <v>4062692.4479999999</v>
      </c>
      <c r="AD1533" s="9">
        <f t="shared" si="145"/>
        <v>3617151.5279999999</v>
      </c>
      <c r="AE1533" s="1" t="s">
        <v>48</v>
      </c>
      <c r="AF1533" s="1" t="s">
        <v>53</v>
      </c>
      <c r="AG1533" s="4">
        <f t="shared" si="146"/>
        <v>65739.360000000001</v>
      </c>
      <c r="AH1533" s="10">
        <v>65739.360000000001</v>
      </c>
      <c r="AI1533" s="10">
        <v>7120</v>
      </c>
      <c r="AJ1533" s="10">
        <v>9.4</v>
      </c>
      <c r="AK1533" s="10">
        <v>0</v>
      </c>
      <c r="AL1533" s="10">
        <f>AH1533-(AI1533+AJ1533+AK1533)</f>
        <v>58609.96</v>
      </c>
      <c r="AM1533" s="1"/>
      <c r="AN1533" s="1"/>
      <c r="AO1533" s="12" t="e">
        <f>AB1533/#REF!</f>
        <v>#REF!</v>
      </c>
      <c r="AP1533" s="1"/>
      <c r="AQ1533" s="11">
        <v>42136</v>
      </c>
      <c r="AR1533" s="1" t="s">
        <v>3864</v>
      </c>
      <c r="AS1533" s="11">
        <v>42139</v>
      </c>
      <c r="AT1533" s="1" t="s">
        <v>49</v>
      </c>
      <c r="AU1533" s="1" t="s">
        <v>4171</v>
      </c>
    </row>
    <row r="1534" spans="1:47" x14ac:dyDescent="0.25">
      <c r="A1534" s="1">
        <v>1516</v>
      </c>
      <c r="B1534" s="1" t="s">
        <v>1258</v>
      </c>
      <c r="C1534" s="1" t="s">
        <v>38</v>
      </c>
      <c r="D1534" s="1">
        <v>9103551320</v>
      </c>
      <c r="E1534" s="5">
        <v>42082</v>
      </c>
      <c r="F1534" s="1" t="s">
        <v>3747</v>
      </c>
      <c r="G1534" s="1" t="s">
        <v>40</v>
      </c>
      <c r="H1534" s="1" t="s">
        <v>41</v>
      </c>
      <c r="I1534" s="1" t="s">
        <v>2809</v>
      </c>
      <c r="J1534" s="1" t="s">
        <v>3748</v>
      </c>
      <c r="K1534" s="1">
        <v>38237090</v>
      </c>
      <c r="L1534" s="6">
        <v>15</v>
      </c>
      <c r="M1534" s="1" t="s">
        <v>70</v>
      </c>
      <c r="N1534" s="7" t="s">
        <v>44</v>
      </c>
      <c r="O1534" s="1" t="s">
        <v>53</v>
      </c>
      <c r="P1534" s="8">
        <v>1598</v>
      </c>
      <c r="Q1534" s="17">
        <f t="shared" si="142"/>
        <v>23970</v>
      </c>
      <c r="R1534" s="9">
        <v>1150</v>
      </c>
      <c r="S1534" s="9">
        <v>3.43</v>
      </c>
      <c r="T1534" s="9">
        <v>0</v>
      </c>
      <c r="U1534" s="10">
        <v>0</v>
      </c>
      <c r="V1534" s="1" t="s">
        <v>46</v>
      </c>
      <c r="W1534" s="1" t="s">
        <v>123</v>
      </c>
      <c r="X1534" s="1">
        <v>8402503</v>
      </c>
      <c r="Y1534" s="11">
        <v>42079</v>
      </c>
      <c r="Z1534" s="11">
        <v>42080</v>
      </c>
      <c r="AA1534" s="9">
        <f t="shared" si="144"/>
        <v>22816.57</v>
      </c>
      <c r="AB1534" s="12">
        <v>61.8</v>
      </c>
      <c r="AC1534" s="9">
        <f t="shared" si="140"/>
        <v>1481346</v>
      </c>
      <c r="AD1534" s="9">
        <f t="shared" si="145"/>
        <v>1410064.0259999998</v>
      </c>
      <c r="AE1534" s="1" t="s">
        <v>48</v>
      </c>
      <c r="AF1534" s="1" t="s">
        <v>53</v>
      </c>
      <c r="AG1534" s="4">
        <f t="shared" si="146"/>
        <v>23970</v>
      </c>
      <c r="AH1534" s="10">
        <v>23970</v>
      </c>
      <c r="AI1534" s="10"/>
      <c r="AJ1534" s="10"/>
      <c r="AK1534" s="10"/>
      <c r="AL1534" s="10"/>
      <c r="AM1534" s="1"/>
      <c r="AN1534" s="1"/>
      <c r="AO1534" s="1"/>
      <c r="AP1534" s="1" t="s">
        <v>4196</v>
      </c>
      <c r="AQ1534" s="11" t="s">
        <v>4197</v>
      </c>
      <c r="AR1534" s="1" t="s">
        <v>4198</v>
      </c>
      <c r="AS1534" s="11" t="s">
        <v>4199</v>
      </c>
      <c r="AT1534" s="1" t="s">
        <v>49</v>
      </c>
      <c r="AU1534" s="1" t="s">
        <v>4171</v>
      </c>
    </row>
    <row r="1535" spans="1:47" x14ac:dyDescent="0.25">
      <c r="A1535" s="1">
        <v>1517</v>
      </c>
      <c r="B1535" s="1" t="s">
        <v>1258</v>
      </c>
      <c r="C1535" s="1" t="s">
        <v>38</v>
      </c>
      <c r="D1535" s="1">
        <v>9103551321</v>
      </c>
      <c r="E1535" s="5">
        <v>42083</v>
      </c>
      <c r="F1535" s="1" t="s">
        <v>3749</v>
      </c>
      <c r="G1535" s="1" t="s">
        <v>40</v>
      </c>
      <c r="H1535" s="1" t="s">
        <v>41</v>
      </c>
      <c r="I1535" s="1" t="s">
        <v>2809</v>
      </c>
      <c r="J1535" s="1" t="s">
        <v>2764</v>
      </c>
      <c r="K1535" s="1">
        <v>38237090</v>
      </c>
      <c r="L1535" s="6">
        <v>24</v>
      </c>
      <c r="M1535" s="1" t="s">
        <v>70</v>
      </c>
      <c r="N1535" s="7" t="s">
        <v>44</v>
      </c>
      <c r="O1535" s="1" t="s">
        <v>53</v>
      </c>
      <c r="P1535" s="8">
        <v>1680</v>
      </c>
      <c r="Q1535" s="17">
        <f t="shared" si="142"/>
        <v>40320</v>
      </c>
      <c r="R1535" s="9">
        <v>1000</v>
      </c>
      <c r="S1535" s="9">
        <v>0</v>
      </c>
      <c r="T1535" s="9">
        <v>0</v>
      </c>
      <c r="U1535" s="10">
        <v>0</v>
      </c>
      <c r="V1535" s="1" t="s">
        <v>46</v>
      </c>
      <c r="W1535" s="1" t="s">
        <v>143</v>
      </c>
      <c r="X1535" s="1">
        <v>8400613</v>
      </c>
      <c r="Y1535" s="11">
        <v>42079</v>
      </c>
      <c r="Z1535" s="11">
        <v>42081</v>
      </c>
      <c r="AA1535" s="9">
        <f t="shared" si="144"/>
        <v>39320</v>
      </c>
      <c r="AB1535" s="12">
        <v>61.8</v>
      </c>
      <c r="AC1535" s="9">
        <f t="shared" si="140"/>
        <v>2491776</v>
      </c>
      <c r="AD1535" s="9">
        <f t="shared" si="145"/>
        <v>2429976</v>
      </c>
      <c r="AE1535" s="1" t="s">
        <v>48</v>
      </c>
      <c r="AF1535" s="1" t="s">
        <v>53</v>
      </c>
      <c r="AG1535" s="4">
        <f t="shared" si="146"/>
        <v>40320</v>
      </c>
      <c r="AH1535" s="10">
        <v>40300</v>
      </c>
      <c r="AI1535" s="10"/>
      <c r="AJ1535" s="10"/>
      <c r="AK1535" s="10"/>
      <c r="AL1535" s="10"/>
      <c r="AM1535" s="1"/>
      <c r="AN1535" s="1"/>
      <c r="AO1535" s="1"/>
      <c r="AP1535" s="1" t="s">
        <v>4206</v>
      </c>
      <c r="AQ1535" s="11">
        <v>42390</v>
      </c>
      <c r="AR1535" s="1" t="s">
        <v>4207</v>
      </c>
      <c r="AS1535" s="11">
        <v>42391</v>
      </c>
      <c r="AT1535" s="1" t="s">
        <v>49</v>
      </c>
      <c r="AU1535" s="1" t="s">
        <v>4171</v>
      </c>
    </row>
    <row r="1536" spans="1:47" x14ac:dyDescent="0.25">
      <c r="A1536" s="1">
        <v>1518</v>
      </c>
      <c r="B1536" s="1" t="s">
        <v>1258</v>
      </c>
      <c r="C1536" s="1" t="s">
        <v>38</v>
      </c>
      <c r="D1536" s="1" t="s">
        <v>3750</v>
      </c>
      <c r="E1536" s="5">
        <v>42082</v>
      </c>
      <c r="F1536" s="1" t="s">
        <v>3825</v>
      </c>
      <c r="G1536" s="1" t="s">
        <v>40</v>
      </c>
      <c r="H1536" s="1" t="s">
        <v>41</v>
      </c>
      <c r="I1536" s="1" t="s">
        <v>2809</v>
      </c>
      <c r="J1536" s="1" t="s">
        <v>2764</v>
      </c>
      <c r="K1536" s="1">
        <v>38237090</v>
      </c>
      <c r="L1536" s="6">
        <v>10.125</v>
      </c>
      <c r="M1536" s="1" t="s">
        <v>70</v>
      </c>
      <c r="N1536" s="7" t="s">
        <v>44</v>
      </c>
      <c r="O1536" s="1" t="s">
        <v>53</v>
      </c>
      <c r="P1536" s="8">
        <v>1720</v>
      </c>
      <c r="Q1536" s="192">
        <v>30690</v>
      </c>
      <c r="R1536" s="190">
        <v>1100</v>
      </c>
      <c r="S1536" s="190">
        <v>4.3899999999999997</v>
      </c>
      <c r="T1536" s="190">
        <v>0</v>
      </c>
      <c r="U1536" s="188"/>
      <c r="V1536" s="1" t="s">
        <v>46</v>
      </c>
      <c r="W1536" s="1" t="s">
        <v>137</v>
      </c>
      <c r="X1536" s="186">
        <v>8398999</v>
      </c>
      <c r="Y1536" s="196">
        <v>42079</v>
      </c>
      <c r="Z1536" s="196">
        <v>42080</v>
      </c>
      <c r="AA1536" s="190">
        <f>Q1536-R1536-S1536</f>
        <v>29585.61</v>
      </c>
      <c r="AB1536" s="184">
        <v>61.8</v>
      </c>
      <c r="AC1536" s="190">
        <f t="shared" si="140"/>
        <v>1896642</v>
      </c>
      <c r="AD1536" s="190">
        <f>AA1536*AB1536</f>
        <v>1828390.6979999999</v>
      </c>
      <c r="AE1536" s="1" t="s">
        <v>48</v>
      </c>
      <c r="AF1536" s="1" t="s">
        <v>53</v>
      </c>
      <c r="AG1536" s="194">
        <f t="shared" si="146"/>
        <v>30690</v>
      </c>
      <c r="AH1536" s="188">
        <v>30690</v>
      </c>
      <c r="AI1536" s="188">
        <v>1194.97</v>
      </c>
      <c r="AJ1536" s="188">
        <v>4.3899999999999997</v>
      </c>
      <c r="AK1536" s="188">
        <v>0</v>
      </c>
      <c r="AL1536" s="188">
        <f>AH1536-(AI1536+AJ1536+AK1536)</f>
        <v>29490.639999999999</v>
      </c>
      <c r="AM1536" s="184">
        <v>1</v>
      </c>
      <c r="AN1536" s="186">
        <v>30408.5</v>
      </c>
      <c r="AO1536" s="184" t="e">
        <f>AB1536/#REF!</f>
        <v>#REF!</v>
      </c>
      <c r="AP1536" s="1"/>
      <c r="AQ1536" s="11">
        <v>42153</v>
      </c>
      <c r="AR1536" s="1" t="s">
        <v>3865</v>
      </c>
      <c r="AS1536" s="11">
        <v>42156</v>
      </c>
      <c r="AT1536" s="1" t="s">
        <v>49</v>
      </c>
      <c r="AU1536" s="1" t="s">
        <v>4171</v>
      </c>
    </row>
    <row r="1537" spans="1:47" x14ac:dyDescent="0.25">
      <c r="A1537" s="1">
        <v>1519</v>
      </c>
      <c r="B1537" s="1" t="s">
        <v>1258</v>
      </c>
      <c r="C1537" s="1" t="s">
        <v>38</v>
      </c>
      <c r="D1537" s="1" t="s">
        <v>3750</v>
      </c>
      <c r="E1537" s="5">
        <v>42082</v>
      </c>
      <c r="F1537" s="1" t="s">
        <v>3825</v>
      </c>
      <c r="G1537" s="1" t="s">
        <v>40</v>
      </c>
      <c r="H1537" s="1" t="s">
        <v>41</v>
      </c>
      <c r="I1537" s="1" t="s">
        <v>2809</v>
      </c>
      <c r="J1537" s="1" t="s">
        <v>2764</v>
      </c>
      <c r="K1537" s="1">
        <v>29051700</v>
      </c>
      <c r="L1537" s="6">
        <v>7.5</v>
      </c>
      <c r="M1537" s="1" t="s">
        <v>70</v>
      </c>
      <c r="N1537" s="7" t="s">
        <v>44</v>
      </c>
      <c r="O1537" s="1" t="s">
        <v>53</v>
      </c>
      <c r="P1537" s="8">
        <v>1770</v>
      </c>
      <c r="Q1537" s="193"/>
      <c r="R1537" s="191"/>
      <c r="S1537" s="191"/>
      <c r="T1537" s="191"/>
      <c r="U1537" s="189"/>
      <c r="V1537" s="1" t="s">
        <v>46</v>
      </c>
      <c r="W1537" s="1" t="s">
        <v>137</v>
      </c>
      <c r="X1537" s="187"/>
      <c r="Y1537" s="197"/>
      <c r="Z1537" s="197"/>
      <c r="AA1537" s="191"/>
      <c r="AB1537" s="185"/>
      <c r="AC1537" s="191"/>
      <c r="AD1537" s="191"/>
      <c r="AE1537" s="1" t="s">
        <v>48</v>
      </c>
      <c r="AF1537" s="1" t="s">
        <v>53</v>
      </c>
      <c r="AG1537" s="195"/>
      <c r="AH1537" s="189"/>
      <c r="AI1537" s="189"/>
      <c r="AJ1537" s="189"/>
      <c r="AK1537" s="189"/>
      <c r="AL1537" s="189"/>
      <c r="AM1537" s="185"/>
      <c r="AN1537" s="187"/>
      <c r="AO1537" s="185"/>
      <c r="AP1537" s="1"/>
      <c r="AQ1537" s="11">
        <v>42153</v>
      </c>
      <c r="AR1537" s="1" t="s">
        <v>3865</v>
      </c>
      <c r="AS1537" s="11">
        <v>42156</v>
      </c>
      <c r="AT1537" s="1" t="s">
        <v>49</v>
      </c>
      <c r="AU1537" s="1" t="s">
        <v>4171</v>
      </c>
    </row>
    <row r="1538" spans="1:47" x14ac:dyDescent="0.25">
      <c r="A1538" s="1">
        <v>1520</v>
      </c>
      <c r="B1538" s="1" t="s">
        <v>1258</v>
      </c>
      <c r="C1538" s="1" t="s">
        <v>38</v>
      </c>
      <c r="D1538" s="1" t="s">
        <v>3750</v>
      </c>
      <c r="E1538" s="5">
        <v>42082</v>
      </c>
      <c r="F1538" s="1" t="s">
        <v>3829</v>
      </c>
      <c r="G1538" s="1" t="s">
        <v>40</v>
      </c>
      <c r="H1538" s="1" t="s">
        <v>41</v>
      </c>
      <c r="I1538" s="1" t="s">
        <v>2809</v>
      </c>
      <c r="J1538" s="1" t="s">
        <v>2764</v>
      </c>
      <c r="K1538" s="1">
        <v>38237090</v>
      </c>
      <c r="L1538" s="6">
        <v>16.5</v>
      </c>
      <c r="M1538" s="1" t="s">
        <v>70</v>
      </c>
      <c r="N1538" s="7" t="s">
        <v>44</v>
      </c>
      <c r="O1538" s="1" t="s">
        <v>53</v>
      </c>
      <c r="P1538" s="8">
        <v>1720</v>
      </c>
      <c r="Q1538" s="17">
        <f>+L1538*P1538</f>
        <v>28380</v>
      </c>
      <c r="R1538" s="9">
        <v>1100</v>
      </c>
      <c r="S1538" s="9">
        <v>4.0599999999999996</v>
      </c>
      <c r="T1538" s="9">
        <v>0</v>
      </c>
      <c r="U1538" s="10">
        <v>0</v>
      </c>
      <c r="V1538" s="1" t="s">
        <v>46</v>
      </c>
      <c r="W1538" s="1" t="s">
        <v>137</v>
      </c>
      <c r="X1538" s="1">
        <v>8353717</v>
      </c>
      <c r="Y1538" s="11">
        <v>42076</v>
      </c>
      <c r="Z1538" s="11">
        <v>42077</v>
      </c>
      <c r="AA1538" s="9">
        <f t="shared" ref="AA1538:AA1607" si="147">Q1538-R1538-S1538</f>
        <v>27275.94</v>
      </c>
      <c r="AB1538" s="12">
        <v>61.8</v>
      </c>
      <c r="AC1538" s="9">
        <f>+Q1538*AB1538</f>
        <v>1753884</v>
      </c>
      <c r="AD1538" s="9">
        <f t="shared" ref="AD1538:AD1607" si="148">+AA1538*AB1538</f>
        <v>1685653.0919999999</v>
      </c>
      <c r="AE1538" s="1" t="s">
        <v>48</v>
      </c>
      <c r="AF1538" s="1" t="s">
        <v>53</v>
      </c>
      <c r="AG1538" s="4">
        <f t="shared" ref="AG1538:AG1569" si="149">Q1538</f>
        <v>28380</v>
      </c>
      <c r="AH1538" s="10">
        <v>28380</v>
      </c>
      <c r="AI1538" s="10">
        <v>1105.03</v>
      </c>
      <c r="AJ1538" s="10">
        <v>4.0599999999999996</v>
      </c>
      <c r="AK1538" s="10">
        <v>0</v>
      </c>
      <c r="AL1538" s="10">
        <f>AH1538-(AI1538+AJ1538+AK1538)</f>
        <v>27270.91</v>
      </c>
      <c r="AM1538" s="1"/>
      <c r="AN1538" s="1"/>
      <c r="AO1538" s="12" t="e">
        <f>AB1538/#REF!</f>
        <v>#REF!</v>
      </c>
      <c r="AP1538" s="1"/>
      <c r="AQ1538" s="11">
        <v>42153</v>
      </c>
      <c r="AR1538" s="1" t="s">
        <v>3866</v>
      </c>
      <c r="AS1538" s="11">
        <v>42156</v>
      </c>
      <c r="AT1538" s="1" t="s">
        <v>49</v>
      </c>
      <c r="AU1538" s="1" t="s">
        <v>4171</v>
      </c>
    </row>
    <row r="1539" spans="1:47" x14ac:dyDescent="0.25">
      <c r="A1539" s="1">
        <v>1521</v>
      </c>
      <c r="B1539" s="1" t="s">
        <v>1258</v>
      </c>
      <c r="C1539" s="1" t="s">
        <v>38</v>
      </c>
      <c r="D1539" s="1">
        <v>9103551324</v>
      </c>
      <c r="E1539" s="5">
        <v>42085</v>
      </c>
      <c r="F1539" s="1" t="s">
        <v>3751</v>
      </c>
      <c r="G1539" s="1" t="s">
        <v>40</v>
      </c>
      <c r="H1539" s="1" t="s">
        <v>41</v>
      </c>
      <c r="I1539" s="1" t="s">
        <v>2809</v>
      </c>
      <c r="J1539" s="1" t="s">
        <v>1006</v>
      </c>
      <c r="K1539" s="1">
        <v>29051700</v>
      </c>
      <c r="L1539" s="6">
        <v>48</v>
      </c>
      <c r="M1539" s="1" t="s">
        <v>70</v>
      </c>
      <c r="N1539" s="7" t="s">
        <v>52</v>
      </c>
      <c r="O1539" s="1" t="s">
        <v>53</v>
      </c>
      <c r="P1539" s="8">
        <v>1655</v>
      </c>
      <c r="Q1539" s="17">
        <f t="shared" si="142"/>
        <v>79440</v>
      </c>
      <c r="R1539" s="9">
        <v>5550</v>
      </c>
      <c r="S1539" s="9">
        <v>0</v>
      </c>
      <c r="T1539" s="9">
        <v>0</v>
      </c>
      <c r="U1539" s="10">
        <v>0</v>
      </c>
      <c r="V1539" s="1" t="s">
        <v>46</v>
      </c>
      <c r="W1539" s="1" t="s">
        <v>3752</v>
      </c>
      <c r="X1539" s="1">
        <v>8401758</v>
      </c>
      <c r="Y1539" s="11">
        <v>42079</v>
      </c>
      <c r="Z1539" s="11">
        <v>42080</v>
      </c>
      <c r="AA1539" s="9">
        <f t="shared" si="147"/>
        <v>73890</v>
      </c>
      <c r="AB1539" s="12">
        <v>61.8</v>
      </c>
      <c r="AC1539" s="9">
        <f>+Q1539*AB1539</f>
        <v>4909392</v>
      </c>
      <c r="AD1539" s="9">
        <f t="shared" si="148"/>
        <v>4566402</v>
      </c>
      <c r="AE1539" s="1" t="s">
        <v>48</v>
      </c>
      <c r="AF1539" s="1" t="s">
        <v>53</v>
      </c>
      <c r="AG1539" s="4">
        <f t="shared" si="149"/>
        <v>79440</v>
      </c>
      <c r="AH1539" s="10">
        <v>79415</v>
      </c>
      <c r="AI1539" s="10">
        <v>4851</v>
      </c>
      <c r="AJ1539" s="10">
        <v>0</v>
      </c>
      <c r="AK1539" s="10">
        <v>0</v>
      </c>
      <c r="AL1539" s="10">
        <f>AH1539-(AI1539+AJ1539+AK1539)</f>
        <v>74564</v>
      </c>
      <c r="AM1539" s="1"/>
      <c r="AN1539" s="1"/>
      <c r="AO1539" s="12" t="e">
        <f>AB1539/#REF!</f>
        <v>#REF!</v>
      </c>
      <c r="AP1539" s="1"/>
      <c r="AQ1539" s="11">
        <v>42103</v>
      </c>
      <c r="AR1539" s="1" t="s">
        <v>3867</v>
      </c>
      <c r="AS1539" s="11">
        <v>42105</v>
      </c>
      <c r="AT1539" s="1" t="s">
        <v>49</v>
      </c>
      <c r="AU1539" s="1" t="s">
        <v>4171</v>
      </c>
    </row>
    <row r="1540" spans="1:47" x14ac:dyDescent="0.25">
      <c r="A1540" s="1">
        <v>1522</v>
      </c>
      <c r="B1540" s="1" t="s">
        <v>1258</v>
      </c>
      <c r="C1540" s="1" t="s">
        <v>38</v>
      </c>
      <c r="D1540" s="1">
        <v>9103551325</v>
      </c>
      <c r="E1540" s="5">
        <v>42084</v>
      </c>
      <c r="F1540" s="1" t="s">
        <v>3830</v>
      </c>
      <c r="G1540" s="1" t="s">
        <v>40</v>
      </c>
      <c r="H1540" s="1" t="s">
        <v>41</v>
      </c>
      <c r="I1540" s="1" t="s">
        <v>2809</v>
      </c>
      <c r="J1540" s="1" t="s">
        <v>3741</v>
      </c>
      <c r="K1540" s="1">
        <v>29051700</v>
      </c>
      <c r="L1540" s="6">
        <v>36.28</v>
      </c>
      <c r="M1540" s="1" t="s">
        <v>70</v>
      </c>
      <c r="N1540" s="7" t="s">
        <v>44</v>
      </c>
      <c r="O1540" s="1" t="s">
        <v>53</v>
      </c>
      <c r="P1540" s="8">
        <v>1801</v>
      </c>
      <c r="Q1540" s="17">
        <f t="shared" si="142"/>
        <v>65340.28</v>
      </c>
      <c r="R1540" s="9">
        <v>7020</v>
      </c>
      <c r="S1540" s="9">
        <v>9.34</v>
      </c>
      <c r="T1540" s="9">
        <v>0</v>
      </c>
      <c r="U1540" s="10">
        <v>0</v>
      </c>
      <c r="V1540" s="1" t="s">
        <v>46</v>
      </c>
      <c r="W1540" s="1" t="s">
        <v>56</v>
      </c>
      <c r="X1540" s="1">
        <v>8427586</v>
      </c>
      <c r="Y1540" s="11">
        <v>42080</v>
      </c>
      <c r="Z1540" s="11">
        <v>42081</v>
      </c>
      <c r="AA1540" s="9">
        <f t="shared" si="147"/>
        <v>58310.94</v>
      </c>
      <c r="AB1540" s="12">
        <v>61.8</v>
      </c>
      <c r="AC1540" s="9">
        <f>+Q1540*AB1540</f>
        <v>4038029.3039999995</v>
      </c>
      <c r="AD1540" s="9">
        <f t="shared" si="148"/>
        <v>3603616.0920000002</v>
      </c>
      <c r="AE1540" s="1" t="s">
        <v>48</v>
      </c>
      <c r="AF1540" s="1" t="s">
        <v>53</v>
      </c>
      <c r="AG1540" s="4">
        <f t="shared" si="149"/>
        <v>65340.28</v>
      </c>
      <c r="AH1540" s="10">
        <v>65340.28</v>
      </c>
      <c r="AI1540" s="10">
        <v>7030</v>
      </c>
      <c r="AJ1540" s="10">
        <v>9.35</v>
      </c>
      <c r="AK1540" s="10">
        <v>0</v>
      </c>
      <c r="AL1540" s="10">
        <f>AH1540-(AI1540+AJ1540+AK1540)</f>
        <v>58300.93</v>
      </c>
      <c r="AM1540" s="1"/>
      <c r="AN1540" s="1"/>
      <c r="AO1540" s="12" t="e">
        <f>AB1540/#REF!</f>
        <v>#REF!</v>
      </c>
      <c r="AP1540" s="1"/>
      <c r="AQ1540" s="11">
        <v>42136</v>
      </c>
      <c r="AR1540" s="1" t="s">
        <v>3868</v>
      </c>
      <c r="AS1540" s="11">
        <v>42139</v>
      </c>
      <c r="AT1540" s="1" t="s">
        <v>49</v>
      </c>
      <c r="AU1540" s="1" t="s">
        <v>4171</v>
      </c>
    </row>
    <row r="1541" spans="1:47" x14ac:dyDescent="0.25">
      <c r="A1541" s="1">
        <v>1523</v>
      </c>
      <c r="B1541" s="1" t="s">
        <v>1258</v>
      </c>
      <c r="C1541" s="1" t="s">
        <v>38</v>
      </c>
      <c r="D1541" s="1">
        <v>9103551325</v>
      </c>
      <c r="E1541" s="5">
        <v>42084</v>
      </c>
      <c r="F1541" s="1" t="s">
        <v>3831</v>
      </c>
      <c r="G1541" s="1" t="s">
        <v>40</v>
      </c>
      <c r="H1541" s="1" t="s">
        <v>41</v>
      </c>
      <c r="I1541" s="1" t="s">
        <v>2809</v>
      </c>
      <c r="J1541" s="1" t="s">
        <v>3741</v>
      </c>
      <c r="K1541" s="1">
        <v>29051700</v>
      </c>
      <c r="L1541" s="6">
        <v>36.28</v>
      </c>
      <c r="M1541" s="1" t="s">
        <v>70</v>
      </c>
      <c r="N1541" s="7" t="s">
        <v>44</v>
      </c>
      <c r="O1541" s="1" t="s">
        <v>53</v>
      </c>
      <c r="P1541" s="8">
        <v>1801</v>
      </c>
      <c r="Q1541" s="17">
        <f t="shared" si="142"/>
        <v>65340.28</v>
      </c>
      <c r="R1541" s="9">
        <v>7020</v>
      </c>
      <c r="S1541" s="9">
        <v>9.34</v>
      </c>
      <c r="T1541" s="9">
        <v>0</v>
      </c>
      <c r="U1541" s="10">
        <v>0</v>
      </c>
      <c r="V1541" s="1" t="s">
        <v>46</v>
      </c>
      <c r="W1541" s="1" t="s">
        <v>56</v>
      </c>
      <c r="X1541" s="1">
        <v>8425148</v>
      </c>
      <c r="Y1541" s="11">
        <v>42080</v>
      </c>
      <c r="Z1541" s="11">
        <v>42081</v>
      </c>
      <c r="AA1541" s="9">
        <f t="shared" si="147"/>
        <v>58310.94</v>
      </c>
      <c r="AB1541" s="12">
        <v>61.8</v>
      </c>
      <c r="AC1541" s="9">
        <f>+Q1541*AB1541</f>
        <v>4038029.3039999995</v>
      </c>
      <c r="AD1541" s="9">
        <f t="shared" si="148"/>
        <v>3603616.0920000002</v>
      </c>
      <c r="AE1541" s="1" t="s">
        <v>48</v>
      </c>
      <c r="AF1541" s="1" t="s">
        <v>53</v>
      </c>
      <c r="AG1541" s="4">
        <f t="shared" si="149"/>
        <v>65340.28</v>
      </c>
      <c r="AH1541" s="10">
        <v>65340.28</v>
      </c>
      <c r="AI1541" s="10">
        <v>7030</v>
      </c>
      <c r="AJ1541" s="10">
        <v>9.34</v>
      </c>
      <c r="AK1541" s="10">
        <v>0</v>
      </c>
      <c r="AL1541" s="10">
        <f>AH1541-(AI1541+AJ1541+AK1541)</f>
        <v>58300.94</v>
      </c>
      <c r="AM1541" s="1"/>
      <c r="AN1541" s="1"/>
      <c r="AO1541" s="12" t="e">
        <f>AB1541/#REF!</f>
        <v>#REF!</v>
      </c>
      <c r="AP1541" s="1"/>
      <c r="AQ1541" s="11">
        <v>42136</v>
      </c>
      <c r="AR1541" s="1" t="s">
        <v>3869</v>
      </c>
      <c r="AS1541" s="11">
        <v>42139</v>
      </c>
      <c r="AT1541" s="1" t="s">
        <v>49</v>
      </c>
      <c r="AU1541" s="1" t="s">
        <v>4171</v>
      </c>
    </row>
    <row r="1542" spans="1:47" x14ac:dyDescent="0.25">
      <c r="A1542" s="1">
        <v>1524</v>
      </c>
      <c r="B1542" s="1" t="s">
        <v>1258</v>
      </c>
      <c r="C1542" s="1" t="s">
        <v>38</v>
      </c>
      <c r="D1542" s="1">
        <v>9103551326</v>
      </c>
      <c r="E1542" s="5">
        <v>42084</v>
      </c>
      <c r="F1542" s="1" t="s">
        <v>3753</v>
      </c>
      <c r="G1542" s="1" t="s">
        <v>40</v>
      </c>
      <c r="H1542" s="1" t="s">
        <v>41</v>
      </c>
      <c r="I1542" s="1" t="s">
        <v>2810</v>
      </c>
      <c r="J1542" s="1" t="s">
        <v>1116</v>
      </c>
      <c r="K1542" s="1">
        <v>29051700</v>
      </c>
      <c r="L1542" s="6">
        <v>48</v>
      </c>
      <c r="M1542" s="1" t="s">
        <v>70</v>
      </c>
      <c r="N1542" s="7" t="s">
        <v>67</v>
      </c>
      <c r="O1542" s="1" t="s">
        <v>1117</v>
      </c>
      <c r="P1542" s="8">
        <v>97900</v>
      </c>
      <c r="Q1542" s="17">
        <f>+L1542*P1542</f>
        <v>4699200</v>
      </c>
      <c r="R1542" s="9">
        <v>0</v>
      </c>
      <c r="S1542" s="9">
        <v>0</v>
      </c>
      <c r="T1542" s="9">
        <v>0</v>
      </c>
      <c r="U1542" s="10">
        <v>0</v>
      </c>
      <c r="V1542" s="1" t="s">
        <v>46</v>
      </c>
      <c r="W1542" s="1" t="s">
        <v>361</v>
      </c>
      <c r="X1542" s="1">
        <v>8427551</v>
      </c>
      <c r="Y1542" s="11">
        <v>42080</v>
      </c>
      <c r="Z1542" s="11">
        <v>42082</v>
      </c>
      <c r="AA1542" s="9">
        <f t="shared" si="147"/>
        <v>4699200</v>
      </c>
      <c r="AB1542" s="12">
        <v>1</v>
      </c>
      <c r="AC1542" s="9">
        <f t="shared" si="140"/>
        <v>4699200</v>
      </c>
      <c r="AD1542" s="9">
        <f t="shared" si="148"/>
        <v>4699200</v>
      </c>
      <c r="AE1542" s="1" t="s">
        <v>4162</v>
      </c>
      <c r="AF1542" s="1" t="s">
        <v>1117</v>
      </c>
      <c r="AG1542" s="4">
        <f t="shared" si="149"/>
        <v>4699200</v>
      </c>
      <c r="AH1542" s="10">
        <v>4699200</v>
      </c>
      <c r="AI1542" s="10"/>
      <c r="AJ1542" s="10"/>
      <c r="AK1542" s="10"/>
      <c r="AL1542" s="10"/>
      <c r="AM1542" s="1"/>
      <c r="AN1542" s="1"/>
      <c r="AO1542" s="1"/>
      <c r="AP1542" s="1" t="s">
        <v>3947</v>
      </c>
      <c r="AQ1542" s="11" t="s">
        <v>3948</v>
      </c>
      <c r="AR1542" s="1" t="s">
        <v>3946</v>
      </c>
      <c r="AS1542" s="1" t="s">
        <v>3945</v>
      </c>
      <c r="AT1542" s="1" t="s">
        <v>49</v>
      </c>
      <c r="AU1542" s="1" t="s">
        <v>4171</v>
      </c>
    </row>
    <row r="1543" spans="1:47" x14ac:dyDescent="0.25">
      <c r="A1543" s="1">
        <v>1525</v>
      </c>
      <c r="B1543" s="1" t="s">
        <v>1258</v>
      </c>
      <c r="C1543" s="1" t="s">
        <v>38</v>
      </c>
      <c r="D1543" s="1">
        <v>9103551327</v>
      </c>
      <c r="E1543" s="5">
        <v>42085</v>
      </c>
      <c r="F1543" s="1" t="s">
        <v>3754</v>
      </c>
      <c r="G1543" s="1" t="s">
        <v>40</v>
      </c>
      <c r="H1543" s="1" t="s">
        <v>41</v>
      </c>
      <c r="I1543" s="1" t="s">
        <v>2809</v>
      </c>
      <c r="J1543" s="1" t="s">
        <v>3741</v>
      </c>
      <c r="K1543" s="1">
        <v>38237090</v>
      </c>
      <c r="L1543" s="6">
        <v>18.440000000000001</v>
      </c>
      <c r="M1543" s="1" t="s">
        <v>70</v>
      </c>
      <c r="N1543" s="7" t="s">
        <v>44</v>
      </c>
      <c r="O1543" s="1" t="s">
        <v>53</v>
      </c>
      <c r="P1543" s="8">
        <v>1563</v>
      </c>
      <c r="Q1543" s="17">
        <f t="shared" si="142"/>
        <v>28821.72</v>
      </c>
      <c r="R1543" s="9">
        <v>4500</v>
      </c>
      <c r="S1543" s="9">
        <v>4.12</v>
      </c>
      <c r="T1543" s="9">
        <v>0</v>
      </c>
      <c r="U1543" s="10">
        <v>0</v>
      </c>
      <c r="V1543" s="1" t="s">
        <v>46</v>
      </c>
      <c r="W1543" s="1" t="s">
        <v>56</v>
      </c>
      <c r="X1543" s="1">
        <v>8444405</v>
      </c>
      <c r="Y1543" s="11">
        <v>42081</v>
      </c>
      <c r="Z1543" s="11">
        <v>42082</v>
      </c>
      <c r="AA1543" s="9">
        <f t="shared" si="147"/>
        <v>24317.600000000002</v>
      </c>
      <c r="AB1543" s="12">
        <v>61.8</v>
      </c>
      <c r="AC1543" s="9">
        <f t="shared" si="140"/>
        <v>1781182.2960000001</v>
      </c>
      <c r="AD1543" s="9">
        <f t="shared" si="148"/>
        <v>1502827.6800000002</v>
      </c>
      <c r="AE1543" s="1" t="s">
        <v>48</v>
      </c>
      <c r="AF1543" s="1" t="s">
        <v>53</v>
      </c>
      <c r="AG1543" s="4">
        <f t="shared" si="149"/>
        <v>28821.72</v>
      </c>
      <c r="AH1543" s="10">
        <v>28821.72</v>
      </c>
      <c r="AI1543" s="10">
        <v>4300</v>
      </c>
      <c r="AJ1543" s="10">
        <v>4.12</v>
      </c>
      <c r="AK1543" s="10">
        <v>0</v>
      </c>
      <c r="AL1543" s="10">
        <f>AH1543-(AI1543+AJ1543+AK1543)</f>
        <v>24517.600000000002</v>
      </c>
      <c r="AM1543" s="1"/>
      <c r="AN1543" s="1"/>
      <c r="AO1543" s="12" t="e">
        <f>AB1543/#REF!</f>
        <v>#REF!</v>
      </c>
      <c r="AP1543" s="1"/>
      <c r="AQ1543" s="11">
        <v>42136</v>
      </c>
      <c r="AR1543" s="1" t="s">
        <v>3870</v>
      </c>
      <c r="AS1543" s="11">
        <v>42139</v>
      </c>
      <c r="AT1543" s="1" t="s">
        <v>49</v>
      </c>
      <c r="AU1543" s="1" t="s">
        <v>4171</v>
      </c>
    </row>
    <row r="1544" spans="1:47" x14ac:dyDescent="0.25">
      <c r="A1544" s="1">
        <v>1526</v>
      </c>
      <c r="B1544" s="1" t="s">
        <v>1258</v>
      </c>
      <c r="C1544" s="1" t="s">
        <v>38</v>
      </c>
      <c r="D1544" s="1" t="s">
        <v>3755</v>
      </c>
      <c r="E1544" s="5">
        <v>42086</v>
      </c>
      <c r="F1544" s="1" t="s">
        <v>3832</v>
      </c>
      <c r="G1544" s="1" t="s">
        <v>40</v>
      </c>
      <c r="H1544" s="1" t="s">
        <v>41</v>
      </c>
      <c r="I1544" s="1" t="s">
        <v>2810</v>
      </c>
      <c r="J1544" s="1" t="s">
        <v>1116</v>
      </c>
      <c r="K1544" s="1">
        <v>29051700</v>
      </c>
      <c r="L1544" s="6">
        <v>16</v>
      </c>
      <c r="M1544" s="1" t="s">
        <v>70</v>
      </c>
      <c r="N1544" s="7" t="s">
        <v>67</v>
      </c>
      <c r="O1544" s="1" t="s">
        <v>1117</v>
      </c>
      <c r="P1544" s="8">
        <v>97900</v>
      </c>
      <c r="Q1544" s="17">
        <f t="shared" si="142"/>
        <v>1566400</v>
      </c>
      <c r="R1544" s="9">
        <v>0</v>
      </c>
      <c r="S1544" s="9">
        <v>0</v>
      </c>
      <c r="T1544" s="9">
        <v>0</v>
      </c>
      <c r="U1544" s="10">
        <v>0</v>
      </c>
      <c r="V1544" s="1" t="s">
        <v>46</v>
      </c>
      <c r="W1544" s="1" t="s">
        <v>361</v>
      </c>
      <c r="X1544" s="1">
        <v>8444484</v>
      </c>
      <c r="Y1544" s="11">
        <v>42081</v>
      </c>
      <c r="Z1544" s="11">
        <v>42082</v>
      </c>
      <c r="AA1544" s="9">
        <f t="shared" si="147"/>
        <v>1566400</v>
      </c>
      <c r="AB1544" s="12">
        <v>1</v>
      </c>
      <c r="AC1544" s="9">
        <f t="shared" si="140"/>
        <v>1566400</v>
      </c>
      <c r="AD1544" s="9">
        <f t="shared" si="148"/>
        <v>1566400</v>
      </c>
      <c r="AE1544" s="1" t="s">
        <v>4162</v>
      </c>
      <c r="AF1544" s="1" t="s">
        <v>1117</v>
      </c>
      <c r="AG1544" s="4">
        <f t="shared" si="149"/>
        <v>1566400</v>
      </c>
      <c r="AH1544" s="10">
        <v>1566400</v>
      </c>
      <c r="AI1544" s="10"/>
      <c r="AJ1544" s="10"/>
      <c r="AK1544" s="10"/>
      <c r="AL1544" s="10"/>
      <c r="AM1544" s="1"/>
      <c r="AN1544" s="1"/>
      <c r="AO1544" s="1"/>
      <c r="AP1544" s="1" t="s">
        <v>3950</v>
      </c>
      <c r="AQ1544" s="11" t="s">
        <v>3948</v>
      </c>
      <c r="AR1544" s="1" t="s">
        <v>3949</v>
      </c>
      <c r="AS1544" s="1" t="s">
        <v>3945</v>
      </c>
      <c r="AT1544" s="1" t="s">
        <v>49</v>
      </c>
      <c r="AU1544" s="1" t="s">
        <v>4171</v>
      </c>
    </row>
    <row r="1545" spans="1:47" x14ac:dyDescent="0.25">
      <c r="A1545" s="1">
        <v>1527</v>
      </c>
      <c r="B1545" s="1" t="s">
        <v>1258</v>
      </c>
      <c r="C1545" s="1" t="s">
        <v>38</v>
      </c>
      <c r="D1545" s="1" t="s">
        <v>3755</v>
      </c>
      <c r="E1545" s="5">
        <v>42086</v>
      </c>
      <c r="F1545" s="1" t="s">
        <v>3833</v>
      </c>
      <c r="G1545" s="1" t="s">
        <v>40</v>
      </c>
      <c r="H1545" s="1" t="s">
        <v>41</v>
      </c>
      <c r="I1545" s="1" t="s">
        <v>2810</v>
      </c>
      <c r="J1545" s="1" t="s">
        <v>1116</v>
      </c>
      <c r="K1545" s="1">
        <v>29051700</v>
      </c>
      <c r="L1545" s="6">
        <v>32</v>
      </c>
      <c r="M1545" s="1" t="s">
        <v>70</v>
      </c>
      <c r="N1545" s="7" t="s">
        <v>67</v>
      </c>
      <c r="O1545" s="1" t="s">
        <v>1117</v>
      </c>
      <c r="P1545" s="8">
        <v>97900</v>
      </c>
      <c r="Q1545" s="17">
        <f t="shared" si="142"/>
        <v>3132800</v>
      </c>
      <c r="R1545" s="9">
        <v>0</v>
      </c>
      <c r="S1545" s="9">
        <v>0</v>
      </c>
      <c r="T1545" s="9">
        <v>0</v>
      </c>
      <c r="U1545" s="10">
        <v>0</v>
      </c>
      <c r="V1545" s="1" t="s">
        <v>46</v>
      </c>
      <c r="W1545" s="1" t="s">
        <v>361</v>
      </c>
      <c r="X1545" s="1">
        <v>8427018</v>
      </c>
      <c r="Y1545" s="11">
        <v>42080</v>
      </c>
      <c r="Z1545" s="11">
        <v>42082</v>
      </c>
      <c r="AA1545" s="9">
        <f t="shared" si="147"/>
        <v>3132800</v>
      </c>
      <c r="AB1545" s="12">
        <v>1</v>
      </c>
      <c r="AC1545" s="9">
        <f t="shared" si="140"/>
        <v>3132800</v>
      </c>
      <c r="AD1545" s="9">
        <f t="shared" si="148"/>
        <v>3132800</v>
      </c>
      <c r="AE1545" s="1" t="s">
        <v>4162</v>
      </c>
      <c r="AF1545" s="1" t="s">
        <v>1117</v>
      </c>
      <c r="AG1545" s="4">
        <f t="shared" si="149"/>
        <v>3132800</v>
      </c>
      <c r="AH1545" s="10">
        <v>3132800</v>
      </c>
      <c r="AI1545" s="10"/>
      <c r="AJ1545" s="10"/>
      <c r="AK1545" s="10"/>
      <c r="AL1545" s="10"/>
      <c r="AM1545" s="1"/>
      <c r="AN1545" s="1"/>
      <c r="AO1545" s="1"/>
      <c r="AP1545" s="1" t="s">
        <v>3950</v>
      </c>
      <c r="AQ1545" s="11" t="s">
        <v>3948</v>
      </c>
      <c r="AR1545" s="1" t="s">
        <v>3951</v>
      </c>
      <c r="AS1545" s="1" t="s">
        <v>3945</v>
      </c>
      <c r="AT1545" s="1" t="s">
        <v>49</v>
      </c>
      <c r="AU1545" s="1" t="s">
        <v>4171</v>
      </c>
    </row>
    <row r="1546" spans="1:47" x14ac:dyDescent="0.25">
      <c r="A1546" s="1">
        <v>1528</v>
      </c>
      <c r="B1546" s="1" t="s">
        <v>1258</v>
      </c>
      <c r="C1546" s="1" t="s">
        <v>38</v>
      </c>
      <c r="D1546" s="1">
        <v>9103551330</v>
      </c>
      <c r="E1546" s="5">
        <v>42086</v>
      </c>
      <c r="F1546" s="1" t="s">
        <v>3834</v>
      </c>
      <c r="G1546" s="1" t="s">
        <v>40</v>
      </c>
      <c r="H1546" s="1" t="s">
        <v>41</v>
      </c>
      <c r="I1546" s="1" t="s">
        <v>2809</v>
      </c>
      <c r="J1546" s="1" t="s">
        <v>3756</v>
      </c>
      <c r="K1546" s="1">
        <v>29051700</v>
      </c>
      <c r="L1546" s="6">
        <v>18.72</v>
      </c>
      <c r="M1546" s="1" t="s">
        <v>70</v>
      </c>
      <c r="N1546" s="7" t="s">
        <v>67</v>
      </c>
      <c r="O1546" s="1" t="s">
        <v>53</v>
      </c>
      <c r="P1546" s="8">
        <v>1545</v>
      </c>
      <c r="Q1546" s="17">
        <f t="shared" si="142"/>
        <v>28922.399999999998</v>
      </c>
      <c r="R1546" s="9">
        <v>0</v>
      </c>
      <c r="S1546" s="9">
        <v>0</v>
      </c>
      <c r="T1546" s="9">
        <v>0</v>
      </c>
      <c r="U1546" s="10">
        <v>0</v>
      </c>
      <c r="V1546" s="1" t="s">
        <v>46</v>
      </c>
      <c r="W1546" s="1" t="s">
        <v>56</v>
      </c>
      <c r="X1546" s="1">
        <v>8450172</v>
      </c>
      <c r="Y1546" s="11">
        <v>42081</v>
      </c>
      <c r="Z1546" s="11">
        <v>42082</v>
      </c>
      <c r="AA1546" s="9">
        <f t="shared" si="147"/>
        <v>28922.399999999998</v>
      </c>
      <c r="AB1546" s="12">
        <v>61.8</v>
      </c>
      <c r="AC1546" s="9">
        <f t="shared" si="140"/>
        <v>1787404.3199999998</v>
      </c>
      <c r="AD1546" s="9">
        <f t="shared" si="148"/>
        <v>1787404.3199999998</v>
      </c>
      <c r="AE1546" s="1" t="s">
        <v>48</v>
      </c>
      <c r="AF1546" s="1" t="s">
        <v>53</v>
      </c>
      <c r="AG1546" s="4">
        <f t="shared" si="149"/>
        <v>28922.399999999998</v>
      </c>
      <c r="AH1546" s="10">
        <v>28922.400000000001</v>
      </c>
      <c r="AI1546" s="10">
        <v>0</v>
      </c>
      <c r="AJ1546" s="10">
        <v>0</v>
      </c>
      <c r="AK1546" s="10">
        <v>0</v>
      </c>
      <c r="AL1546" s="10">
        <f t="shared" ref="AL1546:AL1556" si="150">AH1546-(AI1546+AJ1546+AK1546)</f>
        <v>28922.400000000001</v>
      </c>
      <c r="AM1546" s="1"/>
      <c r="AN1546" s="1"/>
      <c r="AO1546" s="12" t="e">
        <f>AB1546/#REF!</f>
        <v>#REF!</v>
      </c>
      <c r="AP1546" s="1"/>
      <c r="AQ1546" s="11">
        <v>42116</v>
      </c>
      <c r="AR1546" s="1" t="s">
        <v>3871</v>
      </c>
      <c r="AS1546" s="11">
        <v>42119</v>
      </c>
      <c r="AT1546" s="1" t="s">
        <v>49</v>
      </c>
      <c r="AU1546" s="1" t="s">
        <v>4171</v>
      </c>
    </row>
    <row r="1547" spans="1:47" x14ac:dyDescent="0.25">
      <c r="A1547" s="1">
        <v>1529</v>
      </c>
      <c r="B1547" s="1" t="s">
        <v>1258</v>
      </c>
      <c r="C1547" s="1" t="s">
        <v>38</v>
      </c>
      <c r="D1547" s="1">
        <v>9103551331</v>
      </c>
      <c r="E1547" s="5">
        <v>42086</v>
      </c>
      <c r="F1547" s="1" t="s">
        <v>3757</v>
      </c>
      <c r="G1547" s="1" t="s">
        <v>40</v>
      </c>
      <c r="H1547" s="1" t="s">
        <v>41</v>
      </c>
      <c r="I1547" s="1" t="s">
        <v>2809</v>
      </c>
      <c r="J1547" s="1" t="s">
        <v>3756</v>
      </c>
      <c r="K1547" s="1">
        <v>38237090</v>
      </c>
      <c r="L1547" s="6">
        <v>18.420000000000002</v>
      </c>
      <c r="M1547" s="1" t="s">
        <v>70</v>
      </c>
      <c r="N1547" s="7" t="s">
        <v>67</v>
      </c>
      <c r="O1547" s="1" t="s">
        <v>53</v>
      </c>
      <c r="P1547" s="8">
        <v>1390</v>
      </c>
      <c r="Q1547" s="17">
        <f t="shared" si="142"/>
        <v>25603.800000000003</v>
      </c>
      <c r="R1547" s="9">
        <v>0</v>
      </c>
      <c r="S1547" s="9">
        <v>0</v>
      </c>
      <c r="T1547" s="9">
        <v>0</v>
      </c>
      <c r="U1547" s="10">
        <v>0</v>
      </c>
      <c r="V1547" s="1" t="s">
        <v>46</v>
      </c>
      <c r="W1547" s="1" t="s">
        <v>56</v>
      </c>
      <c r="X1547" s="1">
        <v>8444423</v>
      </c>
      <c r="Y1547" s="11">
        <v>42081</v>
      </c>
      <c r="Z1547" s="11">
        <v>42082</v>
      </c>
      <c r="AA1547" s="9">
        <f t="shared" si="147"/>
        <v>25603.800000000003</v>
      </c>
      <c r="AB1547" s="12">
        <v>61.8</v>
      </c>
      <c r="AC1547" s="9">
        <f t="shared" si="140"/>
        <v>1582314.84</v>
      </c>
      <c r="AD1547" s="9">
        <f t="shared" si="148"/>
        <v>1582314.84</v>
      </c>
      <c r="AE1547" s="1" t="s">
        <v>48</v>
      </c>
      <c r="AF1547" s="1" t="s">
        <v>53</v>
      </c>
      <c r="AG1547" s="4">
        <f t="shared" si="149"/>
        <v>25603.800000000003</v>
      </c>
      <c r="AH1547" s="10">
        <v>25603.8</v>
      </c>
      <c r="AI1547" s="10">
        <v>0</v>
      </c>
      <c r="AJ1547" s="10">
        <v>0</v>
      </c>
      <c r="AK1547" s="10">
        <v>0</v>
      </c>
      <c r="AL1547" s="10">
        <f t="shared" si="150"/>
        <v>25603.8</v>
      </c>
      <c r="AM1547" s="1"/>
      <c r="AN1547" s="1"/>
      <c r="AO1547" s="12" t="e">
        <f>AB1547/#REF!</f>
        <v>#REF!</v>
      </c>
      <c r="AP1547" s="1"/>
      <c r="AQ1547" s="11">
        <v>42118</v>
      </c>
      <c r="AR1547" s="1" t="s">
        <v>3872</v>
      </c>
      <c r="AS1547" s="11">
        <v>42119</v>
      </c>
      <c r="AT1547" s="1" t="s">
        <v>49</v>
      </c>
      <c r="AU1547" s="1" t="s">
        <v>4171</v>
      </c>
    </row>
    <row r="1548" spans="1:47" x14ac:dyDescent="0.25">
      <c r="A1548" s="1">
        <v>1530</v>
      </c>
      <c r="B1548" s="1" t="s">
        <v>1258</v>
      </c>
      <c r="C1548" s="1" t="s">
        <v>38</v>
      </c>
      <c r="D1548" s="1">
        <v>9103551332</v>
      </c>
      <c r="E1548" s="5">
        <v>42086</v>
      </c>
      <c r="F1548" s="1" t="s">
        <v>3758</v>
      </c>
      <c r="G1548" s="1" t="s">
        <v>40</v>
      </c>
      <c r="H1548" s="1" t="s">
        <v>41</v>
      </c>
      <c r="I1548" s="1" t="s">
        <v>2809</v>
      </c>
      <c r="J1548" s="1" t="s">
        <v>3756</v>
      </c>
      <c r="K1548" s="1">
        <v>38237090</v>
      </c>
      <c r="L1548" s="6">
        <v>18.41</v>
      </c>
      <c r="M1548" s="1" t="s">
        <v>70</v>
      </c>
      <c r="N1548" s="7" t="s">
        <v>67</v>
      </c>
      <c r="O1548" s="1" t="s">
        <v>53</v>
      </c>
      <c r="P1548" s="8">
        <v>1390</v>
      </c>
      <c r="Q1548" s="17">
        <f t="shared" si="142"/>
        <v>25589.9</v>
      </c>
      <c r="R1548" s="9">
        <v>0</v>
      </c>
      <c r="S1548" s="9">
        <v>0</v>
      </c>
      <c r="T1548" s="9">
        <v>0</v>
      </c>
      <c r="U1548" s="10">
        <v>0</v>
      </c>
      <c r="V1548" s="1" t="s">
        <v>46</v>
      </c>
      <c r="W1548" s="1" t="s">
        <v>56</v>
      </c>
      <c r="X1548" s="1">
        <v>8444413</v>
      </c>
      <c r="Y1548" s="11">
        <v>42081</v>
      </c>
      <c r="Z1548" s="11">
        <v>42082</v>
      </c>
      <c r="AA1548" s="9">
        <f t="shared" si="147"/>
        <v>25589.9</v>
      </c>
      <c r="AB1548" s="12">
        <v>61.8</v>
      </c>
      <c r="AC1548" s="9">
        <f t="shared" si="140"/>
        <v>1581455.82</v>
      </c>
      <c r="AD1548" s="9">
        <f t="shared" si="148"/>
        <v>1581455.82</v>
      </c>
      <c r="AE1548" s="1" t="s">
        <v>48</v>
      </c>
      <c r="AF1548" s="1" t="s">
        <v>53</v>
      </c>
      <c r="AG1548" s="4">
        <f t="shared" si="149"/>
        <v>25589.9</v>
      </c>
      <c r="AH1548" s="10">
        <v>25544.9</v>
      </c>
      <c r="AI1548" s="10">
        <v>0</v>
      </c>
      <c r="AJ1548" s="10">
        <v>0</v>
      </c>
      <c r="AK1548" s="10">
        <v>0</v>
      </c>
      <c r="AL1548" s="10">
        <f t="shared" si="150"/>
        <v>25544.9</v>
      </c>
      <c r="AM1548" s="1"/>
      <c r="AN1548" s="1"/>
      <c r="AO1548" s="12" t="e">
        <f>AB1548/#REF!</f>
        <v>#REF!</v>
      </c>
      <c r="AP1548" s="1"/>
      <c r="AQ1548" s="11">
        <v>42118</v>
      </c>
      <c r="AR1548" s="1" t="s">
        <v>3873</v>
      </c>
      <c r="AS1548" s="11">
        <v>42119</v>
      </c>
      <c r="AT1548" s="1" t="s">
        <v>49</v>
      </c>
      <c r="AU1548" s="1" t="s">
        <v>4171</v>
      </c>
    </row>
    <row r="1549" spans="1:47" x14ac:dyDescent="0.25">
      <c r="A1549" s="1">
        <v>1531</v>
      </c>
      <c r="B1549" s="1" t="s">
        <v>1258</v>
      </c>
      <c r="C1549" s="1" t="s">
        <v>38</v>
      </c>
      <c r="D1549" s="1" t="s">
        <v>3759</v>
      </c>
      <c r="E1549" s="5">
        <v>42085</v>
      </c>
      <c r="F1549" s="1" t="s">
        <v>3835</v>
      </c>
      <c r="G1549" s="1" t="s">
        <v>40</v>
      </c>
      <c r="H1549" s="1" t="s">
        <v>41</v>
      </c>
      <c r="I1549" s="1" t="s">
        <v>2809</v>
      </c>
      <c r="J1549" s="1" t="s">
        <v>2812</v>
      </c>
      <c r="K1549" s="1">
        <v>29161990</v>
      </c>
      <c r="L1549" s="6">
        <v>57.6</v>
      </c>
      <c r="M1549" s="1" t="s">
        <v>70</v>
      </c>
      <c r="N1549" s="7" t="s">
        <v>52</v>
      </c>
      <c r="O1549" s="1" t="s">
        <v>53</v>
      </c>
      <c r="P1549" s="8">
        <v>2850</v>
      </c>
      <c r="Q1549" s="17">
        <f t="shared" si="142"/>
        <v>164160</v>
      </c>
      <c r="R1549" s="9">
        <v>220</v>
      </c>
      <c r="S1549" s="9">
        <v>0</v>
      </c>
      <c r="T1549" s="9">
        <v>0</v>
      </c>
      <c r="U1549" s="10">
        <v>0</v>
      </c>
      <c r="V1549" s="1" t="s">
        <v>46</v>
      </c>
      <c r="W1549" s="1" t="s">
        <v>54</v>
      </c>
      <c r="X1549" s="1">
        <v>8452100</v>
      </c>
      <c r="Y1549" s="11">
        <v>42081</v>
      </c>
      <c r="Z1549" s="11">
        <v>42083</v>
      </c>
      <c r="AA1549" s="9">
        <f t="shared" si="147"/>
        <v>163940</v>
      </c>
      <c r="AB1549" s="12">
        <v>61.8</v>
      </c>
      <c r="AC1549" s="9">
        <f t="shared" si="140"/>
        <v>10145088</v>
      </c>
      <c r="AD1549" s="9">
        <f t="shared" si="148"/>
        <v>10131492</v>
      </c>
      <c r="AE1549" s="1" t="s">
        <v>48</v>
      </c>
      <c r="AF1549" s="1" t="s">
        <v>53</v>
      </c>
      <c r="AG1549" s="4">
        <f t="shared" si="149"/>
        <v>164160</v>
      </c>
      <c r="AH1549" s="10">
        <v>164160</v>
      </c>
      <c r="AI1549" s="10">
        <v>1740</v>
      </c>
      <c r="AJ1549" s="10">
        <v>0</v>
      </c>
      <c r="AK1549" s="10">
        <v>0</v>
      </c>
      <c r="AL1549" s="10">
        <f t="shared" si="150"/>
        <v>162420</v>
      </c>
      <c r="AM1549" s="1"/>
      <c r="AN1549" s="1"/>
      <c r="AO1549" s="12" t="e">
        <f>AB1549/#REF!</f>
        <v>#REF!</v>
      </c>
      <c r="AP1549" s="1"/>
      <c r="AQ1549" s="11">
        <v>42135</v>
      </c>
      <c r="AR1549" s="1" t="s">
        <v>3874</v>
      </c>
      <c r="AS1549" s="11">
        <v>42139</v>
      </c>
      <c r="AT1549" s="1" t="s">
        <v>49</v>
      </c>
      <c r="AU1549" s="1" t="s">
        <v>4171</v>
      </c>
    </row>
    <row r="1550" spans="1:47" x14ac:dyDescent="0.25">
      <c r="A1550" s="1">
        <v>1532</v>
      </c>
      <c r="B1550" s="1" t="s">
        <v>1258</v>
      </c>
      <c r="C1550" s="1" t="s">
        <v>38</v>
      </c>
      <c r="D1550" s="1" t="s">
        <v>3759</v>
      </c>
      <c r="E1550" s="5">
        <v>42085</v>
      </c>
      <c r="F1550" s="1" t="s">
        <v>3836</v>
      </c>
      <c r="G1550" s="1" t="s">
        <v>40</v>
      </c>
      <c r="H1550" s="1" t="s">
        <v>41</v>
      </c>
      <c r="I1550" s="1" t="s">
        <v>2809</v>
      </c>
      <c r="J1550" s="1" t="s">
        <v>2812</v>
      </c>
      <c r="K1550" s="1">
        <v>29161990</v>
      </c>
      <c r="L1550" s="6">
        <v>28.8</v>
      </c>
      <c r="M1550" s="1" t="s">
        <v>70</v>
      </c>
      <c r="N1550" s="7" t="s">
        <v>52</v>
      </c>
      <c r="O1550" s="1" t="s">
        <v>53</v>
      </c>
      <c r="P1550" s="8">
        <v>2850</v>
      </c>
      <c r="Q1550" s="17">
        <f t="shared" si="142"/>
        <v>82080</v>
      </c>
      <c r="R1550" s="9">
        <v>110</v>
      </c>
      <c r="S1550" s="9">
        <v>0</v>
      </c>
      <c r="T1550" s="9">
        <v>0</v>
      </c>
      <c r="U1550" s="10">
        <v>0</v>
      </c>
      <c r="V1550" s="1" t="s">
        <v>46</v>
      </c>
      <c r="W1550" s="1" t="s">
        <v>54</v>
      </c>
      <c r="X1550" s="1">
        <v>8387313</v>
      </c>
      <c r="Y1550" s="11">
        <v>42079</v>
      </c>
      <c r="Z1550" s="11">
        <v>173</v>
      </c>
      <c r="AA1550" s="9">
        <f t="shared" si="147"/>
        <v>81970</v>
      </c>
      <c r="AB1550" s="12">
        <v>61.8</v>
      </c>
      <c r="AC1550" s="9">
        <f t="shared" si="140"/>
        <v>5072544</v>
      </c>
      <c r="AD1550" s="9">
        <f t="shared" si="148"/>
        <v>5065746</v>
      </c>
      <c r="AE1550" s="1" t="s">
        <v>48</v>
      </c>
      <c r="AF1550" s="1" t="s">
        <v>53</v>
      </c>
      <c r="AG1550" s="4">
        <f t="shared" si="149"/>
        <v>82080</v>
      </c>
      <c r="AH1550" s="10">
        <v>82080</v>
      </c>
      <c r="AI1550" s="10">
        <v>870</v>
      </c>
      <c r="AJ1550" s="10">
        <v>0</v>
      </c>
      <c r="AK1550" s="10">
        <v>0</v>
      </c>
      <c r="AL1550" s="10">
        <f t="shared" si="150"/>
        <v>81210</v>
      </c>
      <c r="AM1550" s="1"/>
      <c r="AN1550" s="1"/>
      <c r="AO1550" s="12" t="e">
        <f>AB1550/#REF!</f>
        <v>#REF!</v>
      </c>
      <c r="AP1550" s="1"/>
      <c r="AQ1550" s="11">
        <v>42135</v>
      </c>
      <c r="AR1550" s="1" t="s">
        <v>3875</v>
      </c>
      <c r="AS1550" s="11">
        <v>42139</v>
      </c>
      <c r="AT1550" s="1" t="s">
        <v>49</v>
      </c>
      <c r="AU1550" s="1" t="s">
        <v>4171</v>
      </c>
    </row>
    <row r="1551" spans="1:47" x14ac:dyDescent="0.25">
      <c r="A1551" s="1">
        <v>1533</v>
      </c>
      <c r="B1551" s="1" t="s">
        <v>1258</v>
      </c>
      <c r="C1551" s="1" t="s">
        <v>38</v>
      </c>
      <c r="D1551" s="1" t="s">
        <v>3759</v>
      </c>
      <c r="E1551" s="5">
        <v>42085</v>
      </c>
      <c r="F1551" s="1" t="s">
        <v>3837</v>
      </c>
      <c r="G1551" s="1" t="s">
        <v>40</v>
      </c>
      <c r="H1551" s="1" t="s">
        <v>41</v>
      </c>
      <c r="I1551" s="1" t="s">
        <v>2809</v>
      </c>
      <c r="J1551" s="1" t="s">
        <v>2812</v>
      </c>
      <c r="K1551" s="1">
        <v>29161990</v>
      </c>
      <c r="L1551" s="6">
        <v>43.2</v>
      </c>
      <c r="M1551" s="1" t="s">
        <v>70</v>
      </c>
      <c r="N1551" s="7" t="s">
        <v>52</v>
      </c>
      <c r="O1551" s="1" t="s">
        <v>53</v>
      </c>
      <c r="P1551" s="8">
        <v>2850</v>
      </c>
      <c r="Q1551" s="17">
        <f t="shared" si="142"/>
        <v>123120.00000000001</v>
      </c>
      <c r="R1551" s="9">
        <v>165</v>
      </c>
      <c r="S1551" s="9">
        <v>0</v>
      </c>
      <c r="T1551" s="9">
        <v>0</v>
      </c>
      <c r="U1551" s="10">
        <v>0</v>
      </c>
      <c r="V1551" s="1" t="s">
        <v>46</v>
      </c>
      <c r="W1551" s="1" t="s">
        <v>54</v>
      </c>
      <c r="X1551" s="1">
        <v>8371694</v>
      </c>
      <c r="Y1551" s="11">
        <v>42079</v>
      </c>
      <c r="Z1551" s="11">
        <v>173</v>
      </c>
      <c r="AA1551" s="9">
        <f t="shared" si="147"/>
        <v>122955.00000000001</v>
      </c>
      <c r="AB1551" s="12">
        <v>61.8</v>
      </c>
      <c r="AC1551" s="9">
        <f t="shared" si="140"/>
        <v>7608816.0000000009</v>
      </c>
      <c r="AD1551" s="9">
        <f t="shared" si="148"/>
        <v>7598619.0000000009</v>
      </c>
      <c r="AE1551" s="1" t="s">
        <v>48</v>
      </c>
      <c r="AF1551" s="1" t="s">
        <v>53</v>
      </c>
      <c r="AG1551" s="4">
        <f t="shared" si="149"/>
        <v>123120.00000000001</v>
      </c>
      <c r="AH1551" s="10">
        <v>123120</v>
      </c>
      <c r="AI1551" s="10">
        <v>1305</v>
      </c>
      <c r="AJ1551" s="10">
        <v>0</v>
      </c>
      <c r="AK1551" s="10">
        <v>0</v>
      </c>
      <c r="AL1551" s="10">
        <f t="shared" si="150"/>
        <v>121815</v>
      </c>
      <c r="AM1551" s="1"/>
      <c r="AN1551" s="1"/>
      <c r="AO1551" s="12" t="e">
        <f>AB1551/#REF!</f>
        <v>#REF!</v>
      </c>
      <c r="AP1551" s="1"/>
      <c r="AQ1551" s="11">
        <v>42135</v>
      </c>
      <c r="AR1551" s="1" t="s">
        <v>3876</v>
      </c>
      <c r="AS1551" s="11">
        <v>42139</v>
      </c>
      <c r="AT1551" s="1" t="s">
        <v>49</v>
      </c>
      <c r="AU1551" s="1" t="s">
        <v>4171</v>
      </c>
    </row>
    <row r="1552" spans="1:47" x14ac:dyDescent="0.25">
      <c r="A1552" s="1">
        <v>1534</v>
      </c>
      <c r="B1552" s="1" t="s">
        <v>1258</v>
      </c>
      <c r="C1552" s="1" t="s">
        <v>38</v>
      </c>
      <c r="D1552" s="1" t="s">
        <v>3760</v>
      </c>
      <c r="E1552" s="5">
        <v>42088</v>
      </c>
      <c r="F1552" s="1" t="s">
        <v>3838</v>
      </c>
      <c r="G1552" s="1" t="s">
        <v>40</v>
      </c>
      <c r="H1552" s="1" t="s">
        <v>41</v>
      </c>
      <c r="I1552" s="1" t="s">
        <v>2809</v>
      </c>
      <c r="J1552" s="1" t="s">
        <v>63</v>
      </c>
      <c r="K1552" s="1">
        <v>29161990</v>
      </c>
      <c r="L1552" s="6">
        <v>58.39</v>
      </c>
      <c r="M1552" s="1" t="s">
        <v>70</v>
      </c>
      <c r="N1552" s="7" t="s">
        <v>44</v>
      </c>
      <c r="O1552" s="1" t="s">
        <v>53</v>
      </c>
      <c r="P1552" s="8">
        <v>2615</v>
      </c>
      <c r="Q1552" s="17">
        <f t="shared" si="142"/>
        <v>152689.85</v>
      </c>
      <c r="R1552" s="9">
        <v>1080</v>
      </c>
      <c r="S1552" s="9">
        <v>21.83</v>
      </c>
      <c r="T1552" s="9">
        <v>0</v>
      </c>
      <c r="U1552" s="10">
        <v>0</v>
      </c>
      <c r="V1552" s="1" t="s">
        <v>46</v>
      </c>
      <c r="W1552" s="1" t="s">
        <v>64</v>
      </c>
      <c r="X1552" s="1">
        <v>8467094</v>
      </c>
      <c r="Y1552" s="11">
        <v>42082</v>
      </c>
      <c r="Z1552" s="11">
        <v>42083</v>
      </c>
      <c r="AA1552" s="9">
        <f t="shared" si="147"/>
        <v>151588.02000000002</v>
      </c>
      <c r="AB1552" s="12">
        <v>61.8</v>
      </c>
      <c r="AC1552" s="9">
        <f t="shared" si="140"/>
        <v>9436232.7300000004</v>
      </c>
      <c r="AD1552" s="9">
        <f t="shared" si="148"/>
        <v>9368139.6359999999</v>
      </c>
      <c r="AE1552" s="1" t="s">
        <v>51</v>
      </c>
      <c r="AF1552" s="1" t="s">
        <v>53</v>
      </c>
      <c r="AG1552" s="4">
        <f t="shared" si="149"/>
        <v>152689.85</v>
      </c>
      <c r="AH1552" s="10">
        <v>152690</v>
      </c>
      <c r="AI1552" s="10">
        <v>1379.95</v>
      </c>
      <c r="AJ1552" s="10">
        <v>21.83</v>
      </c>
      <c r="AK1552" s="10">
        <v>0</v>
      </c>
      <c r="AL1552" s="10">
        <f t="shared" si="150"/>
        <v>151288.22</v>
      </c>
      <c r="AM1552" s="1"/>
      <c r="AN1552" s="1"/>
      <c r="AO1552" s="12" t="e">
        <f>AB1552/#REF!</f>
        <v>#REF!</v>
      </c>
      <c r="AP1552" s="1"/>
      <c r="AQ1552" s="11">
        <v>42139</v>
      </c>
      <c r="AR1552" s="1" t="s">
        <v>3877</v>
      </c>
      <c r="AS1552" s="11">
        <v>42139</v>
      </c>
      <c r="AT1552" s="1" t="s">
        <v>49</v>
      </c>
      <c r="AU1552" s="1" t="s">
        <v>4171</v>
      </c>
    </row>
    <row r="1553" spans="1:47" x14ac:dyDescent="0.25">
      <c r="A1553" s="1">
        <v>1535</v>
      </c>
      <c r="B1553" s="1" t="s">
        <v>1258</v>
      </c>
      <c r="C1553" s="1" t="s">
        <v>38</v>
      </c>
      <c r="D1553" s="1" t="s">
        <v>3760</v>
      </c>
      <c r="E1553" s="5">
        <v>42088</v>
      </c>
      <c r="F1553" s="1" t="s">
        <v>3839</v>
      </c>
      <c r="G1553" s="1" t="s">
        <v>40</v>
      </c>
      <c r="H1553" s="1" t="s">
        <v>41</v>
      </c>
      <c r="I1553" s="1" t="s">
        <v>2809</v>
      </c>
      <c r="J1553" s="1" t="s">
        <v>63</v>
      </c>
      <c r="K1553" s="1">
        <v>29161990</v>
      </c>
      <c r="L1553" s="6">
        <v>38.93</v>
      </c>
      <c r="M1553" s="1" t="s">
        <v>70</v>
      </c>
      <c r="N1553" s="7" t="s">
        <v>44</v>
      </c>
      <c r="O1553" s="1" t="s">
        <v>53</v>
      </c>
      <c r="P1553" s="8">
        <v>2615</v>
      </c>
      <c r="Q1553" s="17">
        <f t="shared" si="142"/>
        <v>101801.95</v>
      </c>
      <c r="R1553" s="9">
        <v>720</v>
      </c>
      <c r="S1553" s="9">
        <v>14.56</v>
      </c>
      <c r="T1553" s="9">
        <v>0</v>
      </c>
      <c r="U1553" s="10">
        <v>0</v>
      </c>
      <c r="V1553" s="1" t="s">
        <v>46</v>
      </c>
      <c r="W1553" s="1" t="s">
        <v>64</v>
      </c>
      <c r="X1553" s="1">
        <v>8452963</v>
      </c>
      <c r="Y1553" s="11">
        <v>42081</v>
      </c>
      <c r="Z1553" s="11">
        <v>42083</v>
      </c>
      <c r="AA1553" s="9">
        <f t="shared" si="147"/>
        <v>101067.39</v>
      </c>
      <c r="AB1553" s="12">
        <v>61.8</v>
      </c>
      <c r="AC1553" s="9">
        <f t="shared" si="140"/>
        <v>6291360.5099999998</v>
      </c>
      <c r="AD1553" s="9">
        <f t="shared" si="148"/>
        <v>6245964.7019999996</v>
      </c>
      <c r="AE1553" s="1" t="s">
        <v>51</v>
      </c>
      <c r="AF1553" s="1" t="s">
        <v>53</v>
      </c>
      <c r="AG1553" s="4">
        <f t="shared" si="149"/>
        <v>101801.95</v>
      </c>
      <c r="AH1553" s="10">
        <v>101802</v>
      </c>
      <c r="AI1553" s="10">
        <v>920.05</v>
      </c>
      <c r="AJ1553" s="10">
        <v>14.56</v>
      </c>
      <c r="AK1553" s="10">
        <v>0</v>
      </c>
      <c r="AL1553" s="10">
        <f t="shared" si="150"/>
        <v>100867.39</v>
      </c>
      <c r="AM1553" s="1"/>
      <c r="AN1553" s="1"/>
      <c r="AO1553" s="12" t="e">
        <f>AB1553/#REF!</f>
        <v>#REF!</v>
      </c>
      <c r="AP1553" s="1"/>
      <c r="AQ1553" s="11">
        <v>42138</v>
      </c>
      <c r="AR1553" s="1" t="s">
        <v>3878</v>
      </c>
      <c r="AS1553" s="11">
        <v>42139</v>
      </c>
      <c r="AT1553" s="1" t="s">
        <v>49</v>
      </c>
      <c r="AU1553" s="1" t="s">
        <v>4171</v>
      </c>
    </row>
    <row r="1554" spans="1:47" x14ac:dyDescent="0.25">
      <c r="A1554" s="1">
        <v>1536</v>
      </c>
      <c r="B1554" s="1" t="s">
        <v>1258</v>
      </c>
      <c r="C1554" s="1" t="s">
        <v>38</v>
      </c>
      <c r="D1554" s="1">
        <v>9103551338</v>
      </c>
      <c r="E1554" s="5">
        <v>42086</v>
      </c>
      <c r="F1554" s="1" t="s">
        <v>3761</v>
      </c>
      <c r="G1554" s="1" t="s">
        <v>40</v>
      </c>
      <c r="H1554" s="1" t="s">
        <v>41</v>
      </c>
      <c r="I1554" s="1" t="s">
        <v>2809</v>
      </c>
      <c r="J1554" s="1" t="s">
        <v>3762</v>
      </c>
      <c r="K1554" s="1">
        <v>38231900</v>
      </c>
      <c r="L1554" s="6">
        <v>39.53</v>
      </c>
      <c r="M1554" s="1" t="s">
        <v>70</v>
      </c>
      <c r="N1554" s="7" t="s">
        <v>44</v>
      </c>
      <c r="O1554" s="1" t="s">
        <v>53</v>
      </c>
      <c r="P1554" s="8">
        <v>3725</v>
      </c>
      <c r="Q1554" s="17">
        <f t="shared" si="142"/>
        <v>147249.25</v>
      </c>
      <c r="R1554" s="9">
        <v>1700</v>
      </c>
      <c r="S1554" s="9">
        <v>21.06</v>
      </c>
      <c r="T1554" s="9">
        <v>2846.16</v>
      </c>
      <c r="U1554" s="10">
        <v>0</v>
      </c>
      <c r="V1554" s="1" t="s">
        <v>46</v>
      </c>
      <c r="W1554" s="1" t="s">
        <v>3763</v>
      </c>
      <c r="X1554" s="1">
        <v>8471098</v>
      </c>
      <c r="Y1554" s="11">
        <v>42082</v>
      </c>
      <c r="Z1554" s="11">
        <v>42083</v>
      </c>
      <c r="AA1554" s="9">
        <f t="shared" si="147"/>
        <v>145528.19</v>
      </c>
      <c r="AB1554" s="12">
        <v>61.8</v>
      </c>
      <c r="AC1554" s="9">
        <f t="shared" si="140"/>
        <v>9100003.6500000004</v>
      </c>
      <c r="AD1554" s="9">
        <f t="shared" si="148"/>
        <v>8993642.1419999991</v>
      </c>
      <c r="AE1554" s="1" t="s">
        <v>57</v>
      </c>
      <c r="AF1554" s="1" t="s">
        <v>53</v>
      </c>
      <c r="AG1554" s="4">
        <f t="shared" si="149"/>
        <v>147249.25</v>
      </c>
      <c r="AH1554" s="10">
        <v>147249.25</v>
      </c>
      <c r="AI1554" s="10">
        <v>1519.52</v>
      </c>
      <c r="AJ1554" s="10">
        <v>21.06</v>
      </c>
      <c r="AK1554" s="10">
        <v>2846.16</v>
      </c>
      <c r="AL1554" s="10">
        <f t="shared" si="150"/>
        <v>142862.51</v>
      </c>
      <c r="AM1554" s="1"/>
      <c r="AN1554" s="1"/>
      <c r="AO1554" s="12" t="e">
        <f>AB1554/#REF!</f>
        <v>#REF!</v>
      </c>
      <c r="AP1554" s="1"/>
      <c r="AQ1554" s="11">
        <v>42163</v>
      </c>
      <c r="AR1554" s="1" t="s">
        <v>3879</v>
      </c>
      <c r="AS1554" s="11">
        <v>42164</v>
      </c>
      <c r="AT1554" s="1" t="s">
        <v>49</v>
      </c>
      <c r="AU1554" s="1" t="s">
        <v>4171</v>
      </c>
    </row>
    <row r="1555" spans="1:47" x14ac:dyDescent="0.25">
      <c r="A1555" s="1">
        <v>1537</v>
      </c>
      <c r="B1555" s="1" t="s">
        <v>1258</v>
      </c>
      <c r="C1555" s="1" t="s">
        <v>38</v>
      </c>
      <c r="D1555" s="1">
        <v>9103551339</v>
      </c>
      <c r="E1555" s="5">
        <v>42088</v>
      </c>
      <c r="F1555" s="1" t="s">
        <v>3764</v>
      </c>
      <c r="G1555" s="1" t="s">
        <v>40</v>
      </c>
      <c r="H1555" s="1" t="s">
        <v>41</v>
      </c>
      <c r="I1555" s="1" t="s">
        <v>2809</v>
      </c>
      <c r="J1555" s="1" t="s">
        <v>63</v>
      </c>
      <c r="K1555" s="1">
        <v>29161990</v>
      </c>
      <c r="L1555" s="6">
        <v>39.049999999999997</v>
      </c>
      <c r="M1555" s="1" t="s">
        <v>70</v>
      </c>
      <c r="N1555" s="7" t="s">
        <v>44</v>
      </c>
      <c r="O1555" s="1" t="s">
        <v>53</v>
      </c>
      <c r="P1555" s="8">
        <v>2615</v>
      </c>
      <c r="Q1555" s="17">
        <f t="shared" si="142"/>
        <v>102115.74999999999</v>
      </c>
      <c r="R1555" s="9">
        <v>720</v>
      </c>
      <c r="S1555" s="9">
        <v>14.6</v>
      </c>
      <c r="T1555" s="9">
        <v>0</v>
      </c>
      <c r="U1555" s="10">
        <v>0</v>
      </c>
      <c r="V1555" s="1" t="s">
        <v>46</v>
      </c>
      <c r="W1555" s="1" t="s">
        <v>64</v>
      </c>
      <c r="X1555" s="1">
        <v>8501082</v>
      </c>
      <c r="Y1555" s="11">
        <v>42083</v>
      </c>
      <c r="Z1555" s="11">
        <v>42084</v>
      </c>
      <c r="AA1555" s="9">
        <f t="shared" si="147"/>
        <v>101381.14999999998</v>
      </c>
      <c r="AB1555" s="12">
        <v>61.8</v>
      </c>
      <c r="AC1555" s="9">
        <f t="shared" si="140"/>
        <v>6310753.3499999987</v>
      </c>
      <c r="AD1555" s="9">
        <f t="shared" si="148"/>
        <v>6265355.0699999984</v>
      </c>
      <c r="AE1555" s="1" t="s">
        <v>51</v>
      </c>
      <c r="AF1555" s="1" t="s">
        <v>53</v>
      </c>
      <c r="AG1555" s="4">
        <f t="shared" si="149"/>
        <v>102115.74999999999</v>
      </c>
      <c r="AH1555" s="10">
        <v>102116</v>
      </c>
      <c r="AI1555" s="10">
        <v>700</v>
      </c>
      <c r="AJ1555" s="10">
        <v>14.6</v>
      </c>
      <c r="AK1555" s="10">
        <v>0</v>
      </c>
      <c r="AL1555" s="10">
        <f t="shared" si="150"/>
        <v>101401.4</v>
      </c>
      <c r="AM1555" s="1"/>
      <c r="AN1555" s="1"/>
      <c r="AO1555" s="12" t="e">
        <f>AB1555/#REF!</f>
        <v>#REF!</v>
      </c>
      <c r="AP1555" s="1"/>
      <c r="AQ1555" s="11">
        <v>42115</v>
      </c>
      <c r="AR1555" s="1" t="s">
        <v>3880</v>
      </c>
      <c r="AS1555" s="11">
        <v>42116</v>
      </c>
      <c r="AT1555" s="1" t="s">
        <v>49</v>
      </c>
      <c r="AU1555" s="1" t="s">
        <v>4171</v>
      </c>
    </row>
    <row r="1556" spans="1:47" x14ac:dyDescent="0.25">
      <c r="A1556" s="1">
        <v>1538</v>
      </c>
      <c r="B1556" s="1" t="s">
        <v>1258</v>
      </c>
      <c r="C1556" s="1" t="s">
        <v>38</v>
      </c>
      <c r="D1556" s="1">
        <v>9103551340</v>
      </c>
      <c r="E1556" s="5">
        <v>42088</v>
      </c>
      <c r="F1556" s="1" t="s">
        <v>3765</v>
      </c>
      <c r="G1556" s="1" t="s">
        <v>40</v>
      </c>
      <c r="H1556" s="1" t="s">
        <v>41</v>
      </c>
      <c r="I1556" s="1" t="s">
        <v>2809</v>
      </c>
      <c r="J1556" s="1" t="s">
        <v>63</v>
      </c>
      <c r="K1556" s="1">
        <v>29161990</v>
      </c>
      <c r="L1556" s="6">
        <v>39.909999999999997</v>
      </c>
      <c r="M1556" s="1" t="s">
        <v>70</v>
      </c>
      <c r="N1556" s="7" t="s">
        <v>44</v>
      </c>
      <c r="O1556" s="1" t="s">
        <v>53</v>
      </c>
      <c r="P1556" s="8">
        <v>2615</v>
      </c>
      <c r="Q1556" s="17">
        <f t="shared" si="142"/>
        <v>104364.65</v>
      </c>
      <c r="R1556" s="9">
        <v>720</v>
      </c>
      <c r="S1556" s="9">
        <v>14.92</v>
      </c>
      <c r="T1556" s="9">
        <v>0</v>
      </c>
      <c r="U1556" s="10">
        <v>0</v>
      </c>
      <c r="V1556" s="1" t="s">
        <v>46</v>
      </c>
      <c r="W1556" s="1" t="s">
        <v>64</v>
      </c>
      <c r="X1556" s="1">
        <v>8513133</v>
      </c>
      <c r="Y1556" s="11">
        <v>42084</v>
      </c>
      <c r="Z1556" s="11">
        <v>42086</v>
      </c>
      <c r="AA1556" s="9">
        <f t="shared" si="147"/>
        <v>103629.73</v>
      </c>
      <c r="AB1556" s="12">
        <v>61.8</v>
      </c>
      <c r="AC1556" s="9">
        <f t="shared" si="140"/>
        <v>6449735.3699999992</v>
      </c>
      <c r="AD1556" s="9">
        <f t="shared" si="148"/>
        <v>6404317.3139999993</v>
      </c>
      <c r="AE1556" s="1" t="s">
        <v>51</v>
      </c>
      <c r="AF1556" s="1" t="s">
        <v>53</v>
      </c>
      <c r="AG1556" s="4">
        <f t="shared" si="149"/>
        <v>104364.65</v>
      </c>
      <c r="AH1556" s="10">
        <v>104365</v>
      </c>
      <c r="AI1556" s="10">
        <v>920</v>
      </c>
      <c r="AJ1556" s="10">
        <v>14.92</v>
      </c>
      <c r="AK1556" s="10">
        <v>0</v>
      </c>
      <c r="AL1556" s="10">
        <f t="shared" si="150"/>
        <v>103430.08</v>
      </c>
      <c r="AM1556" s="1"/>
      <c r="AN1556" s="1"/>
      <c r="AO1556" s="12" t="e">
        <f>AB1556/#REF!</f>
        <v>#REF!</v>
      </c>
      <c r="AP1556" s="1"/>
      <c r="AQ1556" s="11">
        <v>42115</v>
      </c>
      <c r="AR1556" s="1" t="s">
        <v>3881</v>
      </c>
      <c r="AS1556" s="11">
        <v>42116</v>
      </c>
      <c r="AT1556" s="1" t="s">
        <v>49</v>
      </c>
      <c r="AU1556" s="1" t="s">
        <v>4171</v>
      </c>
    </row>
    <row r="1557" spans="1:47" x14ac:dyDescent="0.2">
      <c r="A1557" s="1">
        <v>1538</v>
      </c>
      <c r="B1557" s="1" t="s">
        <v>1258</v>
      </c>
      <c r="C1557" s="1" t="s">
        <v>38</v>
      </c>
      <c r="D1557" s="1" t="s">
        <v>4333</v>
      </c>
      <c r="E1557" s="5">
        <v>42082</v>
      </c>
      <c r="F1557" s="1" t="s">
        <v>4334</v>
      </c>
      <c r="G1557" s="1" t="s">
        <v>40</v>
      </c>
      <c r="H1557" s="1" t="s">
        <v>41</v>
      </c>
      <c r="I1557" s="1" t="s">
        <v>2809</v>
      </c>
      <c r="J1557" s="1" t="s">
        <v>2806</v>
      </c>
      <c r="K1557" s="1"/>
      <c r="L1557" s="6">
        <v>30</v>
      </c>
      <c r="M1557" s="1" t="s">
        <v>70</v>
      </c>
      <c r="N1557" s="7" t="s">
        <v>67</v>
      </c>
      <c r="O1557" s="1" t="s">
        <v>53</v>
      </c>
      <c r="P1557" s="8">
        <v>1300</v>
      </c>
      <c r="Q1557" s="17">
        <f t="shared" si="142"/>
        <v>39000</v>
      </c>
      <c r="R1557" s="9">
        <v>0</v>
      </c>
      <c r="S1557" s="9">
        <v>0</v>
      </c>
      <c r="T1557" s="9">
        <v>0</v>
      </c>
      <c r="U1557" s="10">
        <v>0</v>
      </c>
      <c r="V1557" s="1" t="s">
        <v>46</v>
      </c>
      <c r="W1557" s="1" t="s">
        <v>492</v>
      </c>
      <c r="X1557" s="1">
        <v>8496040</v>
      </c>
      <c r="Y1557" s="11">
        <v>42083</v>
      </c>
      <c r="Z1557" s="11"/>
      <c r="AA1557" s="9">
        <f t="shared" si="147"/>
        <v>39000</v>
      </c>
      <c r="AB1557" s="12">
        <v>61.8</v>
      </c>
      <c r="AC1557" s="9">
        <f t="shared" ref="AC1557:AC1559" si="151">+Q1557*AB1557</f>
        <v>2410200</v>
      </c>
      <c r="AD1557" s="9">
        <f t="shared" ref="AD1557:AD1559" si="152">+AA1557*AB1557</f>
        <v>2410200</v>
      </c>
      <c r="AE1557" s="1"/>
      <c r="AF1557" s="1"/>
      <c r="AG1557" s="4">
        <f t="shared" si="149"/>
        <v>39000</v>
      </c>
      <c r="AH1557" s="10">
        <v>39000</v>
      </c>
      <c r="AI1557" s="10"/>
      <c r="AJ1557" s="10"/>
      <c r="AK1557" s="10"/>
      <c r="AL1557" s="10"/>
      <c r="AM1557" s="1"/>
      <c r="AN1557" s="1"/>
      <c r="AO1557" s="12"/>
      <c r="AP1557" s="18" t="s">
        <v>4383</v>
      </c>
      <c r="AQ1557" s="11">
        <v>42142</v>
      </c>
      <c r="AR1557" s="18" t="s">
        <v>4385</v>
      </c>
      <c r="AS1557" s="11">
        <v>42147</v>
      </c>
      <c r="AT1557" s="1" t="s">
        <v>49</v>
      </c>
      <c r="AU1557" s="1" t="s">
        <v>4171</v>
      </c>
    </row>
    <row r="1558" spans="1:47" x14ac:dyDescent="0.2">
      <c r="A1558" s="1">
        <v>1538</v>
      </c>
      <c r="B1558" s="1" t="s">
        <v>1258</v>
      </c>
      <c r="C1558" s="1" t="s">
        <v>38</v>
      </c>
      <c r="D1558" s="1" t="s">
        <v>4333</v>
      </c>
      <c r="E1558" s="5">
        <v>42082</v>
      </c>
      <c r="F1558" s="1" t="s">
        <v>4335</v>
      </c>
      <c r="G1558" s="1" t="s">
        <v>40</v>
      </c>
      <c r="H1558" s="1" t="s">
        <v>41</v>
      </c>
      <c r="I1558" s="1" t="s">
        <v>2809</v>
      </c>
      <c r="J1558" s="1" t="s">
        <v>2806</v>
      </c>
      <c r="K1558" s="1"/>
      <c r="L1558" s="6">
        <v>30</v>
      </c>
      <c r="M1558" s="1" t="s">
        <v>70</v>
      </c>
      <c r="N1558" s="7" t="s">
        <v>67</v>
      </c>
      <c r="O1558" s="1" t="s">
        <v>53</v>
      </c>
      <c r="P1558" s="8">
        <v>1300</v>
      </c>
      <c r="Q1558" s="17">
        <f t="shared" si="142"/>
        <v>39000</v>
      </c>
      <c r="R1558" s="9"/>
      <c r="S1558" s="9"/>
      <c r="T1558" s="9"/>
      <c r="U1558" s="10"/>
      <c r="V1558" s="1"/>
      <c r="W1558" s="1"/>
      <c r="X1558" s="1">
        <v>8492921</v>
      </c>
      <c r="Y1558" s="11">
        <v>42083</v>
      </c>
      <c r="Z1558" s="11"/>
      <c r="AA1558" s="9">
        <f t="shared" si="147"/>
        <v>39000</v>
      </c>
      <c r="AB1558" s="12">
        <v>61.8</v>
      </c>
      <c r="AC1558" s="9">
        <f t="shared" si="151"/>
        <v>2410200</v>
      </c>
      <c r="AD1558" s="9">
        <f t="shared" si="152"/>
        <v>2410200</v>
      </c>
      <c r="AE1558" s="1"/>
      <c r="AF1558" s="1"/>
      <c r="AG1558" s="4">
        <f t="shared" si="149"/>
        <v>39000</v>
      </c>
      <c r="AH1558" s="10">
        <v>39000</v>
      </c>
      <c r="AI1558" s="10"/>
      <c r="AJ1558" s="10"/>
      <c r="AK1558" s="10"/>
      <c r="AL1558" s="10"/>
      <c r="AM1558" s="1"/>
      <c r="AN1558" s="1"/>
      <c r="AO1558" s="12"/>
      <c r="AP1558" s="18" t="s">
        <v>4383</v>
      </c>
      <c r="AQ1558" s="11">
        <v>42142</v>
      </c>
      <c r="AR1558" s="1" t="s">
        <v>4384</v>
      </c>
      <c r="AS1558" s="11">
        <v>42147</v>
      </c>
      <c r="AT1558" s="1" t="s">
        <v>49</v>
      </c>
      <c r="AU1558" s="1" t="s">
        <v>4171</v>
      </c>
    </row>
    <row r="1559" spans="1:47" x14ac:dyDescent="0.2">
      <c r="A1559" s="1">
        <v>1538</v>
      </c>
      <c r="B1559" s="1" t="s">
        <v>1258</v>
      </c>
      <c r="C1559" s="1" t="s">
        <v>38</v>
      </c>
      <c r="D1559" s="1" t="s">
        <v>4333</v>
      </c>
      <c r="E1559" s="5">
        <v>42082</v>
      </c>
      <c r="F1559" s="1" t="s">
        <v>4336</v>
      </c>
      <c r="G1559" s="1" t="s">
        <v>40</v>
      </c>
      <c r="H1559" s="1" t="s">
        <v>41</v>
      </c>
      <c r="I1559" s="1" t="s">
        <v>2809</v>
      </c>
      <c r="J1559" s="1" t="s">
        <v>2806</v>
      </c>
      <c r="K1559" s="1"/>
      <c r="L1559" s="6">
        <v>90</v>
      </c>
      <c r="M1559" s="1" t="s">
        <v>70</v>
      </c>
      <c r="N1559" s="7" t="s">
        <v>67</v>
      </c>
      <c r="O1559" s="1" t="s">
        <v>53</v>
      </c>
      <c r="P1559" s="8">
        <v>1300</v>
      </c>
      <c r="Q1559" s="17">
        <f t="shared" si="142"/>
        <v>117000</v>
      </c>
      <c r="R1559" s="9"/>
      <c r="S1559" s="9"/>
      <c r="T1559" s="9"/>
      <c r="U1559" s="10"/>
      <c r="V1559" s="1"/>
      <c r="W1559" s="1"/>
      <c r="X1559" s="1">
        <v>8476059</v>
      </c>
      <c r="Y1559" s="11">
        <v>42082</v>
      </c>
      <c r="Z1559" s="11"/>
      <c r="AA1559" s="9">
        <f t="shared" si="147"/>
        <v>117000</v>
      </c>
      <c r="AB1559" s="12">
        <v>61.8</v>
      </c>
      <c r="AC1559" s="9">
        <f t="shared" si="151"/>
        <v>7230600</v>
      </c>
      <c r="AD1559" s="9">
        <f t="shared" si="152"/>
        <v>7230600</v>
      </c>
      <c r="AE1559" s="1"/>
      <c r="AF1559" s="1"/>
      <c r="AG1559" s="4">
        <f t="shared" si="149"/>
        <v>117000</v>
      </c>
      <c r="AH1559" s="10">
        <v>117000</v>
      </c>
      <c r="AI1559" s="10"/>
      <c r="AJ1559" s="10"/>
      <c r="AK1559" s="10"/>
      <c r="AL1559" s="10"/>
      <c r="AM1559" s="1"/>
      <c r="AN1559" s="1"/>
      <c r="AO1559" s="12"/>
      <c r="AP1559" s="18" t="s">
        <v>4383</v>
      </c>
      <c r="AQ1559" s="11">
        <v>42142</v>
      </c>
      <c r="AR1559" s="1" t="s">
        <v>4386</v>
      </c>
      <c r="AS1559" s="11">
        <v>42147</v>
      </c>
      <c r="AT1559" s="1" t="s">
        <v>49</v>
      </c>
      <c r="AU1559" s="1" t="s">
        <v>4171</v>
      </c>
    </row>
    <row r="1560" spans="1:47" x14ac:dyDescent="0.25">
      <c r="A1560" s="1">
        <v>1539</v>
      </c>
      <c r="B1560" s="1" t="s">
        <v>1258</v>
      </c>
      <c r="C1560" s="1" t="s">
        <v>38</v>
      </c>
      <c r="D1560" s="1">
        <v>9103551343</v>
      </c>
      <c r="E1560" s="5">
        <v>42090</v>
      </c>
      <c r="F1560" s="1" t="s">
        <v>3766</v>
      </c>
      <c r="G1560" s="1" t="s">
        <v>40</v>
      </c>
      <c r="H1560" s="1" t="s">
        <v>41</v>
      </c>
      <c r="I1560" s="1" t="s">
        <v>2809</v>
      </c>
      <c r="J1560" s="1" t="s">
        <v>3741</v>
      </c>
      <c r="K1560" s="1">
        <v>29051700</v>
      </c>
      <c r="L1560" s="6">
        <v>36.28</v>
      </c>
      <c r="M1560" s="1" t="s">
        <v>70</v>
      </c>
      <c r="N1560" s="7" t="s">
        <v>44</v>
      </c>
      <c r="O1560" s="1" t="s">
        <v>53</v>
      </c>
      <c r="P1560" s="8">
        <v>1872</v>
      </c>
      <c r="Q1560" s="17">
        <f t="shared" si="142"/>
        <v>67916.160000000003</v>
      </c>
      <c r="R1560" s="9">
        <v>5500</v>
      </c>
      <c r="S1560" s="9">
        <v>9.7100000000000009</v>
      </c>
      <c r="T1560" s="9">
        <v>0</v>
      </c>
      <c r="U1560" s="10">
        <v>0</v>
      </c>
      <c r="V1560" s="1" t="s">
        <v>46</v>
      </c>
      <c r="W1560" s="1" t="s">
        <v>56</v>
      </c>
      <c r="X1560" s="1">
        <v>8513123</v>
      </c>
      <c r="Y1560" s="11">
        <v>42084</v>
      </c>
      <c r="Z1560" s="11">
        <v>42086</v>
      </c>
      <c r="AA1560" s="9">
        <f t="shared" si="147"/>
        <v>62406.450000000004</v>
      </c>
      <c r="AB1560" s="12">
        <v>61.8</v>
      </c>
      <c r="AC1560" s="9">
        <f t="shared" si="140"/>
        <v>4197218.6880000001</v>
      </c>
      <c r="AD1560" s="9">
        <f t="shared" si="148"/>
        <v>3856718.61</v>
      </c>
      <c r="AE1560" s="1" t="s">
        <v>48</v>
      </c>
      <c r="AF1560" s="1" t="s">
        <v>53</v>
      </c>
      <c r="AG1560" s="4">
        <f t="shared" si="149"/>
        <v>67916.160000000003</v>
      </c>
      <c r="AH1560" s="10">
        <v>67916.160000000003</v>
      </c>
      <c r="AI1560" s="10">
        <v>5630</v>
      </c>
      <c r="AJ1560" s="10">
        <v>9.7100000000000009</v>
      </c>
      <c r="AK1560" s="10">
        <v>0</v>
      </c>
      <c r="AL1560" s="10">
        <f t="shared" ref="AL1560:AL1576" si="153">AH1560-(AI1560+AJ1560+AK1560)</f>
        <v>62276.450000000004</v>
      </c>
      <c r="AM1560" s="1"/>
      <c r="AN1560" s="1"/>
      <c r="AO1560" s="12" t="e">
        <f>AB1560/#REF!</f>
        <v>#REF!</v>
      </c>
      <c r="AP1560" s="1"/>
      <c r="AQ1560" s="11">
        <v>42136</v>
      </c>
      <c r="AR1560" s="1" t="s">
        <v>3882</v>
      </c>
      <c r="AS1560" s="11">
        <v>42139</v>
      </c>
      <c r="AT1560" s="1" t="s">
        <v>49</v>
      </c>
      <c r="AU1560" s="1" t="s">
        <v>4171</v>
      </c>
    </row>
    <row r="1561" spans="1:47" x14ac:dyDescent="0.25">
      <c r="A1561" s="1">
        <v>1540</v>
      </c>
      <c r="B1561" s="1" t="s">
        <v>1258</v>
      </c>
      <c r="C1561" s="1" t="s">
        <v>38</v>
      </c>
      <c r="D1561" s="1" t="s">
        <v>3767</v>
      </c>
      <c r="E1561" s="5">
        <v>42088</v>
      </c>
      <c r="F1561" s="1" t="s">
        <v>3840</v>
      </c>
      <c r="G1561" s="1" t="s">
        <v>40</v>
      </c>
      <c r="H1561" s="1" t="s">
        <v>41</v>
      </c>
      <c r="I1561" s="1" t="s">
        <v>2809</v>
      </c>
      <c r="J1561" s="1" t="s">
        <v>63</v>
      </c>
      <c r="K1561" s="1">
        <v>29159090</v>
      </c>
      <c r="L1561" s="6">
        <v>20</v>
      </c>
      <c r="M1561" s="1" t="s">
        <v>70</v>
      </c>
      <c r="N1561" s="7" t="s">
        <v>52</v>
      </c>
      <c r="O1561" s="1" t="s">
        <v>53</v>
      </c>
      <c r="P1561" s="8">
        <v>3400</v>
      </c>
      <c r="Q1561" s="17">
        <f t="shared" si="142"/>
        <v>68000</v>
      </c>
      <c r="R1561" s="9">
        <v>200</v>
      </c>
      <c r="S1561" s="9">
        <v>0</v>
      </c>
      <c r="T1561" s="9">
        <v>0</v>
      </c>
      <c r="U1561" s="10">
        <v>0</v>
      </c>
      <c r="V1561" s="1" t="s">
        <v>46</v>
      </c>
      <c r="W1561" s="1" t="s">
        <v>75</v>
      </c>
      <c r="X1561" s="1">
        <v>8504482</v>
      </c>
      <c r="Y1561" s="11">
        <v>42083</v>
      </c>
      <c r="Z1561" s="11">
        <v>42084</v>
      </c>
      <c r="AA1561" s="9">
        <f t="shared" si="147"/>
        <v>67800</v>
      </c>
      <c r="AB1561" s="12">
        <v>61.8</v>
      </c>
      <c r="AC1561" s="9">
        <f t="shared" si="140"/>
        <v>4202400</v>
      </c>
      <c r="AD1561" s="9">
        <f t="shared" si="148"/>
        <v>4190040</v>
      </c>
      <c r="AE1561" s="1" t="s">
        <v>51</v>
      </c>
      <c r="AF1561" s="1" t="s">
        <v>53</v>
      </c>
      <c r="AG1561" s="4">
        <f t="shared" si="149"/>
        <v>68000</v>
      </c>
      <c r="AH1561" s="10">
        <v>68000</v>
      </c>
      <c r="AI1561" s="10">
        <v>238.71</v>
      </c>
      <c r="AJ1561" s="10">
        <v>0</v>
      </c>
      <c r="AK1561" s="10">
        <v>0</v>
      </c>
      <c r="AL1561" s="10">
        <f t="shared" si="153"/>
        <v>67761.289999999994</v>
      </c>
      <c r="AM1561" s="1"/>
      <c r="AN1561" s="1"/>
      <c r="AO1561" s="12" t="e">
        <f>AB1561/#REF!</f>
        <v>#REF!</v>
      </c>
      <c r="AP1561" s="1"/>
      <c r="AQ1561" s="11">
        <v>42121</v>
      </c>
      <c r="AR1561" s="1" t="s">
        <v>3883</v>
      </c>
      <c r="AS1561" s="11">
        <v>42121</v>
      </c>
      <c r="AT1561" s="1" t="s">
        <v>49</v>
      </c>
      <c r="AU1561" s="1" t="s">
        <v>4171</v>
      </c>
    </row>
    <row r="1562" spans="1:47" x14ac:dyDescent="0.25">
      <c r="A1562" s="1">
        <v>1541</v>
      </c>
      <c r="B1562" s="1" t="s">
        <v>1258</v>
      </c>
      <c r="C1562" s="1" t="s">
        <v>38</v>
      </c>
      <c r="D1562" s="1" t="s">
        <v>3767</v>
      </c>
      <c r="E1562" s="5">
        <v>42088</v>
      </c>
      <c r="F1562" s="1" t="s">
        <v>3841</v>
      </c>
      <c r="G1562" s="1" t="s">
        <v>40</v>
      </c>
      <c r="H1562" s="1" t="s">
        <v>41</v>
      </c>
      <c r="I1562" s="1" t="s">
        <v>2809</v>
      </c>
      <c r="J1562" s="1" t="s">
        <v>63</v>
      </c>
      <c r="K1562" s="1">
        <v>29159090</v>
      </c>
      <c r="L1562" s="6">
        <v>40</v>
      </c>
      <c r="M1562" s="1" t="s">
        <v>70</v>
      </c>
      <c r="N1562" s="7" t="s">
        <v>52</v>
      </c>
      <c r="O1562" s="1" t="s">
        <v>53</v>
      </c>
      <c r="P1562" s="8">
        <v>3400</v>
      </c>
      <c r="Q1562" s="17">
        <f t="shared" si="142"/>
        <v>136000</v>
      </c>
      <c r="R1562" s="9">
        <v>200</v>
      </c>
      <c r="S1562" s="9">
        <v>0</v>
      </c>
      <c r="T1562" s="9">
        <v>0</v>
      </c>
      <c r="U1562" s="10">
        <v>0</v>
      </c>
      <c r="V1562" s="1" t="s">
        <v>46</v>
      </c>
      <c r="W1562" s="1" t="s">
        <v>75</v>
      </c>
      <c r="X1562" s="1">
        <v>8472664</v>
      </c>
      <c r="Y1562" s="11">
        <v>42082</v>
      </c>
      <c r="Z1562" s="11">
        <v>42083</v>
      </c>
      <c r="AA1562" s="9">
        <f t="shared" si="147"/>
        <v>135800</v>
      </c>
      <c r="AB1562" s="12">
        <v>61.8</v>
      </c>
      <c r="AC1562" s="9">
        <f t="shared" si="140"/>
        <v>8404800</v>
      </c>
      <c r="AD1562" s="9">
        <f t="shared" si="148"/>
        <v>8392440</v>
      </c>
      <c r="AE1562" s="1" t="s">
        <v>51</v>
      </c>
      <c r="AF1562" s="1" t="s">
        <v>53</v>
      </c>
      <c r="AG1562" s="4">
        <f t="shared" si="149"/>
        <v>136000</v>
      </c>
      <c r="AH1562" s="10">
        <v>135959</v>
      </c>
      <c r="AI1562" s="10">
        <v>477.29</v>
      </c>
      <c r="AJ1562" s="10">
        <v>0</v>
      </c>
      <c r="AK1562" s="10">
        <v>0</v>
      </c>
      <c r="AL1562" s="10">
        <f t="shared" si="153"/>
        <v>135481.71</v>
      </c>
      <c r="AM1562" s="1"/>
      <c r="AN1562" s="1"/>
      <c r="AO1562" s="12" t="e">
        <f>AB1562/#REF!</f>
        <v>#REF!</v>
      </c>
      <c r="AP1562" s="1"/>
      <c r="AQ1562" s="11">
        <v>42121</v>
      </c>
      <c r="AR1562" s="1" t="s">
        <v>3884</v>
      </c>
      <c r="AS1562" s="11">
        <v>42121</v>
      </c>
      <c r="AT1562" s="1" t="s">
        <v>49</v>
      </c>
      <c r="AU1562" s="1" t="s">
        <v>4171</v>
      </c>
    </row>
    <row r="1563" spans="1:47" x14ac:dyDescent="0.25">
      <c r="A1563" s="1">
        <v>1542</v>
      </c>
      <c r="B1563" s="1" t="s">
        <v>1258</v>
      </c>
      <c r="C1563" s="1" t="s">
        <v>38</v>
      </c>
      <c r="D1563" s="1">
        <v>9103551347</v>
      </c>
      <c r="E1563" s="5">
        <v>42091</v>
      </c>
      <c r="F1563" s="1" t="s">
        <v>3769</v>
      </c>
      <c r="G1563" s="1" t="s">
        <v>40</v>
      </c>
      <c r="H1563" s="1" t="s">
        <v>41</v>
      </c>
      <c r="I1563" s="1" t="s">
        <v>2809</v>
      </c>
      <c r="J1563" s="1" t="s">
        <v>3741</v>
      </c>
      <c r="K1563" s="1">
        <v>29051700</v>
      </c>
      <c r="L1563" s="6">
        <v>18.14</v>
      </c>
      <c r="M1563" s="1" t="s">
        <v>70</v>
      </c>
      <c r="N1563" s="7" t="s">
        <v>44</v>
      </c>
      <c r="O1563" s="1" t="s">
        <v>53</v>
      </c>
      <c r="P1563" s="8">
        <v>1858</v>
      </c>
      <c r="Q1563" s="17">
        <f t="shared" si="142"/>
        <v>33704.120000000003</v>
      </c>
      <c r="R1563" s="9">
        <v>2100</v>
      </c>
      <c r="S1563" s="9">
        <v>4.82</v>
      </c>
      <c r="T1563" s="9">
        <v>0</v>
      </c>
      <c r="U1563" s="10">
        <v>0</v>
      </c>
      <c r="V1563" s="1" t="s">
        <v>46</v>
      </c>
      <c r="W1563" s="1" t="s">
        <v>56</v>
      </c>
      <c r="X1563" s="1">
        <v>8517001</v>
      </c>
      <c r="Y1563" s="11">
        <v>42084</v>
      </c>
      <c r="Z1563" s="11">
        <v>42086</v>
      </c>
      <c r="AA1563" s="9">
        <f t="shared" si="147"/>
        <v>31599.300000000003</v>
      </c>
      <c r="AB1563" s="12">
        <v>61.8</v>
      </c>
      <c r="AC1563" s="9">
        <f t="shared" si="140"/>
        <v>2082914.6160000002</v>
      </c>
      <c r="AD1563" s="9">
        <f t="shared" si="148"/>
        <v>1952836.74</v>
      </c>
      <c r="AE1563" s="1" t="s">
        <v>48</v>
      </c>
      <c r="AF1563" s="1" t="s">
        <v>53</v>
      </c>
      <c r="AG1563" s="4">
        <f t="shared" si="149"/>
        <v>33704.120000000003</v>
      </c>
      <c r="AH1563" s="10">
        <v>33704.120000000003</v>
      </c>
      <c r="AI1563" s="10">
        <v>2090</v>
      </c>
      <c r="AJ1563" s="10">
        <v>4.82</v>
      </c>
      <c r="AK1563" s="10">
        <v>0</v>
      </c>
      <c r="AL1563" s="10">
        <f t="shared" si="153"/>
        <v>31609.300000000003</v>
      </c>
      <c r="AM1563" s="1"/>
      <c r="AN1563" s="1"/>
      <c r="AO1563" s="12" t="e">
        <f>AB1563/#REF!</f>
        <v>#REF!</v>
      </c>
      <c r="AP1563" s="1"/>
      <c r="AQ1563" s="11">
        <v>42136</v>
      </c>
      <c r="AR1563" s="1" t="s">
        <v>3885</v>
      </c>
      <c r="AS1563" s="11">
        <v>42139</v>
      </c>
      <c r="AT1563" s="1" t="s">
        <v>49</v>
      </c>
      <c r="AU1563" s="1" t="s">
        <v>4171</v>
      </c>
    </row>
    <row r="1564" spans="1:47" x14ac:dyDescent="0.25">
      <c r="A1564" s="1">
        <v>1543</v>
      </c>
      <c r="B1564" s="1" t="s">
        <v>1258</v>
      </c>
      <c r="C1564" s="1" t="s">
        <v>38</v>
      </c>
      <c r="D1564" s="1" t="s">
        <v>3770</v>
      </c>
      <c r="E1564" s="5">
        <v>42089</v>
      </c>
      <c r="F1564" s="1" t="s">
        <v>3842</v>
      </c>
      <c r="G1564" s="1" t="s">
        <v>40</v>
      </c>
      <c r="H1564" s="1" t="s">
        <v>41</v>
      </c>
      <c r="I1564" s="1" t="s">
        <v>2809</v>
      </c>
      <c r="J1564" s="1" t="s">
        <v>3771</v>
      </c>
      <c r="K1564" s="1">
        <v>38237090</v>
      </c>
      <c r="L1564" s="6">
        <v>38.450000000000003</v>
      </c>
      <c r="M1564" s="1" t="s">
        <v>70</v>
      </c>
      <c r="N1564" s="7" t="s">
        <v>52</v>
      </c>
      <c r="O1564" s="1" t="s">
        <v>53</v>
      </c>
      <c r="P1564" s="8">
        <v>1285</v>
      </c>
      <c r="Q1564" s="17">
        <f t="shared" si="142"/>
        <v>49408.250000000007</v>
      </c>
      <c r="R1564" s="9">
        <v>1700</v>
      </c>
      <c r="S1564" s="9">
        <v>0</v>
      </c>
      <c r="T1564" s="9">
        <v>0</v>
      </c>
      <c r="U1564" s="10">
        <v>0</v>
      </c>
      <c r="V1564" s="1" t="s">
        <v>46</v>
      </c>
      <c r="W1564" s="1" t="s">
        <v>241</v>
      </c>
      <c r="X1564" s="1">
        <v>8526469</v>
      </c>
      <c r="Y1564" s="11">
        <v>42086</v>
      </c>
      <c r="Z1564" s="11">
        <v>42087</v>
      </c>
      <c r="AA1564" s="9">
        <f t="shared" si="147"/>
        <v>47708.250000000007</v>
      </c>
      <c r="AB1564" s="12">
        <v>61.8</v>
      </c>
      <c r="AC1564" s="9">
        <f t="shared" si="140"/>
        <v>3053429.85</v>
      </c>
      <c r="AD1564" s="9">
        <f t="shared" si="148"/>
        <v>2948369.85</v>
      </c>
      <c r="AE1564" s="1" t="s">
        <v>48</v>
      </c>
      <c r="AF1564" s="1" t="s">
        <v>53</v>
      </c>
      <c r="AG1564" s="4">
        <f t="shared" si="149"/>
        <v>49408.250000000007</v>
      </c>
      <c r="AH1564" s="10">
        <v>49408.25</v>
      </c>
      <c r="AI1564" s="10">
        <v>1699.82</v>
      </c>
      <c r="AJ1564" s="10">
        <v>0</v>
      </c>
      <c r="AK1564" s="10">
        <v>0</v>
      </c>
      <c r="AL1564" s="10">
        <f t="shared" si="153"/>
        <v>47708.43</v>
      </c>
      <c r="AM1564" s="1"/>
      <c r="AN1564" s="1"/>
      <c r="AO1564" s="12" t="e">
        <f>AB1564/#REF!</f>
        <v>#REF!</v>
      </c>
      <c r="AP1564" s="1"/>
      <c r="AQ1564" s="11">
        <v>42152</v>
      </c>
      <c r="AR1564" s="1" t="s">
        <v>3886</v>
      </c>
      <c r="AS1564" s="11">
        <v>42156</v>
      </c>
      <c r="AT1564" s="1" t="s">
        <v>49</v>
      </c>
      <c r="AU1564" s="1" t="s">
        <v>4171</v>
      </c>
    </row>
    <row r="1565" spans="1:47" x14ac:dyDescent="0.25">
      <c r="A1565" s="1">
        <v>1544</v>
      </c>
      <c r="B1565" s="1" t="s">
        <v>1258</v>
      </c>
      <c r="C1565" s="1" t="s">
        <v>38</v>
      </c>
      <c r="D1565" s="1" t="s">
        <v>3770</v>
      </c>
      <c r="E1565" s="5">
        <v>42089</v>
      </c>
      <c r="F1565" s="1" t="s">
        <v>3843</v>
      </c>
      <c r="G1565" s="1" t="s">
        <v>40</v>
      </c>
      <c r="H1565" s="1" t="s">
        <v>41</v>
      </c>
      <c r="I1565" s="1" t="s">
        <v>2809</v>
      </c>
      <c r="J1565" s="1" t="s">
        <v>3771</v>
      </c>
      <c r="K1565" s="1">
        <v>38237090</v>
      </c>
      <c r="L1565" s="6">
        <v>153.82</v>
      </c>
      <c r="M1565" s="1" t="s">
        <v>70</v>
      </c>
      <c r="N1565" s="7" t="s">
        <v>52</v>
      </c>
      <c r="O1565" s="1" t="s">
        <v>53</v>
      </c>
      <c r="P1565" s="8">
        <v>1285</v>
      </c>
      <c r="Q1565" s="17">
        <f t="shared" si="142"/>
        <v>197658.69999999998</v>
      </c>
      <c r="R1565" s="9">
        <v>6800</v>
      </c>
      <c r="S1565" s="9">
        <v>0</v>
      </c>
      <c r="T1565" s="9">
        <v>0</v>
      </c>
      <c r="U1565" s="10">
        <v>0</v>
      </c>
      <c r="V1565" s="1" t="s">
        <v>46</v>
      </c>
      <c r="W1565" s="1" t="s">
        <v>241</v>
      </c>
      <c r="X1565" s="1">
        <v>8518923</v>
      </c>
      <c r="Y1565" s="11">
        <v>42084</v>
      </c>
      <c r="Z1565" s="11">
        <v>42086</v>
      </c>
      <c r="AA1565" s="9">
        <f t="shared" si="147"/>
        <v>190858.69999999998</v>
      </c>
      <c r="AB1565" s="12">
        <v>61.8</v>
      </c>
      <c r="AC1565" s="9">
        <f t="shared" si="140"/>
        <v>12215307.659999998</v>
      </c>
      <c r="AD1565" s="9">
        <f t="shared" si="148"/>
        <v>11795067.659999998</v>
      </c>
      <c r="AE1565" s="1" t="s">
        <v>48</v>
      </c>
      <c r="AF1565" s="1" t="s">
        <v>53</v>
      </c>
      <c r="AG1565" s="4">
        <f t="shared" si="149"/>
        <v>197658.69999999998</v>
      </c>
      <c r="AH1565" s="10">
        <v>197658.7</v>
      </c>
      <c r="AI1565" s="10">
        <v>6800.18</v>
      </c>
      <c r="AJ1565" s="10">
        <v>0</v>
      </c>
      <c r="AK1565" s="10">
        <v>0</v>
      </c>
      <c r="AL1565" s="10">
        <f t="shared" si="153"/>
        <v>190858.52000000002</v>
      </c>
      <c r="AM1565" s="1"/>
      <c r="AN1565" s="1"/>
      <c r="AO1565" s="12" t="e">
        <f>AB1565/#REF!</f>
        <v>#REF!</v>
      </c>
      <c r="AP1565" s="1"/>
      <c r="AQ1565" s="11">
        <v>42152</v>
      </c>
      <c r="AR1565" s="1" t="s">
        <v>3887</v>
      </c>
      <c r="AS1565" s="11">
        <v>42156</v>
      </c>
      <c r="AT1565" s="1" t="s">
        <v>49</v>
      </c>
      <c r="AU1565" s="1" t="s">
        <v>4171</v>
      </c>
    </row>
    <row r="1566" spans="1:47" x14ac:dyDescent="0.25">
      <c r="A1566" s="1">
        <v>1545</v>
      </c>
      <c r="B1566" s="1" t="s">
        <v>1258</v>
      </c>
      <c r="C1566" s="1" t="s">
        <v>38</v>
      </c>
      <c r="D1566" s="1">
        <v>9103551350</v>
      </c>
      <c r="E1566" s="5">
        <v>42094</v>
      </c>
      <c r="F1566" s="1" t="s">
        <v>3768</v>
      </c>
      <c r="G1566" s="1" t="s">
        <v>40</v>
      </c>
      <c r="H1566" s="1" t="s">
        <v>41</v>
      </c>
      <c r="I1566" s="1" t="s">
        <v>2809</v>
      </c>
      <c r="J1566" s="1" t="s">
        <v>3771</v>
      </c>
      <c r="K1566" s="1">
        <v>38237090</v>
      </c>
      <c r="L1566" s="6">
        <v>193.74</v>
      </c>
      <c r="M1566" s="1" t="s">
        <v>70</v>
      </c>
      <c r="N1566" s="7" t="s">
        <v>52</v>
      </c>
      <c r="O1566" s="1" t="s">
        <v>53</v>
      </c>
      <c r="P1566" s="8">
        <v>1285</v>
      </c>
      <c r="Q1566" s="17">
        <f t="shared" si="142"/>
        <v>248955.90000000002</v>
      </c>
      <c r="R1566" s="9">
        <v>8500</v>
      </c>
      <c r="S1566" s="9">
        <v>0</v>
      </c>
      <c r="T1566" s="9">
        <v>0</v>
      </c>
      <c r="U1566" s="10">
        <v>0</v>
      </c>
      <c r="V1566" s="1" t="s">
        <v>46</v>
      </c>
      <c r="W1566" s="1" t="s">
        <v>241</v>
      </c>
      <c r="X1566" s="1">
        <v>8527533</v>
      </c>
      <c r="Y1566" s="11">
        <v>42086</v>
      </c>
      <c r="Z1566" s="11">
        <v>42086</v>
      </c>
      <c r="AA1566" s="9">
        <f t="shared" si="147"/>
        <v>240455.90000000002</v>
      </c>
      <c r="AB1566" s="12">
        <v>61.8</v>
      </c>
      <c r="AC1566" s="9">
        <f t="shared" si="140"/>
        <v>15385474.620000001</v>
      </c>
      <c r="AD1566" s="9">
        <f t="shared" si="148"/>
        <v>14860174.620000001</v>
      </c>
      <c r="AE1566" s="1" t="s">
        <v>48</v>
      </c>
      <c r="AF1566" s="1" t="s">
        <v>53</v>
      </c>
      <c r="AG1566" s="4">
        <f t="shared" si="149"/>
        <v>248955.90000000002</v>
      </c>
      <c r="AH1566" s="10">
        <v>248955.9</v>
      </c>
      <c r="AI1566" s="10">
        <v>8500</v>
      </c>
      <c r="AJ1566" s="10">
        <v>0</v>
      </c>
      <c r="AK1566" s="10">
        <v>0</v>
      </c>
      <c r="AL1566" s="10">
        <f t="shared" si="153"/>
        <v>240455.9</v>
      </c>
      <c r="AM1566" s="1"/>
      <c r="AN1566" s="1"/>
      <c r="AO1566" s="12" t="e">
        <f>AB1566/#REF!</f>
        <v>#REF!</v>
      </c>
      <c r="AP1566" s="1"/>
      <c r="AQ1566" s="11">
        <v>42158</v>
      </c>
      <c r="AR1566" s="1" t="s">
        <v>3888</v>
      </c>
      <c r="AS1566" s="11">
        <v>42159</v>
      </c>
      <c r="AT1566" s="1" t="s">
        <v>49</v>
      </c>
      <c r="AU1566" s="1" t="s">
        <v>4171</v>
      </c>
    </row>
    <row r="1567" spans="1:47" x14ac:dyDescent="0.25">
      <c r="A1567" s="1">
        <v>1546</v>
      </c>
      <c r="B1567" s="1" t="s">
        <v>1258</v>
      </c>
      <c r="C1567" s="1" t="s">
        <v>38</v>
      </c>
      <c r="D1567" s="1">
        <v>9103551351</v>
      </c>
      <c r="E1567" s="5">
        <v>42094</v>
      </c>
      <c r="F1567" s="1" t="s">
        <v>3844</v>
      </c>
      <c r="G1567" s="1" t="s">
        <v>40</v>
      </c>
      <c r="H1567" s="1" t="s">
        <v>41</v>
      </c>
      <c r="I1567" s="1" t="s">
        <v>2809</v>
      </c>
      <c r="J1567" s="1" t="s">
        <v>63</v>
      </c>
      <c r="K1567" s="1">
        <v>29054500</v>
      </c>
      <c r="L1567" s="6">
        <v>60</v>
      </c>
      <c r="M1567" s="1" t="s">
        <v>70</v>
      </c>
      <c r="N1567" s="7" t="s">
        <v>52</v>
      </c>
      <c r="O1567" s="1" t="s">
        <v>53</v>
      </c>
      <c r="P1567" s="8">
        <v>830</v>
      </c>
      <c r="Q1567" s="17">
        <f t="shared" si="142"/>
        <v>49800</v>
      </c>
      <c r="R1567" s="9">
        <v>300</v>
      </c>
      <c r="S1567" s="9">
        <v>0</v>
      </c>
      <c r="T1567" s="9">
        <v>0</v>
      </c>
      <c r="U1567" s="10">
        <v>0</v>
      </c>
      <c r="V1567" s="1" t="s">
        <v>46</v>
      </c>
      <c r="W1567" s="1" t="s">
        <v>75</v>
      </c>
      <c r="X1567" s="1">
        <v>8542558</v>
      </c>
      <c r="Y1567" s="11">
        <v>42086</v>
      </c>
      <c r="Z1567" s="11">
        <v>42087</v>
      </c>
      <c r="AA1567" s="9">
        <f t="shared" si="147"/>
        <v>49500</v>
      </c>
      <c r="AB1567" s="12">
        <v>61.8</v>
      </c>
      <c r="AC1567" s="9">
        <f t="shared" si="140"/>
        <v>3077640</v>
      </c>
      <c r="AD1567" s="9">
        <f t="shared" si="148"/>
        <v>3059100</v>
      </c>
      <c r="AE1567" s="1" t="s">
        <v>51</v>
      </c>
      <c r="AF1567" s="1" t="s">
        <v>53</v>
      </c>
      <c r="AG1567" s="4">
        <f t="shared" si="149"/>
        <v>49800</v>
      </c>
      <c r="AH1567" s="10">
        <v>49759</v>
      </c>
      <c r="AI1567" s="10">
        <v>360</v>
      </c>
      <c r="AJ1567" s="10">
        <v>0</v>
      </c>
      <c r="AK1567" s="10">
        <v>0</v>
      </c>
      <c r="AL1567" s="10">
        <f t="shared" si="153"/>
        <v>49399</v>
      </c>
      <c r="AM1567" s="1"/>
      <c r="AN1567" s="1"/>
      <c r="AO1567" s="12" t="e">
        <f>AB1567/#REF!</f>
        <v>#REF!</v>
      </c>
      <c r="AP1567" s="1"/>
      <c r="AQ1567" s="11">
        <v>42130</v>
      </c>
      <c r="AR1567" s="1" t="s">
        <v>3889</v>
      </c>
      <c r="AS1567" s="11">
        <v>42135</v>
      </c>
      <c r="AT1567" s="1" t="s">
        <v>49</v>
      </c>
      <c r="AU1567" s="1" t="s">
        <v>4171</v>
      </c>
    </row>
    <row r="1568" spans="1:47" x14ac:dyDescent="0.25">
      <c r="A1568" s="1">
        <v>1547</v>
      </c>
      <c r="B1568" s="1" t="s">
        <v>1258</v>
      </c>
      <c r="C1568" s="1" t="s">
        <v>38</v>
      </c>
      <c r="D1568" s="3">
        <v>9103551352</v>
      </c>
      <c r="E1568" s="5">
        <v>42092</v>
      </c>
      <c r="F1568" s="1" t="s">
        <v>3772</v>
      </c>
      <c r="G1568" s="1" t="s">
        <v>40</v>
      </c>
      <c r="H1568" s="1" t="s">
        <v>41</v>
      </c>
      <c r="I1568" s="1" t="s">
        <v>2809</v>
      </c>
      <c r="J1568" s="1" t="s">
        <v>3771</v>
      </c>
      <c r="K1568" s="1">
        <v>38237090</v>
      </c>
      <c r="L1568" s="6">
        <v>113.64</v>
      </c>
      <c r="M1568" s="1" t="s">
        <v>70</v>
      </c>
      <c r="N1568" s="7" t="s">
        <v>52</v>
      </c>
      <c r="O1568" s="1" t="s">
        <v>53</v>
      </c>
      <c r="P1568" s="8">
        <v>1285</v>
      </c>
      <c r="Q1568" s="17">
        <f t="shared" si="142"/>
        <v>146027.4</v>
      </c>
      <c r="R1568" s="9">
        <v>5100</v>
      </c>
      <c r="S1568" s="9">
        <v>0</v>
      </c>
      <c r="T1568" s="9">
        <v>0</v>
      </c>
      <c r="U1568" s="10">
        <v>0</v>
      </c>
      <c r="V1568" s="1" t="s">
        <v>46</v>
      </c>
      <c r="W1568" s="1" t="s">
        <v>241</v>
      </c>
      <c r="X1568" s="1">
        <v>8542379</v>
      </c>
      <c r="Y1568" s="11">
        <v>42086</v>
      </c>
      <c r="Z1568" s="11">
        <v>42087</v>
      </c>
      <c r="AA1568" s="9">
        <f t="shared" si="147"/>
        <v>140927.4</v>
      </c>
      <c r="AB1568" s="12">
        <v>61.8</v>
      </c>
      <c r="AC1568" s="9">
        <f t="shared" si="140"/>
        <v>9024493.3199999984</v>
      </c>
      <c r="AD1568" s="9">
        <f t="shared" si="148"/>
        <v>8709313.3199999984</v>
      </c>
      <c r="AE1568" s="1" t="s">
        <v>48</v>
      </c>
      <c r="AF1568" s="1" t="s">
        <v>53</v>
      </c>
      <c r="AG1568" s="4">
        <f t="shared" si="149"/>
        <v>146027.4</v>
      </c>
      <c r="AH1568" s="10">
        <v>146027.4</v>
      </c>
      <c r="AI1568" s="10">
        <v>5100</v>
      </c>
      <c r="AJ1568" s="10">
        <v>0</v>
      </c>
      <c r="AK1568" s="10">
        <v>0</v>
      </c>
      <c r="AL1568" s="10">
        <f t="shared" si="153"/>
        <v>140927.4</v>
      </c>
      <c r="AM1568" s="1"/>
      <c r="AN1568" s="1"/>
      <c r="AO1568" s="12" t="e">
        <f>AB1568/#REF!</f>
        <v>#REF!</v>
      </c>
      <c r="AP1568" s="1"/>
      <c r="AQ1568" s="11">
        <v>42158</v>
      </c>
      <c r="AR1568" s="1" t="s">
        <v>3890</v>
      </c>
      <c r="AS1568" s="11">
        <v>42159</v>
      </c>
      <c r="AT1568" s="1" t="s">
        <v>49</v>
      </c>
      <c r="AU1568" s="1" t="s">
        <v>4171</v>
      </c>
    </row>
    <row r="1569" spans="1:47" x14ac:dyDescent="0.25">
      <c r="A1569" s="1">
        <v>1548</v>
      </c>
      <c r="B1569" s="1" t="s">
        <v>1258</v>
      </c>
      <c r="C1569" s="1" t="s">
        <v>38</v>
      </c>
      <c r="D1569" s="1">
        <v>9103551353</v>
      </c>
      <c r="E1569" s="5">
        <v>42092</v>
      </c>
      <c r="F1569" s="1" t="s">
        <v>3773</v>
      </c>
      <c r="G1569" s="1" t="s">
        <v>40</v>
      </c>
      <c r="H1569" s="1" t="s">
        <v>41</v>
      </c>
      <c r="I1569" s="1" t="s">
        <v>2809</v>
      </c>
      <c r="J1569" s="1" t="s">
        <v>3771</v>
      </c>
      <c r="K1569" s="1">
        <v>38237090</v>
      </c>
      <c r="L1569" s="6">
        <v>97.05</v>
      </c>
      <c r="M1569" s="1" t="s">
        <v>70</v>
      </c>
      <c r="N1569" s="7" t="s">
        <v>52</v>
      </c>
      <c r="O1569" s="1" t="s">
        <v>53</v>
      </c>
      <c r="P1569" s="8">
        <v>1285</v>
      </c>
      <c r="Q1569" s="17">
        <f t="shared" si="142"/>
        <v>124709.25</v>
      </c>
      <c r="R1569" s="9">
        <v>4250</v>
      </c>
      <c r="S1569" s="9">
        <v>0</v>
      </c>
      <c r="T1569" s="9">
        <v>0</v>
      </c>
      <c r="U1569" s="10">
        <v>0</v>
      </c>
      <c r="V1569" s="1" t="s">
        <v>46</v>
      </c>
      <c r="W1569" s="1" t="s">
        <v>241</v>
      </c>
      <c r="X1569" s="1">
        <v>8545979</v>
      </c>
      <c r="Y1569" s="11">
        <v>42086</v>
      </c>
      <c r="Z1569" s="11">
        <v>42087</v>
      </c>
      <c r="AA1569" s="9">
        <f t="shared" si="147"/>
        <v>120459.25</v>
      </c>
      <c r="AB1569" s="12">
        <v>61.8</v>
      </c>
      <c r="AC1569" s="9">
        <f t="shared" si="140"/>
        <v>7707031.6499999994</v>
      </c>
      <c r="AD1569" s="9">
        <f t="shared" si="148"/>
        <v>7444381.6499999994</v>
      </c>
      <c r="AE1569" s="1" t="s">
        <v>48</v>
      </c>
      <c r="AF1569" s="1" t="s">
        <v>53</v>
      </c>
      <c r="AG1569" s="4">
        <f t="shared" si="149"/>
        <v>124709.25</v>
      </c>
      <c r="AH1569" s="10">
        <v>124709.25</v>
      </c>
      <c r="AI1569" s="10">
        <v>4250</v>
      </c>
      <c r="AJ1569" s="10">
        <v>0</v>
      </c>
      <c r="AK1569" s="10">
        <v>0</v>
      </c>
      <c r="AL1569" s="10">
        <f t="shared" si="153"/>
        <v>120459.25</v>
      </c>
      <c r="AM1569" s="1"/>
      <c r="AN1569" s="1"/>
      <c r="AO1569" s="12" t="e">
        <f>AB1569/#REF!</f>
        <v>#REF!</v>
      </c>
      <c r="AP1569" s="1"/>
      <c r="AQ1569" s="11">
        <v>42158</v>
      </c>
      <c r="AR1569" s="1" t="s">
        <v>3891</v>
      </c>
      <c r="AS1569" s="11">
        <v>42159</v>
      </c>
      <c r="AT1569" s="1" t="s">
        <v>49</v>
      </c>
      <c r="AU1569" s="1" t="s">
        <v>4171</v>
      </c>
    </row>
    <row r="1570" spans="1:47" x14ac:dyDescent="0.25">
      <c r="A1570" s="1">
        <v>1549</v>
      </c>
      <c r="B1570" s="1" t="s">
        <v>1258</v>
      </c>
      <c r="C1570" s="1" t="s">
        <v>38</v>
      </c>
      <c r="D1570" s="1">
        <v>9103551354</v>
      </c>
      <c r="E1570" s="5">
        <v>42091</v>
      </c>
      <c r="F1570" s="1" t="s">
        <v>3774</v>
      </c>
      <c r="G1570" s="1" t="s">
        <v>40</v>
      </c>
      <c r="H1570" s="1" t="s">
        <v>41</v>
      </c>
      <c r="I1570" s="1" t="s">
        <v>2809</v>
      </c>
      <c r="J1570" s="1" t="s">
        <v>2812</v>
      </c>
      <c r="K1570" s="1">
        <v>29161990</v>
      </c>
      <c r="L1570" s="6">
        <v>14.4</v>
      </c>
      <c r="M1570" s="1" t="s">
        <v>70</v>
      </c>
      <c r="N1570" s="7" t="s">
        <v>52</v>
      </c>
      <c r="O1570" s="1" t="s">
        <v>53</v>
      </c>
      <c r="P1570" s="8">
        <v>2850</v>
      </c>
      <c r="Q1570" s="17">
        <f t="shared" si="142"/>
        <v>41040</v>
      </c>
      <c r="R1570" s="9">
        <v>50</v>
      </c>
      <c r="S1570" s="9">
        <v>0</v>
      </c>
      <c r="T1570" s="9">
        <v>0</v>
      </c>
      <c r="U1570" s="10">
        <v>0</v>
      </c>
      <c r="V1570" s="1" t="s">
        <v>46</v>
      </c>
      <c r="W1570" s="1" t="s">
        <v>54</v>
      </c>
      <c r="X1570" s="1">
        <v>8558377</v>
      </c>
      <c r="Y1570" s="11">
        <v>42087</v>
      </c>
      <c r="Z1570" s="11">
        <v>42088</v>
      </c>
      <c r="AA1570" s="9">
        <f t="shared" si="147"/>
        <v>40990</v>
      </c>
      <c r="AB1570" s="12">
        <v>61.8</v>
      </c>
      <c r="AC1570" s="9">
        <f t="shared" si="140"/>
        <v>2536272</v>
      </c>
      <c r="AD1570" s="9">
        <f t="shared" si="148"/>
        <v>2533182</v>
      </c>
      <c r="AE1570" s="1" t="s">
        <v>48</v>
      </c>
      <c r="AF1570" s="1" t="s">
        <v>53</v>
      </c>
      <c r="AG1570" s="4">
        <f t="shared" ref="AG1570:AG1586" si="154">Q1570</f>
        <v>41040</v>
      </c>
      <c r="AH1570" s="10">
        <v>40760</v>
      </c>
      <c r="AI1570" s="10">
        <v>75</v>
      </c>
      <c r="AJ1570" s="10">
        <v>0</v>
      </c>
      <c r="AK1570" s="10">
        <v>0</v>
      </c>
      <c r="AL1570" s="10">
        <f t="shared" si="153"/>
        <v>40685</v>
      </c>
      <c r="AM1570" s="1"/>
      <c r="AN1570" s="1"/>
      <c r="AO1570" s="12" t="e">
        <f>AB1570/#REF!</f>
        <v>#REF!</v>
      </c>
      <c r="AP1570" s="1"/>
      <c r="AQ1570" s="11">
        <v>42116</v>
      </c>
      <c r="AR1570" s="1" t="s">
        <v>3892</v>
      </c>
      <c r="AS1570" s="11">
        <v>42118</v>
      </c>
      <c r="AT1570" s="1" t="s">
        <v>49</v>
      </c>
      <c r="AU1570" s="1" t="s">
        <v>4171</v>
      </c>
    </row>
    <row r="1571" spans="1:47" x14ac:dyDescent="0.25">
      <c r="A1571" s="1">
        <v>1550</v>
      </c>
      <c r="B1571" s="1" t="s">
        <v>1258</v>
      </c>
      <c r="C1571" s="1" t="s">
        <v>38</v>
      </c>
      <c r="D1571" s="1">
        <v>9103551355</v>
      </c>
      <c r="E1571" s="5">
        <v>42090</v>
      </c>
      <c r="F1571" s="1" t="s">
        <v>3775</v>
      </c>
      <c r="G1571" s="1" t="s">
        <v>40</v>
      </c>
      <c r="H1571" s="1" t="s">
        <v>41</v>
      </c>
      <c r="I1571" s="1" t="s">
        <v>2809</v>
      </c>
      <c r="J1571" s="1" t="s">
        <v>3741</v>
      </c>
      <c r="K1571" s="1">
        <v>38237090</v>
      </c>
      <c r="L1571" s="6">
        <v>18.14</v>
      </c>
      <c r="M1571" s="1" t="s">
        <v>70</v>
      </c>
      <c r="N1571" s="7" t="s">
        <v>44</v>
      </c>
      <c r="O1571" s="1" t="s">
        <v>53</v>
      </c>
      <c r="P1571" s="8">
        <v>1614</v>
      </c>
      <c r="Q1571" s="17">
        <f t="shared" si="142"/>
        <v>29277.96</v>
      </c>
      <c r="R1571" s="9">
        <v>3610</v>
      </c>
      <c r="S1571" s="9">
        <v>4.1900000000000004</v>
      </c>
      <c r="T1571" s="9">
        <v>0</v>
      </c>
      <c r="U1571" s="10">
        <v>0</v>
      </c>
      <c r="V1571" s="1" t="s">
        <v>46</v>
      </c>
      <c r="W1571" s="1" t="s">
        <v>54</v>
      </c>
      <c r="X1571" s="1">
        <v>8559376</v>
      </c>
      <c r="Y1571" s="11">
        <v>42087</v>
      </c>
      <c r="Z1571" s="11">
        <v>42088</v>
      </c>
      <c r="AA1571" s="9">
        <f t="shared" si="147"/>
        <v>25663.77</v>
      </c>
      <c r="AB1571" s="12">
        <v>61.8</v>
      </c>
      <c r="AC1571" s="9">
        <f t="shared" si="140"/>
        <v>1809377.9279999998</v>
      </c>
      <c r="AD1571" s="9">
        <f t="shared" si="148"/>
        <v>1586020.986</v>
      </c>
      <c r="AE1571" s="1" t="s">
        <v>48</v>
      </c>
      <c r="AF1571" s="1" t="s">
        <v>53</v>
      </c>
      <c r="AG1571" s="4">
        <f t="shared" si="154"/>
        <v>29277.96</v>
      </c>
      <c r="AH1571" s="10">
        <v>29277.96</v>
      </c>
      <c r="AI1571" s="10">
        <v>3560</v>
      </c>
      <c r="AJ1571" s="10">
        <v>4.1900000000000004</v>
      </c>
      <c r="AK1571" s="10">
        <v>0</v>
      </c>
      <c r="AL1571" s="10">
        <f t="shared" si="153"/>
        <v>25713.77</v>
      </c>
      <c r="AM1571" s="1"/>
      <c r="AN1571" s="1"/>
      <c r="AO1571" s="12" t="e">
        <f>AB1571/#REF!</f>
        <v>#REF!</v>
      </c>
      <c r="AP1571" s="1"/>
      <c r="AQ1571" s="11">
        <v>42136</v>
      </c>
      <c r="AR1571" s="1" t="s">
        <v>3893</v>
      </c>
      <c r="AS1571" s="11">
        <v>42139</v>
      </c>
      <c r="AT1571" s="1" t="s">
        <v>49</v>
      </c>
      <c r="AU1571" s="1" t="s">
        <v>4171</v>
      </c>
    </row>
    <row r="1572" spans="1:47" x14ac:dyDescent="0.25">
      <c r="A1572" s="1">
        <v>1551</v>
      </c>
      <c r="B1572" s="1" t="s">
        <v>1258</v>
      </c>
      <c r="C1572" s="1" t="s">
        <v>38</v>
      </c>
      <c r="D1572" s="1">
        <v>9103551356</v>
      </c>
      <c r="E1572" s="5">
        <v>42090</v>
      </c>
      <c r="F1572" s="1" t="s">
        <v>3776</v>
      </c>
      <c r="G1572" s="1" t="s">
        <v>40</v>
      </c>
      <c r="H1572" s="1" t="s">
        <v>41</v>
      </c>
      <c r="I1572" s="1" t="s">
        <v>2809</v>
      </c>
      <c r="J1572" s="1" t="s">
        <v>3741</v>
      </c>
      <c r="K1572" s="1">
        <v>38237090</v>
      </c>
      <c r="L1572" s="6">
        <v>54.42</v>
      </c>
      <c r="M1572" s="1" t="s">
        <v>70</v>
      </c>
      <c r="N1572" s="7" t="s">
        <v>44</v>
      </c>
      <c r="O1572" s="1" t="s">
        <v>53</v>
      </c>
      <c r="P1572" s="8">
        <v>1603</v>
      </c>
      <c r="Q1572" s="17">
        <f t="shared" si="142"/>
        <v>87235.260000000009</v>
      </c>
      <c r="R1572" s="9">
        <v>10530</v>
      </c>
      <c r="S1572" s="9">
        <v>12.47</v>
      </c>
      <c r="T1572" s="9">
        <v>0</v>
      </c>
      <c r="U1572" s="10">
        <v>0</v>
      </c>
      <c r="V1572" s="1" t="s">
        <v>46</v>
      </c>
      <c r="W1572" s="1" t="s">
        <v>56</v>
      </c>
      <c r="X1572" s="1">
        <v>8562326</v>
      </c>
      <c r="Y1572" s="11">
        <v>42087</v>
      </c>
      <c r="Z1572" s="11">
        <v>42088</v>
      </c>
      <c r="AA1572" s="9">
        <f t="shared" si="147"/>
        <v>76692.790000000008</v>
      </c>
      <c r="AB1572" s="12">
        <v>61.8</v>
      </c>
      <c r="AC1572" s="9">
        <f t="shared" si="140"/>
        <v>5391139.068</v>
      </c>
      <c r="AD1572" s="9">
        <f t="shared" si="148"/>
        <v>4739614.4220000003</v>
      </c>
      <c r="AE1572" s="1" t="s">
        <v>48</v>
      </c>
      <c r="AF1572" s="1" t="s">
        <v>53</v>
      </c>
      <c r="AG1572" s="4">
        <f t="shared" si="154"/>
        <v>87235.260000000009</v>
      </c>
      <c r="AH1572" s="10">
        <v>87235.26</v>
      </c>
      <c r="AI1572" s="10">
        <v>10545</v>
      </c>
      <c r="AJ1572" s="10">
        <v>12.47</v>
      </c>
      <c r="AK1572" s="10">
        <v>0</v>
      </c>
      <c r="AL1572" s="10">
        <f t="shared" si="153"/>
        <v>76677.789999999994</v>
      </c>
      <c r="AM1572" s="1"/>
      <c r="AN1572" s="1"/>
      <c r="AO1572" s="12" t="e">
        <f>AB1572/#REF!</f>
        <v>#REF!</v>
      </c>
      <c r="AP1572" s="1"/>
      <c r="AQ1572" s="11">
        <v>42136</v>
      </c>
      <c r="AR1572" s="1" t="s">
        <v>3894</v>
      </c>
      <c r="AS1572" s="11">
        <v>42139</v>
      </c>
      <c r="AT1572" s="1" t="s">
        <v>49</v>
      </c>
      <c r="AU1572" s="1" t="s">
        <v>4171</v>
      </c>
    </row>
    <row r="1573" spans="1:47" x14ac:dyDescent="0.25">
      <c r="A1573" s="1">
        <v>1552</v>
      </c>
      <c r="B1573" s="1" t="s">
        <v>1258</v>
      </c>
      <c r="C1573" s="1" t="s">
        <v>38</v>
      </c>
      <c r="D1573" s="1">
        <v>9103551357</v>
      </c>
      <c r="E1573" s="5">
        <v>42091</v>
      </c>
      <c r="F1573" s="1" t="s">
        <v>3777</v>
      </c>
      <c r="G1573" s="1" t="s">
        <v>40</v>
      </c>
      <c r="H1573" s="1" t="s">
        <v>41</v>
      </c>
      <c r="I1573" s="1" t="s">
        <v>2809</v>
      </c>
      <c r="J1573" s="1" t="s">
        <v>3778</v>
      </c>
      <c r="K1573" s="1">
        <v>38237090</v>
      </c>
      <c r="L1573" s="6">
        <v>15</v>
      </c>
      <c r="M1573" s="1" t="s">
        <v>70</v>
      </c>
      <c r="N1573" s="7" t="s">
        <v>44</v>
      </c>
      <c r="O1573" s="1" t="s">
        <v>53</v>
      </c>
      <c r="P1573" s="8">
        <v>1570</v>
      </c>
      <c r="Q1573" s="17">
        <f t="shared" si="142"/>
        <v>23550</v>
      </c>
      <c r="R1573" s="9">
        <v>625</v>
      </c>
      <c r="S1573" s="9">
        <v>3.27</v>
      </c>
      <c r="T1573" s="9">
        <v>0</v>
      </c>
      <c r="U1573" s="10">
        <v>0</v>
      </c>
      <c r="V1573" s="1" t="s">
        <v>46</v>
      </c>
      <c r="W1573" s="1" t="s">
        <v>143</v>
      </c>
      <c r="X1573" s="1">
        <v>8564439</v>
      </c>
      <c r="Y1573" s="11">
        <v>42087</v>
      </c>
      <c r="Z1573" s="11">
        <v>42088</v>
      </c>
      <c r="AA1573" s="9">
        <f t="shared" si="147"/>
        <v>22921.73</v>
      </c>
      <c r="AB1573" s="12">
        <v>61.8</v>
      </c>
      <c r="AC1573" s="9">
        <f t="shared" si="140"/>
        <v>1455390</v>
      </c>
      <c r="AD1573" s="9">
        <f t="shared" si="148"/>
        <v>1416562.9139999999</v>
      </c>
      <c r="AE1573" s="1" t="s">
        <v>48</v>
      </c>
      <c r="AF1573" s="1" t="s">
        <v>53</v>
      </c>
      <c r="AG1573" s="4">
        <f t="shared" si="154"/>
        <v>23550</v>
      </c>
      <c r="AH1573" s="10">
        <v>23550</v>
      </c>
      <c r="AI1573" s="10">
        <v>610</v>
      </c>
      <c r="AJ1573" s="10">
        <v>3.06</v>
      </c>
      <c r="AK1573" s="10">
        <v>0</v>
      </c>
      <c r="AL1573" s="10">
        <f t="shared" si="153"/>
        <v>22936.94</v>
      </c>
      <c r="AM1573" s="1"/>
      <c r="AN1573" s="1"/>
      <c r="AO1573" s="12" t="e">
        <f>AB1573/#REF!</f>
        <v>#REF!</v>
      </c>
      <c r="AP1573" s="1"/>
      <c r="AQ1573" s="11">
        <v>42145</v>
      </c>
      <c r="AR1573" s="1" t="s">
        <v>3895</v>
      </c>
      <c r="AS1573" s="11">
        <v>42147</v>
      </c>
      <c r="AT1573" s="1" t="s">
        <v>49</v>
      </c>
      <c r="AU1573" s="1" t="s">
        <v>4171</v>
      </c>
    </row>
    <row r="1574" spans="1:47" x14ac:dyDescent="0.25">
      <c r="A1574" s="1">
        <v>1553</v>
      </c>
      <c r="B1574" s="1" t="s">
        <v>1258</v>
      </c>
      <c r="C1574" s="1" t="s">
        <v>38</v>
      </c>
      <c r="D1574" s="1">
        <v>9103551358</v>
      </c>
      <c r="E1574" s="5">
        <v>42093</v>
      </c>
      <c r="F1574" s="1" t="s">
        <v>3779</v>
      </c>
      <c r="G1574" s="1" t="s">
        <v>40</v>
      </c>
      <c r="H1574" s="1" t="s">
        <v>41</v>
      </c>
      <c r="I1574" s="1" t="s">
        <v>2809</v>
      </c>
      <c r="J1574" s="1" t="s">
        <v>3756</v>
      </c>
      <c r="K1574" s="1">
        <v>38237090</v>
      </c>
      <c r="L1574" s="6">
        <v>19.28</v>
      </c>
      <c r="M1574" s="1" t="s">
        <v>70</v>
      </c>
      <c r="N1574" s="7" t="s">
        <v>67</v>
      </c>
      <c r="O1574" s="1" t="s">
        <v>53</v>
      </c>
      <c r="P1574" s="8">
        <v>1390</v>
      </c>
      <c r="Q1574" s="17">
        <f t="shared" si="142"/>
        <v>26799.200000000001</v>
      </c>
      <c r="R1574" s="9">
        <v>0</v>
      </c>
      <c r="S1574" s="9">
        <v>0</v>
      </c>
      <c r="T1574" s="9">
        <v>0</v>
      </c>
      <c r="U1574" s="10">
        <v>0</v>
      </c>
      <c r="V1574" s="1" t="s">
        <v>46</v>
      </c>
      <c r="W1574" s="1" t="s">
        <v>56</v>
      </c>
      <c r="X1574" s="1">
        <v>8566620</v>
      </c>
      <c r="Y1574" s="11">
        <v>42087</v>
      </c>
      <c r="Z1574" s="11">
        <v>42088</v>
      </c>
      <c r="AA1574" s="9">
        <f t="shared" si="147"/>
        <v>26799.200000000001</v>
      </c>
      <c r="AB1574" s="12">
        <v>61.8</v>
      </c>
      <c r="AC1574" s="9">
        <f t="shared" si="140"/>
        <v>1656190.56</v>
      </c>
      <c r="AD1574" s="9">
        <f t="shared" si="148"/>
        <v>1656190.56</v>
      </c>
      <c r="AE1574" s="1" t="s">
        <v>48</v>
      </c>
      <c r="AF1574" s="1" t="s">
        <v>53</v>
      </c>
      <c r="AG1574" s="4">
        <f t="shared" si="154"/>
        <v>26799.200000000001</v>
      </c>
      <c r="AH1574" s="10">
        <v>26759.200000000001</v>
      </c>
      <c r="AI1574" s="10">
        <v>0</v>
      </c>
      <c r="AJ1574" s="10">
        <v>0</v>
      </c>
      <c r="AK1574" s="10">
        <v>0</v>
      </c>
      <c r="AL1574" s="10">
        <f t="shared" si="153"/>
        <v>26759.200000000001</v>
      </c>
      <c r="AM1574" s="1"/>
      <c r="AN1574" s="1"/>
      <c r="AO1574" s="12" t="e">
        <f>AB1574/#REF!</f>
        <v>#REF!</v>
      </c>
      <c r="AP1574" s="1"/>
      <c r="AQ1574" s="11">
        <v>42131</v>
      </c>
      <c r="AR1574" s="1" t="s">
        <v>3896</v>
      </c>
      <c r="AS1574" s="11">
        <v>42132</v>
      </c>
      <c r="AT1574" s="1" t="s">
        <v>49</v>
      </c>
      <c r="AU1574" s="1" t="s">
        <v>4171</v>
      </c>
    </row>
    <row r="1575" spans="1:47" x14ac:dyDescent="0.25">
      <c r="A1575" s="1">
        <v>1554</v>
      </c>
      <c r="B1575" s="1" t="s">
        <v>1258</v>
      </c>
      <c r="C1575" s="1" t="s">
        <v>38</v>
      </c>
      <c r="D1575" s="1">
        <v>9103551359</v>
      </c>
      <c r="E1575" s="5">
        <v>42091</v>
      </c>
      <c r="F1575" s="1" t="s">
        <v>3780</v>
      </c>
      <c r="G1575" s="1" t="s">
        <v>40</v>
      </c>
      <c r="H1575" s="1" t="s">
        <v>41</v>
      </c>
      <c r="I1575" s="1" t="s">
        <v>2809</v>
      </c>
      <c r="J1575" s="1" t="s">
        <v>3741</v>
      </c>
      <c r="K1575" s="1">
        <v>38237090</v>
      </c>
      <c r="L1575" s="6">
        <v>18.14</v>
      </c>
      <c r="M1575" s="1" t="s">
        <v>70</v>
      </c>
      <c r="N1575" s="7" t="s">
        <v>44</v>
      </c>
      <c r="O1575" s="1" t="s">
        <v>53</v>
      </c>
      <c r="P1575" s="8">
        <v>1553</v>
      </c>
      <c r="Q1575" s="17">
        <f t="shared" si="142"/>
        <v>28171.420000000002</v>
      </c>
      <c r="R1575" s="9">
        <v>2075</v>
      </c>
      <c r="S1575" s="9">
        <v>4.03</v>
      </c>
      <c r="T1575" s="9">
        <v>0</v>
      </c>
      <c r="U1575" s="10">
        <v>0</v>
      </c>
      <c r="V1575" s="1" t="s">
        <v>46</v>
      </c>
      <c r="W1575" s="1" t="s">
        <v>56</v>
      </c>
      <c r="X1575" s="1">
        <v>8588241</v>
      </c>
      <c r="Y1575" s="11">
        <v>42088</v>
      </c>
      <c r="Z1575" s="11">
        <v>42089</v>
      </c>
      <c r="AA1575" s="9">
        <f t="shared" si="147"/>
        <v>26092.390000000003</v>
      </c>
      <c r="AB1575" s="12">
        <v>61.8</v>
      </c>
      <c r="AC1575" s="9">
        <f t="shared" ref="AC1575:AC1615" si="155">+Q1575*AB1575</f>
        <v>1740993.7560000001</v>
      </c>
      <c r="AD1575" s="9">
        <f t="shared" si="148"/>
        <v>1612509.702</v>
      </c>
      <c r="AE1575" s="1" t="s">
        <v>48</v>
      </c>
      <c r="AF1575" s="1" t="s">
        <v>53</v>
      </c>
      <c r="AG1575" s="4">
        <f t="shared" si="154"/>
        <v>28171.420000000002</v>
      </c>
      <c r="AH1575" s="10">
        <v>28171.42</v>
      </c>
      <c r="AI1575" s="10">
        <v>2090</v>
      </c>
      <c r="AJ1575" s="10">
        <v>4.03</v>
      </c>
      <c r="AK1575" s="10">
        <v>0</v>
      </c>
      <c r="AL1575" s="10">
        <f t="shared" si="153"/>
        <v>26077.39</v>
      </c>
      <c r="AM1575" s="1"/>
      <c r="AN1575" s="1"/>
      <c r="AO1575" s="12" t="e">
        <f>AB1575/#REF!</f>
        <v>#REF!</v>
      </c>
      <c r="AP1575" s="1"/>
      <c r="AQ1575" s="11">
        <v>42136</v>
      </c>
      <c r="AR1575" s="1" t="s">
        <v>3897</v>
      </c>
      <c r="AS1575" s="11">
        <v>42139</v>
      </c>
      <c r="AT1575" s="1" t="s">
        <v>49</v>
      </c>
      <c r="AU1575" s="1" t="s">
        <v>4171</v>
      </c>
    </row>
    <row r="1576" spans="1:47" x14ac:dyDescent="0.25">
      <c r="A1576" s="1">
        <v>1555</v>
      </c>
      <c r="B1576" s="1" t="s">
        <v>1258</v>
      </c>
      <c r="C1576" s="1" t="s">
        <v>38</v>
      </c>
      <c r="D1576" s="1">
        <v>9103551360</v>
      </c>
      <c r="E1576" s="5">
        <v>42090</v>
      </c>
      <c r="F1576" s="1" t="s">
        <v>3781</v>
      </c>
      <c r="G1576" s="1" t="s">
        <v>40</v>
      </c>
      <c r="H1576" s="1" t="s">
        <v>41</v>
      </c>
      <c r="I1576" s="1" t="s">
        <v>2809</v>
      </c>
      <c r="J1576" s="1" t="s">
        <v>3741</v>
      </c>
      <c r="K1576" s="1">
        <v>38237090</v>
      </c>
      <c r="L1576" s="6">
        <v>36.28</v>
      </c>
      <c r="M1576" s="1" t="s">
        <v>70</v>
      </c>
      <c r="N1576" s="7" t="s">
        <v>44</v>
      </c>
      <c r="O1576" s="1" t="s">
        <v>53</v>
      </c>
      <c r="P1576" s="8">
        <v>1723</v>
      </c>
      <c r="Q1576" s="17">
        <f t="shared" si="142"/>
        <v>62510.44</v>
      </c>
      <c r="R1576" s="9">
        <v>7020</v>
      </c>
      <c r="S1576" s="9">
        <v>8.94</v>
      </c>
      <c r="T1576" s="9">
        <v>0</v>
      </c>
      <c r="U1576" s="10">
        <v>0</v>
      </c>
      <c r="V1576" s="1" t="s">
        <v>46</v>
      </c>
      <c r="W1576" s="1" t="s">
        <v>56</v>
      </c>
      <c r="X1576" s="1">
        <v>8597232</v>
      </c>
      <c r="Y1576" s="11">
        <v>42088</v>
      </c>
      <c r="Z1576" s="11">
        <v>42089</v>
      </c>
      <c r="AA1576" s="9">
        <f t="shared" si="147"/>
        <v>55481.5</v>
      </c>
      <c r="AB1576" s="12">
        <v>61.8</v>
      </c>
      <c r="AC1576" s="9">
        <f t="shared" si="155"/>
        <v>3863145.1919999998</v>
      </c>
      <c r="AD1576" s="9">
        <f t="shared" si="148"/>
        <v>3428756.6999999997</v>
      </c>
      <c r="AE1576" s="1" t="s">
        <v>48</v>
      </c>
      <c r="AF1576" s="1" t="s">
        <v>53</v>
      </c>
      <c r="AG1576" s="4">
        <f t="shared" si="154"/>
        <v>62510.44</v>
      </c>
      <c r="AH1576" s="10">
        <v>62510.44</v>
      </c>
      <c r="AI1576" s="10">
        <v>7030</v>
      </c>
      <c r="AJ1576" s="10">
        <v>8.94</v>
      </c>
      <c r="AK1576" s="10">
        <v>0</v>
      </c>
      <c r="AL1576" s="10">
        <f t="shared" si="153"/>
        <v>55471.5</v>
      </c>
      <c r="AM1576" s="1"/>
      <c r="AN1576" s="1"/>
      <c r="AO1576" s="12" t="e">
        <f>AB1576/#REF!</f>
        <v>#REF!</v>
      </c>
      <c r="AP1576" s="1"/>
      <c r="AQ1576" s="11">
        <v>42136</v>
      </c>
      <c r="AR1576" s="1" t="s">
        <v>3898</v>
      </c>
      <c r="AS1576" s="11">
        <v>42139</v>
      </c>
      <c r="AT1576" s="1" t="s">
        <v>49</v>
      </c>
      <c r="AU1576" s="1" t="s">
        <v>4171</v>
      </c>
    </row>
    <row r="1577" spans="1:47" x14ac:dyDescent="0.25">
      <c r="A1577" s="1">
        <v>1556</v>
      </c>
      <c r="B1577" s="1" t="s">
        <v>1258</v>
      </c>
      <c r="C1577" s="1" t="s">
        <v>38</v>
      </c>
      <c r="D1577" s="1" t="s">
        <v>4325</v>
      </c>
      <c r="E1577" s="5">
        <v>42093</v>
      </c>
      <c r="F1577" s="1" t="s">
        <v>3845</v>
      </c>
      <c r="G1577" s="1" t="s">
        <v>40</v>
      </c>
      <c r="H1577" s="1" t="s">
        <v>41</v>
      </c>
      <c r="I1577" s="1" t="s">
        <v>2810</v>
      </c>
      <c r="J1577" s="1" t="s">
        <v>3782</v>
      </c>
      <c r="K1577" s="1">
        <v>38237090</v>
      </c>
      <c r="L1577" s="6">
        <v>18.68</v>
      </c>
      <c r="M1577" s="1" t="s">
        <v>70</v>
      </c>
      <c r="N1577" s="7" t="s">
        <v>67</v>
      </c>
      <c r="O1577" s="1" t="s">
        <v>1117</v>
      </c>
      <c r="P1577" s="8">
        <v>84500</v>
      </c>
      <c r="Q1577" s="17">
        <f t="shared" si="142"/>
        <v>1578460</v>
      </c>
      <c r="R1577" s="9">
        <v>0</v>
      </c>
      <c r="S1577" s="9">
        <v>0</v>
      </c>
      <c r="T1577" s="9">
        <v>0</v>
      </c>
      <c r="U1577" s="10">
        <v>0</v>
      </c>
      <c r="V1577" s="1" t="s">
        <v>46</v>
      </c>
      <c r="W1577" s="1" t="s">
        <v>361</v>
      </c>
      <c r="X1577" s="1">
        <v>8646535</v>
      </c>
      <c r="Y1577" s="11">
        <v>42090</v>
      </c>
      <c r="Z1577" s="11">
        <v>42091</v>
      </c>
      <c r="AA1577" s="9">
        <f t="shared" si="147"/>
        <v>1578460</v>
      </c>
      <c r="AB1577" s="12">
        <v>1</v>
      </c>
      <c r="AC1577" s="9">
        <f t="shared" si="155"/>
        <v>1578460</v>
      </c>
      <c r="AD1577" s="9">
        <f t="shared" si="148"/>
        <v>1578460</v>
      </c>
      <c r="AE1577" s="1" t="s">
        <v>4162</v>
      </c>
      <c r="AF1577" s="1" t="s">
        <v>1117</v>
      </c>
      <c r="AG1577" s="4">
        <f t="shared" si="154"/>
        <v>1578460</v>
      </c>
      <c r="AH1577" s="10">
        <v>1578460</v>
      </c>
      <c r="AI1577" s="10"/>
      <c r="AJ1577" s="10"/>
      <c r="AK1577" s="10"/>
      <c r="AL1577" s="10"/>
      <c r="AM1577" s="1"/>
      <c r="AN1577" s="1"/>
      <c r="AO1577" s="1"/>
      <c r="AP1577" s="1" t="s">
        <v>3967</v>
      </c>
      <c r="AQ1577" s="11" t="s">
        <v>3963</v>
      </c>
      <c r="AR1577" s="1" t="s">
        <v>3966</v>
      </c>
      <c r="AS1577" s="1" t="s">
        <v>3960</v>
      </c>
      <c r="AT1577" s="1" t="s">
        <v>49</v>
      </c>
      <c r="AU1577" s="1" t="s">
        <v>4171</v>
      </c>
    </row>
    <row r="1578" spans="1:47" x14ac:dyDescent="0.25">
      <c r="A1578" s="1">
        <v>1557</v>
      </c>
      <c r="B1578" s="1" t="s">
        <v>1258</v>
      </c>
      <c r="C1578" s="1" t="s">
        <v>38</v>
      </c>
      <c r="D1578" s="1" t="s">
        <v>4325</v>
      </c>
      <c r="E1578" s="5">
        <v>42093</v>
      </c>
      <c r="F1578" s="1" t="s">
        <v>3846</v>
      </c>
      <c r="G1578" s="1" t="s">
        <v>40</v>
      </c>
      <c r="H1578" s="1" t="s">
        <v>41</v>
      </c>
      <c r="I1578" s="1" t="s">
        <v>2810</v>
      </c>
      <c r="J1578" s="1" t="s">
        <v>3782</v>
      </c>
      <c r="K1578" s="1">
        <v>38237090</v>
      </c>
      <c r="L1578" s="6">
        <v>37.36</v>
      </c>
      <c r="M1578" s="1" t="s">
        <v>70</v>
      </c>
      <c r="N1578" s="7" t="s">
        <v>67</v>
      </c>
      <c r="O1578" s="1" t="s">
        <v>1117</v>
      </c>
      <c r="P1578" s="8">
        <v>84500</v>
      </c>
      <c r="Q1578" s="17">
        <f t="shared" si="142"/>
        <v>3156920</v>
      </c>
      <c r="R1578" s="9">
        <v>0</v>
      </c>
      <c r="S1578" s="9">
        <v>0</v>
      </c>
      <c r="T1578" s="9">
        <v>0</v>
      </c>
      <c r="U1578" s="10">
        <v>0</v>
      </c>
      <c r="V1578" s="1" t="s">
        <v>46</v>
      </c>
      <c r="W1578" s="1" t="s">
        <v>361</v>
      </c>
      <c r="X1578" s="1">
        <v>8599942</v>
      </c>
      <c r="Y1578" s="11">
        <v>42088</v>
      </c>
      <c r="Z1578" s="11">
        <v>42089</v>
      </c>
      <c r="AA1578" s="9">
        <f t="shared" si="147"/>
        <v>3156920</v>
      </c>
      <c r="AB1578" s="12">
        <v>1</v>
      </c>
      <c r="AC1578" s="9">
        <f t="shared" si="155"/>
        <v>3156920</v>
      </c>
      <c r="AD1578" s="9">
        <f t="shared" si="148"/>
        <v>3156920</v>
      </c>
      <c r="AE1578" s="1" t="s">
        <v>4162</v>
      </c>
      <c r="AF1578" s="1" t="s">
        <v>1117</v>
      </c>
      <c r="AG1578" s="4">
        <f t="shared" si="154"/>
        <v>3156920</v>
      </c>
      <c r="AH1578" s="10">
        <v>3156920</v>
      </c>
      <c r="AI1578" s="10"/>
      <c r="AJ1578" s="10"/>
      <c r="AK1578" s="10"/>
      <c r="AL1578" s="10"/>
      <c r="AM1578" s="1"/>
      <c r="AN1578" s="1"/>
      <c r="AO1578" s="1"/>
      <c r="AP1578" s="1" t="s">
        <v>3967</v>
      </c>
      <c r="AQ1578" s="11" t="s">
        <v>3963</v>
      </c>
      <c r="AR1578" s="1" t="s">
        <v>3968</v>
      </c>
      <c r="AS1578" s="1" t="s">
        <v>3960</v>
      </c>
      <c r="AT1578" s="1" t="s">
        <v>49</v>
      </c>
      <c r="AU1578" s="1" t="s">
        <v>4171</v>
      </c>
    </row>
    <row r="1579" spans="1:47" x14ac:dyDescent="0.25">
      <c r="A1579" s="1">
        <v>1558</v>
      </c>
      <c r="B1579" s="1" t="s">
        <v>1258</v>
      </c>
      <c r="C1579" s="1" t="s">
        <v>38</v>
      </c>
      <c r="D1579" s="1" t="s">
        <v>4325</v>
      </c>
      <c r="E1579" s="5">
        <v>42093</v>
      </c>
      <c r="F1579" s="1" t="s">
        <v>3847</v>
      </c>
      <c r="G1579" s="1" t="s">
        <v>40</v>
      </c>
      <c r="H1579" s="1" t="s">
        <v>41</v>
      </c>
      <c r="I1579" s="1" t="s">
        <v>2810</v>
      </c>
      <c r="J1579" s="1" t="s">
        <v>3782</v>
      </c>
      <c r="K1579" s="1">
        <v>38237090</v>
      </c>
      <c r="L1579" s="6">
        <v>131.22</v>
      </c>
      <c r="M1579" s="1" t="s">
        <v>70</v>
      </c>
      <c r="N1579" s="7" t="s">
        <v>67</v>
      </c>
      <c r="O1579" s="1" t="s">
        <v>1117</v>
      </c>
      <c r="P1579" s="8">
        <v>84500</v>
      </c>
      <c r="Q1579" s="17">
        <f t="shared" si="142"/>
        <v>11088090</v>
      </c>
      <c r="R1579" s="9">
        <v>0</v>
      </c>
      <c r="S1579" s="9">
        <v>0</v>
      </c>
      <c r="T1579" s="9">
        <v>0</v>
      </c>
      <c r="U1579" s="10">
        <v>0</v>
      </c>
      <c r="V1579" s="1" t="s">
        <v>46</v>
      </c>
      <c r="W1579" s="1" t="s">
        <v>361</v>
      </c>
      <c r="X1579" s="1">
        <v>8586142</v>
      </c>
      <c r="Y1579" s="11">
        <v>42088</v>
      </c>
      <c r="Z1579" s="11">
        <v>42089</v>
      </c>
      <c r="AA1579" s="9">
        <f t="shared" si="147"/>
        <v>11088090</v>
      </c>
      <c r="AB1579" s="12">
        <v>1</v>
      </c>
      <c r="AC1579" s="9">
        <f t="shared" si="155"/>
        <v>11088090</v>
      </c>
      <c r="AD1579" s="9">
        <f t="shared" si="148"/>
        <v>11088090</v>
      </c>
      <c r="AE1579" s="1" t="s">
        <v>4162</v>
      </c>
      <c r="AF1579" s="1" t="s">
        <v>1117</v>
      </c>
      <c r="AG1579" s="4">
        <f t="shared" si="154"/>
        <v>11088090</v>
      </c>
      <c r="AH1579" s="10">
        <v>11088090</v>
      </c>
      <c r="AI1579" s="10"/>
      <c r="AJ1579" s="10"/>
      <c r="AK1579" s="10"/>
      <c r="AL1579" s="10"/>
      <c r="AM1579" s="1"/>
      <c r="AN1579" s="1"/>
      <c r="AO1579" s="1"/>
      <c r="AP1579" s="1" t="s">
        <v>3967</v>
      </c>
      <c r="AQ1579" s="11" t="s">
        <v>3963</v>
      </c>
      <c r="AR1579" s="1" t="s">
        <v>3970</v>
      </c>
      <c r="AS1579" s="1" t="s">
        <v>3960</v>
      </c>
      <c r="AT1579" s="1" t="s">
        <v>49</v>
      </c>
      <c r="AU1579" s="1" t="s">
        <v>4171</v>
      </c>
    </row>
    <row r="1580" spans="1:47" x14ac:dyDescent="0.25">
      <c r="A1580" s="1">
        <v>1559</v>
      </c>
      <c r="B1580" s="1" t="s">
        <v>1258</v>
      </c>
      <c r="C1580" s="1" t="s">
        <v>38</v>
      </c>
      <c r="D1580" s="1" t="s">
        <v>4325</v>
      </c>
      <c r="E1580" s="5">
        <v>42093</v>
      </c>
      <c r="F1580" s="1" t="s">
        <v>3848</v>
      </c>
      <c r="G1580" s="1" t="s">
        <v>40</v>
      </c>
      <c r="H1580" s="1" t="s">
        <v>41</v>
      </c>
      <c r="I1580" s="1" t="s">
        <v>2810</v>
      </c>
      <c r="J1580" s="1" t="s">
        <v>3782</v>
      </c>
      <c r="K1580" s="1">
        <v>38237090</v>
      </c>
      <c r="L1580" s="6">
        <v>131.04</v>
      </c>
      <c r="M1580" s="1" t="s">
        <v>70</v>
      </c>
      <c r="N1580" s="7" t="s">
        <v>67</v>
      </c>
      <c r="O1580" s="1" t="s">
        <v>1117</v>
      </c>
      <c r="P1580" s="8">
        <v>84500</v>
      </c>
      <c r="Q1580" s="17">
        <f t="shared" si="142"/>
        <v>11072880</v>
      </c>
      <c r="R1580" s="9">
        <v>0</v>
      </c>
      <c r="S1580" s="9">
        <v>0</v>
      </c>
      <c r="T1580" s="9">
        <v>0</v>
      </c>
      <c r="U1580" s="10">
        <v>0</v>
      </c>
      <c r="V1580" s="1" t="s">
        <v>46</v>
      </c>
      <c r="W1580" s="1" t="s">
        <v>361</v>
      </c>
      <c r="X1580" s="1">
        <v>8572999</v>
      </c>
      <c r="Y1580" s="11">
        <v>42087</v>
      </c>
      <c r="Z1580" s="11">
        <v>42088</v>
      </c>
      <c r="AA1580" s="9">
        <f t="shared" si="147"/>
        <v>11072880</v>
      </c>
      <c r="AB1580" s="12">
        <v>1</v>
      </c>
      <c r="AC1580" s="9">
        <f t="shared" si="155"/>
        <v>11072880</v>
      </c>
      <c r="AD1580" s="9">
        <f t="shared" si="148"/>
        <v>11072880</v>
      </c>
      <c r="AE1580" s="1" t="s">
        <v>4162</v>
      </c>
      <c r="AF1580" s="1" t="s">
        <v>1117</v>
      </c>
      <c r="AG1580" s="4">
        <f t="shared" si="154"/>
        <v>11072880</v>
      </c>
      <c r="AH1580" s="10">
        <v>11072880</v>
      </c>
      <c r="AI1580" s="10"/>
      <c r="AJ1580" s="10"/>
      <c r="AK1580" s="10"/>
      <c r="AL1580" s="10"/>
      <c r="AM1580" s="1"/>
      <c r="AN1580" s="1"/>
      <c r="AO1580" s="1"/>
      <c r="AP1580" s="1" t="s">
        <v>3967</v>
      </c>
      <c r="AQ1580" s="11" t="s">
        <v>3963</v>
      </c>
      <c r="AR1580" s="1" t="s">
        <v>3969</v>
      </c>
      <c r="AS1580" s="1" t="s">
        <v>3960</v>
      </c>
      <c r="AT1580" s="1" t="s">
        <v>49</v>
      </c>
      <c r="AU1580" s="1" t="s">
        <v>4171</v>
      </c>
    </row>
    <row r="1581" spans="1:47" x14ac:dyDescent="0.25">
      <c r="A1581" s="1">
        <v>1560</v>
      </c>
      <c r="B1581" s="1" t="s">
        <v>1258</v>
      </c>
      <c r="C1581" s="1" t="s">
        <v>38</v>
      </c>
      <c r="D1581" s="1" t="s">
        <v>3783</v>
      </c>
      <c r="E1581" s="5">
        <v>42094</v>
      </c>
      <c r="F1581" s="1" t="s">
        <v>3849</v>
      </c>
      <c r="G1581" s="1" t="s">
        <v>40</v>
      </c>
      <c r="H1581" s="1" t="s">
        <v>41</v>
      </c>
      <c r="I1581" s="1" t="s">
        <v>2809</v>
      </c>
      <c r="J1581" s="1" t="s">
        <v>3771</v>
      </c>
      <c r="K1581" s="1">
        <v>38237090</v>
      </c>
      <c r="L1581" s="6">
        <v>79.459999999999994</v>
      </c>
      <c r="M1581" s="1" t="s">
        <v>70</v>
      </c>
      <c r="N1581" s="7" t="s">
        <v>52</v>
      </c>
      <c r="O1581" s="1" t="s">
        <v>53</v>
      </c>
      <c r="P1581" s="8">
        <v>1285</v>
      </c>
      <c r="Q1581" s="17">
        <f t="shared" si="142"/>
        <v>102106.09999999999</v>
      </c>
      <c r="R1581" s="9">
        <v>3400</v>
      </c>
      <c r="S1581" s="9">
        <v>0</v>
      </c>
      <c r="T1581" s="9">
        <v>0</v>
      </c>
      <c r="U1581" s="10">
        <v>0</v>
      </c>
      <c r="V1581" s="1" t="s">
        <v>46</v>
      </c>
      <c r="W1581" s="1" t="s">
        <v>241</v>
      </c>
      <c r="X1581" s="3">
        <v>8610524</v>
      </c>
      <c r="Y1581" s="11">
        <v>42089</v>
      </c>
      <c r="Z1581" s="11">
        <v>42090</v>
      </c>
      <c r="AA1581" s="9">
        <f t="shared" si="147"/>
        <v>98706.099999999991</v>
      </c>
      <c r="AB1581" s="12">
        <v>62</v>
      </c>
      <c r="AC1581" s="9">
        <f t="shared" si="155"/>
        <v>6330578.1999999993</v>
      </c>
      <c r="AD1581" s="9">
        <f t="shared" si="148"/>
        <v>6119778.1999999993</v>
      </c>
      <c r="AE1581" s="1" t="s">
        <v>48</v>
      </c>
      <c r="AF1581" s="1" t="s">
        <v>53</v>
      </c>
      <c r="AG1581" s="4">
        <f t="shared" si="154"/>
        <v>102106.09999999999</v>
      </c>
      <c r="AH1581" s="10">
        <v>102106.1</v>
      </c>
      <c r="AI1581" s="10">
        <v>3435.45</v>
      </c>
      <c r="AJ1581" s="10">
        <v>0</v>
      </c>
      <c r="AK1581" s="10">
        <v>0</v>
      </c>
      <c r="AL1581" s="10">
        <f>AH1581-(AI1581+AJ1581+AK1581)</f>
        <v>98670.650000000009</v>
      </c>
      <c r="AM1581" s="1"/>
      <c r="AN1581" s="1"/>
      <c r="AO1581" s="12" t="e">
        <f>AB1581/#REF!</f>
        <v>#REF!</v>
      </c>
      <c r="AP1581" s="1"/>
      <c r="AQ1581" s="11">
        <v>42158</v>
      </c>
      <c r="AR1581" s="1" t="s">
        <v>3899</v>
      </c>
      <c r="AS1581" s="11">
        <v>42159</v>
      </c>
      <c r="AT1581" s="1" t="s">
        <v>3650</v>
      </c>
      <c r="AU1581" s="1" t="s">
        <v>4171</v>
      </c>
    </row>
    <row r="1582" spans="1:47" x14ac:dyDescent="0.25">
      <c r="A1582" s="1">
        <v>1561</v>
      </c>
      <c r="B1582" s="1" t="s">
        <v>1258</v>
      </c>
      <c r="C1582" s="1" t="s">
        <v>38</v>
      </c>
      <c r="D1582" s="1" t="s">
        <v>3783</v>
      </c>
      <c r="E1582" s="5">
        <v>42094</v>
      </c>
      <c r="F1582" s="1" t="s">
        <v>3850</v>
      </c>
      <c r="G1582" s="1" t="s">
        <v>40</v>
      </c>
      <c r="H1582" s="1" t="s">
        <v>41</v>
      </c>
      <c r="I1582" s="1" t="s">
        <v>2809</v>
      </c>
      <c r="J1582" s="1" t="s">
        <v>3771</v>
      </c>
      <c r="K1582" s="1">
        <v>38237090</v>
      </c>
      <c r="L1582" s="6">
        <v>57.93</v>
      </c>
      <c r="M1582" s="1" t="s">
        <v>70</v>
      </c>
      <c r="N1582" s="7" t="s">
        <v>52</v>
      </c>
      <c r="O1582" s="1" t="s">
        <v>53</v>
      </c>
      <c r="P1582" s="8">
        <v>1285</v>
      </c>
      <c r="Q1582" s="17">
        <f t="shared" si="142"/>
        <v>74440.05</v>
      </c>
      <c r="R1582" s="9">
        <v>2550</v>
      </c>
      <c r="S1582" s="9">
        <v>0</v>
      </c>
      <c r="T1582" s="9">
        <v>0</v>
      </c>
      <c r="U1582" s="10">
        <v>0</v>
      </c>
      <c r="V1582" s="1" t="s">
        <v>46</v>
      </c>
      <c r="W1582" s="1" t="s">
        <v>241</v>
      </c>
      <c r="X1582" s="1">
        <v>8592088</v>
      </c>
      <c r="Y1582" s="11">
        <v>42088</v>
      </c>
      <c r="Z1582" s="11">
        <v>42089</v>
      </c>
      <c r="AA1582" s="9">
        <f t="shared" si="147"/>
        <v>71890.05</v>
      </c>
      <c r="AB1582" s="12">
        <v>62</v>
      </c>
      <c r="AC1582" s="9">
        <f t="shared" si="155"/>
        <v>4615283.1000000006</v>
      </c>
      <c r="AD1582" s="9">
        <f t="shared" si="148"/>
        <v>4457183.1000000006</v>
      </c>
      <c r="AE1582" s="1" t="s">
        <v>48</v>
      </c>
      <c r="AF1582" s="1" t="s">
        <v>53</v>
      </c>
      <c r="AG1582" s="4">
        <f t="shared" si="154"/>
        <v>74440.05</v>
      </c>
      <c r="AH1582" s="10">
        <v>74440.05</v>
      </c>
      <c r="AI1582" s="10">
        <v>2504.6</v>
      </c>
      <c r="AJ1582" s="10">
        <v>0</v>
      </c>
      <c r="AK1582" s="10">
        <v>0</v>
      </c>
      <c r="AL1582" s="10">
        <f>AH1582-(AI1582+AJ1582+AK1582)</f>
        <v>71935.45</v>
      </c>
      <c r="AM1582" s="1"/>
      <c r="AN1582" s="1"/>
      <c r="AO1582" s="12" t="e">
        <f>AB1582/#REF!</f>
        <v>#REF!</v>
      </c>
      <c r="AP1582" s="1"/>
      <c r="AQ1582" s="11">
        <v>42158</v>
      </c>
      <c r="AR1582" s="1" t="s">
        <v>3900</v>
      </c>
      <c r="AS1582" s="11">
        <v>42159</v>
      </c>
      <c r="AT1582" s="1" t="s">
        <v>3650</v>
      </c>
      <c r="AU1582" s="1" t="s">
        <v>4171</v>
      </c>
    </row>
    <row r="1583" spans="1:47" x14ac:dyDescent="0.25">
      <c r="A1583" s="1">
        <v>1562</v>
      </c>
      <c r="B1583" s="1" t="s">
        <v>1258</v>
      </c>
      <c r="C1583" s="1" t="s">
        <v>38</v>
      </c>
      <c r="D1583" s="1" t="s">
        <v>3783</v>
      </c>
      <c r="E1583" s="5">
        <v>42094</v>
      </c>
      <c r="F1583" s="1" t="s">
        <v>3851</v>
      </c>
      <c r="G1583" s="1" t="s">
        <v>40</v>
      </c>
      <c r="H1583" s="1" t="s">
        <v>41</v>
      </c>
      <c r="I1583" s="1" t="s">
        <v>2809</v>
      </c>
      <c r="J1583" s="1" t="s">
        <v>3771</v>
      </c>
      <c r="K1583" s="1">
        <v>38237090</v>
      </c>
      <c r="L1583" s="6">
        <v>39.549999999999997</v>
      </c>
      <c r="M1583" s="1" t="s">
        <v>70</v>
      </c>
      <c r="N1583" s="7" t="s">
        <v>52</v>
      </c>
      <c r="O1583" s="1" t="s">
        <v>53</v>
      </c>
      <c r="P1583" s="8">
        <v>1285</v>
      </c>
      <c r="Q1583" s="17">
        <f t="shared" si="142"/>
        <v>50821.749999999993</v>
      </c>
      <c r="R1583" s="9">
        <v>1700</v>
      </c>
      <c r="S1583" s="9">
        <v>0</v>
      </c>
      <c r="T1583" s="9">
        <v>0</v>
      </c>
      <c r="U1583" s="10">
        <v>0</v>
      </c>
      <c r="V1583" s="1" t="s">
        <v>46</v>
      </c>
      <c r="W1583" s="1" t="s">
        <v>241</v>
      </c>
      <c r="X1583" s="1">
        <v>8567435</v>
      </c>
      <c r="Y1583" s="11">
        <v>42087</v>
      </c>
      <c r="Z1583" s="11">
        <v>42088</v>
      </c>
      <c r="AA1583" s="9">
        <f t="shared" si="147"/>
        <v>49121.749999999993</v>
      </c>
      <c r="AB1583" s="12">
        <v>62</v>
      </c>
      <c r="AC1583" s="9">
        <f t="shared" si="155"/>
        <v>3150948.4999999995</v>
      </c>
      <c r="AD1583" s="9">
        <f t="shared" si="148"/>
        <v>3045548.4999999995</v>
      </c>
      <c r="AE1583" s="1" t="s">
        <v>48</v>
      </c>
      <c r="AF1583" s="1" t="s">
        <v>53</v>
      </c>
      <c r="AG1583" s="4">
        <f t="shared" si="154"/>
        <v>50821.749999999993</v>
      </c>
      <c r="AH1583" s="10">
        <v>50821.75</v>
      </c>
      <c r="AI1583" s="10">
        <v>1709.95</v>
      </c>
      <c r="AJ1583" s="10">
        <v>0</v>
      </c>
      <c r="AK1583" s="10">
        <v>0</v>
      </c>
      <c r="AL1583" s="10">
        <f>AH1583-(AI1583+AJ1583+AK1583)</f>
        <v>49111.8</v>
      </c>
      <c r="AM1583" s="1"/>
      <c r="AN1583" s="1"/>
      <c r="AO1583" s="12" t="e">
        <f>AB1583/#REF!</f>
        <v>#REF!</v>
      </c>
      <c r="AP1583" s="1"/>
      <c r="AQ1583" s="11">
        <v>42158</v>
      </c>
      <c r="AR1583" s="1" t="s">
        <v>3901</v>
      </c>
      <c r="AS1583" s="11">
        <v>42159</v>
      </c>
      <c r="AT1583" s="1" t="s">
        <v>3650</v>
      </c>
      <c r="AU1583" s="1" t="s">
        <v>4171</v>
      </c>
    </row>
    <row r="1584" spans="1:47" x14ac:dyDescent="0.25">
      <c r="A1584" s="1">
        <v>1563</v>
      </c>
      <c r="B1584" s="1" t="s">
        <v>1258</v>
      </c>
      <c r="C1584" s="1" t="s">
        <v>38</v>
      </c>
      <c r="D1584" s="1" t="s">
        <v>3784</v>
      </c>
      <c r="E1584" s="5">
        <v>42094</v>
      </c>
      <c r="F1584" s="1" t="s">
        <v>3785</v>
      </c>
      <c r="G1584" s="1" t="s">
        <v>40</v>
      </c>
      <c r="H1584" s="1" t="s">
        <v>41</v>
      </c>
      <c r="I1584" s="1" t="s">
        <v>2809</v>
      </c>
      <c r="J1584" s="1" t="s">
        <v>3786</v>
      </c>
      <c r="K1584" s="1">
        <v>38231200</v>
      </c>
      <c r="L1584" s="6">
        <v>14.4</v>
      </c>
      <c r="M1584" s="1" t="s">
        <v>70</v>
      </c>
      <c r="N1584" s="7" t="s">
        <v>67</v>
      </c>
      <c r="O1584" s="1" t="s">
        <v>53</v>
      </c>
      <c r="P1584" s="8">
        <v>1100</v>
      </c>
      <c r="Q1584" s="17">
        <f t="shared" ref="Q1584:Q1615" si="156">+L1584*P1584</f>
        <v>15840</v>
      </c>
      <c r="R1584" s="9">
        <v>0</v>
      </c>
      <c r="S1584" s="9">
        <v>0</v>
      </c>
      <c r="T1584" s="9">
        <v>0</v>
      </c>
      <c r="U1584" s="10">
        <v>0</v>
      </c>
      <c r="V1584" s="1" t="s">
        <v>46</v>
      </c>
      <c r="W1584" s="1" t="s">
        <v>178</v>
      </c>
      <c r="X1584" s="1">
        <v>8611168</v>
      </c>
      <c r="Y1584" s="11">
        <v>42089</v>
      </c>
      <c r="Z1584" s="11">
        <v>42090</v>
      </c>
      <c r="AA1584" s="9">
        <f t="shared" si="147"/>
        <v>15840</v>
      </c>
      <c r="AB1584" s="12">
        <v>62</v>
      </c>
      <c r="AC1584" s="9">
        <f t="shared" si="155"/>
        <v>982080</v>
      </c>
      <c r="AD1584" s="9">
        <f t="shared" si="148"/>
        <v>982080</v>
      </c>
      <c r="AE1584" s="1" t="s">
        <v>48</v>
      </c>
      <c r="AF1584" s="1" t="s">
        <v>53</v>
      </c>
      <c r="AG1584" s="4">
        <f t="shared" si="154"/>
        <v>15840</v>
      </c>
      <c r="AH1584" s="10">
        <v>15840</v>
      </c>
      <c r="AI1584" s="10"/>
      <c r="AJ1584" s="10"/>
      <c r="AK1584" s="10"/>
      <c r="AL1584" s="10"/>
      <c r="AM1584" s="1"/>
      <c r="AN1584" s="1"/>
      <c r="AO1584" s="1"/>
      <c r="AP1584" s="1" t="s">
        <v>4202</v>
      </c>
      <c r="AQ1584" s="11">
        <v>42192</v>
      </c>
      <c r="AR1584" s="1" t="s">
        <v>4203</v>
      </c>
      <c r="AS1584" s="11">
        <v>42193</v>
      </c>
      <c r="AT1584" s="1" t="s">
        <v>49</v>
      </c>
      <c r="AU1584" s="1" t="s">
        <v>4171</v>
      </c>
    </row>
    <row r="1585" spans="1:47" x14ac:dyDescent="0.25">
      <c r="A1585" s="1">
        <v>1564</v>
      </c>
      <c r="B1585" s="1" t="s">
        <v>1258</v>
      </c>
      <c r="C1585" s="1" t="s">
        <v>38</v>
      </c>
      <c r="D1585" s="1" t="s">
        <v>3784</v>
      </c>
      <c r="E1585" s="5">
        <v>42094</v>
      </c>
      <c r="F1585" s="1" t="s">
        <v>3852</v>
      </c>
      <c r="G1585" s="1" t="s">
        <v>40</v>
      </c>
      <c r="H1585" s="1" t="s">
        <v>41</v>
      </c>
      <c r="I1585" s="1" t="s">
        <v>2809</v>
      </c>
      <c r="J1585" s="1" t="s">
        <v>3786</v>
      </c>
      <c r="K1585" s="1">
        <v>38231200</v>
      </c>
      <c r="L1585" s="6">
        <v>72</v>
      </c>
      <c r="M1585" s="1" t="s">
        <v>70</v>
      </c>
      <c r="N1585" s="7" t="s">
        <v>67</v>
      </c>
      <c r="O1585" s="1" t="s">
        <v>53</v>
      </c>
      <c r="P1585" s="8">
        <v>1100</v>
      </c>
      <c r="Q1585" s="17">
        <f t="shared" si="156"/>
        <v>79200</v>
      </c>
      <c r="R1585" s="9">
        <v>0</v>
      </c>
      <c r="S1585" s="9">
        <v>0</v>
      </c>
      <c r="T1585" s="9">
        <v>0</v>
      </c>
      <c r="U1585" s="10">
        <v>0</v>
      </c>
      <c r="V1585" s="1" t="s">
        <v>46</v>
      </c>
      <c r="W1585" s="1" t="s">
        <v>178</v>
      </c>
      <c r="X1585" s="1">
        <v>8600480</v>
      </c>
      <c r="Y1585" s="11">
        <v>42180</v>
      </c>
      <c r="Z1585" s="11">
        <v>42089</v>
      </c>
      <c r="AA1585" s="9">
        <f t="shared" si="147"/>
        <v>79200</v>
      </c>
      <c r="AB1585" s="12">
        <v>62</v>
      </c>
      <c r="AC1585" s="9">
        <f t="shared" si="155"/>
        <v>4910400</v>
      </c>
      <c r="AD1585" s="9">
        <f t="shared" si="148"/>
        <v>4910400</v>
      </c>
      <c r="AE1585" s="1" t="s">
        <v>48</v>
      </c>
      <c r="AF1585" s="1" t="s">
        <v>53</v>
      </c>
      <c r="AG1585" s="4">
        <f t="shared" si="154"/>
        <v>79200</v>
      </c>
      <c r="AH1585" s="10">
        <v>79200</v>
      </c>
      <c r="AI1585" s="10"/>
      <c r="AJ1585" s="10"/>
      <c r="AK1585" s="10"/>
      <c r="AL1585" s="10"/>
      <c r="AM1585" s="1"/>
      <c r="AN1585" s="1"/>
      <c r="AO1585" s="1"/>
      <c r="AP1585" s="1" t="s">
        <v>4202</v>
      </c>
      <c r="AQ1585" s="11">
        <v>42192</v>
      </c>
      <c r="AR1585" s="1" t="s">
        <v>4204</v>
      </c>
      <c r="AS1585" s="11">
        <v>42193</v>
      </c>
      <c r="AT1585" s="1" t="s">
        <v>49</v>
      </c>
      <c r="AU1585" s="1" t="s">
        <v>4171</v>
      </c>
    </row>
    <row r="1586" spans="1:47" x14ac:dyDescent="0.25">
      <c r="A1586" s="1">
        <v>1565</v>
      </c>
      <c r="B1586" s="1" t="s">
        <v>1258</v>
      </c>
      <c r="C1586" s="1" t="s">
        <v>38</v>
      </c>
      <c r="D1586" s="1" t="s">
        <v>3784</v>
      </c>
      <c r="E1586" s="5">
        <v>42094</v>
      </c>
      <c r="F1586" s="1" t="s">
        <v>3785</v>
      </c>
      <c r="G1586" s="1" t="s">
        <v>40</v>
      </c>
      <c r="H1586" s="1" t="s">
        <v>41</v>
      </c>
      <c r="I1586" s="1" t="s">
        <v>2809</v>
      </c>
      <c r="J1586" s="1" t="s">
        <v>3786</v>
      </c>
      <c r="K1586" s="1">
        <v>38231200</v>
      </c>
      <c r="L1586" s="6">
        <v>57.6</v>
      </c>
      <c r="M1586" s="1" t="s">
        <v>70</v>
      </c>
      <c r="N1586" s="7" t="s">
        <v>67</v>
      </c>
      <c r="O1586" s="1" t="s">
        <v>53</v>
      </c>
      <c r="P1586" s="8">
        <v>1100</v>
      </c>
      <c r="Q1586" s="17">
        <f t="shared" si="156"/>
        <v>63360</v>
      </c>
      <c r="R1586" s="9">
        <v>0</v>
      </c>
      <c r="S1586" s="9">
        <v>0</v>
      </c>
      <c r="T1586" s="9">
        <v>0</v>
      </c>
      <c r="U1586" s="10">
        <v>0</v>
      </c>
      <c r="V1586" s="1" t="s">
        <v>46</v>
      </c>
      <c r="W1586" s="1" t="s">
        <v>178</v>
      </c>
      <c r="X1586" s="1">
        <v>8538895</v>
      </c>
      <c r="Y1586" s="11">
        <v>42086</v>
      </c>
      <c r="Z1586" s="11">
        <v>42087</v>
      </c>
      <c r="AA1586" s="9">
        <f t="shared" si="147"/>
        <v>63360</v>
      </c>
      <c r="AB1586" s="12">
        <v>62</v>
      </c>
      <c r="AC1586" s="9">
        <f t="shared" si="155"/>
        <v>3928320</v>
      </c>
      <c r="AD1586" s="9">
        <f t="shared" si="148"/>
        <v>3928320</v>
      </c>
      <c r="AE1586" s="1" t="s">
        <v>48</v>
      </c>
      <c r="AF1586" s="1" t="s">
        <v>53</v>
      </c>
      <c r="AG1586" s="4">
        <f t="shared" si="154"/>
        <v>63360</v>
      </c>
      <c r="AH1586" s="10">
        <v>63360</v>
      </c>
      <c r="AI1586" s="10"/>
      <c r="AJ1586" s="10"/>
      <c r="AK1586" s="10"/>
      <c r="AL1586" s="10"/>
      <c r="AM1586" s="1"/>
      <c r="AN1586" s="1"/>
      <c r="AO1586" s="1"/>
      <c r="AP1586" s="1" t="s">
        <v>4202</v>
      </c>
      <c r="AQ1586" s="11">
        <v>42192</v>
      </c>
      <c r="AR1586" s="1" t="s">
        <v>4205</v>
      </c>
      <c r="AS1586" s="11">
        <v>42193</v>
      </c>
      <c r="AT1586" s="1" t="s">
        <v>49</v>
      </c>
      <c r="AU1586" s="1" t="s">
        <v>4171</v>
      </c>
    </row>
    <row r="1587" spans="1:47" x14ac:dyDescent="0.25">
      <c r="A1587" s="1">
        <v>1565</v>
      </c>
      <c r="B1587" s="1" t="s">
        <v>1258</v>
      </c>
      <c r="C1587" s="1" t="s">
        <v>38</v>
      </c>
      <c r="D1587" s="1">
        <v>9103551369</v>
      </c>
      <c r="E1587" s="5"/>
      <c r="F1587" s="1"/>
      <c r="G1587" s="1"/>
      <c r="H1587" s="1"/>
      <c r="I1587" s="1"/>
      <c r="J1587" s="1"/>
      <c r="K1587" s="1"/>
      <c r="L1587" s="6"/>
      <c r="M1587" s="1" t="s">
        <v>70</v>
      </c>
      <c r="N1587" s="7"/>
      <c r="O1587" s="1"/>
      <c r="P1587" s="8"/>
      <c r="Q1587" s="17"/>
      <c r="R1587" s="9"/>
      <c r="S1587" s="9"/>
      <c r="T1587" s="9"/>
      <c r="U1587" s="10"/>
      <c r="V1587" s="1"/>
      <c r="W1587" s="1"/>
      <c r="X1587" s="1">
        <v>8535996</v>
      </c>
      <c r="Y1587" s="11">
        <v>42086</v>
      </c>
      <c r="Z1587" s="11"/>
      <c r="AA1587" s="9"/>
      <c r="AB1587" s="12"/>
      <c r="AC1587" s="9"/>
      <c r="AD1587" s="9"/>
      <c r="AE1587" s="1"/>
      <c r="AF1587" s="1"/>
      <c r="AG1587" s="4"/>
      <c r="AH1587" s="10"/>
      <c r="AI1587" s="10"/>
      <c r="AJ1587" s="10"/>
      <c r="AK1587" s="10"/>
      <c r="AL1587" s="10"/>
      <c r="AM1587" s="1"/>
      <c r="AN1587" s="1"/>
      <c r="AO1587" s="1"/>
      <c r="AP1587" s="1"/>
      <c r="AQ1587" s="11"/>
      <c r="AR1587" s="1" t="s">
        <v>4382</v>
      </c>
      <c r="AS1587" s="11"/>
      <c r="AT1587" s="1"/>
      <c r="AU1587" s="1"/>
    </row>
    <row r="1588" spans="1:47" x14ac:dyDescent="0.25">
      <c r="A1588" s="1">
        <v>1566</v>
      </c>
      <c r="B1588" s="1" t="s">
        <v>1258</v>
      </c>
      <c r="C1588" s="1" t="s">
        <v>38</v>
      </c>
      <c r="D1588" s="1">
        <v>9103551371</v>
      </c>
      <c r="E1588" s="5">
        <v>42093</v>
      </c>
      <c r="F1588" s="1" t="s">
        <v>3787</v>
      </c>
      <c r="G1588" s="1" t="s">
        <v>40</v>
      </c>
      <c r="H1588" s="1" t="s">
        <v>41</v>
      </c>
      <c r="I1588" s="1" t="s">
        <v>2809</v>
      </c>
      <c r="J1588" s="1" t="s">
        <v>3786</v>
      </c>
      <c r="K1588" s="1">
        <v>38231200</v>
      </c>
      <c r="L1588" s="6">
        <v>39.619999999999997</v>
      </c>
      <c r="M1588" s="1" t="s">
        <v>70</v>
      </c>
      <c r="N1588" s="7" t="s">
        <v>67</v>
      </c>
      <c r="O1588" s="1" t="s">
        <v>53</v>
      </c>
      <c r="P1588" s="8">
        <v>1025</v>
      </c>
      <c r="Q1588" s="17">
        <f t="shared" si="156"/>
        <v>40610.5</v>
      </c>
      <c r="R1588" s="9">
        <v>0</v>
      </c>
      <c r="S1588" s="9">
        <v>0</v>
      </c>
      <c r="T1588" s="9">
        <v>0</v>
      </c>
      <c r="U1588" s="10">
        <v>0</v>
      </c>
      <c r="V1588" s="1" t="s">
        <v>46</v>
      </c>
      <c r="W1588" s="1" t="s">
        <v>178</v>
      </c>
      <c r="X1588" s="1">
        <v>8624474</v>
      </c>
      <c r="Y1588" s="11">
        <v>42089</v>
      </c>
      <c r="Z1588" s="11">
        <v>42090</v>
      </c>
      <c r="AA1588" s="9">
        <f t="shared" si="147"/>
        <v>40610.5</v>
      </c>
      <c r="AB1588" s="12">
        <v>62</v>
      </c>
      <c r="AC1588" s="9">
        <f t="shared" si="155"/>
        <v>2517851</v>
      </c>
      <c r="AD1588" s="9">
        <f t="shared" si="148"/>
        <v>2517851</v>
      </c>
      <c r="AE1588" s="1" t="s">
        <v>48</v>
      </c>
      <c r="AF1588" s="1" t="s">
        <v>53</v>
      </c>
      <c r="AG1588" s="4">
        <f t="shared" ref="AG1588:AG1599" si="157">Q1588</f>
        <v>40610.5</v>
      </c>
      <c r="AH1588" s="10">
        <v>40573.5</v>
      </c>
      <c r="AI1588" s="10"/>
      <c r="AJ1588" s="10"/>
      <c r="AK1588" s="10"/>
      <c r="AL1588" s="10"/>
      <c r="AM1588" s="1"/>
      <c r="AN1588" s="1"/>
      <c r="AO1588" s="1"/>
      <c r="AP1588" s="1" t="s">
        <v>4194</v>
      </c>
      <c r="AQ1588" s="11">
        <v>42192</v>
      </c>
      <c r="AR1588" s="1" t="s">
        <v>4195</v>
      </c>
      <c r="AS1588" s="11">
        <v>42193</v>
      </c>
      <c r="AT1588" s="1" t="s">
        <v>3650</v>
      </c>
      <c r="AU1588" s="1" t="s">
        <v>4171</v>
      </c>
    </row>
    <row r="1589" spans="1:47" x14ac:dyDescent="0.25">
      <c r="A1589" s="1">
        <v>1567</v>
      </c>
      <c r="B1589" s="1" t="s">
        <v>1258</v>
      </c>
      <c r="C1589" s="1" t="s">
        <v>38</v>
      </c>
      <c r="D1589" s="1">
        <v>9103551373</v>
      </c>
      <c r="E1589" s="5">
        <v>42093</v>
      </c>
      <c r="F1589" s="1" t="s">
        <v>3788</v>
      </c>
      <c r="G1589" s="1" t="s">
        <v>40</v>
      </c>
      <c r="H1589" s="1" t="s">
        <v>41</v>
      </c>
      <c r="I1589" s="1" t="s">
        <v>2809</v>
      </c>
      <c r="J1589" s="1" t="s">
        <v>3741</v>
      </c>
      <c r="K1589" s="1">
        <v>29051700</v>
      </c>
      <c r="L1589" s="6">
        <v>18.46</v>
      </c>
      <c r="M1589" s="1" t="s">
        <v>70</v>
      </c>
      <c r="N1589" s="7" t="s">
        <v>44</v>
      </c>
      <c r="O1589" s="1" t="s">
        <v>53</v>
      </c>
      <c r="P1589" s="8">
        <v>2343</v>
      </c>
      <c r="Q1589" s="17">
        <f t="shared" si="156"/>
        <v>43251.78</v>
      </c>
      <c r="R1589" s="9">
        <v>4350</v>
      </c>
      <c r="S1589" s="9">
        <v>6.19</v>
      </c>
      <c r="T1589" s="9">
        <v>0</v>
      </c>
      <c r="U1589" s="10">
        <v>0</v>
      </c>
      <c r="V1589" s="1" t="s">
        <v>46</v>
      </c>
      <c r="W1589" s="1" t="s">
        <v>56</v>
      </c>
      <c r="X1589" s="1">
        <v>8637955</v>
      </c>
      <c r="Y1589" s="11">
        <v>42090</v>
      </c>
      <c r="Z1589" s="11">
        <v>42091</v>
      </c>
      <c r="AA1589" s="9">
        <f t="shared" si="147"/>
        <v>38895.589999999997</v>
      </c>
      <c r="AB1589" s="12">
        <v>62</v>
      </c>
      <c r="AC1589" s="9">
        <f t="shared" si="155"/>
        <v>2681610.36</v>
      </c>
      <c r="AD1589" s="9">
        <f t="shared" si="148"/>
        <v>2411526.5799999996</v>
      </c>
      <c r="AE1589" s="1" t="s">
        <v>48</v>
      </c>
      <c r="AF1589" s="1" t="s">
        <v>53</v>
      </c>
      <c r="AG1589" s="4">
        <f t="shared" si="157"/>
        <v>43251.78</v>
      </c>
      <c r="AH1589" s="10">
        <v>43251.78</v>
      </c>
      <c r="AI1589" s="10">
        <v>4300</v>
      </c>
      <c r="AJ1589" s="10">
        <v>6.19</v>
      </c>
      <c r="AK1589" s="10">
        <v>0</v>
      </c>
      <c r="AL1589" s="10">
        <f t="shared" ref="AL1589:AL1595" si="158">AH1589-(AI1589+AJ1589+AK1589)</f>
        <v>38945.589999999997</v>
      </c>
      <c r="AM1589" s="1"/>
      <c r="AN1589" s="1"/>
      <c r="AO1589" s="12" t="e">
        <f>AB1589/#REF!</f>
        <v>#REF!</v>
      </c>
      <c r="AP1589" s="1"/>
      <c r="AQ1589" s="11">
        <v>42136</v>
      </c>
      <c r="AR1589" s="1" t="s">
        <v>3902</v>
      </c>
      <c r="AS1589" s="11">
        <v>42139</v>
      </c>
      <c r="AT1589" s="1" t="s">
        <v>3650</v>
      </c>
      <c r="AU1589" s="1" t="s">
        <v>4171</v>
      </c>
    </row>
    <row r="1590" spans="1:47" x14ac:dyDescent="0.25">
      <c r="A1590" s="1">
        <v>1568</v>
      </c>
      <c r="B1590" s="1" t="s">
        <v>1258</v>
      </c>
      <c r="C1590" s="1" t="s">
        <v>38</v>
      </c>
      <c r="D1590" s="1">
        <v>9103551374</v>
      </c>
      <c r="E1590" s="5">
        <v>42093</v>
      </c>
      <c r="F1590" s="1" t="s">
        <v>3789</v>
      </c>
      <c r="G1590" s="1" t="s">
        <v>40</v>
      </c>
      <c r="H1590" s="1" t="s">
        <v>41</v>
      </c>
      <c r="I1590" s="1" t="s">
        <v>2809</v>
      </c>
      <c r="J1590" s="1" t="s">
        <v>3790</v>
      </c>
      <c r="K1590" s="1">
        <v>38231900</v>
      </c>
      <c r="L1590" s="6">
        <v>59.23</v>
      </c>
      <c r="M1590" s="1" t="s">
        <v>70</v>
      </c>
      <c r="N1590" s="7" t="s">
        <v>44</v>
      </c>
      <c r="O1590" s="1" t="s">
        <v>53</v>
      </c>
      <c r="P1590" s="8">
        <v>3720</v>
      </c>
      <c r="Q1590" s="17">
        <f t="shared" si="156"/>
        <v>220335.59999999998</v>
      </c>
      <c r="R1590" s="9">
        <v>2936.85</v>
      </c>
      <c r="S1590" s="9">
        <v>31.51</v>
      </c>
      <c r="T1590" s="9">
        <v>0</v>
      </c>
      <c r="U1590" s="10">
        <v>0</v>
      </c>
      <c r="V1590" s="1" t="s">
        <v>46</v>
      </c>
      <c r="W1590" s="1" t="s">
        <v>47</v>
      </c>
      <c r="X1590" s="1">
        <v>8639885</v>
      </c>
      <c r="Y1590" s="11">
        <v>42090</v>
      </c>
      <c r="Z1590" s="11">
        <v>42093</v>
      </c>
      <c r="AA1590" s="9">
        <f t="shared" si="147"/>
        <v>217367.23999999996</v>
      </c>
      <c r="AB1590" s="12">
        <v>62</v>
      </c>
      <c r="AC1590" s="9">
        <f t="shared" si="155"/>
        <v>13660807.199999999</v>
      </c>
      <c r="AD1590" s="9">
        <f t="shared" si="148"/>
        <v>13476768.879999997</v>
      </c>
      <c r="AE1590" s="1" t="s">
        <v>48</v>
      </c>
      <c r="AF1590" s="1" t="s">
        <v>53</v>
      </c>
      <c r="AG1590" s="4">
        <f t="shared" si="157"/>
        <v>220335.59999999998</v>
      </c>
      <c r="AH1590" s="10">
        <v>220315.6</v>
      </c>
      <c r="AI1590" s="10">
        <v>2936.85</v>
      </c>
      <c r="AJ1590" s="10">
        <v>72.709999999999994</v>
      </c>
      <c r="AK1590" s="10">
        <v>0</v>
      </c>
      <c r="AL1590" s="10">
        <f t="shared" si="158"/>
        <v>217306.04</v>
      </c>
      <c r="AM1590" s="1"/>
      <c r="AN1590" s="1"/>
      <c r="AO1590" s="12" t="e">
        <f>AB1590/#REF!</f>
        <v>#REF!</v>
      </c>
      <c r="AP1590" s="1"/>
      <c r="AQ1590" s="11">
        <v>42138</v>
      </c>
      <c r="AR1590" s="1" t="s">
        <v>3903</v>
      </c>
      <c r="AS1590" s="11">
        <v>42139</v>
      </c>
      <c r="AT1590" s="1" t="s">
        <v>3650</v>
      </c>
      <c r="AU1590" s="1" t="s">
        <v>4171</v>
      </c>
    </row>
    <row r="1591" spans="1:47" x14ac:dyDescent="0.25">
      <c r="A1591" s="1">
        <v>1569</v>
      </c>
      <c r="B1591" s="1" t="s">
        <v>1258</v>
      </c>
      <c r="C1591" s="1" t="s">
        <v>38</v>
      </c>
      <c r="D1591" s="1" t="s">
        <v>3791</v>
      </c>
      <c r="E1591" s="5">
        <v>42089</v>
      </c>
      <c r="F1591" s="1" t="s">
        <v>3853</v>
      </c>
      <c r="G1591" s="1" t="s">
        <v>40</v>
      </c>
      <c r="H1591" s="1" t="s">
        <v>41</v>
      </c>
      <c r="I1591" s="1" t="s">
        <v>2809</v>
      </c>
      <c r="J1591" s="1" t="s">
        <v>2660</v>
      </c>
      <c r="K1591" s="1">
        <v>38237090</v>
      </c>
      <c r="L1591" s="6">
        <v>15</v>
      </c>
      <c r="M1591" s="1" t="s">
        <v>70</v>
      </c>
      <c r="N1591" s="7" t="s">
        <v>52</v>
      </c>
      <c r="O1591" s="1" t="s">
        <v>53</v>
      </c>
      <c r="P1591" s="8">
        <v>3720</v>
      </c>
      <c r="Q1591" s="17">
        <f t="shared" si="156"/>
        <v>55800</v>
      </c>
      <c r="R1591" s="9">
        <v>50</v>
      </c>
      <c r="S1591" s="9">
        <v>0</v>
      </c>
      <c r="T1591" s="9">
        <v>0</v>
      </c>
      <c r="U1591" s="10">
        <v>0</v>
      </c>
      <c r="V1591" s="1" t="s">
        <v>46</v>
      </c>
      <c r="W1591" s="1" t="s">
        <v>54</v>
      </c>
      <c r="X1591" s="1">
        <v>8643449</v>
      </c>
      <c r="Y1591" s="11">
        <v>42090</v>
      </c>
      <c r="Z1591" s="11">
        <v>42091</v>
      </c>
      <c r="AA1591" s="9">
        <f t="shared" si="147"/>
        <v>55750</v>
      </c>
      <c r="AB1591" s="12">
        <v>62</v>
      </c>
      <c r="AC1591" s="9">
        <f t="shared" si="155"/>
        <v>3459600</v>
      </c>
      <c r="AD1591" s="9">
        <f t="shared" si="148"/>
        <v>3456500</v>
      </c>
      <c r="AE1591" s="1" t="s">
        <v>48</v>
      </c>
      <c r="AF1591" s="1" t="s">
        <v>53</v>
      </c>
      <c r="AG1591" s="4">
        <f t="shared" si="157"/>
        <v>55800</v>
      </c>
      <c r="AH1591" s="10">
        <v>55800</v>
      </c>
      <c r="AI1591" s="10">
        <v>44</v>
      </c>
      <c r="AJ1591" s="10">
        <v>0</v>
      </c>
      <c r="AK1591" s="10">
        <v>0</v>
      </c>
      <c r="AL1591" s="10">
        <f t="shared" si="158"/>
        <v>55756</v>
      </c>
      <c r="AM1591" s="1"/>
      <c r="AN1591" s="1"/>
      <c r="AO1591" s="12" t="e">
        <f>AB1591/#REF!</f>
        <v>#REF!</v>
      </c>
      <c r="AP1591" s="1"/>
      <c r="AQ1591" s="11">
        <v>42135</v>
      </c>
      <c r="AR1591" s="1" t="s">
        <v>3904</v>
      </c>
      <c r="AS1591" s="11">
        <v>42139</v>
      </c>
      <c r="AT1591" s="1" t="s">
        <v>3650</v>
      </c>
      <c r="AU1591" s="1" t="s">
        <v>4171</v>
      </c>
    </row>
    <row r="1592" spans="1:47" x14ac:dyDescent="0.25">
      <c r="A1592" s="1">
        <v>1570</v>
      </c>
      <c r="B1592" s="1" t="s">
        <v>1258</v>
      </c>
      <c r="C1592" s="1" t="s">
        <v>38</v>
      </c>
      <c r="D1592" s="1" t="s">
        <v>3791</v>
      </c>
      <c r="E1592" s="5">
        <v>42089</v>
      </c>
      <c r="F1592" s="1" t="s">
        <v>3854</v>
      </c>
      <c r="G1592" s="1" t="s">
        <v>40</v>
      </c>
      <c r="H1592" s="1" t="s">
        <v>41</v>
      </c>
      <c r="I1592" s="1" t="s">
        <v>2809</v>
      </c>
      <c r="J1592" s="1" t="s">
        <v>2660</v>
      </c>
      <c r="K1592" s="1">
        <v>38237090</v>
      </c>
      <c r="L1592" s="6">
        <v>75</v>
      </c>
      <c r="M1592" s="1" t="s">
        <v>70</v>
      </c>
      <c r="N1592" s="7" t="s">
        <v>52</v>
      </c>
      <c r="O1592" s="1" t="s">
        <v>53</v>
      </c>
      <c r="P1592" s="8">
        <v>3720</v>
      </c>
      <c r="Q1592" s="17">
        <f t="shared" si="156"/>
        <v>279000</v>
      </c>
      <c r="R1592" s="9">
        <v>250</v>
      </c>
      <c r="S1592" s="9">
        <v>0</v>
      </c>
      <c r="T1592" s="9">
        <v>0</v>
      </c>
      <c r="U1592" s="10">
        <v>0</v>
      </c>
      <c r="V1592" s="1" t="s">
        <v>46</v>
      </c>
      <c r="W1592" s="1" t="s">
        <v>54</v>
      </c>
      <c r="X1592" s="1">
        <v>8624886</v>
      </c>
      <c r="Y1592" s="11">
        <v>42089</v>
      </c>
      <c r="Z1592" s="11">
        <v>42090</v>
      </c>
      <c r="AA1592" s="9">
        <f t="shared" si="147"/>
        <v>278750</v>
      </c>
      <c r="AB1592" s="12">
        <v>62</v>
      </c>
      <c r="AC1592" s="9">
        <f t="shared" si="155"/>
        <v>17298000</v>
      </c>
      <c r="AD1592" s="9">
        <f t="shared" si="148"/>
        <v>17282500</v>
      </c>
      <c r="AE1592" s="1" t="s">
        <v>48</v>
      </c>
      <c r="AF1592" s="1" t="s">
        <v>53</v>
      </c>
      <c r="AG1592" s="4">
        <f t="shared" si="157"/>
        <v>279000</v>
      </c>
      <c r="AH1592" s="10">
        <v>279000</v>
      </c>
      <c r="AI1592" s="10">
        <v>220</v>
      </c>
      <c r="AJ1592" s="10">
        <v>0</v>
      </c>
      <c r="AK1592" s="10">
        <v>0</v>
      </c>
      <c r="AL1592" s="10">
        <f t="shared" si="158"/>
        <v>278780</v>
      </c>
      <c r="AM1592" s="1"/>
      <c r="AN1592" s="1"/>
      <c r="AO1592" s="12" t="e">
        <f>AB1592/#REF!</f>
        <v>#REF!</v>
      </c>
      <c r="AP1592" s="1"/>
      <c r="AQ1592" s="11">
        <v>42135</v>
      </c>
      <c r="AR1592" s="1" t="s">
        <v>3905</v>
      </c>
      <c r="AS1592" s="11">
        <v>42139</v>
      </c>
      <c r="AT1592" s="1" t="s">
        <v>3650</v>
      </c>
      <c r="AU1592" s="1" t="s">
        <v>4171</v>
      </c>
    </row>
    <row r="1593" spans="1:47" x14ac:dyDescent="0.25">
      <c r="A1593" s="1">
        <v>1571</v>
      </c>
      <c r="B1593" s="1" t="s">
        <v>1258</v>
      </c>
      <c r="C1593" s="1" t="s">
        <v>38</v>
      </c>
      <c r="D1593" s="1">
        <v>9103551377</v>
      </c>
      <c r="E1593" s="5">
        <v>42093</v>
      </c>
      <c r="F1593" s="1" t="s">
        <v>3792</v>
      </c>
      <c r="G1593" s="1" t="s">
        <v>40</v>
      </c>
      <c r="H1593" s="1" t="s">
        <v>41</v>
      </c>
      <c r="I1593" s="1" t="s">
        <v>2809</v>
      </c>
      <c r="J1593" s="1" t="s">
        <v>63</v>
      </c>
      <c r="K1593" s="1">
        <v>38231200</v>
      </c>
      <c r="L1593" s="6">
        <v>38.869999999999997</v>
      </c>
      <c r="M1593" s="1" t="s">
        <v>70</v>
      </c>
      <c r="N1593" s="7" t="s">
        <v>44</v>
      </c>
      <c r="O1593" s="1" t="s">
        <v>53</v>
      </c>
      <c r="P1593" s="8">
        <v>1120</v>
      </c>
      <c r="Q1593" s="17">
        <f t="shared" si="156"/>
        <v>43534.399999999994</v>
      </c>
      <c r="R1593" s="9">
        <v>720</v>
      </c>
      <c r="S1593" s="9">
        <v>6.23</v>
      </c>
      <c r="T1593" s="9">
        <v>0</v>
      </c>
      <c r="U1593" s="10">
        <v>0</v>
      </c>
      <c r="V1593" s="1" t="s">
        <v>46</v>
      </c>
      <c r="W1593" s="1" t="s">
        <v>64</v>
      </c>
      <c r="X1593" s="1">
        <v>8643158</v>
      </c>
      <c r="Y1593" s="11">
        <v>42090</v>
      </c>
      <c r="Z1593" s="11">
        <v>42091</v>
      </c>
      <c r="AA1593" s="9">
        <f t="shared" si="147"/>
        <v>42808.169999999991</v>
      </c>
      <c r="AB1593" s="12">
        <v>62</v>
      </c>
      <c r="AC1593" s="9">
        <f t="shared" si="155"/>
        <v>2699132.8</v>
      </c>
      <c r="AD1593" s="9">
        <f t="shared" si="148"/>
        <v>2654106.5399999996</v>
      </c>
      <c r="AE1593" s="1" t="s">
        <v>51</v>
      </c>
      <c r="AF1593" s="1" t="s">
        <v>53</v>
      </c>
      <c r="AG1593" s="4">
        <f t="shared" si="157"/>
        <v>43534.399999999994</v>
      </c>
      <c r="AH1593" s="10">
        <v>43534</v>
      </c>
      <c r="AI1593" s="10">
        <v>720</v>
      </c>
      <c r="AJ1593" s="10">
        <v>6.23</v>
      </c>
      <c r="AK1593" s="10">
        <v>0</v>
      </c>
      <c r="AL1593" s="10">
        <f t="shared" si="158"/>
        <v>42807.77</v>
      </c>
      <c r="AM1593" s="1"/>
      <c r="AN1593" s="1"/>
      <c r="AO1593" s="12" t="e">
        <f>AB1593/#REF!</f>
        <v>#REF!</v>
      </c>
      <c r="AP1593" s="1"/>
      <c r="AQ1593" s="11">
        <v>42130</v>
      </c>
      <c r="AR1593" s="1" t="s">
        <v>3906</v>
      </c>
      <c r="AS1593" s="11">
        <v>42135</v>
      </c>
      <c r="AT1593" s="1" t="s">
        <v>3650</v>
      </c>
      <c r="AU1593" s="1" t="s">
        <v>4171</v>
      </c>
    </row>
    <row r="1594" spans="1:47" x14ac:dyDescent="0.25">
      <c r="A1594" s="1">
        <v>1572</v>
      </c>
      <c r="B1594" s="1" t="s">
        <v>1258</v>
      </c>
      <c r="C1594" s="1" t="s">
        <v>38</v>
      </c>
      <c r="D1594" s="1">
        <v>9103551379</v>
      </c>
      <c r="E1594" s="5">
        <v>42092</v>
      </c>
      <c r="F1594" s="1" t="s">
        <v>3793</v>
      </c>
      <c r="G1594" s="1" t="s">
        <v>40</v>
      </c>
      <c r="H1594" s="1" t="s">
        <v>41</v>
      </c>
      <c r="I1594" s="1" t="s">
        <v>2809</v>
      </c>
      <c r="J1594" s="1" t="s">
        <v>3771</v>
      </c>
      <c r="K1594" s="1">
        <v>38237090</v>
      </c>
      <c r="L1594" s="6">
        <v>19.46</v>
      </c>
      <c r="M1594" s="1" t="s">
        <v>70</v>
      </c>
      <c r="N1594" s="7" t="s">
        <v>52</v>
      </c>
      <c r="O1594" s="1" t="s">
        <v>53</v>
      </c>
      <c r="P1594" s="8">
        <v>1285</v>
      </c>
      <c r="Q1594" s="17">
        <f t="shared" si="156"/>
        <v>25006.100000000002</v>
      </c>
      <c r="R1594" s="9">
        <v>850</v>
      </c>
      <c r="S1594" s="9">
        <v>0</v>
      </c>
      <c r="T1594" s="9">
        <v>0</v>
      </c>
      <c r="U1594" s="10">
        <v>0</v>
      </c>
      <c r="V1594" s="1" t="s">
        <v>46</v>
      </c>
      <c r="W1594" s="1" t="s">
        <v>241</v>
      </c>
      <c r="X1594" s="1">
        <v>8643876</v>
      </c>
      <c r="Y1594" s="11">
        <v>42090</v>
      </c>
      <c r="Z1594" s="11">
        <v>42091</v>
      </c>
      <c r="AA1594" s="9">
        <f t="shared" si="147"/>
        <v>24156.100000000002</v>
      </c>
      <c r="AB1594" s="12">
        <v>62</v>
      </c>
      <c r="AC1594" s="9">
        <f t="shared" si="155"/>
        <v>1550378.2000000002</v>
      </c>
      <c r="AD1594" s="9">
        <f t="shared" si="148"/>
        <v>1497678.2000000002</v>
      </c>
      <c r="AE1594" s="1" t="s">
        <v>48</v>
      </c>
      <c r="AF1594" s="1" t="s">
        <v>53</v>
      </c>
      <c r="AG1594" s="4">
        <f t="shared" si="157"/>
        <v>25006.100000000002</v>
      </c>
      <c r="AH1594" s="10">
        <v>25006.1</v>
      </c>
      <c r="AI1594" s="10">
        <v>750</v>
      </c>
      <c r="AJ1594" s="10">
        <v>0</v>
      </c>
      <c r="AK1594" s="10">
        <v>0</v>
      </c>
      <c r="AL1594" s="10">
        <f t="shared" si="158"/>
        <v>24256.1</v>
      </c>
      <c r="AM1594" s="1"/>
      <c r="AN1594" s="1"/>
      <c r="AO1594" s="12" t="e">
        <f>AB1594/#REF!</f>
        <v>#REF!</v>
      </c>
      <c r="AP1594" s="1"/>
      <c r="AQ1594" s="11">
        <v>42158</v>
      </c>
      <c r="AR1594" s="1" t="s">
        <v>3907</v>
      </c>
      <c r="AS1594" s="11">
        <v>42159</v>
      </c>
      <c r="AT1594" s="1" t="s">
        <v>3650</v>
      </c>
      <c r="AU1594" s="1" t="s">
        <v>4171</v>
      </c>
    </row>
    <row r="1595" spans="1:47" x14ac:dyDescent="0.25">
      <c r="A1595" s="1">
        <v>1573</v>
      </c>
      <c r="B1595" s="1" t="s">
        <v>1258</v>
      </c>
      <c r="C1595" s="1" t="s">
        <v>38</v>
      </c>
      <c r="D1595" s="1">
        <v>9103551381</v>
      </c>
      <c r="E1595" s="5">
        <v>42090</v>
      </c>
      <c r="F1595" s="1" t="s">
        <v>3794</v>
      </c>
      <c r="G1595" s="1" t="s">
        <v>40</v>
      </c>
      <c r="H1595" s="1" t="s">
        <v>41</v>
      </c>
      <c r="I1595" s="1" t="s">
        <v>2809</v>
      </c>
      <c r="J1595" s="1" t="s">
        <v>3795</v>
      </c>
      <c r="K1595" s="1">
        <v>38237090</v>
      </c>
      <c r="L1595" s="6">
        <v>18.63</v>
      </c>
      <c r="M1595" s="1" t="s">
        <v>70</v>
      </c>
      <c r="N1595" s="7" t="s">
        <v>52</v>
      </c>
      <c r="O1595" s="1" t="s">
        <v>53</v>
      </c>
      <c r="P1595" s="8">
        <v>1555</v>
      </c>
      <c r="Q1595" s="17">
        <f t="shared" si="156"/>
        <v>28969.649999999998</v>
      </c>
      <c r="R1595" s="9">
        <v>1050</v>
      </c>
      <c r="S1595" s="9">
        <v>0</v>
      </c>
      <c r="T1595" s="9">
        <v>0</v>
      </c>
      <c r="U1595" s="10">
        <v>0</v>
      </c>
      <c r="V1595" s="1" t="s">
        <v>46</v>
      </c>
      <c r="W1595" s="1" t="s">
        <v>75</v>
      </c>
      <c r="X1595" s="1">
        <v>8650014</v>
      </c>
      <c r="Y1595" s="11">
        <v>42090</v>
      </c>
      <c r="Z1595" s="11">
        <v>42091</v>
      </c>
      <c r="AA1595" s="9">
        <f t="shared" si="147"/>
        <v>27919.649999999998</v>
      </c>
      <c r="AB1595" s="12">
        <v>62</v>
      </c>
      <c r="AC1595" s="9">
        <f t="shared" si="155"/>
        <v>1796118.2999999998</v>
      </c>
      <c r="AD1595" s="9">
        <f t="shared" si="148"/>
        <v>1731018.2999999998</v>
      </c>
      <c r="AE1595" s="1" t="s">
        <v>48</v>
      </c>
      <c r="AF1595" s="1" t="s">
        <v>53</v>
      </c>
      <c r="AG1595" s="4">
        <f t="shared" si="157"/>
        <v>28969.649999999998</v>
      </c>
      <c r="AH1595" s="10">
        <v>28954.65</v>
      </c>
      <c r="AI1595" s="10">
        <v>1000</v>
      </c>
      <c r="AJ1595" s="10">
        <v>0</v>
      </c>
      <c r="AK1595" s="10">
        <v>0</v>
      </c>
      <c r="AL1595" s="10">
        <f t="shared" si="158"/>
        <v>27954.65</v>
      </c>
      <c r="AM1595" s="1"/>
      <c r="AN1595" s="1"/>
      <c r="AO1595" s="12" t="e">
        <f>AB1595/#REF!</f>
        <v>#REF!</v>
      </c>
      <c r="AP1595" s="1"/>
      <c r="AQ1595" s="11">
        <v>42116</v>
      </c>
      <c r="AR1595" s="1" t="s">
        <v>3908</v>
      </c>
      <c r="AS1595" s="11">
        <v>42148</v>
      </c>
      <c r="AT1595" s="1" t="s">
        <v>3650</v>
      </c>
      <c r="AU1595" s="1" t="s">
        <v>4171</v>
      </c>
    </row>
    <row r="1596" spans="1:47" x14ac:dyDescent="0.25">
      <c r="A1596" s="1">
        <v>1574</v>
      </c>
      <c r="B1596" s="1" t="s">
        <v>1258</v>
      </c>
      <c r="C1596" s="1" t="s">
        <v>38</v>
      </c>
      <c r="D1596" s="1">
        <v>9103551382</v>
      </c>
      <c r="E1596" s="5">
        <v>42093</v>
      </c>
      <c r="F1596" s="1" t="s">
        <v>3796</v>
      </c>
      <c r="G1596" s="1" t="s">
        <v>40</v>
      </c>
      <c r="H1596" s="1" t="s">
        <v>41</v>
      </c>
      <c r="I1596" s="1" t="s">
        <v>2810</v>
      </c>
      <c r="J1596" s="1" t="s">
        <v>1116</v>
      </c>
      <c r="K1596" s="1">
        <v>38237090</v>
      </c>
      <c r="L1596" s="6">
        <v>19</v>
      </c>
      <c r="M1596" s="1" t="s">
        <v>70</v>
      </c>
      <c r="N1596" s="7" t="s">
        <v>67</v>
      </c>
      <c r="O1596" s="1" t="s">
        <v>1117</v>
      </c>
      <c r="P1596" s="8">
        <v>103600</v>
      </c>
      <c r="Q1596" s="17">
        <f t="shared" si="156"/>
        <v>1968400</v>
      </c>
      <c r="R1596" s="9">
        <v>0</v>
      </c>
      <c r="S1596" s="9">
        <v>0</v>
      </c>
      <c r="T1596" s="9">
        <v>0</v>
      </c>
      <c r="U1596" s="10">
        <v>0</v>
      </c>
      <c r="V1596" s="1" t="s">
        <v>46</v>
      </c>
      <c r="W1596" s="1" t="s">
        <v>361</v>
      </c>
      <c r="X1596" s="1">
        <v>8646545</v>
      </c>
      <c r="Y1596" s="11">
        <v>42090</v>
      </c>
      <c r="Z1596" s="11">
        <v>42091</v>
      </c>
      <c r="AA1596" s="9">
        <f t="shared" si="147"/>
        <v>1968400</v>
      </c>
      <c r="AB1596" s="12">
        <v>1</v>
      </c>
      <c r="AC1596" s="9">
        <f t="shared" si="155"/>
        <v>1968400</v>
      </c>
      <c r="AD1596" s="9">
        <f t="shared" si="148"/>
        <v>1968400</v>
      </c>
      <c r="AE1596" s="1" t="s">
        <v>4162</v>
      </c>
      <c r="AF1596" s="1" t="s">
        <v>1117</v>
      </c>
      <c r="AG1596" s="4">
        <f t="shared" si="157"/>
        <v>1968400</v>
      </c>
      <c r="AH1596" s="10">
        <v>1968400</v>
      </c>
      <c r="AI1596" s="10"/>
      <c r="AJ1596" s="10"/>
      <c r="AK1596" s="10"/>
      <c r="AL1596" s="10"/>
      <c r="AM1596" s="1"/>
      <c r="AN1596" s="1"/>
      <c r="AO1596" s="1"/>
      <c r="AP1596" s="1" t="s">
        <v>3962</v>
      </c>
      <c r="AQ1596" s="11" t="s">
        <v>3963</v>
      </c>
      <c r="AR1596" s="1" t="s">
        <v>3961</v>
      </c>
      <c r="AS1596" s="1" t="s">
        <v>3960</v>
      </c>
      <c r="AT1596" s="1" t="s">
        <v>49</v>
      </c>
      <c r="AU1596" s="1" t="s">
        <v>4171</v>
      </c>
    </row>
    <row r="1597" spans="1:47" x14ac:dyDescent="0.25">
      <c r="A1597" s="1">
        <v>1575</v>
      </c>
      <c r="B1597" s="1" t="s">
        <v>1258</v>
      </c>
      <c r="C1597" s="1" t="s">
        <v>38</v>
      </c>
      <c r="D1597" s="1">
        <v>9103551383</v>
      </c>
      <c r="E1597" s="5">
        <v>42093</v>
      </c>
      <c r="F1597" s="1" t="s">
        <v>3797</v>
      </c>
      <c r="G1597" s="1" t="s">
        <v>40</v>
      </c>
      <c r="H1597" s="1" t="s">
        <v>41</v>
      </c>
      <c r="I1597" s="1" t="s">
        <v>2810</v>
      </c>
      <c r="J1597" s="1" t="s">
        <v>1116</v>
      </c>
      <c r="K1597" s="1">
        <v>38237090</v>
      </c>
      <c r="L1597" s="6">
        <v>37.770000000000003</v>
      </c>
      <c r="M1597" s="1" t="s">
        <v>70</v>
      </c>
      <c r="N1597" s="7" t="s">
        <v>67</v>
      </c>
      <c r="O1597" s="1" t="s">
        <v>1117</v>
      </c>
      <c r="P1597" s="8">
        <v>103600</v>
      </c>
      <c r="Q1597" s="17">
        <f t="shared" si="156"/>
        <v>3912972.0000000005</v>
      </c>
      <c r="R1597" s="9">
        <v>0</v>
      </c>
      <c r="S1597" s="9">
        <v>0</v>
      </c>
      <c r="T1597" s="9">
        <v>0</v>
      </c>
      <c r="U1597" s="10">
        <v>0</v>
      </c>
      <c r="V1597" s="1" t="s">
        <v>46</v>
      </c>
      <c r="W1597" s="1" t="s">
        <v>361</v>
      </c>
      <c r="X1597" s="1">
        <v>8646784</v>
      </c>
      <c r="Y1597" s="11">
        <v>42090</v>
      </c>
      <c r="Z1597" s="11">
        <v>42091</v>
      </c>
      <c r="AA1597" s="9">
        <f t="shared" si="147"/>
        <v>3912972.0000000005</v>
      </c>
      <c r="AB1597" s="12">
        <v>1</v>
      </c>
      <c r="AC1597" s="9">
        <f t="shared" si="155"/>
        <v>3912972.0000000005</v>
      </c>
      <c r="AD1597" s="9">
        <f t="shared" si="148"/>
        <v>3912972.0000000005</v>
      </c>
      <c r="AE1597" s="1" t="s">
        <v>4162</v>
      </c>
      <c r="AF1597" s="1" t="s">
        <v>1117</v>
      </c>
      <c r="AG1597" s="4">
        <f t="shared" si="157"/>
        <v>3912972.0000000005</v>
      </c>
      <c r="AH1597" s="10">
        <v>3912972</v>
      </c>
      <c r="AI1597" s="10"/>
      <c r="AJ1597" s="10"/>
      <c r="AK1597" s="10"/>
      <c r="AL1597" s="10"/>
      <c r="AM1597" s="1"/>
      <c r="AN1597" s="1"/>
      <c r="AO1597" s="1"/>
      <c r="AP1597" s="1" t="s">
        <v>3965</v>
      </c>
      <c r="AQ1597" s="11" t="s">
        <v>3963</v>
      </c>
      <c r="AR1597" s="1" t="s">
        <v>3964</v>
      </c>
      <c r="AS1597" s="1" t="s">
        <v>3960</v>
      </c>
      <c r="AT1597" s="1" t="s">
        <v>49</v>
      </c>
      <c r="AU1597" s="1" t="s">
        <v>4171</v>
      </c>
    </row>
    <row r="1598" spans="1:47" x14ac:dyDescent="0.25">
      <c r="A1598" s="1">
        <v>1576</v>
      </c>
      <c r="B1598" s="1" t="s">
        <v>1258</v>
      </c>
      <c r="C1598" s="1" t="s">
        <v>38</v>
      </c>
      <c r="D1598" s="1">
        <v>9103551384</v>
      </c>
      <c r="E1598" s="5">
        <v>42090</v>
      </c>
      <c r="F1598" s="1" t="s">
        <v>3798</v>
      </c>
      <c r="G1598" s="1" t="s">
        <v>40</v>
      </c>
      <c r="H1598" s="1" t="s">
        <v>41</v>
      </c>
      <c r="I1598" s="1" t="s">
        <v>2809</v>
      </c>
      <c r="J1598" s="1" t="s">
        <v>3799</v>
      </c>
      <c r="K1598" s="1">
        <v>38237090</v>
      </c>
      <c r="L1598" s="6">
        <v>12</v>
      </c>
      <c r="M1598" s="1" t="s">
        <v>70</v>
      </c>
      <c r="N1598" s="7" t="s">
        <v>44</v>
      </c>
      <c r="O1598" s="1" t="s">
        <v>53</v>
      </c>
      <c r="P1598" s="8">
        <v>1520</v>
      </c>
      <c r="Q1598" s="17">
        <f t="shared" si="156"/>
        <v>18240</v>
      </c>
      <c r="R1598" s="9">
        <v>860</v>
      </c>
      <c r="S1598" s="9">
        <v>2.61</v>
      </c>
      <c r="T1598" s="9">
        <v>240</v>
      </c>
      <c r="U1598" s="10">
        <v>0</v>
      </c>
      <c r="V1598" s="1" t="s">
        <v>46</v>
      </c>
      <c r="W1598" s="1" t="s">
        <v>64</v>
      </c>
      <c r="X1598" s="1">
        <v>8651210</v>
      </c>
      <c r="Y1598" s="11">
        <v>42090</v>
      </c>
      <c r="Z1598" s="11">
        <v>42093</v>
      </c>
      <c r="AA1598" s="9">
        <f t="shared" si="147"/>
        <v>17377.39</v>
      </c>
      <c r="AB1598" s="12">
        <v>62</v>
      </c>
      <c r="AC1598" s="9">
        <f t="shared" si="155"/>
        <v>1130880</v>
      </c>
      <c r="AD1598" s="9">
        <f t="shared" si="148"/>
        <v>1077398.18</v>
      </c>
      <c r="AE1598" s="1" t="s">
        <v>48</v>
      </c>
      <c r="AF1598" s="1" t="s">
        <v>53</v>
      </c>
      <c r="AG1598" s="4">
        <f t="shared" si="157"/>
        <v>18240</v>
      </c>
      <c r="AH1598" s="10">
        <v>18240</v>
      </c>
      <c r="AI1598" s="10">
        <v>150</v>
      </c>
      <c r="AJ1598" s="10">
        <v>6.02</v>
      </c>
      <c r="AK1598" s="10">
        <v>240</v>
      </c>
      <c r="AL1598" s="10">
        <f>AH1598-(AI1598+AJ1598+AK1598)</f>
        <v>17843.98</v>
      </c>
      <c r="AM1598" s="1"/>
      <c r="AN1598" s="1"/>
      <c r="AO1598" s="12" t="e">
        <f>AB1598/#REF!</f>
        <v>#REF!</v>
      </c>
      <c r="AP1598" s="1" t="s">
        <v>4317</v>
      </c>
      <c r="AQ1598" s="11">
        <v>42142</v>
      </c>
      <c r="AR1598" s="1" t="s">
        <v>3909</v>
      </c>
      <c r="AS1598" s="11">
        <v>42147</v>
      </c>
      <c r="AT1598" s="1" t="s">
        <v>3650</v>
      </c>
      <c r="AU1598" s="1" t="s">
        <v>4171</v>
      </c>
    </row>
    <row r="1599" spans="1:47" x14ac:dyDescent="0.25">
      <c r="A1599" s="1">
        <v>1577</v>
      </c>
      <c r="B1599" s="1" t="s">
        <v>1258</v>
      </c>
      <c r="C1599" s="1" t="s">
        <v>38</v>
      </c>
      <c r="D1599" s="1">
        <v>9103551385</v>
      </c>
      <c r="E1599" s="5">
        <v>42090</v>
      </c>
      <c r="F1599" s="1" t="s">
        <v>3800</v>
      </c>
      <c r="G1599" s="1" t="s">
        <v>40</v>
      </c>
      <c r="H1599" s="1" t="s">
        <v>41</v>
      </c>
      <c r="I1599" s="1" t="s">
        <v>2809</v>
      </c>
      <c r="J1599" s="1" t="s">
        <v>3799</v>
      </c>
      <c r="K1599" s="1">
        <v>38237090</v>
      </c>
      <c r="L1599" s="6">
        <v>23.4</v>
      </c>
      <c r="M1599" s="1" t="s">
        <v>70</v>
      </c>
      <c r="N1599" s="7" t="s">
        <v>44</v>
      </c>
      <c r="O1599" s="1" t="s">
        <v>53</v>
      </c>
      <c r="P1599" s="8">
        <v>2850</v>
      </c>
      <c r="Q1599" s="17">
        <f t="shared" si="156"/>
        <v>66690</v>
      </c>
      <c r="R1599" s="9">
        <v>100</v>
      </c>
      <c r="S1599" s="9">
        <v>9.5399999999999991</v>
      </c>
      <c r="T1599" s="9">
        <v>1404</v>
      </c>
      <c r="U1599" s="10">
        <v>0</v>
      </c>
      <c r="V1599" s="1" t="s">
        <v>46</v>
      </c>
      <c r="W1599" s="1" t="s">
        <v>64</v>
      </c>
      <c r="X1599" s="1">
        <v>8651191</v>
      </c>
      <c r="Y1599" s="11">
        <v>42090</v>
      </c>
      <c r="Z1599" s="11">
        <v>42091</v>
      </c>
      <c r="AA1599" s="9">
        <f t="shared" si="147"/>
        <v>66580.460000000006</v>
      </c>
      <c r="AB1599" s="12">
        <v>62</v>
      </c>
      <c r="AC1599" s="9">
        <f t="shared" si="155"/>
        <v>4134780</v>
      </c>
      <c r="AD1599" s="9">
        <f t="shared" si="148"/>
        <v>4127988.5200000005</v>
      </c>
      <c r="AE1599" s="1" t="s">
        <v>48</v>
      </c>
      <c r="AF1599" s="1" t="s">
        <v>53</v>
      </c>
      <c r="AG1599" s="4">
        <f t="shared" si="157"/>
        <v>66690</v>
      </c>
      <c r="AH1599" s="10">
        <v>66655.5</v>
      </c>
      <c r="AI1599" s="10"/>
      <c r="AJ1599" s="10"/>
      <c r="AK1599" s="10"/>
      <c r="AL1599" s="10"/>
      <c r="AM1599" s="1"/>
      <c r="AN1599" s="1"/>
      <c r="AO1599" s="1"/>
      <c r="AP1599" s="1" t="s">
        <v>4192</v>
      </c>
      <c r="AQ1599" s="11">
        <v>42179</v>
      </c>
      <c r="AR1599" s="1" t="s">
        <v>4193</v>
      </c>
      <c r="AS1599" s="11">
        <v>42180</v>
      </c>
      <c r="AT1599" s="1" t="s">
        <v>3650</v>
      </c>
      <c r="AU1599" s="1" t="s">
        <v>4171</v>
      </c>
    </row>
    <row r="1600" spans="1:47" x14ac:dyDescent="0.25">
      <c r="A1600" s="1">
        <v>1577</v>
      </c>
      <c r="B1600" s="1" t="s">
        <v>1258</v>
      </c>
      <c r="C1600" s="1" t="s">
        <v>38</v>
      </c>
      <c r="D1600" s="29" t="s">
        <v>4387</v>
      </c>
      <c r="E1600" s="30">
        <v>42096</v>
      </c>
      <c r="F1600" s="1"/>
      <c r="G1600" s="1"/>
      <c r="H1600" s="1"/>
      <c r="I1600" s="1"/>
      <c r="J1600" s="1"/>
      <c r="K1600" s="1"/>
      <c r="L1600" s="6"/>
      <c r="M1600" s="1"/>
      <c r="N1600" s="7"/>
      <c r="O1600" s="1"/>
      <c r="P1600" s="8"/>
      <c r="Q1600" s="17"/>
      <c r="R1600" s="9"/>
      <c r="S1600" s="9"/>
      <c r="T1600" s="9"/>
      <c r="U1600" s="10"/>
      <c r="V1600" s="1"/>
      <c r="W1600" s="1"/>
      <c r="X1600" s="1"/>
      <c r="Y1600" s="11"/>
      <c r="Z1600" s="11"/>
      <c r="AA1600" s="9"/>
      <c r="AB1600" s="12"/>
      <c r="AC1600" s="9"/>
      <c r="AD1600" s="9"/>
      <c r="AE1600" s="1"/>
      <c r="AF1600" s="1"/>
      <c r="AG1600" s="4"/>
      <c r="AH1600" s="10"/>
      <c r="AI1600" s="10"/>
      <c r="AJ1600" s="10"/>
      <c r="AK1600" s="10"/>
      <c r="AL1600" s="10"/>
      <c r="AM1600" s="1"/>
      <c r="AN1600" s="1"/>
      <c r="AO1600" s="1"/>
      <c r="AP1600" s="31" t="s">
        <v>4388</v>
      </c>
      <c r="AQ1600" s="11"/>
      <c r="AR1600" s="31" t="s">
        <v>4389</v>
      </c>
      <c r="AS1600" s="30">
        <v>42139</v>
      </c>
      <c r="AT1600" s="1"/>
      <c r="AU1600" s="1"/>
    </row>
    <row r="1601" spans="1:47" x14ac:dyDescent="0.25">
      <c r="A1601" s="1">
        <v>1577</v>
      </c>
      <c r="B1601" s="1" t="s">
        <v>1258</v>
      </c>
      <c r="C1601" s="1" t="s">
        <v>38</v>
      </c>
      <c r="D1601" s="29" t="s">
        <v>4387</v>
      </c>
      <c r="E1601" s="30">
        <v>42096</v>
      </c>
      <c r="F1601" s="1"/>
      <c r="G1601" s="1"/>
      <c r="H1601" s="1"/>
      <c r="I1601" s="1"/>
      <c r="J1601" s="1"/>
      <c r="K1601" s="1"/>
      <c r="L1601" s="6"/>
      <c r="M1601" s="1"/>
      <c r="N1601" s="7"/>
      <c r="O1601" s="1"/>
      <c r="P1601" s="8"/>
      <c r="Q1601" s="17"/>
      <c r="R1601" s="9"/>
      <c r="S1601" s="9"/>
      <c r="T1601" s="9"/>
      <c r="U1601" s="10"/>
      <c r="V1601" s="1"/>
      <c r="W1601" s="1"/>
      <c r="X1601" s="1"/>
      <c r="Y1601" s="11"/>
      <c r="Z1601" s="11"/>
      <c r="AA1601" s="9"/>
      <c r="AB1601" s="12"/>
      <c r="AC1601" s="9"/>
      <c r="AD1601" s="9"/>
      <c r="AE1601" s="1"/>
      <c r="AF1601" s="1"/>
      <c r="AG1601" s="4"/>
      <c r="AH1601" s="10"/>
      <c r="AI1601" s="10"/>
      <c r="AJ1601" s="10"/>
      <c r="AK1601" s="10"/>
      <c r="AL1601" s="10"/>
      <c r="AM1601" s="1"/>
      <c r="AN1601" s="1"/>
      <c r="AO1601" s="1"/>
      <c r="AP1601" s="31" t="s">
        <v>4388</v>
      </c>
      <c r="AQ1601" s="11"/>
      <c r="AR1601" s="31" t="s">
        <v>4390</v>
      </c>
      <c r="AS1601" s="30">
        <v>42139</v>
      </c>
      <c r="AT1601" s="1"/>
      <c r="AU1601" s="1"/>
    </row>
    <row r="1602" spans="1:47" x14ac:dyDescent="0.25">
      <c r="A1602" s="1">
        <v>1578</v>
      </c>
      <c r="B1602" s="1" t="s">
        <v>1258</v>
      </c>
      <c r="C1602" s="1" t="s">
        <v>38</v>
      </c>
      <c r="D1602" s="1">
        <v>9103551388</v>
      </c>
      <c r="E1602" s="5">
        <v>42090</v>
      </c>
      <c r="F1602" s="1" t="s">
        <v>3801</v>
      </c>
      <c r="G1602" s="1" t="s">
        <v>40</v>
      </c>
      <c r="H1602" s="1" t="s">
        <v>41</v>
      </c>
      <c r="I1602" s="1" t="s">
        <v>2809</v>
      </c>
      <c r="J1602" s="1" t="s">
        <v>63</v>
      </c>
      <c r="K1602" s="1">
        <v>29159090</v>
      </c>
      <c r="L1602" s="6">
        <v>20</v>
      </c>
      <c r="M1602" s="1" t="s">
        <v>70</v>
      </c>
      <c r="N1602" s="7" t="s">
        <v>52</v>
      </c>
      <c r="O1602" s="1" t="s">
        <v>53</v>
      </c>
      <c r="P1602" s="8">
        <v>3400</v>
      </c>
      <c r="Q1602" s="17">
        <f t="shared" si="156"/>
        <v>68000</v>
      </c>
      <c r="R1602" s="9">
        <v>200</v>
      </c>
      <c r="S1602" s="9">
        <v>0</v>
      </c>
      <c r="T1602" s="9">
        <v>0</v>
      </c>
      <c r="U1602" s="10">
        <v>0</v>
      </c>
      <c r="V1602" s="1" t="s">
        <v>46</v>
      </c>
      <c r="W1602" s="1" t="s">
        <v>75</v>
      </c>
      <c r="X1602" s="1">
        <v>8646516</v>
      </c>
      <c r="Y1602" s="11">
        <v>42090</v>
      </c>
      <c r="Z1602" s="11">
        <v>42093</v>
      </c>
      <c r="AA1602" s="9">
        <f t="shared" si="147"/>
        <v>67800</v>
      </c>
      <c r="AB1602" s="12">
        <v>62</v>
      </c>
      <c r="AC1602" s="9">
        <f t="shared" si="155"/>
        <v>4216000</v>
      </c>
      <c r="AD1602" s="9">
        <f t="shared" si="148"/>
        <v>4203600</v>
      </c>
      <c r="AE1602" s="1" t="s">
        <v>51</v>
      </c>
      <c r="AF1602" s="1" t="s">
        <v>53</v>
      </c>
      <c r="AG1602" s="4">
        <f t="shared" ref="AG1602:AG1615" si="159">Q1602</f>
        <v>68000</v>
      </c>
      <c r="AH1602" s="10">
        <v>68000</v>
      </c>
      <c r="AI1602" s="10">
        <v>185</v>
      </c>
      <c r="AJ1602" s="10">
        <v>0</v>
      </c>
      <c r="AK1602" s="10">
        <v>0</v>
      </c>
      <c r="AL1602" s="10">
        <f>AH1602-(AI1602+AJ1602+AK1602)</f>
        <v>67815</v>
      </c>
      <c r="AM1602" s="1"/>
      <c r="AN1602" s="1"/>
      <c r="AO1602" s="12" t="e">
        <f>AB1602/#REF!</f>
        <v>#REF!</v>
      </c>
      <c r="AP1602" s="1" t="s">
        <v>4316</v>
      </c>
      <c r="AQ1602" s="11">
        <v>42130</v>
      </c>
      <c r="AR1602" s="1" t="s">
        <v>3910</v>
      </c>
      <c r="AS1602" s="11">
        <v>42135</v>
      </c>
      <c r="AT1602" s="1" t="s">
        <v>3650</v>
      </c>
      <c r="AU1602" s="1" t="s">
        <v>4171</v>
      </c>
    </row>
    <row r="1603" spans="1:47" s="23" customFormat="1" x14ac:dyDescent="0.25">
      <c r="A1603" s="3">
        <v>1579</v>
      </c>
      <c r="B1603" s="3" t="s">
        <v>1258</v>
      </c>
      <c r="C1603" s="3" t="s">
        <v>38</v>
      </c>
      <c r="D1603" s="3">
        <v>9114450009</v>
      </c>
      <c r="E1603" s="19">
        <v>41972</v>
      </c>
      <c r="F1603" s="3" t="s">
        <v>3802</v>
      </c>
      <c r="G1603" s="3" t="s">
        <v>65</v>
      </c>
      <c r="H1603" s="3" t="s">
        <v>3158</v>
      </c>
      <c r="I1603" s="3" t="s">
        <v>2809</v>
      </c>
      <c r="J1603" s="3" t="s">
        <v>80</v>
      </c>
      <c r="K1603" s="3">
        <v>34011110</v>
      </c>
      <c r="L1603" s="48">
        <v>2.3328000000000002</v>
      </c>
      <c r="M1603" s="3" t="s">
        <v>70</v>
      </c>
      <c r="N1603" s="49" t="s">
        <v>44</v>
      </c>
      <c r="O1603" s="3" t="s">
        <v>53</v>
      </c>
      <c r="P1603" s="50">
        <v>2688.89</v>
      </c>
      <c r="Q1603" s="17">
        <f t="shared" si="156"/>
        <v>6272.6425920000001</v>
      </c>
      <c r="R1603" s="20">
        <v>2200</v>
      </c>
      <c r="S1603" s="20">
        <v>0.9</v>
      </c>
      <c r="T1603" s="20">
        <v>0</v>
      </c>
      <c r="U1603" s="4">
        <v>0</v>
      </c>
      <c r="V1603" s="3" t="s">
        <v>3803</v>
      </c>
      <c r="W1603" s="3" t="s">
        <v>81</v>
      </c>
      <c r="X1603" s="3">
        <v>6338540</v>
      </c>
      <c r="Y1603" s="21">
        <v>41971</v>
      </c>
      <c r="Z1603" s="21">
        <v>41972</v>
      </c>
      <c r="AA1603" s="20">
        <f t="shared" si="147"/>
        <v>4071.7425920000001</v>
      </c>
      <c r="AB1603" s="22">
        <v>60.9</v>
      </c>
      <c r="AC1603" s="20">
        <f t="shared" si="155"/>
        <v>382003.93385279999</v>
      </c>
      <c r="AD1603" s="20">
        <f t="shared" si="148"/>
        <v>247969.1238528</v>
      </c>
      <c r="AE1603" s="3"/>
      <c r="AF1603" s="3" t="s">
        <v>53</v>
      </c>
      <c r="AG1603" s="4">
        <f t="shared" si="159"/>
        <v>6272.6425920000001</v>
      </c>
      <c r="AH1603" s="4">
        <v>6272.64</v>
      </c>
      <c r="AI1603" s="4"/>
      <c r="AJ1603" s="4"/>
      <c r="AK1603" s="4"/>
      <c r="AL1603" s="4"/>
      <c r="AM1603" s="3"/>
      <c r="AN1603" s="3"/>
      <c r="AO1603" s="3"/>
      <c r="AP1603" s="3" t="s">
        <v>4304</v>
      </c>
      <c r="AQ1603" s="21">
        <v>42256</v>
      </c>
      <c r="AR1603" s="3" t="s">
        <v>4305</v>
      </c>
      <c r="AS1603" s="21">
        <v>42257</v>
      </c>
      <c r="AT1603" s="3" t="s">
        <v>49</v>
      </c>
      <c r="AU1603" s="3" t="s">
        <v>4306</v>
      </c>
    </row>
    <row r="1604" spans="1:47" s="23" customFormat="1" x14ac:dyDescent="0.25">
      <c r="A1604" s="3">
        <v>1580</v>
      </c>
      <c r="B1604" s="3" t="s">
        <v>1258</v>
      </c>
      <c r="C1604" s="3" t="s">
        <v>38</v>
      </c>
      <c r="D1604" s="3" t="s">
        <v>3804</v>
      </c>
      <c r="E1604" s="19">
        <v>42000</v>
      </c>
      <c r="F1604" s="3" t="s">
        <v>3805</v>
      </c>
      <c r="G1604" s="3" t="s">
        <v>65</v>
      </c>
      <c r="H1604" s="3" t="s">
        <v>3158</v>
      </c>
      <c r="I1604" s="3" t="s">
        <v>2809</v>
      </c>
      <c r="J1604" s="3" t="s">
        <v>80</v>
      </c>
      <c r="K1604" s="3">
        <v>34011110</v>
      </c>
      <c r="L1604" s="48">
        <v>9.266</v>
      </c>
      <c r="M1604" s="3" t="s">
        <v>70</v>
      </c>
      <c r="N1604" s="49" t="s">
        <v>67</v>
      </c>
      <c r="O1604" s="3" t="s">
        <v>53</v>
      </c>
      <c r="P1604" s="50">
        <v>2689</v>
      </c>
      <c r="Q1604" s="17">
        <f t="shared" si="156"/>
        <v>24916.274000000001</v>
      </c>
      <c r="R1604" s="20">
        <v>0</v>
      </c>
      <c r="S1604" s="20">
        <v>0</v>
      </c>
      <c r="T1604" s="20">
        <v>0</v>
      </c>
      <c r="U1604" s="4">
        <v>0</v>
      </c>
      <c r="V1604" s="3" t="s">
        <v>3806</v>
      </c>
      <c r="W1604" s="3" t="s">
        <v>81</v>
      </c>
      <c r="X1604" s="3">
        <v>6555504</v>
      </c>
      <c r="Y1604" s="21">
        <v>41983</v>
      </c>
      <c r="Z1604" s="21">
        <v>41984</v>
      </c>
      <c r="AA1604" s="20">
        <f t="shared" si="147"/>
        <v>24916.274000000001</v>
      </c>
      <c r="AB1604" s="22">
        <v>60.9</v>
      </c>
      <c r="AC1604" s="20">
        <f t="shared" si="155"/>
        <v>1517401.0866</v>
      </c>
      <c r="AD1604" s="20">
        <f t="shared" si="148"/>
        <v>1517401.0866</v>
      </c>
      <c r="AE1604" s="3"/>
      <c r="AF1604" s="3" t="s">
        <v>53</v>
      </c>
      <c r="AG1604" s="4">
        <f t="shared" si="159"/>
        <v>24916.274000000001</v>
      </c>
      <c r="AH1604" s="4">
        <v>24916.32</v>
      </c>
      <c r="AI1604" s="4"/>
      <c r="AJ1604" s="4"/>
      <c r="AK1604" s="4"/>
      <c r="AL1604" s="4"/>
      <c r="AM1604" s="3"/>
      <c r="AN1604" s="3"/>
      <c r="AO1604" s="3"/>
      <c r="AP1604" s="3" t="s">
        <v>4307</v>
      </c>
      <c r="AQ1604" s="21">
        <v>42256</v>
      </c>
      <c r="AR1604" s="3" t="s">
        <v>4308</v>
      </c>
      <c r="AS1604" s="21">
        <v>42257</v>
      </c>
      <c r="AT1604" s="3" t="s">
        <v>49</v>
      </c>
      <c r="AU1604" s="3" t="s">
        <v>4306</v>
      </c>
    </row>
    <row r="1605" spans="1:47" s="23" customFormat="1" x14ac:dyDescent="0.25">
      <c r="A1605" s="3">
        <v>1581</v>
      </c>
      <c r="B1605" s="3" t="s">
        <v>1258</v>
      </c>
      <c r="C1605" s="3" t="s">
        <v>38</v>
      </c>
      <c r="D1605" s="3" t="s">
        <v>3808</v>
      </c>
      <c r="E1605" s="19">
        <v>42022</v>
      </c>
      <c r="F1605" s="3" t="s">
        <v>3809</v>
      </c>
      <c r="G1605" s="3" t="s">
        <v>65</v>
      </c>
      <c r="H1605" s="3" t="s">
        <v>3158</v>
      </c>
      <c r="I1605" s="3" t="s">
        <v>2809</v>
      </c>
      <c r="J1605" s="3" t="s">
        <v>3807</v>
      </c>
      <c r="K1605" s="3">
        <v>34011190</v>
      </c>
      <c r="L1605" s="48">
        <v>17.465</v>
      </c>
      <c r="M1605" s="3" t="s">
        <v>70</v>
      </c>
      <c r="N1605" s="49" t="s">
        <v>3810</v>
      </c>
      <c r="O1605" s="3" t="s">
        <v>53</v>
      </c>
      <c r="P1605" s="50">
        <v>2710.03</v>
      </c>
      <c r="Q1605" s="17">
        <f t="shared" si="156"/>
        <v>47330.673950000004</v>
      </c>
      <c r="R1605" s="20">
        <v>0</v>
      </c>
      <c r="S1605" s="20">
        <v>0</v>
      </c>
      <c r="T1605" s="20">
        <v>0</v>
      </c>
      <c r="U1605" s="4">
        <v>0</v>
      </c>
      <c r="V1605" s="3" t="s">
        <v>3803</v>
      </c>
      <c r="W1605" s="3" t="s">
        <v>81</v>
      </c>
      <c r="X1605" s="3">
        <v>7194228</v>
      </c>
      <c r="Y1605" s="21">
        <v>42017</v>
      </c>
      <c r="Z1605" s="21">
        <v>42018</v>
      </c>
      <c r="AA1605" s="20">
        <f t="shared" si="147"/>
        <v>47330.673950000004</v>
      </c>
      <c r="AB1605" s="22">
        <v>62.75</v>
      </c>
      <c r="AC1605" s="20">
        <f t="shared" si="155"/>
        <v>2969999.7903625001</v>
      </c>
      <c r="AD1605" s="20">
        <f t="shared" si="148"/>
        <v>2969999.7903625001</v>
      </c>
      <c r="AE1605" s="3"/>
      <c r="AF1605" s="1" t="s">
        <v>53</v>
      </c>
      <c r="AG1605" s="4">
        <f t="shared" si="159"/>
        <v>47330.673950000004</v>
      </c>
      <c r="AH1605" s="4">
        <v>47292.05</v>
      </c>
      <c r="AI1605" s="4"/>
      <c r="AJ1605" s="4"/>
      <c r="AK1605" s="4"/>
      <c r="AL1605" s="4"/>
      <c r="AM1605" s="3"/>
      <c r="AN1605" s="3"/>
      <c r="AO1605" s="3"/>
      <c r="AP1605" s="3" t="s">
        <v>4302</v>
      </c>
      <c r="AQ1605" s="21">
        <v>42191</v>
      </c>
      <c r="AR1605" s="3" t="s">
        <v>4303</v>
      </c>
      <c r="AS1605" s="21">
        <v>42192</v>
      </c>
      <c r="AT1605" s="3" t="s">
        <v>49</v>
      </c>
      <c r="AU1605" s="3" t="s">
        <v>4171</v>
      </c>
    </row>
    <row r="1606" spans="1:47" s="23" customFormat="1" x14ac:dyDescent="0.25">
      <c r="A1606" s="3">
        <v>1582</v>
      </c>
      <c r="B1606" s="3" t="s">
        <v>1258</v>
      </c>
      <c r="C1606" s="3" t="s">
        <v>38</v>
      </c>
      <c r="D1606" s="3">
        <v>9114450014</v>
      </c>
      <c r="E1606" s="19">
        <v>42027</v>
      </c>
      <c r="F1606" s="3" t="s">
        <v>3811</v>
      </c>
      <c r="G1606" s="3" t="s">
        <v>65</v>
      </c>
      <c r="H1606" s="3" t="s">
        <v>3158</v>
      </c>
      <c r="I1606" s="3" t="s">
        <v>2809</v>
      </c>
      <c r="J1606" s="3" t="s">
        <v>3807</v>
      </c>
      <c r="K1606" s="3">
        <v>34011190</v>
      </c>
      <c r="L1606" s="48">
        <v>13.56</v>
      </c>
      <c r="M1606" s="3" t="s">
        <v>70</v>
      </c>
      <c r="N1606" s="49" t="s">
        <v>3810</v>
      </c>
      <c r="O1606" s="3" t="s">
        <v>53</v>
      </c>
      <c r="P1606" s="50">
        <v>2721.24</v>
      </c>
      <c r="Q1606" s="17">
        <f t="shared" si="156"/>
        <v>36900.0144</v>
      </c>
      <c r="R1606" s="20">
        <v>0</v>
      </c>
      <c r="S1606" s="20">
        <v>0</v>
      </c>
      <c r="T1606" s="20">
        <v>0</v>
      </c>
      <c r="U1606" s="4">
        <v>0</v>
      </c>
      <c r="V1606" s="3" t="s">
        <v>3803</v>
      </c>
      <c r="W1606" s="3" t="s">
        <v>56</v>
      </c>
      <c r="X1606" s="3">
        <v>7368390</v>
      </c>
      <c r="Y1606" s="21">
        <v>42026</v>
      </c>
      <c r="Z1606" s="21">
        <v>42027</v>
      </c>
      <c r="AA1606" s="20">
        <f t="shared" si="147"/>
        <v>36900.0144</v>
      </c>
      <c r="AB1606" s="22">
        <v>62.75</v>
      </c>
      <c r="AC1606" s="20">
        <f t="shared" si="155"/>
        <v>2315475.9035999998</v>
      </c>
      <c r="AD1606" s="20">
        <f t="shared" si="148"/>
        <v>2315475.9035999998</v>
      </c>
      <c r="AE1606" s="3"/>
      <c r="AF1606" s="1" t="s">
        <v>53</v>
      </c>
      <c r="AG1606" s="4">
        <f t="shared" si="159"/>
        <v>36900.0144</v>
      </c>
      <c r="AH1606" s="4">
        <v>36900</v>
      </c>
      <c r="AI1606" s="4"/>
      <c r="AJ1606" s="4"/>
      <c r="AK1606" s="4"/>
      <c r="AL1606" s="4"/>
      <c r="AM1606" s="3"/>
      <c r="AN1606" s="3"/>
      <c r="AO1606" s="3"/>
      <c r="AP1606" s="3" t="s">
        <v>4300</v>
      </c>
      <c r="AQ1606" s="21">
        <v>42191</v>
      </c>
      <c r="AR1606" s="3" t="s">
        <v>4301</v>
      </c>
      <c r="AS1606" s="21">
        <v>42192</v>
      </c>
      <c r="AT1606" s="3" t="s">
        <v>49</v>
      </c>
      <c r="AU1606" s="3" t="s">
        <v>4171</v>
      </c>
    </row>
    <row r="1607" spans="1:47" s="23" customFormat="1" x14ac:dyDescent="0.25">
      <c r="A1607" s="3">
        <v>1583</v>
      </c>
      <c r="B1607" s="3" t="s">
        <v>1258</v>
      </c>
      <c r="C1607" s="3" t="s">
        <v>38</v>
      </c>
      <c r="D1607" s="3">
        <v>9114450015</v>
      </c>
      <c r="E1607" s="19">
        <v>42037</v>
      </c>
      <c r="F1607" s="3" t="s">
        <v>3812</v>
      </c>
      <c r="G1607" s="3" t="s">
        <v>65</v>
      </c>
      <c r="H1607" s="3" t="s">
        <v>3158</v>
      </c>
      <c r="I1607" s="3" t="s">
        <v>2809</v>
      </c>
      <c r="J1607" s="3" t="s">
        <v>3807</v>
      </c>
      <c r="K1607" s="3">
        <v>34011190</v>
      </c>
      <c r="L1607" s="48">
        <v>14.916</v>
      </c>
      <c r="M1607" s="3" t="s">
        <v>70</v>
      </c>
      <c r="N1607" s="49" t="s">
        <v>3810</v>
      </c>
      <c r="O1607" s="3" t="s">
        <v>53</v>
      </c>
      <c r="P1607" s="50">
        <v>2713.27</v>
      </c>
      <c r="Q1607" s="17">
        <f t="shared" si="156"/>
        <v>40471.135320000001</v>
      </c>
      <c r="R1607" s="20">
        <v>0</v>
      </c>
      <c r="S1607" s="20">
        <v>0</v>
      </c>
      <c r="T1607" s="20">
        <v>0</v>
      </c>
      <c r="U1607" s="4">
        <v>0</v>
      </c>
      <c r="V1607" s="3" t="s">
        <v>3803</v>
      </c>
      <c r="W1607" s="3" t="s">
        <v>56</v>
      </c>
      <c r="X1607" s="3">
        <v>7553116</v>
      </c>
      <c r="Y1607" s="21">
        <v>42037</v>
      </c>
      <c r="Z1607" s="21">
        <v>42038</v>
      </c>
      <c r="AA1607" s="20">
        <f t="shared" si="147"/>
        <v>40471.135320000001</v>
      </c>
      <c r="AB1607" s="22">
        <v>61.45</v>
      </c>
      <c r="AC1607" s="20">
        <f t="shared" si="155"/>
        <v>2486951.265414</v>
      </c>
      <c r="AD1607" s="20">
        <f t="shared" si="148"/>
        <v>2486951.265414</v>
      </c>
      <c r="AE1607" s="3"/>
      <c r="AF1607" s="1" t="s">
        <v>53</v>
      </c>
      <c r="AG1607" s="4">
        <f t="shared" si="159"/>
        <v>40471.135320000001</v>
      </c>
      <c r="AH1607" s="4">
        <v>40471.199999999997</v>
      </c>
      <c r="AI1607" s="4"/>
      <c r="AJ1607" s="4"/>
      <c r="AK1607" s="4"/>
      <c r="AL1607" s="4"/>
      <c r="AM1607" s="3"/>
      <c r="AN1607" s="3"/>
      <c r="AO1607" s="3"/>
      <c r="AP1607" s="3" t="s">
        <v>4298</v>
      </c>
      <c r="AQ1607" s="21">
        <v>42191</v>
      </c>
      <c r="AR1607" s="3" t="s">
        <v>4299</v>
      </c>
      <c r="AS1607" s="21">
        <v>42192</v>
      </c>
      <c r="AT1607" s="3" t="s">
        <v>49</v>
      </c>
      <c r="AU1607" s="3" t="s">
        <v>4171</v>
      </c>
    </row>
    <row r="1608" spans="1:47" s="23" customFormat="1" x14ac:dyDescent="0.25">
      <c r="A1608" s="3">
        <v>1584</v>
      </c>
      <c r="B1608" s="3" t="s">
        <v>1258</v>
      </c>
      <c r="C1608" s="3" t="s">
        <v>38</v>
      </c>
      <c r="D1608" s="3">
        <v>9114550018</v>
      </c>
      <c r="E1608" s="19">
        <v>42067</v>
      </c>
      <c r="F1608" s="3" t="s">
        <v>3813</v>
      </c>
      <c r="G1608" s="3" t="s">
        <v>65</v>
      </c>
      <c r="H1608" s="3" t="s">
        <v>3158</v>
      </c>
      <c r="I1608" s="3" t="s">
        <v>2809</v>
      </c>
      <c r="J1608" s="3" t="s">
        <v>80</v>
      </c>
      <c r="K1608" s="3">
        <v>34011110</v>
      </c>
      <c r="L1608" s="48">
        <v>11.648999999999999</v>
      </c>
      <c r="M1608" s="3" t="s">
        <v>70</v>
      </c>
      <c r="N1608" s="49" t="s">
        <v>67</v>
      </c>
      <c r="O1608" s="3" t="s">
        <v>53</v>
      </c>
      <c r="P1608" s="50">
        <v>2689.03</v>
      </c>
      <c r="Q1608" s="17">
        <f t="shared" si="156"/>
        <v>31324.510470000001</v>
      </c>
      <c r="R1608" s="20">
        <v>0</v>
      </c>
      <c r="S1608" s="20">
        <v>0</v>
      </c>
      <c r="T1608" s="20">
        <v>0</v>
      </c>
      <c r="U1608" s="4">
        <v>0</v>
      </c>
      <c r="V1608" s="3" t="s">
        <v>3806</v>
      </c>
      <c r="W1608" s="3" t="s">
        <v>81</v>
      </c>
      <c r="X1608" s="3">
        <v>7702062</v>
      </c>
      <c r="Y1608" s="21">
        <v>42044</v>
      </c>
      <c r="Z1608" s="21">
        <v>42044</v>
      </c>
      <c r="AA1608" s="20">
        <f t="shared" ref="AA1608:AA1615" si="160">Q1608-R1608-S1608</f>
        <v>31324.510470000001</v>
      </c>
      <c r="AB1608" s="22">
        <v>61.45</v>
      </c>
      <c r="AC1608" s="20">
        <f t="shared" si="155"/>
        <v>1924891.1683815001</v>
      </c>
      <c r="AD1608" s="20">
        <f t="shared" ref="AD1608:AD1615" si="161">+AA1608*AB1608</f>
        <v>1924891.1683815001</v>
      </c>
      <c r="AE1608" s="3"/>
      <c r="AF1608" s="1" t="s">
        <v>53</v>
      </c>
      <c r="AG1608" s="4">
        <f t="shared" si="159"/>
        <v>31324.510470000001</v>
      </c>
      <c r="AH1608" s="4">
        <f>27322.88+4001.6</f>
        <v>31324.48</v>
      </c>
      <c r="AI1608" s="4"/>
      <c r="AJ1608" s="4"/>
      <c r="AK1608" s="4"/>
      <c r="AL1608" s="4"/>
      <c r="AM1608" s="3"/>
      <c r="AN1608" s="3"/>
      <c r="AO1608" s="3"/>
      <c r="AP1608" s="3" t="s">
        <v>4296</v>
      </c>
      <c r="AQ1608" s="21">
        <v>42254</v>
      </c>
      <c r="AR1608" s="3" t="s">
        <v>4297</v>
      </c>
      <c r="AS1608" s="21">
        <v>42255</v>
      </c>
      <c r="AT1608" s="3" t="s">
        <v>49</v>
      </c>
      <c r="AU1608" s="3" t="s">
        <v>4171</v>
      </c>
    </row>
    <row r="1609" spans="1:47" s="23" customFormat="1" x14ac:dyDescent="0.25">
      <c r="A1609" s="3">
        <v>1585</v>
      </c>
      <c r="B1609" s="3" t="s">
        <v>1258</v>
      </c>
      <c r="C1609" s="3" t="s">
        <v>38</v>
      </c>
      <c r="D1609" s="3">
        <v>9114450019</v>
      </c>
      <c r="E1609" s="19">
        <v>42053</v>
      </c>
      <c r="F1609" s="3" t="s">
        <v>3814</v>
      </c>
      <c r="G1609" s="3" t="s">
        <v>65</v>
      </c>
      <c r="H1609" s="3" t="s">
        <v>3158</v>
      </c>
      <c r="I1609" s="3" t="s">
        <v>2809</v>
      </c>
      <c r="J1609" s="3" t="s">
        <v>3807</v>
      </c>
      <c r="K1609" s="3">
        <v>34011190</v>
      </c>
      <c r="L1609" s="48">
        <v>3.39</v>
      </c>
      <c r="M1609" s="3" t="s">
        <v>70</v>
      </c>
      <c r="N1609" s="49" t="s">
        <v>3810</v>
      </c>
      <c r="O1609" s="3" t="s">
        <v>53</v>
      </c>
      <c r="P1609" s="50">
        <v>2697.37</v>
      </c>
      <c r="Q1609" s="17">
        <f t="shared" si="156"/>
        <v>9144.0843000000004</v>
      </c>
      <c r="R1609" s="20">
        <v>0</v>
      </c>
      <c r="S1609" s="20">
        <v>0</v>
      </c>
      <c r="T1609" s="20">
        <v>0</v>
      </c>
      <c r="U1609" s="4">
        <v>0</v>
      </c>
      <c r="V1609" s="3" t="s">
        <v>3803</v>
      </c>
      <c r="W1609" s="3" t="s">
        <v>56</v>
      </c>
      <c r="X1609" s="3">
        <v>7881570</v>
      </c>
      <c r="Y1609" s="21">
        <v>42053</v>
      </c>
      <c r="Z1609" s="21">
        <v>42054</v>
      </c>
      <c r="AA1609" s="20">
        <f t="shared" si="160"/>
        <v>9144.0843000000004</v>
      </c>
      <c r="AB1609" s="22">
        <v>61.45</v>
      </c>
      <c r="AC1609" s="20">
        <f t="shared" si="155"/>
        <v>561903.98023500002</v>
      </c>
      <c r="AD1609" s="20">
        <f t="shared" si="161"/>
        <v>561903.98023500002</v>
      </c>
      <c r="AE1609" s="3"/>
      <c r="AF1609" s="1" t="s">
        <v>53</v>
      </c>
      <c r="AG1609" s="4">
        <f t="shared" si="159"/>
        <v>9144.0843000000004</v>
      </c>
      <c r="AH1609" s="4">
        <v>9144</v>
      </c>
      <c r="AI1609" s="4"/>
      <c r="AJ1609" s="4"/>
      <c r="AK1609" s="4"/>
      <c r="AL1609" s="4"/>
      <c r="AM1609" s="3"/>
      <c r="AN1609" s="3"/>
      <c r="AO1609" s="3"/>
      <c r="AP1609" s="3" t="s">
        <v>4294</v>
      </c>
      <c r="AQ1609" s="21">
        <v>42191</v>
      </c>
      <c r="AR1609" s="3" t="s">
        <v>4295</v>
      </c>
      <c r="AS1609" s="21">
        <v>42192</v>
      </c>
      <c r="AT1609" s="3" t="s">
        <v>49</v>
      </c>
      <c r="AU1609" s="3" t="s">
        <v>4171</v>
      </c>
    </row>
    <row r="1610" spans="1:47" s="23" customFormat="1" x14ac:dyDescent="0.25">
      <c r="A1610" s="3">
        <v>1586</v>
      </c>
      <c r="B1610" s="3" t="s">
        <v>1258</v>
      </c>
      <c r="C1610" s="3" t="s">
        <v>38</v>
      </c>
      <c r="D1610" s="3">
        <v>9114450020</v>
      </c>
      <c r="E1610" s="19">
        <v>42053</v>
      </c>
      <c r="F1610" s="3" t="s">
        <v>3815</v>
      </c>
      <c r="G1610" s="3" t="s">
        <v>65</v>
      </c>
      <c r="H1610" s="3" t="s">
        <v>3158</v>
      </c>
      <c r="I1610" s="3" t="s">
        <v>2809</v>
      </c>
      <c r="J1610" s="3" t="s">
        <v>3807</v>
      </c>
      <c r="K1610" s="3">
        <v>34011190</v>
      </c>
      <c r="L1610" s="48">
        <v>3.39</v>
      </c>
      <c r="M1610" s="3" t="s">
        <v>70</v>
      </c>
      <c r="N1610" s="49" t="s">
        <v>3810</v>
      </c>
      <c r="O1610" s="3" t="s">
        <v>53</v>
      </c>
      <c r="P1610" s="50">
        <v>2697.37</v>
      </c>
      <c r="Q1610" s="17">
        <f t="shared" si="156"/>
        <v>9144.0843000000004</v>
      </c>
      <c r="R1610" s="20">
        <v>0</v>
      </c>
      <c r="S1610" s="20">
        <v>0</v>
      </c>
      <c r="T1610" s="20">
        <v>0</v>
      </c>
      <c r="U1610" s="4">
        <v>0</v>
      </c>
      <c r="V1610" s="3" t="s">
        <v>3803</v>
      </c>
      <c r="W1610" s="3" t="s">
        <v>56</v>
      </c>
      <c r="X1610" s="3">
        <v>7881548</v>
      </c>
      <c r="Y1610" s="21">
        <v>42053</v>
      </c>
      <c r="Z1610" s="21">
        <v>42054</v>
      </c>
      <c r="AA1610" s="20">
        <f t="shared" si="160"/>
        <v>9144.0843000000004</v>
      </c>
      <c r="AB1610" s="22">
        <v>61.45</v>
      </c>
      <c r="AC1610" s="20">
        <f t="shared" si="155"/>
        <v>561903.98023500002</v>
      </c>
      <c r="AD1610" s="20">
        <f t="shared" si="161"/>
        <v>561903.98023500002</v>
      </c>
      <c r="AE1610" s="3"/>
      <c r="AF1610" s="1" t="s">
        <v>53</v>
      </c>
      <c r="AG1610" s="4">
        <f t="shared" si="159"/>
        <v>9144.0843000000004</v>
      </c>
      <c r="AH1610" s="4">
        <v>9144</v>
      </c>
      <c r="AI1610" s="4"/>
      <c r="AJ1610" s="4"/>
      <c r="AK1610" s="4"/>
      <c r="AL1610" s="4"/>
      <c r="AM1610" s="3"/>
      <c r="AN1610" s="3"/>
      <c r="AO1610" s="3"/>
      <c r="AP1610" s="3" t="s">
        <v>4292</v>
      </c>
      <c r="AQ1610" s="21">
        <v>42191</v>
      </c>
      <c r="AR1610" s="3" t="s">
        <v>4293</v>
      </c>
      <c r="AS1610" s="21">
        <v>42192</v>
      </c>
      <c r="AT1610" s="3" t="s">
        <v>49</v>
      </c>
      <c r="AU1610" s="3" t="s">
        <v>4171</v>
      </c>
    </row>
    <row r="1611" spans="1:47" s="23" customFormat="1" x14ac:dyDescent="0.25">
      <c r="A1611" s="3">
        <v>1587</v>
      </c>
      <c r="B1611" s="3" t="s">
        <v>1258</v>
      </c>
      <c r="C1611" s="3" t="s">
        <v>38</v>
      </c>
      <c r="D1611" s="3">
        <v>9114450021</v>
      </c>
      <c r="E1611" s="19">
        <v>42053</v>
      </c>
      <c r="F1611" s="3" t="s">
        <v>3816</v>
      </c>
      <c r="G1611" s="3" t="s">
        <v>65</v>
      </c>
      <c r="H1611" s="3" t="s">
        <v>3158</v>
      </c>
      <c r="I1611" s="3" t="s">
        <v>2809</v>
      </c>
      <c r="J1611" s="3" t="s">
        <v>3807</v>
      </c>
      <c r="K1611" s="3">
        <v>34011190</v>
      </c>
      <c r="L1611" s="48">
        <v>2.7120000000000002</v>
      </c>
      <c r="M1611" s="3" t="s">
        <v>70</v>
      </c>
      <c r="N1611" s="49" t="s">
        <v>3810</v>
      </c>
      <c r="O1611" s="3" t="s">
        <v>53</v>
      </c>
      <c r="P1611" s="50">
        <v>2745.13</v>
      </c>
      <c r="Q1611" s="17">
        <f t="shared" si="156"/>
        <v>7444.7925600000008</v>
      </c>
      <c r="R1611" s="20">
        <v>0</v>
      </c>
      <c r="S1611" s="20">
        <v>0</v>
      </c>
      <c r="T1611" s="20">
        <v>0</v>
      </c>
      <c r="U1611" s="4">
        <v>0</v>
      </c>
      <c r="V1611" s="3" t="s">
        <v>3803</v>
      </c>
      <c r="W1611" s="3" t="s">
        <v>56</v>
      </c>
      <c r="X1611" s="3">
        <v>7884821</v>
      </c>
      <c r="Y1611" s="21">
        <v>42053</v>
      </c>
      <c r="Z1611" s="21">
        <v>42054</v>
      </c>
      <c r="AA1611" s="20">
        <f t="shared" si="160"/>
        <v>7444.7925600000008</v>
      </c>
      <c r="AB1611" s="22">
        <v>61.45</v>
      </c>
      <c r="AC1611" s="20">
        <f t="shared" si="155"/>
        <v>457482.50281200005</v>
      </c>
      <c r="AD1611" s="20">
        <f t="shared" si="161"/>
        <v>457482.50281200005</v>
      </c>
      <c r="AE1611" s="3"/>
      <c r="AF1611" s="1" t="s">
        <v>53</v>
      </c>
      <c r="AG1611" s="4">
        <f t="shared" si="159"/>
        <v>7444.7925600000008</v>
      </c>
      <c r="AH1611" s="4">
        <v>7444.8</v>
      </c>
      <c r="AI1611" s="4"/>
      <c r="AJ1611" s="4"/>
      <c r="AK1611" s="4"/>
      <c r="AL1611" s="4"/>
      <c r="AM1611" s="3"/>
      <c r="AN1611" s="3"/>
      <c r="AO1611" s="3"/>
      <c r="AP1611" s="3" t="s">
        <v>4290</v>
      </c>
      <c r="AQ1611" s="21">
        <v>42191</v>
      </c>
      <c r="AR1611" s="3" t="s">
        <v>4291</v>
      </c>
      <c r="AS1611" s="21">
        <v>42192</v>
      </c>
      <c r="AT1611" s="3" t="s">
        <v>49</v>
      </c>
      <c r="AU1611" s="3" t="s">
        <v>4230</v>
      </c>
    </row>
    <row r="1612" spans="1:47" s="23" customFormat="1" x14ac:dyDescent="0.25">
      <c r="A1612" s="3">
        <v>1588</v>
      </c>
      <c r="B1612" s="3" t="s">
        <v>1258</v>
      </c>
      <c r="C1612" s="3" t="s">
        <v>38</v>
      </c>
      <c r="D1612" s="3">
        <v>9114450022</v>
      </c>
      <c r="E1612" s="19">
        <v>42053</v>
      </c>
      <c r="F1612" s="3" t="s">
        <v>3817</v>
      </c>
      <c r="G1612" s="3" t="s">
        <v>65</v>
      </c>
      <c r="H1612" s="3" t="s">
        <v>3158</v>
      </c>
      <c r="I1612" s="3" t="s">
        <v>2809</v>
      </c>
      <c r="J1612" s="3" t="s">
        <v>3807</v>
      </c>
      <c r="K1612" s="3">
        <v>34011190</v>
      </c>
      <c r="L1612" s="48">
        <v>2.0339999999999998</v>
      </c>
      <c r="M1612" s="3" t="s">
        <v>70</v>
      </c>
      <c r="N1612" s="49" t="s">
        <v>3810</v>
      </c>
      <c r="O1612" s="3" t="s">
        <v>53</v>
      </c>
      <c r="P1612" s="50">
        <v>2745.13</v>
      </c>
      <c r="Q1612" s="17">
        <f t="shared" si="156"/>
        <v>5583.5944199999994</v>
      </c>
      <c r="R1612" s="20">
        <v>0</v>
      </c>
      <c r="S1612" s="20">
        <v>0</v>
      </c>
      <c r="T1612" s="20">
        <v>0</v>
      </c>
      <c r="U1612" s="4">
        <v>0</v>
      </c>
      <c r="V1612" s="3" t="s">
        <v>3803</v>
      </c>
      <c r="W1612" s="3" t="s">
        <v>56</v>
      </c>
      <c r="X1612" s="3">
        <v>7881569</v>
      </c>
      <c r="Y1612" s="21">
        <v>42053</v>
      </c>
      <c r="Z1612" s="21">
        <v>42054</v>
      </c>
      <c r="AA1612" s="20">
        <f t="shared" si="160"/>
        <v>5583.5944199999994</v>
      </c>
      <c r="AB1612" s="22">
        <v>61.45</v>
      </c>
      <c r="AC1612" s="20">
        <f t="shared" si="155"/>
        <v>343111.87710899999</v>
      </c>
      <c r="AD1612" s="20">
        <f t="shared" si="161"/>
        <v>343111.87710899999</v>
      </c>
      <c r="AE1612" s="3"/>
      <c r="AF1612" s="1" t="s">
        <v>53</v>
      </c>
      <c r="AG1612" s="4">
        <f t="shared" si="159"/>
        <v>5583.5944199999994</v>
      </c>
      <c r="AH1612" s="4">
        <v>5583.6</v>
      </c>
      <c r="AI1612" s="4"/>
      <c r="AJ1612" s="4"/>
      <c r="AK1612" s="4"/>
      <c r="AL1612" s="4"/>
      <c r="AM1612" s="3"/>
      <c r="AN1612" s="3"/>
      <c r="AO1612" s="3"/>
      <c r="AP1612" s="3" t="s">
        <v>4288</v>
      </c>
      <c r="AQ1612" s="21">
        <v>42191</v>
      </c>
      <c r="AR1612" s="3" t="s">
        <v>4289</v>
      </c>
      <c r="AS1612" s="21">
        <v>42192</v>
      </c>
      <c r="AT1612" s="3" t="s">
        <v>49</v>
      </c>
      <c r="AU1612" s="3" t="s">
        <v>4171</v>
      </c>
    </row>
    <row r="1613" spans="1:47" s="23" customFormat="1" x14ac:dyDescent="0.25">
      <c r="A1613" s="3">
        <v>1589</v>
      </c>
      <c r="B1613" s="3" t="s">
        <v>1258</v>
      </c>
      <c r="C1613" s="3" t="s">
        <v>38</v>
      </c>
      <c r="D1613" s="3" t="s">
        <v>3818</v>
      </c>
      <c r="E1613" s="19">
        <v>42075</v>
      </c>
      <c r="F1613" s="3" t="s">
        <v>3819</v>
      </c>
      <c r="G1613" s="3" t="s">
        <v>65</v>
      </c>
      <c r="H1613" s="3" t="s">
        <v>3158</v>
      </c>
      <c r="I1613" s="3" t="s">
        <v>2809</v>
      </c>
      <c r="J1613" s="3" t="s">
        <v>3820</v>
      </c>
      <c r="K1613" s="3">
        <v>34011990</v>
      </c>
      <c r="L1613" s="48">
        <v>30</v>
      </c>
      <c r="M1613" s="3" t="s">
        <v>70</v>
      </c>
      <c r="N1613" s="3" t="s">
        <v>44</v>
      </c>
      <c r="O1613" s="100" t="s">
        <v>53</v>
      </c>
      <c r="P1613" s="101">
        <v>1122</v>
      </c>
      <c r="Q1613" s="17">
        <f t="shared" si="156"/>
        <v>33660</v>
      </c>
      <c r="R1613" s="20">
        <v>212</v>
      </c>
      <c r="S1613" s="20">
        <v>4.8099999999999996</v>
      </c>
      <c r="T1613" s="20">
        <v>0</v>
      </c>
      <c r="U1613" s="4">
        <v>0</v>
      </c>
      <c r="V1613" s="3" t="s">
        <v>3806</v>
      </c>
      <c r="W1613" s="3" t="s">
        <v>72</v>
      </c>
      <c r="X1613" s="3">
        <v>8028993</v>
      </c>
      <c r="Y1613" s="21">
        <v>42060</v>
      </c>
      <c r="Z1613" s="21">
        <v>42061</v>
      </c>
      <c r="AA1613" s="20">
        <f t="shared" si="160"/>
        <v>33443.19</v>
      </c>
      <c r="AB1613" s="22">
        <v>61.45</v>
      </c>
      <c r="AC1613" s="20">
        <f t="shared" si="155"/>
        <v>2068407</v>
      </c>
      <c r="AD1613" s="20">
        <f t="shared" si="161"/>
        <v>2055084.0255000002</v>
      </c>
      <c r="AE1613" s="3"/>
      <c r="AF1613" s="1" t="s">
        <v>53</v>
      </c>
      <c r="AG1613" s="4">
        <f t="shared" si="159"/>
        <v>33660</v>
      </c>
      <c r="AH1613" s="4">
        <v>33660</v>
      </c>
      <c r="AI1613" s="4"/>
      <c r="AJ1613" s="4"/>
      <c r="AK1613" s="4"/>
      <c r="AL1613" s="4"/>
      <c r="AM1613" s="3"/>
      <c r="AN1613" s="3"/>
      <c r="AO1613" s="3"/>
      <c r="AP1613" s="3" t="s">
        <v>4286</v>
      </c>
      <c r="AQ1613" s="21">
        <v>42191</v>
      </c>
      <c r="AR1613" s="3" t="s">
        <v>4287</v>
      </c>
      <c r="AS1613" s="21">
        <v>42192</v>
      </c>
      <c r="AT1613" s="3" t="s">
        <v>49</v>
      </c>
      <c r="AU1613" s="3" t="s">
        <v>4171</v>
      </c>
    </row>
    <row r="1614" spans="1:47" x14ac:dyDescent="0.25">
      <c r="A1614" s="1">
        <v>1590</v>
      </c>
      <c r="B1614" s="1" t="s">
        <v>1258</v>
      </c>
      <c r="C1614" s="1" t="s">
        <v>38</v>
      </c>
      <c r="D1614" s="1" t="s">
        <v>3821</v>
      </c>
      <c r="E1614" s="5">
        <v>42081</v>
      </c>
      <c r="F1614" s="1" t="s">
        <v>3822</v>
      </c>
      <c r="G1614" s="1" t="s">
        <v>65</v>
      </c>
      <c r="H1614" s="1" t="s">
        <v>3158</v>
      </c>
      <c r="I1614" s="1" t="s">
        <v>2809</v>
      </c>
      <c r="J1614" s="1" t="s">
        <v>3820</v>
      </c>
      <c r="K1614" s="1">
        <v>34012000</v>
      </c>
      <c r="L1614" s="6">
        <v>30</v>
      </c>
      <c r="M1614" s="1" t="s">
        <v>70</v>
      </c>
      <c r="N1614" s="1" t="s">
        <v>44</v>
      </c>
      <c r="O1614" s="1" t="s">
        <v>53</v>
      </c>
      <c r="P1614" s="46">
        <v>1122</v>
      </c>
      <c r="Q1614" s="17">
        <f t="shared" si="156"/>
        <v>33660</v>
      </c>
      <c r="R1614" s="9">
        <v>212</v>
      </c>
      <c r="S1614" s="9">
        <v>4.8099999999999996</v>
      </c>
      <c r="T1614" s="9">
        <v>0</v>
      </c>
      <c r="U1614" s="10">
        <v>0</v>
      </c>
      <c r="V1614" s="1" t="s">
        <v>3806</v>
      </c>
      <c r="W1614" s="1" t="s">
        <v>72</v>
      </c>
      <c r="X1614" s="1">
        <v>8231903</v>
      </c>
      <c r="Y1614" s="11">
        <v>42070</v>
      </c>
      <c r="Z1614" s="11">
        <v>42071</v>
      </c>
      <c r="AA1614" s="9">
        <f t="shared" si="160"/>
        <v>33443.19</v>
      </c>
      <c r="AB1614" s="12">
        <v>61.8</v>
      </c>
      <c r="AC1614" s="9">
        <f t="shared" si="155"/>
        <v>2080188</v>
      </c>
      <c r="AD1614" s="9">
        <f t="shared" si="161"/>
        <v>2066789.142</v>
      </c>
      <c r="AE1614" s="1" t="s">
        <v>48</v>
      </c>
      <c r="AF1614" s="1" t="s">
        <v>53</v>
      </c>
      <c r="AG1614" s="4">
        <f t="shared" si="159"/>
        <v>33660</v>
      </c>
      <c r="AH1614" s="10">
        <v>33660</v>
      </c>
      <c r="AI1614" s="10">
        <v>212</v>
      </c>
      <c r="AJ1614" s="10">
        <v>4.8099999999999996</v>
      </c>
      <c r="AK1614" s="10">
        <v>0</v>
      </c>
      <c r="AL1614" s="10">
        <f>AH1614-(AI1614+AJ1614+AK1614)</f>
        <v>33443.19</v>
      </c>
      <c r="AM1614" s="1"/>
      <c r="AN1614" s="1"/>
      <c r="AO1614" s="12" t="e">
        <f>AB1614/#REF!</f>
        <v>#REF!</v>
      </c>
      <c r="AP1614" s="1" t="s">
        <v>4315</v>
      </c>
      <c r="AQ1614" s="11">
        <v>42146</v>
      </c>
      <c r="AR1614" s="1" t="s">
        <v>3911</v>
      </c>
      <c r="AS1614" s="11">
        <v>42147</v>
      </c>
      <c r="AT1614" s="1" t="s">
        <v>3650</v>
      </c>
      <c r="AU1614" s="1" t="s">
        <v>4171</v>
      </c>
    </row>
    <row r="1615" spans="1:47" x14ac:dyDescent="0.25">
      <c r="A1615" s="1">
        <v>1591</v>
      </c>
      <c r="B1615" s="1" t="s">
        <v>1258</v>
      </c>
      <c r="C1615" s="1" t="s">
        <v>38</v>
      </c>
      <c r="D1615" s="1" t="s">
        <v>3823</v>
      </c>
      <c r="E1615" s="5">
        <v>42088</v>
      </c>
      <c r="F1615" s="1" t="s">
        <v>3824</v>
      </c>
      <c r="G1615" s="1" t="s">
        <v>65</v>
      </c>
      <c r="H1615" s="1" t="s">
        <v>3158</v>
      </c>
      <c r="I1615" s="1" t="s">
        <v>2809</v>
      </c>
      <c r="J1615" s="1" t="s">
        <v>3820</v>
      </c>
      <c r="K1615" s="1">
        <v>34012000</v>
      </c>
      <c r="L1615" s="6">
        <v>30</v>
      </c>
      <c r="M1615" s="1" t="s">
        <v>70</v>
      </c>
      <c r="N1615" s="1" t="s">
        <v>44</v>
      </c>
      <c r="O1615" s="1" t="s">
        <v>53</v>
      </c>
      <c r="P1615" s="46">
        <v>1122</v>
      </c>
      <c r="Q1615" s="17">
        <f t="shared" si="156"/>
        <v>33660</v>
      </c>
      <c r="R1615" s="9">
        <v>212</v>
      </c>
      <c r="S1615" s="9">
        <v>4.8099999999999996</v>
      </c>
      <c r="T1615" s="9">
        <v>0</v>
      </c>
      <c r="U1615" s="10">
        <v>0</v>
      </c>
      <c r="V1615" s="1" t="s">
        <v>3806</v>
      </c>
      <c r="W1615" s="1" t="s">
        <v>72</v>
      </c>
      <c r="X1615" s="1">
        <v>8318231</v>
      </c>
      <c r="Y1615" s="11">
        <v>42075</v>
      </c>
      <c r="Z1615" s="11">
        <v>42076</v>
      </c>
      <c r="AA1615" s="9">
        <f t="shared" si="160"/>
        <v>33443.19</v>
      </c>
      <c r="AB1615" s="12">
        <v>61.8</v>
      </c>
      <c r="AC1615" s="9">
        <f t="shared" si="155"/>
        <v>2080188</v>
      </c>
      <c r="AD1615" s="9">
        <f t="shared" si="161"/>
        <v>2066789.142</v>
      </c>
      <c r="AE1615" s="1" t="s">
        <v>48</v>
      </c>
      <c r="AF1615" s="1" t="s">
        <v>53</v>
      </c>
      <c r="AG1615" s="4">
        <f t="shared" si="159"/>
        <v>33660</v>
      </c>
      <c r="AH1615" s="10">
        <v>33660</v>
      </c>
      <c r="AI1615" s="10">
        <v>212</v>
      </c>
      <c r="AJ1615" s="10">
        <v>4.8099999999999996</v>
      </c>
      <c r="AK1615" s="10">
        <v>0</v>
      </c>
      <c r="AL1615" s="10">
        <f>AH1615-(AI1615+AJ1615+AK1615)</f>
        <v>33443.19</v>
      </c>
      <c r="AM1615" s="1"/>
      <c r="AN1615" s="1"/>
      <c r="AO1615" s="12" t="e">
        <f>AB1615/#REF!</f>
        <v>#REF!</v>
      </c>
      <c r="AP1615" s="1" t="s">
        <v>4285</v>
      </c>
      <c r="AQ1615" s="11">
        <v>42146</v>
      </c>
      <c r="AR1615" s="1" t="s">
        <v>3912</v>
      </c>
      <c r="AS1615" s="11">
        <v>42147</v>
      </c>
      <c r="AT1615" s="1" t="s">
        <v>3650</v>
      </c>
      <c r="AU1615" s="1" t="s">
        <v>4171</v>
      </c>
    </row>
    <row r="1616" spans="1:47" s="114" customFormat="1" x14ac:dyDescent="0.25">
      <c r="A1616" s="102"/>
      <c r="B1616" s="103"/>
      <c r="C1616" s="103"/>
      <c r="D1616" s="103"/>
      <c r="E1616" s="104"/>
      <c r="F1616" s="103"/>
      <c r="G1616" s="103"/>
      <c r="H1616" s="103"/>
      <c r="I1616" s="103"/>
      <c r="J1616" s="103"/>
      <c r="K1616" s="103"/>
      <c r="L1616" s="105"/>
      <c r="M1616" s="103"/>
      <c r="N1616" s="103"/>
      <c r="O1616" s="103"/>
      <c r="P1616" s="106"/>
      <c r="Q1616" s="107">
        <f>SUBTOTAL(9,Q2:Q1615)</f>
        <v>1028686474.0743599</v>
      </c>
      <c r="R1616" s="108"/>
      <c r="S1616" s="108"/>
      <c r="T1616" s="108"/>
      <c r="U1616" s="109"/>
      <c r="V1616" s="110"/>
      <c r="W1616" s="110"/>
      <c r="X1616" s="110"/>
      <c r="Y1616" s="111"/>
      <c r="Z1616" s="111"/>
      <c r="AA1616" s="108"/>
      <c r="AB1616" s="112"/>
      <c r="AC1616" s="108"/>
      <c r="AD1616" s="108">
        <f>SUBTOTAL(9,AD2:AD1615)</f>
        <v>6984674453.8216133</v>
      </c>
      <c r="AE1616" s="110"/>
      <c r="AF1616" s="110"/>
      <c r="AG1616" s="107">
        <f t="shared" ref="AG1616:AL1616" si="162">SUBTOTAL(9,AG2:AG1615)</f>
        <v>1028686474.0743599</v>
      </c>
      <c r="AH1616" s="107"/>
      <c r="AI1616" s="108">
        <f t="shared" si="162"/>
        <v>3890153.1820999999</v>
      </c>
      <c r="AJ1616" s="108">
        <f t="shared" si="162"/>
        <v>9475.8062759999975</v>
      </c>
      <c r="AK1616" s="108">
        <f t="shared" si="162"/>
        <v>128124.96999999997</v>
      </c>
      <c r="AL1616" s="108">
        <f t="shared" si="162"/>
        <v>956739290.64162314</v>
      </c>
      <c r="AM1616" s="110"/>
      <c r="AN1616" s="110"/>
      <c r="AO1616" s="110"/>
      <c r="AP1616" s="103"/>
      <c r="AQ1616" s="113"/>
      <c r="AR1616" s="103"/>
      <c r="AS1616" s="103"/>
      <c r="AT1616" s="110"/>
      <c r="AU1616" s="103"/>
    </row>
    <row r="1617" spans="43:43" x14ac:dyDescent="0.25">
      <c r="AQ1617" s="118"/>
    </row>
  </sheetData>
  <autoFilter ref="A1:AU1615"/>
  <mergeCells count="42">
    <mergeCell ref="AO1524:AO1525"/>
    <mergeCell ref="AI1524:AI1525"/>
    <mergeCell ref="AJ1524:AJ1525"/>
    <mergeCell ref="T476:T477"/>
    <mergeCell ref="T495:T496"/>
    <mergeCell ref="X1524:X1525"/>
    <mergeCell ref="Y1524:Y1525"/>
    <mergeCell ref="Z1524:Z1525"/>
    <mergeCell ref="AL1524:AL1525"/>
    <mergeCell ref="Q1536:Q1537"/>
    <mergeCell ref="R1536:R1537"/>
    <mergeCell ref="S1536:S1537"/>
    <mergeCell ref="T1536:T1537"/>
    <mergeCell ref="U1536:U1537"/>
    <mergeCell ref="X1536:X1537"/>
    <mergeCell ref="Y1536:Y1537"/>
    <mergeCell ref="Z1536:Z1537"/>
    <mergeCell ref="AA1536:AA1537"/>
    <mergeCell ref="AH1524:AH1525"/>
    <mergeCell ref="AD1524:AD1525"/>
    <mergeCell ref="AA1524:AA1525"/>
    <mergeCell ref="AB1524:AB1525"/>
    <mergeCell ref="AC1524:AC1525"/>
    <mergeCell ref="AB1536:AB1537"/>
    <mergeCell ref="AC1536:AC1537"/>
    <mergeCell ref="AD1536:AD1537"/>
    <mergeCell ref="AG1536:AG1537"/>
    <mergeCell ref="S1524:S1525"/>
    <mergeCell ref="T1524:T1525"/>
    <mergeCell ref="Q1524:Q1525"/>
    <mergeCell ref="R1524:R1525"/>
    <mergeCell ref="AK1524:AK1525"/>
    <mergeCell ref="U1524:U1525"/>
    <mergeCell ref="AG1524:AG1525"/>
    <mergeCell ref="AM1536:AM1537"/>
    <mergeCell ref="AN1536:AN1537"/>
    <mergeCell ref="AO1536:AO1537"/>
    <mergeCell ref="AH1536:AH1537"/>
    <mergeCell ref="AI1536:AI1537"/>
    <mergeCell ref="AJ1536:AJ1537"/>
    <mergeCell ref="AK1536:AK1537"/>
    <mergeCell ref="AL1536:AL1537"/>
  </mergeCells>
  <pageMargins left="0.7" right="0.7" top="0.75" bottom="0.75" header="0.3" footer="0.3"/>
  <pageSetup scal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E1166"/>
  <sheetViews>
    <sheetView tabSelected="1" workbookViewId="0">
      <selection activeCell="G15" sqref="G15"/>
    </sheetView>
  </sheetViews>
  <sheetFormatPr defaultRowHeight="12.75" x14ac:dyDescent="0.25"/>
  <cols>
    <col min="1" max="1" width="5" style="94" customWidth="1"/>
    <col min="2" max="2" width="7.7109375" style="94" customWidth="1"/>
    <col min="3" max="3" width="6.85546875" style="94" customWidth="1"/>
    <col min="4" max="4" width="20.28515625" style="94" customWidth="1"/>
    <col min="5" max="5" width="12.140625" style="94" customWidth="1"/>
    <col min="6" max="6" width="10.85546875" style="94" customWidth="1"/>
    <col min="7" max="7" width="16.85546875" style="94" customWidth="1"/>
    <col min="8" max="8" width="18.7109375" style="94" customWidth="1"/>
    <col min="9" max="9" width="6.7109375" style="94" customWidth="1"/>
    <col min="10" max="10" width="8.42578125" style="94" customWidth="1"/>
    <col min="11" max="11" width="7.85546875" style="94" customWidth="1"/>
    <col min="12" max="12" width="10.5703125" style="129" customWidth="1"/>
    <col min="13" max="13" width="10.42578125" style="129" customWidth="1"/>
    <col min="14" max="14" width="21.85546875" style="94" customWidth="1"/>
    <col min="15" max="15" width="11" style="94" customWidth="1"/>
    <col min="16" max="16" width="18.7109375" style="94" customWidth="1"/>
    <col min="17" max="17" width="11.7109375" style="94" customWidth="1"/>
    <col min="18" max="18" width="7.7109375" style="94" customWidth="1"/>
    <col min="19" max="19" width="4.5703125" style="94" customWidth="1"/>
    <col min="20" max="20" width="5.42578125" style="94" customWidth="1"/>
    <col min="21" max="21" width="4.85546875" style="94" customWidth="1"/>
    <col min="22" max="22" width="6.7109375" style="94" customWidth="1"/>
    <col min="23" max="23" width="11.42578125" style="94" customWidth="1"/>
    <col min="24" max="26" width="6.7109375" style="94" customWidth="1"/>
    <col min="27" max="27" width="9.7109375" style="94" customWidth="1"/>
    <col min="28" max="28" width="10.140625" style="94" customWidth="1"/>
    <col min="29" max="29" width="16" style="179" customWidth="1"/>
    <col min="30" max="30" width="11.42578125" style="180" customWidth="1"/>
    <col min="31" max="31" width="21.5703125" style="94" customWidth="1"/>
    <col min="32" max="32" width="15.7109375" style="181" customWidth="1"/>
    <col min="33" max="33" width="10.5703125" style="94" customWidth="1"/>
    <col min="34" max="34" width="18.42578125" style="94" customWidth="1"/>
    <col min="35" max="35" width="13.28515625" style="94" customWidth="1"/>
    <col min="36" max="36" width="10.42578125" style="182" customWidth="1"/>
    <col min="37" max="37" width="23.42578125" style="94" customWidth="1"/>
    <col min="38" max="38" width="12.5703125" style="182" customWidth="1"/>
    <col min="39" max="39" width="8.85546875" style="182" customWidth="1"/>
    <col min="40" max="40" width="12.42578125" style="94" customWidth="1"/>
    <col min="41" max="16384" width="9.140625" style="94"/>
  </cols>
  <sheetData>
    <row r="1" spans="1:40" s="129" customFormat="1" ht="89.25" x14ac:dyDescent="0.25">
      <c r="A1" s="120" t="s">
        <v>4406</v>
      </c>
      <c r="B1" s="120" t="s">
        <v>4407</v>
      </c>
      <c r="C1" s="121" t="s">
        <v>1</v>
      </c>
      <c r="D1" s="120" t="s">
        <v>4408</v>
      </c>
      <c r="E1" s="120" t="s">
        <v>4409</v>
      </c>
      <c r="F1" s="120" t="s">
        <v>4410</v>
      </c>
      <c r="G1" s="122" t="s">
        <v>4</v>
      </c>
      <c r="H1" s="122" t="s">
        <v>4411</v>
      </c>
      <c r="I1" s="122" t="s">
        <v>5</v>
      </c>
      <c r="J1" s="122" t="s">
        <v>6</v>
      </c>
      <c r="K1" s="122" t="s">
        <v>4412</v>
      </c>
      <c r="L1" s="120" t="s">
        <v>4413</v>
      </c>
      <c r="M1" s="120" t="s">
        <v>4414</v>
      </c>
      <c r="N1" s="120" t="s">
        <v>4415</v>
      </c>
      <c r="O1" s="123" t="s">
        <v>19</v>
      </c>
      <c r="P1" s="122" t="s">
        <v>20</v>
      </c>
      <c r="Q1" s="122" t="s">
        <v>8</v>
      </c>
      <c r="R1" s="124" t="s">
        <v>9</v>
      </c>
      <c r="S1" s="122" t="s">
        <v>10</v>
      </c>
      <c r="T1" s="122" t="s">
        <v>11</v>
      </c>
      <c r="U1" s="120" t="s">
        <v>4416</v>
      </c>
      <c r="V1" s="125" t="s">
        <v>13</v>
      </c>
      <c r="W1" s="120" t="s">
        <v>4417</v>
      </c>
      <c r="X1" s="125" t="s">
        <v>4418</v>
      </c>
      <c r="Y1" s="125" t="s">
        <v>4419</v>
      </c>
      <c r="Z1" s="125" t="s">
        <v>4420</v>
      </c>
      <c r="AA1" s="125" t="s">
        <v>4421</v>
      </c>
      <c r="AB1" s="126" t="s">
        <v>23</v>
      </c>
      <c r="AC1" s="125" t="s">
        <v>24</v>
      </c>
      <c r="AD1" s="127" t="s">
        <v>25</v>
      </c>
      <c r="AE1" s="125" t="s">
        <v>26</v>
      </c>
      <c r="AF1" s="128" t="s">
        <v>27</v>
      </c>
      <c r="AG1" s="123" t="s">
        <v>4422</v>
      </c>
      <c r="AH1" s="120" t="s">
        <v>4423</v>
      </c>
      <c r="AI1" s="120" t="s">
        <v>4424</v>
      </c>
      <c r="AJ1" s="121" t="s">
        <v>33</v>
      </c>
      <c r="AK1" s="120" t="s">
        <v>4425</v>
      </c>
      <c r="AL1" s="121" t="s">
        <v>4426</v>
      </c>
      <c r="AM1" s="121" t="s">
        <v>4427</v>
      </c>
      <c r="AN1" s="120" t="s">
        <v>4313</v>
      </c>
    </row>
    <row r="2" spans="1:40" s="129" customFormat="1" x14ac:dyDescent="0.25">
      <c r="A2" s="130">
        <v>1</v>
      </c>
      <c r="B2" s="130" t="s">
        <v>4428</v>
      </c>
      <c r="C2" s="130" t="s">
        <v>38</v>
      </c>
      <c r="D2" s="130">
        <v>9103551370</v>
      </c>
      <c r="E2" s="131">
        <v>42102</v>
      </c>
      <c r="F2" s="132" t="s">
        <v>4429</v>
      </c>
      <c r="G2" s="132" t="s">
        <v>4430</v>
      </c>
      <c r="H2" s="130" t="s">
        <v>4431</v>
      </c>
      <c r="I2" s="132" t="s">
        <v>40</v>
      </c>
      <c r="J2" s="131" t="s">
        <v>4432</v>
      </c>
      <c r="K2" s="132" t="s">
        <v>4433</v>
      </c>
      <c r="L2" s="130">
        <v>8618401</v>
      </c>
      <c r="M2" s="130" t="s">
        <v>4434</v>
      </c>
      <c r="N2" s="130" t="s">
        <v>4435</v>
      </c>
      <c r="O2" s="130" t="s">
        <v>4436</v>
      </c>
      <c r="P2" s="130" t="s">
        <v>54</v>
      </c>
      <c r="Q2" s="130">
        <v>38237090</v>
      </c>
      <c r="R2" s="130">
        <v>48</v>
      </c>
      <c r="S2" s="130" t="s">
        <v>70</v>
      </c>
      <c r="T2" s="130" t="s">
        <v>44</v>
      </c>
      <c r="U2" s="130" t="s">
        <v>53</v>
      </c>
      <c r="V2" s="130">
        <v>3700</v>
      </c>
      <c r="W2" s="133">
        <f>V2*R2</f>
        <v>177600</v>
      </c>
      <c r="X2" s="130">
        <v>25.4</v>
      </c>
      <c r="Y2" s="130">
        <v>200</v>
      </c>
      <c r="Z2" s="130">
        <v>0</v>
      </c>
      <c r="AA2" s="130">
        <v>0</v>
      </c>
      <c r="AB2" s="131">
        <v>42090</v>
      </c>
      <c r="AC2" s="134">
        <f>AF2/AD2</f>
        <v>177374.59999999998</v>
      </c>
      <c r="AD2" s="135">
        <v>62</v>
      </c>
      <c r="AE2" s="136">
        <f t="shared" ref="AE2:AE65" si="0">AD2*W2</f>
        <v>11011200</v>
      </c>
      <c r="AF2" s="137">
        <v>10997225.199999999</v>
      </c>
      <c r="AG2" s="138">
        <v>62</v>
      </c>
      <c r="AH2" s="130" t="s">
        <v>4437</v>
      </c>
      <c r="AI2" s="138">
        <v>177415</v>
      </c>
      <c r="AJ2" s="131" t="s">
        <v>3938</v>
      </c>
      <c r="AK2" s="130" t="s">
        <v>4438</v>
      </c>
      <c r="AL2" s="131" t="s">
        <v>4439</v>
      </c>
      <c r="AM2" s="131" t="s">
        <v>49</v>
      </c>
      <c r="AN2" s="138" t="s">
        <v>4440</v>
      </c>
    </row>
    <row r="3" spans="1:40" s="129" customFormat="1" ht="25.5" x14ac:dyDescent="0.25">
      <c r="A3" s="136">
        <v>2</v>
      </c>
      <c r="B3" s="130" t="s">
        <v>4428</v>
      </c>
      <c r="C3" s="130" t="s">
        <v>38</v>
      </c>
      <c r="D3" s="136">
        <v>9103551372</v>
      </c>
      <c r="E3" s="132">
        <v>42096</v>
      </c>
      <c r="F3" s="132" t="s">
        <v>4429</v>
      </c>
      <c r="G3" s="132" t="s">
        <v>4441</v>
      </c>
      <c r="H3" s="130" t="s">
        <v>4442</v>
      </c>
      <c r="I3" s="132" t="s">
        <v>40</v>
      </c>
      <c r="J3" s="131" t="s">
        <v>4432</v>
      </c>
      <c r="K3" s="132" t="s">
        <v>4433</v>
      </c>
      <c r="L3" s="136">
        <v>8625387</v>
      </c>
      <c r="M3" s="132">
        <v>42089</v>
      </c>
      <c r="N3" s="136" t="s">
        <v>4443</v>
      </c>
      <c r="O3" s="130" t="s">
        <v>4436</v>
      </c>
      <c r="P3" s="130" t="s">
        <v>790</v>
      </c>
      <c r="Q3" s="130">
        <v>38237090</v>
      </c>
      <c r="R3" s="136">
        <v>24</v>
      </c>
      <c r="S3" s="130" t="s">
        <v>70</v>
      </c>
      <c r="T3" s="136" t="s">
        <v>44</v>
      </c>
      <c r="U3" s="136" t="s">
        <v>53</v>
      </c>
      <c r="V3" s="136">
        <v>1648</v>
      </c>
      <c r="W3" s="133">
        <f t="shared" ref="W3:W66" si="1">V3*R3</f>
        <v>39552</v>
      </c>
      <c r="X3" s="136">
        <v>5.66</v>
      </c>
      <c r="Y3" s="136">
        <v>1200</v>
      </c>
      <c r="Z3" s="136">
        <v>0</v>
      </c>
      <c r="AA3" s="136">
        <v>0</v>
      </c>
      <c r="AB3" s="131">
        <v>42090</v>
      </c>
      <c r="AC3" s="134">
        <f t="shared" ref="AC3:AC66" si="2">AF3/AD3</f>
        <v>38346.340000000004</v>
      </c>
      <c r="AD3" s="135">
        <v>62</v>
      </c>
      <c r="AE3" s="136">
        <f t="shared" si="0"/>
        <v>2452224</v>
      </c>
      <c r="AF3" s="137">
        <v>2377473.08</v>
      </c>
      <c r="AG3" s="138">
        <v>62</v>
      </c>
      <c r="AH3" s="136" t="s">
        <v>4444</v>
      </c>
      <c r="AI3" s="133">
        <v>39552</v>
      </c>
      <c r="AJ3" s="132">
        <v>42130</v>
      </c>
      <c r="AK3" s="139" t="s">
        <v>4445</v>
      </c>
      <c r="AL3" s="132">
        <v>42147</v>
      </c>
      <c r="AM3" s="131" t="s">
        <v>49</v>
      </c>
      <c r="AN3" s="133" t="s">
        <v>4440</v>
      </c>
    </row>
    <row r="4" spans="1:40" s="129" customFormat="1" x14ac:dyDescent="0.25">
      <c r="A4" s="130">
        <v>3</v>
      </c>
      <c r="B4" s="130" t="s">
        <v>4428</v>
      </c>
      <c r="C4" s="130" t="s">
        <v>38</v>
      </c>
      <c r="D4" s="136">
        <v>9103551374</v>
      </c>
      <c r="E4" s="132">
        <v>42096</v>
      </c>
      <c r="F4" s="132" t="s">
        <v>4429</v>
      </c>
      <c r="G4" s="132" t="s">
        <v>3789</v>
      </c>
      <c r="H4" s="130" t="s">
        <v>4446</v>
      </c>
      <c r="I4" s="132" t="s">
        <v>40</v>
      </c>
      <c r="J4" s="131" t="s">
        <v>4432</v>
      </c>
      <c r="K4" s="132" t="s">
        <v>4433</v>
      </c>
      <c r="L4" s="136">
        <v>8639885</v>
      </c>
      <c r="M4" s="132" t="s">
        <v>4447</v>
      </c>
      <c r="N4" s="136" t="s">
        <v>4448</v>
      </c>
      <c r="O4" s="130" t="s">
        <v>4436</v>
      </c>
      <c r="P4" s="130" t="s">
        <v>47</v>
      </c>
      <c r="Q4" s="130">
        <v>38231900</v>
      </c>
      <c r="R4" s="136">
        <v>59.23</v>
      </c>
      <c r="S4" s="130" t="s">
        <v>70</v>
      </c>
      <c r="T4" s="136" t="s">
        <v>44</v>
      </c>
      <c r="U4" s="136" t="s">
        <v>53</v>
      </c>
      <c r="V4" s="136">
        <v>3720</v>
      </c>
      <c r="W4" s="133">
        <f t="shared" si="1"/>
        <v>220335.59999999998</v>
      </c>
      <c r="X4" s="136">
        <v>31.51</v>
      </c>
      <c r="Y4" s="136">
        <v>2936.85</v>
      </c>
      <c r="Z4" s="136">
        <v>0</v>
      </c>
      <c r="AA4" s="136">
        <v>0</v>
      </c>
      <c r="AB4" s="131">
        <v>42093</v>
      </c>
      <c r="AC4" s="134">
        <f t="shared" si="2"/>
        <v>217367.24000000002</v>
      </c>
      <c r="AD4" s="135">
        <v>62</v>
      </c>
      <c r="AE4" s="136">
        <f t="shared" si="0"/>
        <v>13660807.199999999</v>
      </c>
      <c r="AF4" s="137">
        <v>13476768.880000001</v>
      </c>
      <c r="AG4" s="138">
        <v>62</v>
      </c>
      <c r="AH4" s="136" t="s">
        <v>4449</v>
      </c>
      <c r="AI4" s="133">
        <v>220315.6</v>
      </c>
      <c r="AJ4" s="132" t="s">
        <v>4450</v>
      </c>
      <c r="AK4" s="136" t="s">
        <v>3903</v>
      </c>
      <c r="AL4" s="132" t="s">
        <v>4451</v>
      </c>
      <c r="AM4" s="131" t="s">
        <v>49</v>
      </c>
      <c r="AN4" s="133" t="s">
        <v>4440</v>
      </c>
    </row>
    <row r="5" spans="1:40" s="129" customFormat="1" x14ac:dyDescent="0.25">
      <c r="A5" s="136">
        <v>4</v>
      </c>
      <c r="B5" s="130" t="s">
        <v>4428</v>
      </c>
      <c r="C5" s="130" t="s">
        <v>38</v>
      </c>
      <c r="D5" s="136" t="s">
        <v>3791</v>
      </c>
      <c r="E5" s="132">
        <v>42102</v>
      </c>
      <c r="F5" s="132" t="s">
        <v>4429</v>
      </c>
      <c r="G5" s="132" t="s">
        <v>3854</v>
      </c>
      <c r="H5" s="130" t="s">
        <v>4446</v>
      </c>
      <c r="I5" s="132" t="s">
        <v>40</v>
      </c>
      <c r="J5" s="131" t="s">
        <v>4432</v>
      </c>
      <c r="K5" s="132" t="s">
        <v>4433</v>
      </c>
      <c r="L5" s="136">
        <v>8624886</v>
      </c>
      <c r="M5" s="132">
        <v>42089</v>
      </c>
      <c r="N5" s="136" t="s">
        <v>4452</v>
      </c>
      <c r="O5" s="130" t="s">
        <v>4436</v>
      </c>
      <c r="P5" s="130" t="s">
        <v>54</v>
      </c>
      <c r="Q5" s="130">
        <v>38237090</v>
      </c>
      <c r="R5" s="136">
        <v>75</v>
      </c>
      <c r="S5" s="130" t="s">
        <v>70</v>
      </c>
      <c r="T5" s="136" t="s">
        <v>52</v>
      </c>
      <c r="U5" s="136" t="s">
        <v>53</v>
      </c>
      <c r="V5" s="136">
        <v>3720</v>
      </c>
      <c r="W5" s="133">
        <f t="shared" si="1"/>
        <v>279000</v>
      </c>
      <c r="X5" s="136">
        <v>0</v>
      </c>
      <c r="Y5" s="136">
        <v>250</v>
      </c>
      <c r="Z5" s="136">
        <v>0</v>
      </c>
      <c r="AA5" s="136">
        <v>0</v>
      </c>
      <c r="AB5" s="131">
        <v>42090</v>
      </c>
      <c r="AC5" s="134">
        <f t="shared" si="2"/>
        <v>278750</v>
      </c>
      <c r="AD5" s="135">
        <v>62</v>
      </c>
      <c r="AE5" s="136">
        <f t="shared" si="0"/>
        <v>17298000</v>
      </c>
      <c r="AF5" s="137">
        <v>17282500</v>
      </c>
      <c r="AG5" s="138">
        <v>62</v>
      </c>
      <c r="AH5" s="136" t="s">
        <v>4453</v>
      </c>
      <c r="AI5" s="136">
        <v>279000</v>
      </c>
      <c r="AJ5" s="132">
        <v>42135</v>
      </c>
      <c r="AK5" s="136" t="s">
        <v>3905</v>
      </c>
      <c r="AL5" s="132">
        <v>42139</v>
      </c>
      <c r="AM5" s="131" t="s">
        <v>49</v>
      </c>
      <c r="AN5" s="133" t="s">
        <v>4440</v>
      </c>
    </row>
    <row r="6" spans="1:40" s="129" customFormat="1" x14ac:dyDescent="0.25">
      <c r="A6" s="130">
        <v>5</v>
      </c>
      <c r="B6" s="130" t="s">
        <v>4428</v>
      </c>
      <c r="C6" s="130" t="s">
        <v>38</v>
      </c>
      <c r="D6" s="136" t="s">
        <v>3791</v>
      </c>
      <c r="E6" s="132">
        <v>42102</v>
      </c>
      <c r="F6" s="132" t="s">
        <v>4429</v>
      </c>
      <c r="G6" s="132" t="s">
        <v>3853</v>
      </c>
      <c r="H6" s="130" t="s">
        <v>4446</v>
      </c>
      <c r="I6" s="132" t="s">
        <v>40</v>
      </c>
      <c r="J6" s="131" t="s">
        <v>4432</v>
      </c>
      <c r="K6" s="132" t="s">
        <v>4433</v>
      </c>
      <c r="L6" s="136">
        <v>8643449</v>
      </c>
      <c r="M6" s="132">
        <v>42090</v>
      </c>
      <c r="N6" s="136" t="s">
        <v>4452</v>
      </c>
      <c r="O6" s="130" t="s">
        <v>4436</v>
      </c>
      <c r="P6" s="130" t="s">
        <v>54</v>
      </c>
      <c r="Q6" s="130">
        <v>38237090</v>
      </c>
      <c r="R6" s="136">
        <v>15</v>
      </c>
      <c r="S6" s="130" t="s">
        <v>70</v>
      </c>
      <c r="T6" s="136" t="s">
        <v>52</v>
      </c>
      <c r="U6" s="136" t="s">
        <v>53</v>
      </c>
      <c r="V6" s="136">
        <v>3720</v>
      </c>
      <c r="W6" s="133">
        <f t="shared" si="1"/>
        <v>55800</v>
      </c>
      <c r="X6" s="136">
        <v>0</v>
      </c>
      <c r="Y6" s="136">
        <v>50</v>
      </c>
      <c r="Z6" s="136">
        <v>0</v>
      </c>
      <c r="AA6" s="136">
        <v>0</v>
      </c>
      <c r="AB6" s="131">
        <v>42091</v>
      </c>
      <c r="AC6" s="134">
        <f t="shared" si="2"/>
        <v>55750</v>
      </c>
      <c r="AD6" s="135">
        <v>62</v>
      </c>
      <c r="AE6" s="136">
        <f t="shared" si="0"/>
        <v>3459600</v>
      </c>
      <c r="AF6" s="137">
        <v>3456500</v>
      </c>
      <c r="AG6" s="138">
        <v>62</v>
      </c>
      <c r="AH6" s="136" t="s">
        <v>4453</v>
      </c>
      <c r="AI6" s="136">
        <v>55800</v>
      </c>
      <c r="AJ6" s="132">
        <v>42135</v>
      </c>
      <c r="AK6" s="136" t="s">
        <v>3904</v>
      </c>
      <c r="AL6" s="132">
        <v>42139</v>
      </c>
      <c r="AM6" s="131" t="s">
        <v>49</v>
      </c>
      <c r="AN6" s="133" t="s">
        <v>4440</v>
      </c>
    </row>
    <row r="7" spans="1:40" s="129" customFormat="1" x14ac:dyDescent="0.25">
      <c r="A7" s="136">
        <v>6</v>
      </c>
      <c r="B7" s="130" t="s">
        <v>4428</v>
      </c>
      <c r="C7" s="130" t="s">
        <v>38</v>
      </c>
      <c r="D7" s="136" t="s">
        <v>4454</v>
      </c>
      <c r="E7" s="132">
        <v>42103</v>
      </c>
      <c r="F7" s="132" t="s">
        <v>4429</v>
      </c>
      <c r="G7" s="132" t="s">
        <v>4455</v>
      </c>
      <c r="H7" s="130" t="s">
        <v>4456</v>
      </c>
      <c r="I7" s="132" t="s">
        <v>40</v>
      </c>
      <c r="J7" s="131" t="s">
        <v>4432</v>
      </c>
      <c r="K7" s="132" t="s">
        <v>4433</v>
      </c>
      <c r="L7" s="136">
        <v>8679079</v>
      </c>
      <c r="M7" s="132">
        <v>42093</v>
      </c>
      <c r="N7" s="136" t="s">
        <v>4457</v>
      </c>
      <c r="O7" s="130" t="s">
        <v>4436</v>
      </c>
      <c r="P7" s="130" t="s">
        <v>241</v>
      </c>
      <c r="Q7" s="130">
        <v>38237090</v>
      </c>
      <c r="R7" s="136">
        <v>116.5</v>
      </c>
      <c r="S7" s="130" t="s">
        <v>70</v>
      </c>
      <c r="T7" s="136" t="s">
        <v>52</v>
      </c>
      <c r="U7" s="136" t="s">
        <v>53</v>
      </c>
      <c r="V7" s="136">
        <v>1285</v>
      </c>
      <c r="W7" s="133">
        <f t="shared" si="1"/>
        <v>149702.5</v>
      </c>
      <c r="X7" s="136">
        <v>0</v>
      </c>
      <c r="Y7" s="136">
        <v>5100</v>
      </c>
      <c r="Z7" s="136">
        <v>0</v>
      </c>
      <c r="AA7" s="136">
        <v>0</v>
      </c>
      <c r="AB7" s="131">
        <v>42093</v>
      </c>
      <c r="AC7" s="134">
        <f t="shared" si="2"/>
        <v>144602.5</v>
      </c>
      <c r="AD7" s="135">
        <v>62</v>
      </c>
      <c r="AE7" s="136">
        <f t="shared" si="0"/>
        <v>9281555</v>
      </c>
      <c r="AF7" s="137">
        <v>8965355</v>
      </c>
      <c r="AG7" s="138">
        <v>62</v>
      </c>
      <c r="AH7" s="136" t="s">
        <v>4458</v>
      </c>
      <c r="AI7" s="136">
        <v>149702.5</v>
      </c>
      <c r="AJ7" s="132">
        <v>42164</v>
      </c>
      <c r="AK7" s="136" t="s">
        <v>4459</v>
      </c>
      <c r="AL7" s="132">
        <v>42165</v>
      </c>
      <c r="AM7" s="131" t="s">
        <v>49</v>
      </c>
      <c r="AN7" s="133" t="s">
        <v>4440</v>
      </c>
    </row>
    <row r="8" spans="1:40" s="129" customFormat="1" x14ac:dyDescent="0.25">
      <c r="A8" s="130">
        <v>7</v>
      </c>
      <c r="B8" s="130" t="s">
        <v>4428</v>
      </c>
      <c r="C8" s="130" t="s">
        <v>38</v>
      </c>
      <c r="D8" s="136">
        <v>9103551381</v>
      </c>
      <c r="E8" s="132">
        <v>42096</v>
      </c>
      <c r="F8" s="132" t="s">
        <v>4429</v>
      </c>
      <c r="G8" s="132" t="s">
        <v>3794</v>
      </c>
      <c r="H8" s="130" t="s">
        <v>4431</v>
      </c>
      <c r="I8" s="132" t="s">
        <v>40</v>
      </c>
      <c r="J8" s="131" t="s">
        <v>4432</v>
      </c>
      <c r="K8" s="132" t="s">
        <v>4433</v>
      </c>
      <c r="L8" s="136">
        <v>8650014</v>
      </c>
      <c r="M8" s="132">
        <v>42090</v>
      </c>
      <c r="N8" s="136" t="s">
        <v>4460</v>
      </c>
      <c r="O8" s="130" t="s">
        <v>4436</v>
      </c>
      <c r="P8" s="130" t="s">
        <v>75</v>
      </c>
      <c r="Q8" s="130">
        <v>38237090</v>
      </c>
      <c r="R8" s="136">
        <v>18.63</v>
      </c>
      <c r="S8" s="130" t="s">
        <v>70</v>
      </c>
      <c r="T8" s="136" t="s">
        <v>52</v>
      </c>
      <c r="U8" s="136" t="s">
        <v>53</v>
      </c>
      <c r="V8" s="136">
        <v>1555</v>
      </c>
      <c r="W8" s="133">
        <f t="shared" si="1"/>
        <v>28969.649999999998</v>
      </c>
      <c r="X8" s="136">
        <v>0</v>
      </c>
      <c r="Y8" s="136">
        <v>1050</v>
      </c>
      <c r="Z8" s="136">
        <v>0</v>
      </c>
      <c r="AA8" s="136">
        <v>0</v>
      </c>
      <c r="AB8" s="131">
        <v>42091</v>
      </c>
      <c r="AC8" s="134">
        <f t="shared" si="2"/>
        <v>27919.65</v>
      </c>
      <c r="AD8" s="135">
        <v>62</v>
      </c>
      <c r="AE8" s="136">
        <f t="shared" si="0"/>
        <v>1796118.2999999998</v>
      </c>
      <c r="AF8" s="137">
        <v>1731018.3</v>
      </c>
      <c r="AG8" s="138">
        <v>62</v>
      </c>
      <c r="AH8" s="136" t="s">
        <v>4461</v>
      </c>
      <c r="AI8" s="133">
        <v>28954.65</v>
      </c>
      <c r="AJ8" s="132" t="s">
        <v>4462</v>
      </c>
      <c r="AK8" s="136" t="s">
        <v>3908</v>
      </c>
      <c r="AL8" s="132">
        <v>42118</v>
      </c>
      <c r="AM8" s="131" t="s">
        <v>49</v>
      </c>
      <c r="AN8" s="133" t="s">
        <v>4440</v>
      </c>
    </row>
    <row r="9" spans="1:40" s="129" customFormat="1" x14ac:dyDescent="0.25">
      <c r="A9" s="136">
        <v>8</v>
      </c>
      <c r="B9" s="130" t="s">
        <v>4428</v>
      </c>
      <c r="C9" s="130" t="s">
        <v>38</v>
      </c>
      <c r="D9" s="136">
        <v>9103551384</v>
      </c>
      <c r="E9" s="132">
        <v>42097</v>
      </c>
      <c r="F9" s="132" t="s">
        <v>4429</v>
      </c>
      <c r="G9" s="132" t="s">
        <v>3798</v>
      </c>
      <c r="H9" s="130" t="s">
        <v>4463</v>
      </c>
      <c r="I9" s="132" t="s">
        <v>40</v>
      </c>
      <c r="J9" s="131" t="s">
        <v>4432</v>
      </c>
      <c r="K9" s="132" t="s">
        <v>4433</v>
      </c>
      <c r="L9" s="136">
        <v>8651210</v>
      </c>
      <c r="M9" s="132">
        <v>42090</v>
      </c>
      <c r="N9" s="136" t="s">
        <v>4464</v>
      </c>
      <c r="O9" s="130" t="s">
        <v>4436</v>
      </c>
      <c r="P9" s="130" t="s">
        <v>4465</v>
      </c>
      <c r="Q9" s="130">
        <v>38237090</v>
      </c>
      <c r="R9" s="136">
        <v>12</v>
      </c>
      <c r="S9" s="130" t="s">
        <v>70</v>
      </c>
      <c r="T9" s="136" t="s">
        <v>44</v>
      </c>
      <c r="U9" s="136" t="s">
        <v>53</v>
      </c>
      <c r="V9" s="136">
        <v>1520</v>
      </c>
      <c r="W9" s="133">
        <f t="shared" si="1"/>
        <v>18240</v>
      </c>
      <c r="X9" s="136">
        <v>2.61</v>
      </c>
      <c r="Y9" s="136">
        <v>860</v>
      </c>
      <c r="Z9" s="136">
        <v>240</v>
      </c>
      <c r="AA9" s="136">
        <v>0</v>
      </c>
      <c r="AB9" s="131">
        <v>42093</v>
      </c>
      <c r="AC9" s="134">
        <f t="shared" si="2"/>
        <v>17377.39</v>
      </c>
      <c r="AD9" s="135">
        <v>62</v>
      </c>
      <c r="AE9" s="136">
        <f t="shared" si="0"/>
        <v>1130880</v>
      </c>
      <c r="AF9" s="137">
        <v>1077398.18</v>
      </c>
      <c r="AG9" s="138">
        <v>62</v>
      </c>
      <c r="AH9" s="136" t="s">
        <v>4317</v>
      </c>
      <c r="AI9" s="133">
        <v>18240</v>
      </c>
      <c r="AJ9" s="132">
        <v>42111</v>
      </c>
      <c r="AK9" s="136" t="s">
        <v>3909</v>
      </c>
      <c r="AL9" s="132">
        <v>42147</v>
      </c>
      <c r="AM9" s="131" t="s">
        <v>49</v>
      </c>
      <c r="AN9" s="133" t="s">
        <v>4440</v>
      </c>
    </row>
    <row r="10" spans="1:40" s="129" customFormat="1" x14ac:dyDescent="0.25">
      <c r="A10" s="130">
        <v>9</v>
      </c>
      <c r="B10" s="130" t="s">
        <v>4428</v>
      </c>
      <c r="C10" s="130" t="s">
        <v>38</v>
      </c>
      <c r="D10" s="136">
        <v>9103551385</v>
      </c>
      <c r="E10" s="132">
        <v>42090</v>
      </c>
      <c r="F10" s="132" t="s">
        <v>4466</v>
      </c>
      <c r="G10" s="132" t="s">
        <v>3800</v>
      </c>
      <c r="H10" s="130" t="s">
        <v>4463</v>
      </c>
      <c r="I10" s="132" t="s">
        <v>40</v>
      </c>
      <c r="J10" s="131" t="s">
        <v>4432</v>
      </c>
      <c r="K10" s="132" t="s">
        <v>4433</v>
      </c>
      <c r="L10" s="136">
        <v>8651191</v>
      </c>
      <c r="M10" s="132">
        <v>42090</v>
      </c>
      <c r="N10" s="136" t="s">
        <v>4464</v>
      </c>
      <c r="O10" s="130" t="s">
        <v>4436</v>
      </c>
      <c r="P10" s="130" t="s">
        <v>4465</v>
      </c>
      <c r="Q10" s="130">
        <v>38237090</v>
      </c>
      <c r="R10" s="136">
        <v>23.4</v>
      </c>
      <c r="S10" s="130" t="s">
        <v>70</v>
      </c>
      <c r="T10" s="136" t="s">
        <v>44</v>
      </c>
      <c r="U10" s="136" t="s">
        <v>53</v>
      </c>
      <c r="V10" s="136">
        <v>2850</v>
      </c>
      <c r="W10" s="133">
        <f t="shared" si="1"/>
        <v>66690</v>
      </c>
      <c r="X10" s="136">
        <v>9.5399999999999991</v>
      </c>
      <c r="Y10" s="136">
        <v>100</v>
      </c>
      <c r="Z10" s="136">
        <v>1404</v>
      </c>
      <c r="AA10" s="136">
        <v>0</v>
      </c>
      <c r="AB10" s="131">
        <v>42091</v>
      </c>
      <c r="AC10" s="134">
        <f t="shared" si="2"/>
        <v>66580.460000000006</v>
      </c>
      <c r="AD10" s="135">
        <v>62</v>
      </c>
      <c r="AE10" s="136">
        <f t="shared" si="0"/>
        <v>4134780</v>
      </c>
      <c r="AF10" s="137">
        <v>4127988.52</v>
      </c>
      <c r="AG10" s="138">
        <v>62</v>
      </c>
      <c r="AH10" s="136" t="s">
        <v>4192</v>
      </c>
      <c r="AI10" s="133">
        <v>66655.5</v>
      </c>
      <c r="AJ10" s="132">
        <v>42179</v>
      </c>
      <c r="AK10" s="136" t="s">
        <v>4193</v>
      </c>
      <c r="AL10" s="132">
        <v>42180</v>
      </c>
      <c r="AM10" s="131" t="s">
        <v>49</v>
      </c>
      <c r="AN10" s="133" t="s">
        <v>4440</v>
      </c>
    </row>
    <row r="11" spans="1:40" s="129" customFormat="1" x14ac:dyDescent="0.25">
      <c r="A11" s="136">
        <v>10</v>
      </c>
      <c r="B11" s="130" t="s">
        <v>4428</v>
      </c>
      <c r="C11" s="130" t="s">
        <v>38</v>
      </c>
      <c r="D11" s="136" t="s">
        <v>4387</v>
      </c>
      <c r="E11" s="132">
        <v>42096</v>
      </c>
      <c r="F11" s="132" t="s">
        <v>4429</v>
      </c>
      <c r="G11" s="132" t="s">
        <v>4467</v>
      </c>
      <c r="H11" s="130" t="s">
        <v>4446</v>
      </c>
      <c r="I11" s="132" t="s">
        <v>40</v>
      </c>
      <c r="J11" s="131" t="s">
        <v>4432</v>
      </c>
      <c r="K11" s="132" t="s">
        <v>4433</v>
      </c>
      <c r="L11" s="136">
        <v>8662799</v>
      </c>
      <c r="M11" s="132" t="s">
        <v>4468</v>
      </c>
      <c r="N11" s="136" t="s">
        <v>4448</v>
      </c>
      <c r="O11" s="130" t="s">
        <v>4436</v>
      </c>
      <c r="P11" s="130" t="s">
        <v>47</v>
      </c>
      <c r="Q11" s="130">
        <v>38231900</v>
      </c>
      <c r="R11" s="136">
        <v>39.770000000000003</v>
      </c>
      <c r="S11" s="130" t="s">
        <v>70</v>
      </c>
      <c r="T11" s="136" t="s">
        <v>44</v>
      </c>
      <c r="U11" s="136" t="s">
        <v>53</v>
      </c>
      <c r="V11" s="136">
        <v>3720</v>
      </c>
      <c r="W11" s="133">
        <f t="shared" si="1"/>
        <v>147944.40000000002</v>
      </c>
      <c r="X11" s="136">
        <v>21.16</v>
      </c>
      <c r="Y11" s="136">
        <v>2100</v>
      </c>
      <c r="Z11" s="136">
        <v>0</v>
      </c>
      <c r="AA11" s="136">
        <v>0</v>
      </c>
      <c r="AB11" s="131">
        <v>42093</v>
      </c>
      <c r="AC11" s="134">
        <f t="shared" si="2"/>
        <v>145823.24000000002</v>
      </c>
      <c r="AD11" s="135">
        <v>62</v>
      </c>
      <c r="AE11" s="136">
        <f t="shared" si="0"/>
        <v>9172552.8000000007</v>
      </c>
      <c r="AF11" s="137">
        <v>9041040.8800000008</v>
      </c>
      <c r="AG11" s="138">
        <v>62</v>
      </c>
      <c r="AH11" s="136" t="s">
        <v>4388</v>
      </c>
      <c r="AI11" s="136">
        <v>147944.4</v>
      </c>
      <c r="AJ11" s="132" t="s">
        <v>4450</v>
      </c>
      <c r="AK11" s="136" t="s">
        <v>4390</v>
      </c>
      <c r="AL11" s="132" t="s">
        <v>4451</v>
      </c>
      <c r="AM11" s="131" t="s">
        <v>49</v>
      </c>
      <c r="AN11" s="136" t="s">
        <v>4440</v>
      </c>
    </row>
    <row r="12" spans="1:40" s="129" customFormat="1" x14ac:dyDescent="0.25">
      <c r="A12" s="130">
        <v>11</v>
      </c>
      <c r="B12" s="130" t="s">
        <v>4428</v>
      </c>
      <c r="C12" s="130" t="s">
        <v>38</v>
      </c>
      <c r="D12" s="136" t="s">
        <v>4387</v>
      </c>
      <c r="E12" s="132">
        <v>42096</v>
      </c>
      <c r="F12" s="132" t="s">
        <v>4429</v>
      </c>
      <c r="G12" s="132" t="s">
        <v>4467</v>
      </c>
      <c r="H12" s="130" t="s">
        <v>4446</v>
      </c>
      <c r="I12" s="132" t="s">
        <v>40</v>
      </c>
      <c r="J12" s="131" t="s">
        <v>4432</v>
      </c>
      <c r="K12" s="132" t="s">
        <v>4433</v>
      </c>
      <c r="L12" s="136">
        <v>8651402</v>
      </c>
      <c r="M12" s="132">
        <v>42090</v>
      </c>
      <c r="N12" s="136" t="s">
        <v>4448</v>
      </c>
      <c r="O12" s="130" t="s">
        <v>4436</v>
      </c>
      <c r="P12" s="130" t="s">
        <v>47</v>
      </c>
      <c r="Q12" s="130">
        <v>38231900</v>
      </c>
      <c r="R12" s="136">
        <v>59.14</v>
      </c>
      <c r="S12" s="130" t="s">
        <v>70</v>
      </c>
      <c r="T12" s="136" t="s">
        <v>44</v>
      </c>
      <c r="U12" s="136" t="s">
        <v>53</v>
      </c>
      <c r="V12" s="136">
        <v>3720</v>
      </c>
      <c r="W12" s="133">
        <f t="shared" si="1"/>
        <v>220000.8</v>
      </c>
      <c r="X12" s="136">
        <v>31.46</v>
      </c>
      <c r="Y12" s="136">
        <v>3150</v>
      </c>
      <c r="Z12" s="136">
        <v>0</v>
      </c>
      <c r="AA12" s="136">
        <v>0</v>
      </c>
      <c r="AB12" s="131">
        <v>42093</v>
      </c>
      <c r="AC12" s="134">
        <f t="shared" si="2"/>
        <v>216819.34</v>
      </c>
      <c r="AD12" s="135">
        <v>62</v>
      </c>
      <c r="AE12" s="136">
        <f t="shared" si="0"/>
        <v>13640049.6</v>
      </c>
      <c r="AF12" s="137">
        <v>13442799.08</v>
      </c>
      <c r="AG12" s="138">
        <v>62</v>
      </c>
      <c r="AH12" s="136" t="s">
        <v>4388</v>
      </c>
      <c r="AI12" s="136">
        <v>220000.8</v>
      </c>
      <c r="AJ12" s="132" t="s">
        <v>4450</v>
      </c>
      <c r="AK12" s="136" t="s">
        <v>4389</v>
      </c>
      <c r="AL12" s="132" t="s">
        <v>4451</v>
      </c>
      <c r="AM12" s="131" t="s">
        <v>49</v>
      </c>
      <c r="AN12" s="136" t="s">
        <v>4440</v>
      </c>
    </row>
    <row r="13" spans="1:40" s="129" customFormat="1" x14ac:dyDescent="0.25">
      <c r="A13" s="136">
        <v>12</v>
      </c>
      <c r="B13" s="130" t="s">
        <v>4428</v>
      </c>
      <c r="C13" s="130" t="s">
        <v>38</v>
      </c>
      <c r="D13" s="136" t="s">
        <v>4454</v>
      </c>
      <c r="E13" s="132">
        <v>42103</v>
      </c>
      <c r="F13" s="132" t="s">
        <v>4429</v>
      </c>
      <c r="G13" s="132" t="s">
        <v>4469</v>
      </c>
      <c r="H13" s="130" t="s">
        <v>4456</v>
      </c>
      <c r="I13" s="132" t="s">
        <v>40</v>
      </c>
      <c r="J13" s="131" t="s">
        <v>4432</v>
      </c>
      <c r="K13" s="132" t="s">
        <v>4433</v>
      </c>
      <c r="L13" s="136">
        <v>8673376</v>
      </c>
      <c r="M13" s="132">
        <v>42091</v>
      </c>
      <c r="N13" s="136" t="s">
        <v>4457</v>
      </c>
      <c r="O13" s="130" t="s">
        <v>4436</v>
      </c>
      <c r="P13" s="130" t="s">
        <v>241</v>
      </c>
      <c r="Q13" s="130">
        <v>38237090</v>
      </c>
      <c r="R13" s="136">
        <v>19.63</v>
      </c>
      <c r="S13" s="130" t="s">
        <v>70</v>
      </c>
      <c r="T13" s="136" t="s">
        <v>52</v>
      </c>
      <c r="U13" s="136" t="s">
        <v>53</v>
      </c>
      <c r="V13" s="136">
        <v>1285</v>
      </c>
      <c r="W13" s="133">
        <f t="shared" si="1"/>
        <v>25224.55</v>
      </c>
      <c r="X13" s="136">
        <v>0</v>
      </c>
      <c r="Y13" s="136">
        <v>850</v>
      </c>
      <c r="Z13" s="136">
        <v>0</v>
      </c>
      <c r="AA13" s="136">
        <v>0</v>
      </c>
      <c r="AB13" s="131">
        <v>42093</v>
      </c>
      <c r="AC13" s="134">
        <f t="shared" si="2"/>
        <v>24374.550000000003</v>
      </c>
      <c r="AD13" s="135">
        <v>62</v>
      </c>
      <c r="AE13" s="136">
        <f t="shared" si="0"/>
        <v>1563922.0999999999</v>
      </c>
      <c r="AF13" s="137">
        <v>1511222.1</v>
      </c>
      <c r="AG13" s="138">
        <v>62</v>
      </c>
      <c r="AH13" s="136" t="s">
        <v>4458</v>
      </c>
      <c r="AI13" s="136">
        <v>25224.55</v>
      </c>
      <c r="AJ13" s="132">
        <v>42158</v>
      </c>
      <c r="AK13" s="136" t="s">
        <v>4470</v>
      </c>
      <c r="AL13" s="132">
        <v>42159</v>
      </c>
      <c r="AM13" s="131" t="s">
        <v>49</v>
      </c>
      <c r="AN13" s="136" t="s">
        <v>4440</v>
      </c>
    </row>
    <row r="14" spans="1:40" s="129" customFormat="1" x14ac:dyDescent="0.25">
      <c r="A14" s="130">
        <v>13</v>
      </c>
      <c r="B14" s="130" t="s">
        <v>4428</v>
      </c>
      <c r="C14" s="130" t="s">
        <v>38</v>
      </c>
      <c r="D14" s="136" t="s">
        <v>4471</v>
      </c>
      <c r="E14" s="132">
        <v>42098</v>
      </c>
      <c r="F14" s="132" t="s">
        <v>4429</v>
      </c>
      <c r="G14" s="132" t="s">
        <v>4472</v>
      </c>
      <c r="H14" s="130" t="s">
        <v>4456</v>
      </c>
      <c r="I14" s="132" t="s">
        <v>40</v>
      </c>
      <c r="J14" s="131" t="s">
        <v>4432</v>
      </c>
      <c r="K14" s="132" t="s">
        <v>4433</v>
      </c>
      <c r="L14" s="136">
        <v>8674628</v>
      </c>
      <c r="M14" s="132">
        <v>42091</v>
      </c>
      <c r="N14" s="136" t="s">
        <v>4473</v>
      </c>
      <c r="O14" s="130" t="s">
        <v>4436</v>
      </c>
      <c r="P14" s="130" t="s">
        <v>4474</v>
      </c>
      <c r="Q14" s="130">
        <v>38237090</v>
      </c>
      <c r="R14" s="136">
        <v>169.13</v>
      </c>
      <c r="S14" s="130" t="s">
        <v>70</v>
      </c>
      <c r="T14" s="136" t="s">
        <v>67</v>
      </c>
      <c r="U14" s="136" t="s">
        <v>1117</v>
      </c>
      <c r="V14" s="136">
        <v>84500</v>
      </c>
      <c r="W14" s="133">
        <f t="shared" si="1"/>
        <v>14291485</v>
      </c>
      <c r="X14" s="136">
        <v>0</v>
      </c>
      <c r="Y14" s="136">
        <v>0</v>
      </c>
      <c r="Z14" s="136">
        <v>0</v>
      </c>
      <c r="AA14" s="136">
        <v>507490.63</v>
      </c>
      <c r="AB14" s="131">
        <v>42093</v>
      </c>
      <c r="AC14" s="134">
        <f t="shared" si="2"/>
        <v>14291485</v>
      </c>
      <c r="AD14" s="135">
        <v>1</v>
      </c>
      <c r="AE14" s="136">
        <f t="shared" si="0"/>
        <v>14291485</v>
      </c>
      <c r="AF14" s="130">
        <v>14291485</v>
      </c>
      <c r="AG14" s="138">
        <v>1</v>
      </c>
      <c r="AH14" s="136" t="s">
        <v>3965</v>
      </c>
      <c r="AI14" s="136">
        <v>14291485</v>
      </c>
      <c r="AJ14" s="132">
        <v>42107</v>
      </c>
      <c r="AK14" s="136" t="s">
        <v>3964</v>
      </c>
      <c r="AL14" s="132">
        <v>42112</v>
      </c>
      <c r="AM14" s="131" t="s">
        <v>49</v>
      </c>
      <c r="AN14" s="136" t="s">
        <v>4440</v>
      </c>
    </row>
    <row r="15" spans="1:40" s="129" customFormat="1" x14ac:dyDescent="0.25">
      <c r="A15" s="136">
        <v>14</v>
      </c>
      <c r="B15" s="130" t="s">
        <v>4428</v>
      </c>
      <c r="C15" s="130" t="s">
        <v>38</v>
      </c>
      <c r="D15" s="136" t="s">
        <v>4471</v>
      </c>
      <c r="E15" s="132">
        <v>42098</v>
      </c>
      <c r="F15" s="132" t="s">
        <v>4429</v>
      </c>
      <c r="G15" s="132" t="s">
        <v>4475</v>
      </c>
      <c r="H15" s="130" t="s">
        <v>4446</v>
      </c>
      <c r="I15" s="132" t="s">
        <v>40</v>
      </c>
      <c r="J15" s="131" t="s">
        <v>4432</v>
      </c>
      <c r="K15" s="132" t="s">
        <v>4433</v>
      </c>
      <c r="L15" s="136">
        <v>8679788</v>
      </c>
      <c r="M15" s="132">
        <v>42093</v>
      </c>
      <c r="N15" s="136" t="s">
        <v>4473</v>
      </c>
      <c r="O15" s="130" t="s">
        <v>4436</v>
      </c>
      <c r="P15" s="130" t="s">
        <v>4474</v>
      </c>
      <c r="Q15" s="130">
        <v>38237090</v>
      </c>
      <c r="R15" s="136">
        <v>150.66</v>
      </c>
      <c r="S15" s="130" t="s">
        <v>70</v>
      </c>
      <c r="T15" s="136" t="s">
        <v>67</v>
      </c>
      <c r="U15" s="136" t="s">
        <v>1117</v>
      </c>
      <c r="V15" s="136">
        <v>84500</v>
      </c>
      <c r="W15" s="133">
        <f t="shared" si="1"/>
        <v>12730770</v>
      </c>
      <c r="X15" s="136">
        <v>0</v>
      </c>
      <c r="Y15" s="136">
        <v>0</v>
      </c>
      <c r="Z15" s="136">
        <v>0</v>
      </c>
      <c r="AA15" s="136">
        <v>452069.64</v>
      </c>
      <c r="AB15" s="131">
        <v>42093</v>
      </c>
      <c r="AC15" s="134">
        <f t="shared" si="2"/>
        <v>12730770</v>
      </c>
      <c r="AD15" s="135">
        <v>1</v>
      </c>
      <c r="AE15" s="136">
        <f>AD15*W15</f>
        <v>12730770</v>
      </c>
      <c r="AF15" s="130">
        <v>12730770</v>
      </c>
      <c r="AG15" s="138">
        <v>1</v>
      </c>
      <c r="AH15" s="136" t="s">
        <v>4476</v>
      </c>
      <c r="AI15" s="136">
        <v>12730770</v>
      </c>
      <c r="AJ15" s="132">
        <v>42111</v>
      </c>
      <c r="AK15" s="136" t="s">
        <v>4477</v>
      </c>
      <c r="AL15" s="132">
        <v>42112</v>
      </c>
      <c r="AM15" s="131" t="s">
        <v>49</v>
      </c>
      <c r="AN15" s="136" t="s">
        <v>4440</v>
      </c>
    </row>
    <row r="16" spans="1:40" s="129" customFormat="1" x14ac:dyDescent="0.25">
      <c r="A16" s="130">
        <v>15</v>
      </c>
      <c r="B16" s="130" t="s">
        <v>4428</v>
      </c>
      <c r="C16" s="130" t="s">
        <v>38</v>
      </c>
      <c r="D16" s="136">
        <v>9103551393</v>
      </c>
      <c r="E16" s="132">
        <v>42099</v>
      </c>
      <c r="F16" s="132" t="s">
        <v>4429</v>
      </c>
      <c r="G16" s="132" t="s">
        <v>4478</v>
      </c>
      <c r="H16" s="130" t="s">
        <v>4456</v>
      </c>
      <c r="I16" s="132" t="s">
        <v>40</v>
      </c>
      <c r="J16" s="131" t="s">
        <v>4432</v>
      </c>
      <c r="K16" s="132" t="s">
        <v>4433</v>
      </c>
      <c r="L16" s="136">
        <v>8620010</v>
      </c>
      <c r="M16" s="132" t="s">
        <v>4434</v>
      </c>
      <c r="N16" s="136" t="s">
        <v>4457</v>
      </c>
      <c r="O16" s="130" t="s">
        <v>4436</v>
      </c>
      <c r="P16" s="130" t="s">
        <v>241</v>
      </c>
      <c r="Q16" s="130">
        <v>38237090</v>
      </c>
      <c r="R16" s="136">
        <v>19.84</v>
      </c>
      <c r="S16" s="130" t="s">
        <v>70</v>
      </c>
      <c r="T16" s="136" t="s">
        <v>52</v>
      </c>
      <c r="U16" s="136" t="s">
        <v>53</v>
      </c>
      <c r="V16" s="136">
        <v>1285</v>
      </c>
      <c r="W16" s="133">
        <f t="shared" si="1"/>
        <v>25494.400000000001</v>
      </c>
      <c r="X16" s="136">
        <v>0</v>
      </c>
      <c r="Y16" s="136">
        <v>850</v>
      </c>
      <c r="Z16" s="136">
        <v>0</v>
      </c>
      <c r="AA16" s="136">
        <v>0</v>
      </c>
      <c r="AB16" s="131">
        <v>42090</v>
      </c>
      <c r="AC16" s="134">
        <f t="shared" si="2"/>
        <v>24644.400000000001</v>
      </c>
      <c r="AD16" s="135">
        <v>62</v>
      </c>
      <c r="AE16" s="136">
        <f t="shared" si="0"/>
        <v>1580652.8</v>
      </c>
      <c r="AF16" s="137">
        <v>1527952.8</v>
      </c>
      <c r="AG16" s="138">
        <v>62</v>
      </c>
      <c r="AH16" s="136" t="s">
        <v>4479</v>
      </c>
      <c r="AI16" s="133">
        <v>25494.400000000001</v>
      </c>
      <c r="AJ16" s="132" t="s">
        <v>4480</v>
      </c>
      <c r="AK16" s="136" t="s">
        <v>4481</v>
      </c>
      <c r="AL16" s="132" t="s">
        <v>4482</v>
      </c>
      <c r="AM16" s="131" t="s">
        <v>49</v>
      </c>
      <c r="AN16" s="133" t="s">
        <v>4440</v>
      </c>
    </row>
    <row r="17" spans="1:40" s="129" customFormat="1" x14ac:dyDescent="0.25">
      <c r="A17" s="136">
        <v>16</v>
      </c>
      <c r="B17" s="130" t="s">
        <v>4428</v>
      </c>
      <c r="C17" s="130" t="s">
        <v>38</v>
      </c>
      <c r="D17" s="140" t="s">
        <v>4483</v>
      </c>
      <c r="E17" s="132">
        <v>42100</v>
      </c>
      <c r="F17" s="132" t="s">
        <v>4429</v>
      </c>
      <c r="G17" s="132" t="s">
        <v>4484</v>
      </c>
      <c r="H17" s="130" t="s">
        <v>4456</v>
      </c>
      <c r="I17" s="132" t="s">
        <v>40</v>
      </c>
      <c r="J17" s="131" t="s">
        <v>4432</v>
      </c>
      <c r="K17" s="132" t="s">
        <v>4433</v>
      </c>
      <c r="L17" s="136">
        <v>8677976</v>
      </c>
      <c r="M17" s="132" t="s">
        <v>4485</v>
      </c>
      <c r="N17" s="136" t="s">
        <v>4457</v>
      </c>
      <c r="O17" s="130" t="s">
        <v>4436</v>
      </c>
      <c r="P17" s="130" t="s">
        <v>241</v>
      </c>
      <c r="Q17" s="130">
        <v>38237090</v>
      </c>
      <c r="R17" s="136">
        <v>58.3</v>
      </c>
      <c r="S17" s="130" t="s">
        <v>70</v>
      </c>
      <c r="T17" s="136" t="s">
        <v>52</v>
      </c>
      <c r="U17" s="136" t="s">
        <v>53</v>
      </c>
      <c r="V17" s="136">
        <v>1285</v>
      </c>
      <c r="W17" s="133">
        <f t="shared" si="1"/>
        <v>74915.5</v>
      </c>
      <c r="X17" s="136">
        <v>0</v>
      </c>
      <c r="Y17" s="136">
        <v>2550</v>
      </c>
      <c r="Z17" s="136">
        <v>0</v>
      </c>
      <c r="AA17" s="136">
        <v>0</v>
      </c>
      <c r="AB17" s="131">
        <v>42095</v>
      </c>
      <c r="AC17" s="134">
        <f t="shared" si="2"/>
        <v>72365.5</v>
      </c>
      <c r="AD17" s="135">
        <v>62</v>
      </c>
      <c r="AE17" s="136">
        <f t="shared" si="0"/>
        <v>4644761</v>
      </c>
      <c r="AF17" s="137">
        <v>4486661</v>
      </c>
      <c r="AG17" s="138">
        <v>62</v>
      </c>
      <c r="AH17" s="136" t="s">
        <v>4486</v>
      </c>
      <c r="AI17" s="136">
        <v>74915.5</v>
      </c>
      <c r="AJ17" s="132" t="s">
        <v>4480</v>
      </c>
      <c r="AK17" s="136" t="s">
        <v>4487</v>
      </c>
      <c r="AL17" s="132" t="s">
        <v>4482</v>
      </c>
      <c r="AM17" s="131" t="s">
        <v>49</v>
      </c>
      <c r="AN17" s="136" t="s">
        <v>4440</v>
      </c>
    </row>
    <row r="18" spans="1:40" s="129" customFormat="1" x14ac:dyDescent="0.25">
      <c r="A18" s="130">
        <v>17</v>
      </c>
      <c r="B18" s="130" t="s">
        <v>4428</v>
      </c>
      <c r="C18" s="130" t="s">
        <v>38</v>
      </c>
      <c r="D18" s="140" t="s">
        <v>4483</v>
      </c>
      <c r="E18" s="132">
        <v>42100</v>
      </c>
      <c r="F18" s="132" t="s">
        <v>4429</v>
      </c>
      <c r="G18" s="132" t="s">
        <v>4488</v>
      </c>
      <c r="H18" s="130" t="s">
        <v>4456</v>
      </c>
      <c r="I18" s="132" t="s">
        <v>40</v>
      </c>
      <c r="J18" s="131" t="s">
        <v>4432</v>
      </c>
      <c r="K18" s="132" t="s">
        <v>4433</v>
      </c>
      <c r="L18" s="136">
        <v>8688516</v>
      </c>
      <c r="M18" s="132" t="s">
        <v>4485</v>
      </c>
      <c r="N18" s="136" t="s">
        <v>4457</v>
      </c>
      <c r="O18" s="130" t="s">
        <v>4436</v>
      </c>
      <c r="P18" s="130" t="s">
        <v>241</v>
      </c>
      <c r="Q18" s="130">
        <v>38237090</v>
      </c>
      <c r="R18" s="136">
        <v>38.94</v>
      </c>
      <c r="S18" s="130" t="s">
        <v>70</v>
      </c>
      <c r="T18" s="136" t="s">
        <v>52</v>
      </c>
      <c r="U18" s="136" t="s">
        <v>53</v>
      </c>
      <c r="V18" s="136">
        <v>1285</v>
      </c>
      <c r="W18" s="133">
        <f t="shared" si="1"/>
        <v>50037.899999999994</v>
      </c>
      <c r="X18" s="136">
        <v>0</v>
      </c>
      <c r="Y18" s="136">
        <v>1700</v>
      </c>
      <c r="Z18" s="136">
        <v>0</v>
      </c>
      <c r="AA18" s="136">
        <v>0</v>
      </c>
      <c r="AB18" s="131">
        <v>42095</v>
      </c>
      <c r="AC18" s="134">
        <f>AF18/AD18</f>
        <v>48337.899999999994</v>
      </c>
      <c r="AD18" s="135">
        <v>62</v>
      </c>
      <c r="AE18" s="136">
        <f>AD18*W18</f>
        <v>3102349.8</v>
      </c>
      <c r="AF18" s="137">
        <v>2996949.8</v>
      </c>
      <c r="AG18" s="138">
        <v>62</v>
      </c>
      <c r="AH18" s="136" t="s">
        <v>4486</v>
      </c>
      <c r="AI18" s="136">
        <v>50037.9</v>
      </c>
      <c r="AJ18" s="132">
        <v>42164</v>
      </c>
      <c r="AK18" s="136" t="s">
        <v>4489</v>
      </c>
      <c r="AL18" s="132">
        <v>42165</v>
      </c>
      <c r="AM18" s="131" t="s">
        <v>49</v>
      </c>
      <c r="AN18" s="136" t="s">
        <v>4440</v>
      </c>
    </row>
    <row r="19" spans="1:40" s="129" customFormat="1" x14ac:dyDescent="0.25">
      <c r="A19" s="136">
        <v>18</v>
      </c>
      <c r="B19" s="130" t="s">
        <v>4428</v>
      </c>
      <c r="C19" s="130" t="s">
        <v>38</v>
      </c>
      <c r="D19" s="136">
        <v>9103551396</v>
      </c>
      <c r="E19" s="132">
        <v>42098</v>
      </c>
      <c r="F19" s="132" t="s">
        <v>4429</v>
      </c>
      <c r="G19" s="141" t="s">
        <v>4490</v>
      </c>
      <c r="H19" s="130" t="s">
        <v>4491</v>
      </c>
      <c r="I19" s="132" t="s">
        <v>40</v>
      </c>
      <c r="J19" s="131" t="s">
        <v>4432</v>
      </c>
      <c r="K19" s="132" t="s">
        <v>4433</v>
      </c>
      <c r="L19" s="136">
        <v>8689480</v>
      </c>
      <c r="M19" s="132" t="s">
        <v>4485</v>
      </c>
      <c r="N19" s="136" t="s">
        <v>3741</v>
      </c>
      <c r="O19" s="130" t="s">
        <v>4436</v>
      </c>
      <c r="P19" s="130" t="s">
        <v>4492</v>
      </c>
      <c r="Q19" s="130">
        <v>29051700</v>
      </c>
      <c r="R19" s="136">
        <v>18.14</v>
      </c>
      <c r="S19" s="130" t="s">
        <v>70</v>
      </c>
      <c r="T19" s="136" t="s">
        <v>44</v>
      </c>
      <c r="U19" s="136" t="s">
        <v>53</v>
      </c>
      <c r="V19" s="136">
        <v>1858</v>
      </c>
      <c r="W19" s="133">
        <f t="shared" si="1"/>
        <v>33704.120000000003</v>
      </c>
      <c r="X19" s="136">
        <v>4.82</v>
      </c>
      <c r="Y19" s="136">
        <v>2085</v>
      </c>
      <c r="Z19" s="136">
        <v>0</v>
      </c>
      <c r="AA19" s="136">
        <v>0</v>
      </c>
      <c r="AB19" s="131">
        <v>42094</v>
      </c>
      <c r="AC19" s="134">
        <f>AF19/AD19</f>
        <v>31624.300000000003</v>
      </c>
      <c r="AD19" s="135">
        <v>62</v>
      </c>
      <c r="AE19" s="136">
        <f t="shared" si="0"/>
        <v>2089655.4400000002</v>
      </c>
      <c r="AF19" s="137">
        <v>1960706.6</v>
      </c>
      <c r="AG19" s="138">
        <v>62</v>
      </c>
      <c r="AH19" s="136" t="s">
        <v>4493</v>
      </c>
      <c r="AI19" s="133">
        <v>33704.120000000003</v>
      </c>
      <c r="AJ19" s="132" t="s">
        <v>4494</v>
      </c>
      <c r="AK19" s="136" t="s">
        <v>4495</v>
      </c>
      <c r="AL19" s="132" t="s">
        <v>4451</v>
      </c>
      <c r="AM19" s="131" t="s">
        <v>49</v>
      </c>
      <c r="AN19" s="133" t="s">
        <v>4440</v>
      </c>
    </row>
    <row r="20" spans="1:40" s="129" customFormat="1" x14ac:dyDescent="0.25">
      <c r="A20" s="130">
        <v>19</v>
      </c>
      <c r="B20" s="130" t="s">
        <v>4428</v>
      </c>
      <c r="C20" s="130" t="s">
        <v>38</v>
      </c>
      <c r="D20" s="136">
        <v>9103551397</v>
      </c>
      <c r="E20" s="132">
        <v>42097</v>
      </c>
      <c r="F20" s="132" t="s">
        <v>4429</v>
      </c>
      <c r="G20" s="141" t="s">
        <v>4496</v>
      </c>
      <c r="H20" s="130" t="s">
        <v>4491</v>
      </c>
      <c r="I20" s="132" t="s">
        <v>40</v>
      </c>
      <c r="J20" s="131" t="s">
        <v>4432</v>
      </c>
      <c r="K20" s="132" t="s">
        <v>4433</v>
      </c>
      <c r="L20" s="136">
        <v>8689482</v>
      </c>
      <c r="M20" s="132" t="s">
        <v>4485</v>
      </c>
      <c r="N20" s="136" t="s">
        <v>3741</v>
      </c>
      <c r="O20" s="130" t="s">
        <v>4436</v>
      </c>
      <c r="P20" s="130" t="s">
        <v>4492</v>
      </c>
      <c r="Q20" s="130">
        <v>29051700</v>
      </c>
      <c r="R20" s="136">
        <v>18.14</v>
      </c>
      <c r="S20" s="130" t="s">
        <v>70</v>
      </c>
      <c r="T20" s="136" t="s">
        <v>44</v>
      </c>
      <c r="U20" s="136" t="s">
        <v>53</v>
      </c>
      <c r="V20" s="136">
        <v>1872</v>
      </c>
      <c r="W20" s="133">
        <f t="shared" si="1"/>
        <v>33958.080000000002</v>
      </c>
      <c r="X20" s="136">
        <v>4.8600000000000003</v>
      </c>
      <c r="Y20" s="136">
        <v>2750</v>
      </c>
      <c r="Z20" s="136">
        <v>0</v>
      </c>
      <c r="AA20" s="136">
        <v>0</v>
      </c>
      <c r="AB20" s="131">
        <v>42094</v>
      </c>
      <c r="AC20" s="134">
        <f t="shared" si="2"/>
        <v>31203.219999999998</v>
      </c>
      <c r="AD20" s="135">
        <v>62</v>
      </c>
      <c r="AE20" s="136">
        <f t="shared" si="0"/>
        <v>2105400.96</v>
      </c>
      <c r="AF20" s="137">
        <v>1934599.64</v>
      </c>
      <c r="AG20" s="138">
        <v>62</v>
      </c>
      <c r="AH20" s="136" t="s">
        <v>4497</v>
      </c>
      <c r="AI20" s="133">
        <v>33958.080000000002</v>
      </c>
      <c r="AJ20" s="132" t="s">
        <v>4494</v>
      </c>
      <c r="AK20" s="136" t="s">
        <v>4498</v>
      </c>
      <c r="AL20" s="132" t="s">
        <v>4451</v>
      </c>
      <c r="AM20" s="131" t="s">
        <v>49</v>
      </c>
      <c r="AN20" s="133" t="s">
        <v>4440</v>
      </c>
    </row>
    <row r="21" spans="1:40" s="129" customFormat="1" x14ac:dyDescent="0.25">
      <c r="A21" s="136">
        <v>20</v>
      </c>
      <c r="B21" s="130" t="s">
        <v>4428</v>
      </c>
      <c r="C21" s="130" t="s">
        <v>38</v>
      </c>
      <c r="D21" s="136" t="s">
        <v>4499</v>
      </c>
      <c r="E21" s="132">
        <v>42099</v>
      </c>
      <c r="F21" s="132" t="s">
        <v>4429</v>
      </c>
      <c r="G21" s="132" t="s">
        <v>112</v>
      </c>
      <c r="H21" s="130" t="s">
        <v>4456</v>
      </c>
      <c r="I21" s="132" t="s">
        <v>40</v>
      </c>
      <c r="J21" s="131" t="s">
        <v>4432</v>
      </c>
      <c r="K21" s="132" t="s">
        <v>4433</v>
      </c>
      <c r="L21" s="136">
        <v>8768881</v>
      </c>
      <c r="M21" s="132">
        <v>42095</v>
      </c>
      <c r="N21" s="136" t="s">
        <v>4457</v>
      </c>
      <c r="O21" s="130" t="s">
        <v>4436</v>
      </c>
      <c r="P21" s="130" t="s">
        <v>241</v>
      </c>
      <c r="Q21" s="130">
        <v>38237090</v>
      </c>
      <c r="R21" s="136">
        <v>58.3</v>
      </c>
      <c r="S21" s="130" t="s">
        <v>70</v>
      </c>
      <c r="T21" s="136" t="s">
        <v>52</v>
      </c>
      <c r="U21" s="136" t="s">
        <v>53</v>
      </c>
      <c r="V21" s="136">
        <v>1285</v>
      </c>
      <c r="W21" s="133">
        <f t="shared" si="1"/>
        <v>74915.5</v>
      </c>
      <c r="X21" s="136">
        <v>0</v>
      </c>
      <c r="Y21" s="136">
        <v>2550</v>
      </c>
      <c r="Z21" s="136">
        <v>0</v>
      </c>
      <c r="AA21" s="136">
        <v>0</v>
      </c>
      <c r="AB21" s="131">
        <v>42097</v>
      </c>
      <c r="AC21" s="134">
        <f t="shared" si="2"/>
        <v>72365.5</v>
      </c>
      <c r="AD21" s="135">
        <v>62</v>
      </c>
      <c r="AE21" s="136">
        <f t="shared" si="0"/>
        <v>4644761</v>
      </c>
      <c r="AF21" s="137">
        <v>4486661</v>
      </c>
      <c r="AG21" s="138">
        <v>62.2</v>
      </c>
      <c r="AH21" s="136" t="s">
        <v>4500</v>
      </c>
      <c r="AI21" s="136">
        <v>74915.5</v>
      </c>
      <c r="AJ21" s="132" t="s">
        <v>4480</v>
      </c>
      <c r="AK21" s="136" t="s">
        <v>4501</v>
      </c>
      <c r="AL21" s="132" t="s">
        <v>4482</v>
      </c>
      <c r="AM21" s="131" t="s">
        <v>49</v>
      </c>
      <c r="AN21" s="136" t="s">
        <v>4440</v>
      </c>
    </row>
    <row r="22" spans="1:40" s="129" customFormat="1" x14ac:dyDescent="0.25">
      <c r="A22" s="130">
        <v>21</v>
      </c>
      <c r="B22" s="130" t="s">
        <v>4428</v>
      </c>
      <c r="C22" s="130" t="s">
        <v>38</v>
      </c>
      <c r="D22" s="136" t="s">
        <v>4499</v>
      </c>
      <c r="E22" s="132">
        <v>42099</v>
      </c>
      <c r="F22" s="132" t="s">
        <v>4429</v>
      </c>
      <c r="G22" s="132" t="s">
        <v>4502</v>
      </c>
      <c r="H22" s="130" t="s">
        <v>4456</v>
      </c>
      <c r="I22" s="132" t="s">
        <v>40</v>
      </c>
      <c r="J22" s="131" t="s">
        <v>4432</v>
      </c>
      <c r="K22" s="132" t="s">
        <v>4433</v>
      </c>
      <c r="L22" s="136">
        <v>8685989</v>
      </c>
      <c r="M22" s="132" t="s">
        <v>4485</v>
      </c>
      <c r="N22" s="136" t="s">
        <v>4457</v>
      </c>
      <c r="O22" s="130" t="s">
        <v>4436</v>
      </c>
      <c r="P22" s="130" t="s">
        <v>241</v>
      </c>
      <c r="Q22" s="130">
        <v>38237090</v>
      </c>
      <c r="R22" s="136">
        <v>78.31</v>
      </c>
      <c r="S22" s="130" t="s">
        <v>70</v>
      </c>
      <c r="T22" s="136" t="s">
        <v>52</v>
      </c>
      <c r="U22" s="136" t="s">
        <v>53</v>
      </c>
      <c r="V22" s="136">
        <v>1285</v>
      </c>
      <c r="W22" s="133">
        <f t="shared" si="1"/>
        <v>100628.35</v>
      </c>
      <c r="X22" s="136">
        <v>0</v>
      </c>
      <c r="Y22" s="136">
        <v>3400</v>
      </c>
      <c r="Z22" s="136">
        <v>0</v>
      </c>
      <c r="AA22" s="136">
        <v>0</v>
      </c>
      <c r="AB22" s="131">
        <v>42095</v>
      </c>
      <c r="AC22" s="134">
        <f t="shared" si="2"/>
        <v>97228.35</v>
      </c>
      <c r="AD22" s="135">
        <v>62</v>
      </c>
      <c r="AE22" s="136">
        <f t="shared" si="0"/>
        <v>6238957.7000000002</v>
      </c>
      <c r="AF22" s="137">
        <v>6028157.7000000002</v>
      </c>
      <c r="AG22" s="138">
        <v>62</v>
      </c>
      <c r="AH22" s="136" t="s">
        <v>4500</v>
      </c>
      <c r="AI22" s="136">
        <v>100628.35</v>
      </c>
      <c r="AJ22" s="132" t="s">
        <v>4480</v>
      </c>
      <c r="AK22" s="136" t="s">
        <v>4503</v>
      </c>
      <c r="AL22" s="132" t="s">
        <v>4482</v>
      </c>
      <c r="AM22" s="131" t="s">
        <v>49</v>
      </c>
      <c r="AN22" s="136" t="s">
        <v>4440</v>
      </c>
    </row>
    <row r="23" spans="1:40" s="129" customFormat="1" x14ac:dyDescent="0.25">
      <c r="A23" s="136">
        <v>22</v>
      </c>
      <c r="B23" s="130" t="s">
        <v>4428</v>
      </c>
      <c r="C23" s="130" t="s">
        <v>38</v>
      </c>
      <c r="D23" s="136" t="s">
        <v>4499</v>
      </c>
      <c r="E23" s="132">
        <v>42099</v>
      </c>
      <c r="F23" s="132" t="s">
        <v>4429</v>
      </c>
      <c r="G23" s="132" t="s">
        <v>4504</v>
      </c>
      <c r="H23" s="130" t="s">
        <v>4456</v>
      </c>
      <c r="I23" s="132" t="s">
        <v>40</v>
      </c>
      <c r="J23" s="131" t="s">
        <v>4432</v>
      </c>
      <c r="K23" s="132" t="s">
        <v>4433</v>
      </c>
      <c r="L23" s="136">
        <v>8703840</v>
      </c>
      <c r="M23" s="132" t="s">
        <v>4485</v>
      </c>
      <c r="N23" s="136" t="s">
        <v>4457</v>
      </c>
      <c r="O23" s="130" t="s">
        <v>4436</v>
      </c>
      <c r="P23" s="130" t="s">
        <v>241</v>
      </c>
      <c r="Q23" s="130">
        <v>38237090</v>
      </c>
      <c r="R23" s="136">
        <v>37.29</v>
      </c>
      <c r="S23" s="130" t="s">
        <v>70</v>
      </c>
      <c r="T23" s="136" t="s">
        <v>52</v>
      </c>
      <c r="U23" s="136" t="s">
        <v>53</v>
      </c>
      <c r="V23" s="136">
        <v>1285</v>
      </c>
      <c r="W23" s="133">
        <f>V23*R23</f>
        <v>47917.65</v>
      </c>
      <c r="X23" s="136">
        <v>0</v>
      </c>
      <c r="Y23" s="136">
        <v>1700</v>
      </c>
      <c r="Z23" s="136">
        <v>0</v>
      </c>
      <c r="AA23" s="136">
        <v>0</v>
      </c>
      <c r="AB23" s="131">
        <v>42095</v>
      </c>
      <c r="AC23" s="134">
        <f>AF23/AD23</f>
        <v>46217.649999999994</v>
      </c>
      <c r="AD23" s="135">
        <v>62</v>
      </c>
      <c r="AE23" s="136">
        <f>AD23*W23</f>
        <v>2970894.3000000003</v>
      </c>
      <c r="AF23" s="137">
        <v>2865494.3</v>
      </c>
      <c r="AG23" s="138">
        <v>62</v>
      </c>
      <c r="AH23" s="136" t="s">
        <v>4500</v>
      </c>
      <c r="AI23" s="136">
        <v>47917.65</v>
      </c>
      <c r="AJ23" s="132" t="s">
        <v>4480</v>
      </c>
      <c r="AK23" s="136" t="s">
        <v>4503</v>
      </c>
      <c r="AL23" s="132" t="s">
        <v>4482</v>
      </c>
      <c r="AM23" s="131" t="s">
        <v>49</v>
      </c>
      <c r="AN23" s="136" t="s">
        <v>4440</v>
      </c>
    </row>
    <row r="24" spans="1:40" s="129" customFormat="1" x14ac:dyDescent="0.25">
      <c r="A24" s="130">
        <v>23</v>
      </c>
      <c r="B24" s="130" t="s">
        <v>4428</v>
      </c>
      <c r="C24" s="130" t="s">
        <v>38</v>
      </c>
      <c r="D24" s="136" t="s">
        <v>4499</v>
      </c>
      <c r="E24" s="132">
        <v>42099</v>
      </c>
      <c r="F24" s="132" t="s">
        <v>4429</v>
      </c>
      <c r="G24" s="132" t="s">
        <v>4505</v>
      </c>
      <c r="H24" s="130" t="s">
        <v>4456</v>
      </c>
      <c r="I24" s="132" t="s">
        <v>40</v>
      </c>
      <c r="J24" s="131" t="s">
        <v>4432</v>
      </c>
      <c r="K24" s="132" t="s">
        <v>4433</v>
      </c>
      <c r="L24" s="136">
        <v>8739828</v>
      </c>
      <c r="M24" s="132">
        <v>42094</v>
      </c>
      <c r="N24" s="136" t="s">
        <v>4457</v>
      </c>
      <c r="O24" s="130" t="s">
        <v>4436</v>
      </c>
      <c r="P24" s="130" t="s">
        <v>241</v>
      </c>
      <c r="Q24" s="130">
        <v>38237090</v>
      </c>
      <c r="R24" s="136">
        <v>18.760000000000002</v>
      </c>
      <c r="S24" s="130" t="s">
        <v>70</v>
      </c>
      <c r="T24" s="136" t="s">
        <v>52</v>
      </c>
      <c r="U24" s="136" t="s">
        <v>53</v>
      </c>
      <c r="V24" s="136">
        <v>1285</v>
      </c>
      <c r="W24" s="133">
        <f>V24*R24</f>
        <v>24106.600000000002</v>
      </c>
      <c r="X24" s="136">
        <v>0</v>
      </c>
      <c r="Y24" s="136">
        <v>850</v>
      </c>
      <c r="Z24" s="136">
        <v>0</v>
      </c>
      <c r="AA24" s="136">
        <v>0</v>
      </c>
      <c r="AB24" s="131">
        <v>42095</v>
      </c>
      <c r="AC24" s="134">
        <f>AF24/AD24</f>
        <v>23256.6</v>
      </c>
      <c r="AD24" s="135">
        <v>62</v>
      </c>
      <c r="AE24" s="136">
        <f>AD24*W24</f>
        <v>1494609.2000000002</v>
      </c>
      <c r="AF24" s="137">
        <v>1441909.2</v>
      </c>
      <c r="AG24" s="138">
        <v>62</v>
      </c>
      <c r="AH24" s="136" t="s">
        <v>4500</v>
      </c>
      <c r="AI24" s="136">
        <v>24106.6</v>
      </c>
      <c r="AJ24" s="132" t="s">
        <v>4480</v>
      </c>
      <c r="AK24" s="136" t="s">
        <v>4503</v>
      </c>
      <c r="AL24" s="132" t="s">
        <v>4482</v>
      </c>
      <c r="AM24" s="131" t="s">
        <v>49</v>
      </c>
      <c r="AN24" s="136" t="s">
        <v>4440</v>
      </c>
    </row>
    <row r="25" spans="1:40" s="129" customFormat="1" x14ac:dyDescent="0.25">
      <c r="A25" s="136">
        <v>24</v>
      </c>
      <c r="B25" s="130" t="s">
        <v>4428</v>
      </c>
      <c r="C25" s="130" t="s">
        <v>38</v>
      </c>
      <c r="D25" s="136" t="s">
        <v>4506</v>
      </c>
      <c r="E25" s="132">
        <v>42100</v>
      </c>
      <c r="F25" s="132" t="s">
        <v>4429</v>
      </c>
      <c r="G25" s="132" t="s">
        <v>134</v>
      </c>
      <c r="H25" s="130" t="s">
        <v>4456</v>
      </c>
      <c r="I25" s="132" t="s">
        <v>40</v>
      </c>
      <c r="J25" s="131" t="s">
        <v>4432</v>
      </c>
      <c r="K25" s="132" t="s">
        <v>4433</v>
      </c>
      <c r="L25" s="136">
        <v>8767506</v>
      </c>
      <c r="M25" s="132">
        <v>42095</v>
      </c>
      <c r="N25" s="136" t="s">
        <v>4457</v>
      </c>
      <c r="O25" s="130" t="s">
        <v>4436</v>
      </c>
      <c r="P25" s="130" t="s">
        <v>241</v>
      </c>
      <c r="Q25" s="136">
        <v>38237090</v>
      </c>
      <c r="R25" s="136">
        <v>38.06</v>
      </c>
      <c r="S25" s="130" t="s">
        <v>70</v>
      </c>
      <c r="T25" s="136" t="s">
        <v>52</v>
      </c>
      <c r="U25" s="136" t="s">
        <v>53</v>
      </c>
      <c r="V25" s="136">
        <v>1285</v>
      </c>
      <c r="W25" s="133">
        <f t="shared" si="1"/>
        <v>48907.100000000006</v>
      </c>
      <c r="X25" s="136">
        <v>0</v>
      </c>
      <c r="Y25" s="136">
        <v>1700</v>
      </c>
      <c r="Z25" s="136">
        <v>0</v>
      </c>
      <c r="AA25" s="136">
        <v>0</v>
      </c>
      <c r="AB25" s="131">
        <v>42076</v>
      </c>
      <c r="AC25" s="134">
        <f t="shared" si="2"/>
        <v>47309.899999999994</v>
      </c>
      <c r="AD25" s="135">
        <v>62</v>
      </c>
      <c r="AE25" s="136">
        <f t="shared" si="0"/>
        <v>3032240.2</v>
      </c>
      <c r="AF25" s="137">
        <v>2933213.8</v>
      </c>
      <c r="AG25" s="138">
        <v>62.2</v>
      </c>
      <c r="AH25" s="136" t="s">
        <v>4507</v>
      </c>
      <c r="AI25" s="136">
        <v>49009.9</v>
      </c>
      <c r="AJ25" s="132">
        <v>42164</v>
      </c>
      <c r="AK25" s="136" t="s">
        <v>4508</v>
      </c>
      <c r="AL25" s="132">
        <v>42165</v>
      </c>
      <c r="AM25" s="131" t="s">
        <v>49</v>
      </c>
      <c r="AN25" s="136" t="s">
        <v>4440</v>
      </c>
    </row>
    <row r="26" spans="1:40" s="129" customFormat="1" x14ac:dyDescent="0.25">
      <c r="A26" s="130">
        <v>25</v>
      </c>
      <c r="B26" s="130" t="s">
        <v>4428</v>
      </c>
      <c r="C26" s="130" t="s">
        <v>38</v>
      </c>
      <c r="D26" s="136" t="s">
        <v>4509</v>
      </c>
      <c r="E26" s="132">
        <v>42100</v>
      </c>
      <c r="F26" s="132" t="s">
        <v>4429</v>
      </c>
      <c r="G26" s="132" t="s">
        <v>4510</v>
      </c>
      <c r="H26" s="130" t="s">
        <v>4456</v>
      </c>
      <c r="I26" s="132" t="s">
        <v>40</v>
      </c>
      <c r="J26" s="131" t="s">
        <v>4432</v>
      </c>
      <c r="K26" s="132" t="s">
        <v>4433</v>
      </c>
      <c r="L26" s="136">
        <v>8702470</v>
      </c>
      <c r="M26" s="132">
        <v>42093</v>
      </c>
      <c r="N26" s="136" t="s">
        <v>4457</v>
      </c>
      <c r="O26" s="130" t="s">
        <v>4436</v>
      </c>
      <c r="P26" s="130" t="s">
        <v>241</v>
      </c>
      <c r="Q26" s="136">
        <v>38237090</v>
      </c>
      <c r="R26" s="136">
        <v>38.06</v>
      </c>
      <c r="S26" s="130" t="s">
        <v>70</v>
      </c>
      <c r="T26" s="136" t="s">
        <v>52</v>
      </c>
      <c r="U26" s="136" t="s">
        <v>53</v>
      </c>
      <c r="V26" s="136">
        <v>1285</v>
      </c>
      <c r="W26" s="133">
        <f t="shared" si="1"/>
        <v>48907.100000000006</v>
      </c>
      <c r="X26" s="136">
        <v>0</v>
      </c>
      <c r="Y26" s="136">
        <v>1700</v>
      </c>
      <c r="Z26" s="136">
        <v>0</v>
      </c>
      <c r="AA26" s="136">
        <v>0</v>
      </c>
      <c r="AB26" s="131">
        <v>42094</v>
      </c>
      <c r="AC26" s="134">
        <f t="shared" si="2"/>
        <v>47207.100000000006</v>
      </c>
      <c r="AD26" s="135">
        <v>62</v>
      </c>
      <c r="AE26" s="136">
        <f t="shared" si="0"/>
        <v>3032240.2</v>
      </c>
      <c r="AF26" s="137">
        <v>2926840.2</v>
      </c>
      <c r="AG26" s="138">
        <v>62</v>
      </c>
      <c r="AH26" s="136" t="s">
        <v>4507</v>
      </c>
      <c r="AI26" s="136">
        <v>48907.1</v>
      </c>
      <c r="AJ26" s="132">
        <v>42164</v>
      </c>
      <c r="AK26" s="136" t="s">
        <v>4511</v>
      </c>
      <c r="AL26" s="132">
        <v>42165</v>
      </c>
      <c r="AM26" s="131" t="s">
        <v>49</v>
      </c>
      <c r="AN26" s="136" t="s">
        <v>4440</v>
      </c>
    </row>
    <row r="27" spans="1:40" s="129" customFormat="1" x14ac:dyDescent="0.25">
      <c r="A27" s="136">
        <v>26</v>
      </c>
      <c r="B27" s="130" t="s">
        <v>4428</v>
      </c>
      <c r="C27" s="130" t="s">
        <v>38</v>
      </c>
      <c r="D27" s="136" t="s">
        <v>4509</v>
      </c>
      <c r="E27" s="132">
        <v>42100</v>
      </c>
      <c r="F27" s="132" t="s">
        <v>4429</v>
      </c>
      <c r="G27" s="132" t="s">
        <v>4512</v>
      </c>
      <c r="H27" s="130" t="s">
        <v>4456</v>
      </c>
      <c r="I27" s="132" t="s">
        <v>40</v>
      </c>
      <c r="J27" s="131" t="s">
        <v>4432</v>
      </c>
      <c r="K27" s="132" t="s">
        <v>4433</v>
      </c>
      <c r="L27" s="136">
        <v>8739146</v>
      </c>
      <c r="M27" s="132">
        <v>42094</v>
      </c>
      <c r="N27" s="136" t="s">
        <v>4457</v>
      </c>
      <c r="O27" s="130"/>
      <c r="P27" s="130" t="s">
        <v>241</v>
      </c>
      <c r="Q27" s="130">
        <v>38237090</v>
      </c>
      <c r="R27" s="136">
        <v>18.73</v>
      </c>
      <c r="S27" s="130" t="s">
        <v>70</v>
      </c>
      <c r="T27" s="136" t="s">
        <v>52</v>
      </c>
      <c r="U27" s="136" t="s">
        <v>53</v>
      </c>
      <c r="V27" s="136">
        <v>1285</v>
      </c>
      <c r="W27" s="133">
        <f t="shared" si="1"/>
        <v>24068.05</v>
      </c>
      <c r="X27" s="136">
        <v>0</v>
      </c>
      <c r="Y27" s="136">
        <v>850</v>
      </c>
      <c r="Z27" s="136">
        <v>0</v>
      </c>
      <c r="AA27" s="136">
        <v>0</v>
      </c>
      <c r="AB27" s="131">
        <v>42095</v>
      </c>
      <c r="AC27" s="134">
        <f t="shared" si="2"/>
        <v>23218.050000000003</v>
      </c>
      <c r="AD27" s="135">
        <v>62</v>
      </c>
      <c r="AE27" s="136">
        <f t="shared" si="0"/>
        <v>1492219.0999999999</v>
      </c>
      <c r="AF27" s="130">
        <v>1439519.1</v>
      </c>
      <c r="AG27" s="138">
        <v>62</v>
      </c>
      <c r="AH27" s="136" t="s">
        <v>4507</v>
      </c>
      <c r="AI27" s="136">
        <v>24068.05</v>
      </c>
      <c r="AJ27" s="132">
        <v>42164</v>
      </c>
      <c r="AK27" s="136" t="s">
        <v>4513</v>
      </c>
      <c r="AL27" s="132">
        <v>42165</v>
      </c>
      <c r="AM27" s="131" t="s">
        <v>49</v>
      </c>
      <c r="AN27" s="136" t="s">
        <v>4440</v>
      </c>
    </row>
    <row r="28" spans="1:40" s="129" customFormat="1" x14ac:dyDescent="0.25">
      <c r="A28" s="130">
        <v>27</v>
      </c>
      <c r="B28" s="130" t="s">
        <v>4428</v>
      </c>
      <c r="C28" s="130" t="s">
        <v>38</v>
      </c>
      <c r="D28" s="136" t="s">
        <v>4514</v>
      </c>
      <c r="E28" s="132">
        <v>42099</v>
      </c>
      <c r="F28" s="132" t="s">
        <v>4429</v>
      </c>
      <c r="G28" s="132" t="s">
        <v>111</v>
      </c>
      <c r="H28" s="130" t="s">
        <v>4456</v>
      </c>
      <c r="I28" s="132" t="s">
        <v>40</v>
      </c>
      <c r="J28" s="131" t="s">
        <v>4432</v>
      </c>
      <c r="K28" s="132" t="s">
        <v>4433</v>
      </c>
      <c r="L28" s="136">
        <v>8768791</v>
      </c>
      <c r="M28" s="132">
        <v>42095</v>
      </c>
      <c r="N28" s="136" t="s">
        <v>4457</v>
      </c>
      <c r="O28" s="130" t="s">
        <v>4436</v>
      </c>
      <c r="P28" s="130" t="s">
        <v>241</v>
      </c>
      <c r="Q28" s="130">
        <v>38237090</v>
      </c>
      <c r="R28" s="136">
        <v>77.040000000000006</v>
      </c>
      <c r="S28" s="130" t="s">
        <v>70</v>
      </c>
      <c r="T28" s="136" t="s">
        <v>52</v>
      </c>
      <c r="U28" s="136" t="s">
        <v>1117</v>
      </c>
      <c r="V28" s="136">
        <v>1285</v>
      </c>
      <c r="W28" s="133">
        <f t="shared" si="1"/>
        <v>98996.400000000009</v>
      </c>
      <c r="X28" s="136">
        <v>0</v>
      </c>
      <c r="Y28" s="136">
        <v>3400</v>
      </c>
      <c r="Z28" s="136">
        <v>0</v>
      </c>
      <c r="AA28" s="136">
        <v>0</v>
      </c>
      <c r="AB28" s="131">
        <v>42096</v>
      </c>
      <c r="AC28" s="134">
        <f t="shared" si="2"/>
        <v>95596.4</v>
      </c>
      <c r="AD28" s="135">
        <v>62</v>
      </c>
      <c r="AE28" s="136">
        <f t="shared" si="0"/>
        <v>6137776.8000000007</v>
      </c>
      <c r="AF28" s="130">
        <v>5926976.7999999998</v>
      </c>
      <c r="AG28" s="138">
        <v>62.2</v>
      </c>
      <c r="AH28" s="136" t="s">
        <v>4515</v>
      </c>
      <c r="AI28" s="136">
        <v>98996.4</v>
      </c>
      <c r="AJ28" s="132">
        <v>42179</v>
      </c>
      <c r="AK28" s="136" t="s">
        <v>4516</v>
      </c>
      <c r="AL28" s="132">
        <v>42180</v>
      </c>
      <c r="AM28" s="131" t="s">
        <v>49</v>
      </c>
      <c r="AN28" s="136" t="s">
        <v>4440</v>
      </c>
    </row>
    <row r="29" spans="1:40" s="129" customFormat="1" x14ac:dyDescent="0.25">
      <c r="A29" s="136">
        <v>28</v>
      </c>
      <c r="B29" s="130" t="s">
        <v>4428</v>
      </c>
      <c r="C29" s="130" t="s">
        <v>38</v>
      </c>
      <c r="D29" s="136" t="s">
        <v>4514</v>
      </c>
      <c r="E29" s="132">
        <v>42099</v>
      </c>
      <c r="F29" s="132" t="s">
        <v>4429</v>
      </c>
      <c r="G29" s="132" t="s">
        <v>4517</v>
      </c>
      <c r="H29" s="130" t="s">
        <v>4456</v>
      </c>
      <c r="I29" s="132" t="s">
        <v>40</v>
      </c>
      <c r="J29" s="131" t="s">
        <v>4432</v>
      </c>
      <c r="K29" s="132" t="s">
        <v>4433</v>
      </c>
      <c r="L29" s="136">
        <v>8703855</v>
      </c>
      <c r="M29" s="132">
        <v>42093</v>
      </c>
      <c r="N29" s="136" t="s">
        <v>4457</v>
      </c>
      <c r="O29" s="130" t="s">
        <v>4436</v>
      </c>
      <c r="P29" s="130" t="s">
        <v>241</v>
      </c>
      <c r="Q29" s="130">
        <v>38237090</v>
      </c>
      <c r="R29" s="136">
        <v>37.409999999999997</v>
      </c>
      <c r="S29" s="130" t="s">
        <v>70</v>
      </c>
      <c r="T29" s="136" t="s">
        <v>52</v>
      </c>
      <c r="U29" s="136" t="s">
        <v>53</v>
      </c>
      <c r="V29" s="136">
        <v>1285</v>
      </c>
      <c r="W29" s="133">
        <f t="shared" si="1"/>
        <v>48071.85</v>
      </c>
      <c r="X29" s="136">
        <v>0</v>
      </c>
      <c r="Y29" s="136">
        <v>1700</v>
      </c>
      <c r="Z29" s="136">
        <v>0</v>
      </c>
      <c r="AA29" s="136">
        <v>0</v>
      </c>
      <c r="AB29" s="131">
        <v>42095</v>
      </c>
      <c r="AC29" s="134">
        <f t="shared" si="2"/>
        <v>46371.850000000006</v>
      </c>
      <c r="AD29" s="135">
        <v>62</v>
      </c>
      <c r="AE29" s="136">
        <f t="shared" si="0"/>
        <v>2980454.6999999997</v>
      </c>
      <c r="AF29" s="137">
        <v>2875054.7</v>
      </c>
      <c r="AG29" s="138">
        <v>62</v>
      </c>
      <c r="AH29" s="136" t="s">
        <v>4515</v>
      </c>
      <c r="AI29" s="136">
        <v>48071.85</v>
      </c>
      <c r="AJ29" s="132">
        <v>42179</v>
      </c>
      <c r="AK29" s="136" t="s">
        <v>4518</v>
      </c>
      <c r="AL29" s="132">
        <v>42180</v>
      </c>
      <c r="AM29" s="131" t="s">
        <v>49</v>
      </c>
      <c r="AN29" s="136" t="s">
        <v>4440</v>
      </c>
    </row>
    <row r="30" spans="1:40" s="129" customFormat="1" x14ac:dyDescent="0.25">
      <c r="A30" s="130">
        <v>29</v>
      </c>
      <c r="B30" s="130" t="s">
        <v>4428</v>
      </c>
      <c r="C30" s="130" t="s">
        <v>38</v>
      </c>
      <c r="D30" s="136" t="s">
        <v>4514</v>
      </c>
      <c r="E30" s="132">
        <v>42099</v>
      </c>
      <c r="F30" s="132" t="s">
        <v>4429</v>
      </c>
      <c r="G30" s="132" t="s">
        <v>4519</v>
      </c>
      <c r="H30" s="130" t="s">
        <v>4456</v>
      </c>
      <c r="I30" s="132" t="s">
        <v>40</v>
      </c>
      <c r="J30" s="131" t="s">
        <v>4432</v>
      </c>
      <c r="K30" s="132" t="s">
        <v>4433</v>
      </c>
      <c r="L30" s="136">
        <v>8734306</v>
      </c>
      <c r="M30" s="132">
        <v>42094</v>
      </c>
      <c r="N30" s="136" t="s">
        <v>4457</v>
      </c>
      <c r="O30" s="130" t="s">
        <v>4436</v>
      </c>
      <c r="P30" s="130" t="s">
        <v>241</v>
      </c>
      <c r="Q30" s="130">
        <v>38237090</v>
      </c>
      <c r="R30" s="136">
        <v>77.069999999999993</v>
      </c>
      <c r="S30" s="130" t="s">
        <v>70</v>
      </c>
      <c r="T30" s="136" t="s">
        <v>52</v>
      </c>
      <c r="U30" s="136" t="s">
        <v>53</v>
      </c>
      <c r="V30" s="136">
        <v>1285</v>
      </c>
      <c r="W30" s="133">
        <f>V30*R30</f>
        <v>99034.95</v>
      </c>
      <c r="X30" s="136">
        <v>0</v>
      </c>
      <c r="Y30" s="136">
        <v>3400</v>
      </c>
      <c r="Z30" s="136">
        <v>0</v>
      </c>
      <c r="AA30" s="136">
        <v>0</v>
      </c>
      <c r="AB30" s="131">
        <v>42095</v>
      </c>
      <c r="AC30" s="134">
        <f>AF30/AD30</f>
        <v>95634.950000000012</v>
      </c>
      <c r="AD30" s="135">
        <v>62</v>
      </c>
      <c r="AE30" s="136">
        <f>AD30*W30</f>
        <v>6140166.8999999994</v>
      </c>
      <c r="AF30" s="137">
        <v>5929366.9000000004</v>
      </c>
      <c r="AG30" s="138">
        <v>62</v>
      </c>
      <c r="AH30" s="136" t="s">
        <v>4515</v>
      </c>
      <c r="AI30" s="136">
        <v>99034.95</v>
      </c>
      <c r="AJ30" s="132">
        <v>42179</v>
      </c>
      <c r="AK30" s="136" t="s">
        <v>4520</v>
      </c>
      <c r="AL30" s="132">
        <v>42180</v>
      </c>
      <c r="AM30" s="131" t="s">
        <v>49</v>
      </c>
      <c r="AN30" s="136" t="s">
        <v>4440</v>
      </c>
    </row>
    <row r="31" spans="1:40" s="129" customFormat="1" x14ac:dyDescent="0.25">
      <c r="A31" s="136">
        <v>30</v>
      </c>
      <c r="B31" s="130" t="s">
        <v>4428</v>
      </c>
      <c r="C31" s="130" t="s">
        <v>38</v>
      </c>
      <c r="D31" s="136">
        <v>9103650004</v>
      </c>
      <c r="E31" s="132">
        <v>42100</v>
      </c>
      <c r="F31" s="132" t="s">
        <v>4429</v>
      </c>
      <c r="G31" s="132" t="s">
        <v>115</v>
      </c>
      <c r="H31" s="130" t="s">
        <v>4491</v>
      </c>
      <c r="I31" s="132" t="s">
        <v>40</v>
      </c>
      <c r="J31" s="131" t="s">
        <v>4432</v>
      </c>
      <c r="K31" s="132" t="s">
        <v>4433</v>
      </c>
      <c r="L31" s="136">
        <v>8783410</v>
      </c>
      <c r="M31" s="132" t="s">
        <v>4521</v>
      </c>
      <c r="N31" s="136" t="s">
        <v>3741</v>
      </c>
      <c r="O31" s="130" t="s">
        <v>4436</v>
      </c>
      <c r="P31" s="130" t="s">
        <v>4492</v>
      </c>
      <c r="Q31" s="130">
        <v>29051700</v>
      </c>
      <c r="R31" s="136">
        <v>18.41</v>
      </c>
      <c r="S31" s="130" t="s">
        <v>70</v>
      </c>
      <c r="T31" s="136" t="s">
        <v>44</v>
      </c>
      <c r="U31" s="136" t="s">
        <v>53</v>
      </c>
      <c r="V31" s="136">
        <v>2043</v>
      </c>
      <c r="W31" s="133">
        <f t="shared" si="1"/>
        <v>37611.629999999997</v>
      </c>
      <c r="X31" s="136">
        <v>5.38</v>
      </c>
      <c r="Y31" s="136">
        <v>4250</v>
      </c>
      <c r="Z31" s="136">
        <v>0</v>
      </c>
      <c r="AA31" s="136">
        <v>0</v>
      </c>
      <c r="AB31" s="131">
        <v>42097</v>
      </c>
      <c r="AC31" s="134">
        <f t="shared" si="2"/>
        <v>33356.25</v>
      </c>
      <c r="AD31" s="135">
        <v>62.2</v>
      </c>
      <c r="AE31" s="136">
        <f t="shared" si="0"/>
        <v>2339443.3859999999</v>
      </c>
      <c r="AF31" s="137">
        <v>2074758.75</v>
      </c>
      <c r="AG31" s="138">
        <v>62.2</v>
      </c>
      <c r="AH31" s="136" t="s">
        <v>4522</v>
      </c>
      <c r="AI31" s="136">
        <v>37611.629999999997</v>
      </c>
      <c r="AJ31" s="132" t="s">
        <v>4494</v>
      </c>
      <c r="AK31" s="136" t="s">
        <v>4523</v>
      </c>
      <c r="AL31" s="132" t="s">
        <v>4451</v>
      </c>
      <c r="AM31" s="131" t="s">
        <v>49</v>
      </c>
      <c r="AN31" s="136" t="s">
        <v>4440</v>
      </c>
    </row>
    <row r="32" spans="1:40" s="129" customFormat="1" x14ac:dyDescent="0.25">
      <c r="A32" s="130">
        <v>31</v>
      </c>
      <c r="B32" s="130" t="s">
        <v>4428</v>
      </c>
      <c r="C32" s="130" t="s">
        <v>38</v>
      </c>
      <c r="D32" s="136">
        <v>9103650005</v>
      </c>
      <c r="E32" s="132">
        <v>42101</v>
      </c>
      <c r="F32" s="132" t="s">
        <v>4429</v>
      </c>
      <c r="G32" s="132" t="s">
        <v>114</v>
      </c>
      <c r="H32" s="130" t="s">
        <v>4463</v>
      </c>
      <c r="I32" s="132" t="s">
        <v>40</v>
      </c>
      <c r="J32" s="131" t="s">
        <v>4432</v>
      </c>
      <c r="K32" s="132" t="s">
        <v>4433</v>
      </c>
      <c r="L32" s="136">
        <v>8791916</v>
      </c>
      <c r="M32" s="132">
        <v>42097</v>
      </c>
      <c r="N32" s="136" t="s">
        <v>4524</v>
      </c>
      <c r="O32" s="130" t="s">
        <v>4436</v>
      </c>
      <c r="P32" s="130" t="s">
        <v>90</v>
      </c>
      <c r="Q32" s="130">
        <v>38231190</v>
      </c>
      <c r="R32" s="136">
        <v>12</v>
      </c>
      <c r="S32" s="130" t="s">
        <v>70</v>
      </c>
      <c r="T32" s="136" t="s">
        <v>44</v>
      </c>
      <c r="U32" s="136" t="s">
        <v>53</v>
      </c>
      <c r="V32" s="136">
        <v>1108</v>
      </c>
      <c r="W32" s="133">
        <f t="shared" si="1"/>
        <v>13296</v>
      </c>
      <c r="X32" s="136">
        <v>1.9</v>
      </c>
      <c r="Y32" s="136">
        <v>900</v>
      </c>
      <c r="Z32" s="136">
        <v>0</v>
      </c>
      <c r="AA32" s="136">
        <v>0</v>
      </c>
      <c r="AB32" s="131">
        <v>42098</v>
      </c>
      <c r="AC32" s="134">
        <f t="shared" si="2"/>
        <v>12394.1</v>
      </c>
      <c r="AD32" s="135">
        <v>62.2</v>
      </c>
      <c r="AE32" s="136">
        <f t="shared" si="0"/>
        <v>827011.20000000007</v>
      </c>
      <c r="AF32" s="137">
        <v>770913.02</v>
      </c>
      <c r="AG32" s="138">
        <v>62.2</v>
      </c>
      <c r="AH32" s="136" t="s">
        <v>4525</v>
      </c>
      <c r="AI32" s="136">
        <v>13212</v>
      </c>
      <c r="AJ32" s="132">
        <v>42075</v>
      </c>
      <c r="AK32" s="136" t="s">
        <v>4526</v>
      </c>
      <c r="AL32" s="132">
        <v>42147</v>
      </c>
      <c r="AM32" s="131" t="s">
        <v>49</v>
      </c>
      <c r="AN32" s="136" t="s">
        <v>4440</v>
      </c>
    </row>
    <row r="33" spans="1:40" s="129" customFormat="1" x14ac:dyDescent="0.25">
      <c r="A33" s="136">
        <v>32</v>
      </c>
      <c r="B33" s="130" t="s">
        <v>4428</v>
      </c>
      <c r="C33" s="130" t="s">
        <v>38</v>
      </c>
      <c r="D33" s="136">
        <v>9103650006</v>
      </c>
      <c r="E33" s="132">
        <v>42101</v>
      </c>
      <c r="F33" s="132" t="s">
        <v>4429</v>
      </c>
      <c r="G33" s="132" t="s">
        <v>113</v>
      </c>
      <c r="H33" s="130" t="s">
        <v>4456</v>
      </c>
      <c r="I33" s="132" t="s">
        <v>40</v>
      </c>
      <c r="J33" s="131" t="s">
        <v>4432</v>
      </c>
      <c r="K33" s="132" t="s">
        <v>4433</v>
      </c>
      <c r="L33" s="136">
        <v>8792755</v>
      </c>
      <c r="M33" s="132">
        <v>42097</v>
      </c>
      <c r="N33" s="136" t="s">
        <v>4527</v>
      </c>
      <c r="O33" s="130" t="s">
        <v>4436</v>
      </c>
      <c r="P33" s="130" t="s">
        <v>2657</v>
      </c>
      <c r="Q33" s="130">
        <v>38237090</v>
      </c>
      <c r="R33" s="136">
        <v>11</v>
      </c>
      <c r="S33" s="130" t="s">
        <v>70</v>
      </c>
      <c r="T33" s="136" t="s">
        <v>52</v>
      </c>
      <c r="U33" s="136" t="s">
        <v>4528</v>
      </c>
      <c r="V33" s="136">
        <v>2559</v>
      </c>
      <c r="W33" s="133">
        <f t="shared" si="1"/>
        <v>28149</v>
      </c>
      <c r="X33" s="136">
        <v>0</v>
      </c>
      <c r="Y33" s="136">
        <v>700</v>
      </c>
      <c r="Z33" s="136">
        <v>0</v>
      </c>
      <c r="AA33" s="136">
        <v>0</v>
      </c>
      <c r="AB33" s="131">
        <v>42098</v>
      </c>
      <c r="AC33" s="134">
        <f t="shared" si="2"/>
        <v>27449</v>
      </c>
      <c r="AD33" s="135">
        <v>66.849999999999994</v>
      </c>
      <c r="AE33" s="136">
        <f t="shared" si="0"/>
        <v>1881760.65</v>
      </c>
      <c r="AF33" s="130">
        <v>1834965.65</v>
      </c>
      <c r="AG33" s="138">
        <v>66.849999999999994</v>
      </c>
      <c r="AH33" s="136" t="s">
        <v>4529</v>
      </c>
      <c r="AI33" s="136">
        <v>28149</v>
      </c>
      <c r="AJ33" s="132">
        <v>42163</v>
      </c>
      <c r="AK33" s="136" t="s">
        <v>4530</v>
      </c>
      <c r="AL33" s="132">
        <v>42163</v>
      </c>
      <c r="AM33" s="131" t="s">
        <v>49</v>
      </c>
      <c r="AN33" s="136" t="s">
        <v>4440</v>
      </c>
    </row>
    <row r="34" spans="1:40" s="129" customFormat="1" x14ac:dyDescent="0.25">
      <c r="A34" s="130">
        <v>33</v>
      </c>
      <c r="B34" s="130" t="s">
        <v>4428</v>
      </c>
      <c r="C34" s="130" t="s">
        <v>38</v>
      </c>
      <c r="D34" s="136">
        <v>9103650007</v>
      </c>
      <c r="E34" s="132">
        <v>42103</v>
      </c>
      <c r="F34" s="132" t="s">
        <v>4429</v>
      </c>
      <c r="G34" s="132" t="s">
        <v>1319</v>
      </c>
      <c r="H34" s="130" t="s">
        <v>4446</v>
      </c>
      <c r="I34" s="132" t="s">
        <v>40</v>
      </c>
      <c r="J34" s="131" t="s">
        <v>4432</v>
      </c>
      <c r="K34" s="132" t="s">
        <v>4433</v>
      </c>
      <c r="L34" s="136">
        <v>8792860</v>
      </c>
      <c r="M34" s="132" t="s">
        <v>4531</v>
      </c>
      <c r="N34" s="136" t="s">
        <v>4532</v>
      </c>
      <c r="O34" s="130" t="s">
        <v>4436</v>
      </c>
      <c r="P34" s="130" t="s">
        <v>77</v>
      </c>
      <c r="Q34" s="130">
        <v>38237090</v>
      </c>
      <c r="R34" s="136">
        <v>15</v>
      </c>
      <c r="S34" s="130" t="s">
        <v>70</v>
      </c>
      <c r="T34" s="136" t="s">
        <v>52</v>
      </c>
      <c r="U34" s="136" t="s">
        <v>53</v>
      </c>
      <c r="V34" s="136">
        <v>1490</v>
      </c>
      <c r="W34" s="133">
        <f t="shared" si="1"/>
        <v>22350</v>
      </c>
      <c r="X34" s="136">
        <v>0</v>
      </c>
      <c r="Y34" s="136">
        <v>900</v>
      </c>
      <c r="Z34" s="136">
        <v>0</v>
      </c>
      <c r="AA34" s="136">
        <v>0</v>
      </c>
      <c r="AB34" s="131">
        <v>42099</v>
      </c>
      <c r="AC34" s="134">
        <f t="shared" si="2"/>
        <v>21450</v>
      </c>
      <c r="AD34" s="135">
        <v>62.2</v>
      </c>
      <c r="AE34" s="136">
        <f t="shared" si="0"/>
        <v>1390170</v>
      </c>
      <c r="AF34" s="137">
        <v>1334190</v>
      </c>
      <c r="AG34" s="138">
        <v>62.2</v>
      </c>
      <c r="AH34" s="136" t="s">
        <v>4533</v>
      </c>
      <c r="AI34" s="136">
        <v>22350</v>
      </c>
      <c r="AJ34" s="132" t="s">
        <v>4534</v>
      </c>
      <c r="AK34" s="136" t="s">
        <v>4535</v>
      </c>
      <c r="AL34" s="132" t="s">
        <v>4536</v>
      </c>
      <c r="AM34" s="131" t="s">
        <v>49</v>
      </c>
      <c r="AN34" s="136" t="s">
        <v>4440</v>
      </c>
    </row>
    <row r="35" spans="1:40" s="129" customFormat="1" x14ac:dyDescent="0.25">
      <c r="A35" s="136">
        <v>34</v>
      </c>
      <c r="B35" s="130" t="s">
        <v>4428</v>
      </c>
      <c r="C35" s="130" t="s">
        <v>38</v>
      </c>
      <c r="D35" s="136">
        <v>9103650008</v>
      </c>
      <c r="E35" s="132">
        <v>42102</v>
      </c>
      <c r="F35" s="132" t="s">
        <v>4429</v>
      </c>
      <c r="G35" s="132" t="s">
        <v>116</v>
      </c>
      <c r="H35" s="130" t="s">
        <v>4463</v>
      </c>
      <c r="I35" s="132" t="s">
        <v>40</v>
      </c>
      <c r="J35" s="131" t="s">
        <v>4432</v>
      </c>
      <c r="K35" s="132" t="s">
        <v>4433</v>
      </c>
      <c r="L35" s="136">
        <v>8799655</v>
      </c>
      <c r="M35" s="132">
        <v>42098</v>
      </c>
      <c r="N35" s="136" t="s">
        <v>4537</v>
      </c>
      <c r="O35" s="130" t="s">
        <v>4436</v>
      </c>
      <c r="P35" s="130" t="s">
        <v>492</v>
      </c>
      <c r="Q35" s="130">
        <v>38237090</v>
      </c>
      <c r="R35" s="136">
        <v>150</v>
      </c>
      <c r="S35" s="130" t="s">
        <v>70</v>
      </c>
      <c r="T35" s="136" t="s">
        <v>67</v>
      </c>
      <c r="U35" s="136" t="s">
        <v>53</v>
      </c>
      <c r="V35" s="136">
        <v>1300</v>
      </c>
      <c r="W35" s="133">
        <f t="shared" si="1"/>
        <v>195000</v>
      </c>
      <c r="X35" s="136">
        <v>0</v>
      </c>
      <c r="Y35" s="136">
        <v>0</v>
      </c>
      <c r="Z35" s="136">
        <v>0</v>
      </c>
      <c r="AA35" s="136">
        <v>0</v>
      </c>
      <c r="AB35" s="131">
        <v>42098</v>
      </c>
      <c r="AC35" s="134">
        <f t="shared" si="2"/>
        <v>195000</v>
      </c>
      <c r="AD35" s="135">
        <v>62.2</v>
      </c>
      <c r="AE35" s="136">
        <f t="shared" si="0"/>
        <v>12129000</v>
      </c>
      <c r="AF35" s="137">
        <v>12129000</v>
      </c>
      <c r="AG35" s="138">
        <v>62.2</v>
      </c>
      <c r="AH35" s="136" t="s">
        <v>4538</v>
      </c>
      <c r="AI35" s="133">
        <v>194948</v>
      </c>
      <c r="AJ35" s="132">
        <v>42104</v>
      </c>
      <c r="AK35" s="136" t="s">
        <v>4539</v>
      </c>
      <c r="AL35" s="132">
        <v>42147</v>
      </c>
      <c r="AM35" s="131" t="s">
        <v>49</v>
      </c>
      <c r="AN35" s="133" t="s">
        <v>4440</v>
      </c>
    </row>
    <row r="36" spans="1:40" s="129" customFormat="1" x14ac:dyDescent="0.25">
      <c r="A36" s="130">
        <v>35</v>
      </c>
      <c r="B36" s="130" t="s">
        <v>4428</v>
      </c>
      <c r="C36" s="130" t="s">
        <v>38</v>
      </c>
      <c r="D36" s="136">
        <v>9103650009</v>
      </c>
      <c r="E36" s="132">
        <v>42103</v>
      </c>
      <c r="F36" s="132" t="s">
        <v>4429</v>
      </c>
      <c r="G36" s="132" t="s">
        <v>117</v>
      </c>
      <c r="H36" s="130" t="s">
        <v>4446</v>
      </c>
      <c r="I36" s="132" t="s">
        <v>40</v>
      </c>
      <c r="J36" s="131" t="s">
        <v>4432</v>
      </c>
      <c r="K36" s="132" t="s">
        <v>4433</v>
      </c>
      <c r="L36" s="136">
        <v>8800262</v>
      </c>
      <c r="M36" s="132" t="s">
        <v>4540</v>
      </c>
      <c r="N36" s="136" t="s">
        <v>4452</v>
      </c>
      <c r="O36" s="130" t="s">
        <v>4436</v>
      </c>
      <c r="P36" s="130" t="s">
        <v>75</v>
      </c>
      <c r="Q36" s="130">
        <v>38237090</v>
      </c>
      <c r="R36" s="136">
        <v>32</v>
      </c>
      <c r="S36" s="130" t="s">
        <v>70</v>
      </c>
      <c r="T36" s="136" t="s">
        <v>52</v>
      </c>
      <c r="U36" s="136" t="s">
        <v>53</v>
      </c>
      <c r="V36" s="136">
        <v>3810</v>
      </c>
      <c r="W36" s="133">
        <f t="shared" si="1"/>
        <v>121920</v>
      </c>
      <c r="X36" s="136">
        <v>0</v>
      </c>
      <c r="Y36" s="136">
        <v>200</v>
      </c>
      <c r="Z36" s="136">
        <v>0</v>
      </c>
      <c r="AA36" s="136">
        <v>0</v>
      </c>
      <c r="AB36" s="131">
        <v>42098</v>
      </c>
      <c r="AC36" s="134">
        <f t="shared" si="2"/>
        <v>121720</v>
      </c>
      <c r="AD36" s="135">
        <v>62.2</v>
      </c>
      <c r="AE36" s="136">
        <f t="shared" si="0"/>
        <v>7583424</v>
      </c>
      <c r="AF36" s="137">
        <v>7570984</v>
      </c>
      <c r="AG36" s="138">
        <v>62.2</v>
      </c>
      <c r="AH36" s="136" t="s">
        <v>4541</v>
      </c>
      <c r="AI36" s="133">
        <v>121920</v>
      </c>
      <c r="AJ36" s="132" t="s">
        <v>4542</v>
      </c>
      <c r="AK36" s="136" t="s">
        <v>4543</v>
      </c>
      <c r="AL36" s="132" t="s">
        <v>4451</v>
      </c>
      <c r="AM36" s="131" t="s">
        <v>49</v>
      </c>
      <c r="AN36" s="133" t="s">
        <v>4440</v>
      </c>
    </row>
    <row r="37" spans="1:40" s="129" customFormat="1" x14ac:dyDescent="0.25">
      <c r="A37" s="136">
        <v>36</v>
      </c>
      <c r="B37" s="130" t="s">
        <v>4428</v>
      </c>
      <c r="C37" s="130" t="s">
        <v>38</v>
      </c>
      <c r="D37" s="136">
        <v>9103650010</v>
      </c>
      <c r="E37" s="132">
        <v>42105</v>
      </c>
      <c r="F37" s="132" t="s">
        <v>4429</v>
      </c>
      <c r="G37" s="132" t="s">
        <v>121</v>
      </c>
      <c r="H37" s="130" t="s">
        <v>4446</v>
      </c>
      <c r="I37" s="132" t="s">
        <v>40</v>
      </c>
      <c r="J37" s="131" t="s">
        <v>4432</v>
      </c>
      <c r="K37" s="132" t="s">
        <v>4433</v>
      </c>
      <c r="L37" s="136">
        <v>8811890</v>
      </c>
      <c r="M37" s="132">
        <v>42098</v>
      </c>
      <c r="N37" s="136" t="s">
        <v>4544</v>
      </c>
      <c r="O37" s="130" t="s">
        <v>4436</v>
      </c>
      <c r="P37" s="130" t="s">
        <v>75</v>
      </c>
      <c r="Q37" s="130">
        <v>29159090</v>
      </c>
      <c r="R37" s="136">
        <v>20</v>
      </c>
      <c r="S37" s="130" t="s">
        <v>70</v>
      </c>
      <c r="T37" s="136" t="s">
        <v>52</v>
      </c>
      <c r="U37" s="136" t="s">
        <v>53</v>
      </c>
      <c r="V37" s="136">
        <v>3400</v>
      </c>
      <c r="W37" s="133">
        <f t="shared" si="1"/>
        <v>68000</v>
      </c>
      <c r="X37" s="136">
        <v>0</v>
      </c>
      <c r="Y37" s="136">
        <v>200</v>
      </c>
      <c r="Z37" s="136">
        <v>0</v>
      </c>
      <c r="AA37" s="136">
        <v>0</v>
      </c>
      <c r="AB37" s="131">
        <v>42100</v>
      </c>
      <c r="AC37" s="134">
        <f t="shared" si="2"/>
        <v>67800</v>
      </c>
      <c r="AD37" s="135">
        <v>62.2</v>
      </c>
      <c r="AE37" s="136">
        <f t="shared" si="0"/>
        <v>4229600</v>
      </c>
      <c r="AF37" s="137">
        <v>4217160</v>
      </c>
      <c r="AG37" s="138">
        <v>62.2</v>
      </c>
      <c r="AH37" s="136" t="s">
        <v>4545</v>
      </c>
      <c r="AI37" s="133">
        <v>67959</v>
      </c>
      <c r="AJ37" s="132">
        <v>42135</v>
      </c>
      <c r="AK37" s="136" t="s">
        <v>4546</v>
      </c>
      <c r="AL37" s="132">
        <v>42136</v>
      </c>
      <c r="AM37" s="131" t="s">
        <v>49</v>
      </c>
      <c r="AN37" s="133" t="s">
        <v>4440</v>
      </c>
    </row>
    <row r="38" spans="1:40" s="129" customFormat="1" x14ac:dyDescent="0.25">
      <c r="A38" s="130">
        <v>37</v>
      </c>
      <c r="B38" s="130" t="s">
        <v>4428</v>
      </c>
      <c r="C38" s="130" t="s">
        <v>38</v>
      </c>
      <c r="D38" s="136">
        <v>9103650011</v>
      </c>
      <c r="E38" s="132">
        <v>42100</v>
      </c>
      <c r="F38" s="132" t="s">
        <v>4429</v>
      </c>
      <c r="G38" s="132" t="s">
        <v>108</v>
      </c>
      <c r="H38" s="130" t="s">
        <v>4446</v>
      </c>
      <c r="I38" s="132" t="s">
        <v>40</v>
      </c>
      <c r="J38" s="131" t="s">
        <v>4432</v>
      </c>
      <c r="K38" s="132" t="s">
        <v>4433</v>
      </c>
      <c r="L38" s="136">
        <v>8823885</v>
      </c>
      <c r="M38" s="132">
        <v>42100</v>
      </c>
      <c r="N38" s="136" t="s">
        <v>4547</v>
      </c>
      <c r="O38" s="130" t="s">
        <v>4436</v>
      </c>
      <c r="P38" s="130" t="s">
        <v>54</v>
      </c>
      <c r="Q38" s="130">
        <v>38237090</v>
      </c>
      <c r="R38" s="136">
        <v>100</v>
      </c>
      <c r="S38" s="130" t="s">
        <v>70</v>
      </c>
      <c r="T38" s="136" t="s">
        <v>44</v>
      </c>
      <c r="U38" s="136" t="s">
        <v>53</v>
      </c>
      <c r="V38" s="136">
        <v>7.2</v>
      </c>
      <c r="W38" s="133">
        <f t="shared" si="1"/>
        <v>720</v>
      </c>
      <c r="X38" s="136">
        <v>0.1</v>
      </c>
      <c r="Y38" s="136">
        <v>197.29</v>
      </c>
      <c r="Z38" s="136">
        <v>0</v>
      </c>
      <c r="AA38" s="136">
        <v>0</v>
      </c>
      <c r="AB38" s="131"/>
      <c r="AC38" s="134">
        <f t="shared" si="2"/>
        <v>522.60996784565918</v>
      </c>
      <c r="AD38" s="135">
        <v>62.2</v>
      </c>
      <c r="AE38" s="136">
        <f t="shared" si="0"/>
        <v>44784</v>
      </c>
      <c r="AF38" s="137">
        <v>32506.34</v>
      </c>
      <c r="AG38" s="138">
        <v>62.2</v>
      </c>
      <c r="AH38" s="136" t="s">
        <v>4548</v>
      </c>
      <c r="AI38" s="133">
        <v>684</v>
      </c>
      <c r="AJ38" s="132">
        <v>42083</v>
      </c>
      <c r="AK38" s="136" t="s">
        <v>4549</v>
      </c>
      <c r="AL38" s="132">
        <v>42180</v>
      </c>
      <c r="AM38" s="131" t="s">
        <v>49</v>
      </c>
      <c r="AN38" s="133" t="s">
        <v>4440</v>
      </c>
    </row>
    <row r="39" spans="1:40" s="129" customFormat="1" x14ac:dyDescent="0.25">
      <c r="A39" s="136">
        <v>38</v>
      </c>
      <c r="B39" s="130" t="s">
        <v>4428</v>
      </c>
      <c r="C39" s="130" t="s">
        <v>38</v>
      </c>
      <c r="D39" s="136">
        <v>9103650012</v>
      </c>
      <c r="E39" s="132">
        <v>42100</v>
      </c>
      <c r="F39" s="132" t="s">
        <v>4429</v>
      </c>
      <c r="G39" s="132" t="s">
        <v>39</v>
      </c>
      <c r="H39" s="130" t="s">
        <v>4463</v>
      </c>
      <c r="I39" s="132" t="s">
        <v>40</v>
      </c>
      <c r="J39" s="131" t="s">
        <v>4432</v>
      </c>
      <c r="K39" s="132" t="s">
        <v>4433</v>
      </c>
      <c r="L39" s="136">
        <v>8807085</v>
      </c>
      <c r="M39" s="132">
        <v>42098</v>
      </c>
      <c r="N39" s="136" t="s">
        <v>4550</v>
      </c>
      <c r="O39" s="130" t="s">
        <v>4436</v>
      </c>
      <c r="P39" s="130" t="s">
        <v>64</v>
      </c>
      <c r="Q39" s="130">
        <v>38237090</v>
      </c>
      <c r="R39" s="136">
        <v>25</v>
      </c>
      <c r="S39" s="130" t="s">
        <v>70</v>
      </c>
      <c r="T39" s="136" t="s">
        <v>44</v>
      </c>
      <c r="U39" s="136" t="s">
        <v>53</v>
      </c>
      <c r="V39" s="136">
        <v>3.5</v>
      </c>
      <c r="W39" s="133">
        <f t="shared" si="1"/>
        <v>87.5</v>
      </c>
      <c r="X39" s="136">
        <v>0.01</v>
      </c>
      <c r="Y39" s="136">
        <v>59.12</v>
      </c>
      <c r="Z39" s="136">
        <v>0</v>
      </c>
      <c r="AA39" s="136">
        <v>0</v>
      </c>
      <c r="AB39" s="131"/>
      <c r="AC39" s="134">
        <f t="shared" si="2"/>
        <v>28.370096463022506</v>
      </c>
      <c r="AD39" s="135">
        <v>62.2</v>
      </c>
      <c r="AE39" s="136">
        <f t="shared" si="0"/>
        <v>5442.5</v>
      </c>
      <c r="AF39" s="137">
        <v>1764.62</v>
      </c>
      <c r="AG39" s="138">
        <v>62.2</v>
      </c>
      <c r="AH39" s="136" t="s">
        <v>4551</v>
      </c>
      <c r="AI39" s="133">
        <v>87.5</v>
      </c>
      <c r="AJ39" s="132">
        <v>42180</v>
      </c>
      <c r="AK39" s="136" t="s">
        <v>4552</v>
      </c>
      <c r="AL39" s="132">
        <v>42209</v>
      </c>
      <c r="AM39" s="131" t="s">
        <v>49</v>
      </c>
      <c r="AN39" s="133" t="s">
        <v>4440</v>
      </c>
    </row>
    <row r="40" spans="1:40" s="129" customFormat="1" x14ac:dyDescent="0.25">
      <c r="A40" s="130">
        <v>39</v>
      </c>
      <c r="B40" s="130" t="s">
        <v>4428</v>
      </c>
      <c r="C40" s="130" t="s">
        <v>38</v>
      </c>
      <c r="D40" s="136">
        <v>9103650013</v>
      </c>
      <c r="E40" s="132">
        <v>42100</v>
      </c>
      <c r="F40" s="132" t="s">
        <v>4429</v>
      </c>
      <c r="G40" s="132" t="s">
        <v>110</v>
      </c>
      <c r="H40" s="130" t="s">
        <v>4463</v>
      </c>
      <c r="I40" s="132" t="s">
        <v>40</v>
      </c>
      <c r="J40" s="131" t="s">
        <v>4432</v>
      </c>
      <c r="K40" s="132" t="s">
        <v>4433</v>
      </c>
      <c r="L40" s="136">
        <v>8807575</v>
      </c>
      <c r="M40" s="132">
        <v>42098</v>
      </c>
      <c r="N40" s="136" t="s">
        <v>4553</v>
      </c>
      <c r="O40" s="130" t="s">
        <v>4436</v>
      </c>
      <c r="P40" s="130" t="s">
        <v>75</v>
      </c>
      <c r="Q40" s="130">
        <v>38237090</v>
      </c>
      <c r="R40" s="136">
        <v>25</v>
      </c>
      <c r="S40" s="130" t="s">
        <v>70</v>
      </c>
      <c r="T40" s="136" t="s">
        <v>44</v>
      </c>
      <c r="U40" s="136" t="s">
        <v>53</v>
      </c>
      <c r="V40" s="136">
        <v>7.4</v>
      </c>
      <c r="W40" s="133">
        <f t="shared" si="1"/>
        <v>185</v>
      </c>
      <c r="X40" s="136">
        <v>0.03</v>
      </c>
      <c r="Y40" s="136">
        <v>46.48</v>
      </c>
      <c r="Z40" s="136">
        <v>0</v>
      </c>
      <c r="AA40" s="136">
        <v>0</v>
      </c>
      <c r="AB40" s="131"/>
      <c r="AC40" s="134">
        <f t="shared" si="2"/>
        <v>138.48987138263664</v>
      </c>
      <c r="AD40" s="135">
        <v>62.2</v>
      </c>
      <c r="AE40" s="136">
        <f t="shared" si="0"/>
        <v>11507</v>
      </c>
      <c r="AF40" s="137">
        <v>8614.07</v>
      </c>
      <c r="AG40" s="138">
        <v>62.2</v>
      </c>
      <c r="AH40" s="136" t="s">
        <v>4554</v>
      </c>
      <c r="AI40" s="133">
        <v>185</v>
      </c>
      <c r="AJ40" s="132">
        <v>42089</v>
      </c>
      <c r="AK40" s="136" t="s">
        <v>4555</v>
      </c>
      <c r="AL40" s="132">
        <v>42180</v>
      </c>
      <c r="AM40" s="131" t="s">
        <v>49</v>
      </c>
      <c r="AN40" s="133" t="s">
        <v>4440</v>
      </c>
    </row>
    <row r="41" spans="1:40" s="129" customFormat="1" x14ac:dyDescent="0.25">
      <c r="A41" s="136">
        <v>40</v>
      </c>
      <c r="B41" s="130" t="s">
        <v>4428</v>
      </c>
      <c r="C41" s="130" t="s">
        <v>38</v>
      </c>
      <c r="D41" s="136">
        <v>9103650014</v>
      </c>
      <c r="E41" s="132">
        <v>42102</v>
      </c>
      <c r="F41" s="132" t="s">
        <v>4429</v>
      </c>
      <c r="G41" s="132" t="s">
        <v>116</v>
      </c>
      <c r="H41" s="130" t="s">
        <v>4556</v>
      </c>
      <c r="I41" s="132" t="s">
        <v>40</v>
      </c>
      <c r="J41" s="131" t="s">
        <v>4432</v>
      </c>
      <c r="K41" s="132" t="s">
        <v>4433</v>
      </c>
      <c r="L41" s="136">
        <v>8811971</v>
      </c>
      <c r="M41" s="132" t="s">
        <v>4540</v>
      </c>
      <c r="N41" s="136" t="s">
        <v>4557</v>
      </c>
      <c r="O41" s="130" t="s">
        <v>4436</v>
      </c>
      <c r="P41" s="130" t="s">
        <v>4558</v>
      </c>
      <c r="Q41" s="130" t="s">
        <v>4559</v>
      </c>
      <c r="R41" s="136">
        <v>30.87</v>
      </c>
      <c r="S41" s="130" t="s">
        <v>70</v>
      </c>
      <c r="T41" s="136" t="s">
        <v>44</v>
      </c>
      <c r="U41" s="136" t="s">
        <v>53</v>
      </c>
      <c r="V41" s="136">
        <v>0</v>
      </c>
      <c r="W41" s="133">
        <f>(28.875*1720+2*1770)</f>
        <v>53205</v>
      </c>
      <c r="X41" s="136">
        <v>7.61</v>
      </c>
      <c r="Y41" s="136">
        <v>2200</v>
      </c>
      <c r="Z41" s="136">
        <v>0</v>
      </c>
      <c r="AA41" s="136">
        <v>0</v>
      </c>
      <c r="AB41" s="131">
        <v>42100</v>
      </c>
      <c r="AC41" s="134">
        <f t="shared" si="2"/>
        <v>50997.390032154341</v>
      </c>
      <c r="AD41" s="135">
        <v>62.2</v>
      </c>
      <c r="AE41" s="136">
        <f t="shared" si="0"/>
        <v>3309351</v>
      </c>
      <c r="AF41" s="137">
        <v>3172037.66</v>
      </c>
      <c r="AG41" s="138">
        <v>62.2</v>
      </c>
      <c r="AH41" s="136" t="s">
        <v>4560</v>
      </c>
      <c r="AI41" s="133">
        <v>53170</v>
      </c>
      <c r="AJ41" s="132" t="s">
        <v>4561</v>
      </c>
      <c r="AK41" s="136" t="s">
        <v>4562</v>
      </c>
      <c r="AL41" s="132" t="s">
        <v>4563</v>
      </c>
      <c r="AM41" s="131" t="s">
        <v>49</v>
      </c>
      <c r="AN41" s="133" t="s">
        <v>4440</v>
      </c>
    </row>
    <row r="42" spans="1:40" s="129" customFormat="1" x14ac:dyDescent="0.25">
      <c r="A42" s="130">
        <v>41</v>
      </c>
      <c r="B42" s="130" t="s">
        <v>4428</v>
      </c>
      <c r="C42" s="130" t="s">
        <v>38</v>
      </c>
      <c r="D42" s="136">
        <v>9103650015</v>
      </c>
      <c r="E42" s="132">
        <v>42105</v>
      </c>
      <c r="F42" s="132" t="s">
        <v>4429</v>
      </c>
      <c r="G42" s="132" t="s">
        <v>118</v>
      </c>
      <c r="H42" s="130" t="s">
        <v>4564</v>
      </c>
      <c r="I42" s="132" t="s">
        <v>40</v>
      </c>
      <c r="J42" s="131" t="s">
        <v>4432</v>
      </c>
      <c r="K42" s="132" t="s">
        <v>4433</v>
      </c>
      <c r="L42" s="136">
        <v>8829493</v>
      </c>
      <c r="M42" s="132">
        <v>42100</v>
      </c>
      <c r="N42" s="136" t="s">
        <v>4565</v>
      </c>
      <c r="O42" s="130" t="s">
        <v>4436</v>
      </c>
      <c r="P42" s="130" t="s">
        <v>4566</v>
      </c>
      <c r="Q42" s="130">
        <v>38237090</v>
      </c>
      <c r="R42" s="136">
        <v>16</v>
      </c>
      <c r="S42" s="130" t="s">
        <v>70</v>
      </c>
      <c r="T42" s="136" t="s">
        <v>44</v>
      </c>
      <c r="U42" s="136" t="s">
        <v>53</v>
      </c>
      <c r="V42" s="136">
        <v>1425</v>
      </c>
      <c r="W42" s="133">
        <f t="shared" si="1"/>
        <v>22800</v>
      </c>
      <c r="X42" s="136">
        <v>3.26</v>
      </c>
      <c r="Y42" s="136">
        <v>130</v>
      </c>
      <c r="Z42" s="136">
        <v>0</v>
      </c>
      <c r="AA42" s="136">
        <v>0</v>
      </c>
      <c r="AB42" s="131">
        <v>42101</v>
      </c>
      <c r="AC42" s="134">
        <f t="shared" si="2"/>
        <v>22666.740032154339</v>
      </c>
      <c r="AD42" s="135">
        <v>62.2</v>
      </c>
      <c r="AE42" s="136">
        <f t="shared" si="0"/>
        <v>1418160</v>
      </c>
      <c r="AF42" s="137">
        <v>1409871.23</v>
      </c>
      <c r="AG42" s="138">
        <v>62.2</v>
      </c>
      <c r="AH42" s="136" t="s">
        <v>4567</v>
      </c>
      <c r="AI42" s="133">
        <v>22755</v>
      </c>
      <c r="AJ42" s="132" t="s">
        <v>4568</v>
      </c>
      <c r="AK42" s="136" t="s">
        <v>4569</v>
      </c>
      <c r="AL42" s="132">
        <v>42124</v>
      </c>
      <c r="AM42" s="131" t="s">
        <v>49</v>
      </c>
      <c r="AN42" s="133" t="s">
        <v>4440</v>
      </c>
    </row>
    <row r="43" spans="1:40" s="129" customFormat="1" x14ac:dyDescent="0.25">
      <c r="A43" s="136">
        <v>42</v>
      </c>
      <c r="B43" s="130" t="s">
        <v>4428</v>
      </c>
      <c r="C43" s="130" t="s">
        <v>38</v>
      </c>
      <c r="D43" s="136">
        <v>9103650016</v>
      </c>
      <c r="E43" s="132">
        <v>42104</v>
      </c>
      <c r="F43" s="132" t="s">
        <v>4429</v>
      </c>
      <c r="G43" s="132" t="s">
        <v>119</v>
      </c>
      <c r="H43" s="130" t="s">
        <v>4463</v>
      </c>
      <c r="I43" s="132" t="s">
        <v>40</v>
      </c>
      <c r="J43" s="131" t="s">
        <v>4432</v>
      </c>
      <c r="K43" s="132" t="s">
        <v>4433</v>
      </c>
      <c r="L43" s="136">
        <v>8835401</v>
      </c>
      <c r="M43" s="132">
        <v>42100</v>
      </c>
      <c r="N43" s="136" t="s">
        <v>4570</v>
      </c>
      <c r="O43" s="130" t="s">
        <v>4436</v>
      </c>
      <c r="P43" s="130" t="s">
        <v>143</v>
      </c>
      <c r="Q43" s="130">
        <v>38237090</v>
      </c>
      <c r="R43" s="136">
        <v>15</v>
      </c>
      <c r="S43" s="130" t="s">
        <v>70</v>
      </c>
      <c r="T43" s="136" t="s">
        <v>44</v>
      </c>
      <c r="U43" s="136" t="s">
        <v>53</v>
      </c>
      <c r="V43" s="136">
        <v>1570</v>
      </c>
      <c r="W43" s="133">
        <f t="shared" si="1"/>
        <v>23550</v>
      </c>
      <c r="X43" s="136">
        <v>3.37</v>
      </c>
      <c r="Y43" s="136">
        <v>650</v>
      </c>
      <c r="Z43" s="136">
        <v>0</v>
      </c>
      <c r="AA43" s="136">
        <v>0</v>
      </c>
      <c r="AB43" s="131">
        <v>42101</v>
      </c>
      <c r="AC43" s="134">
        <f t="shared" si="2"/>
        <v>22896.63006430868</v>
      </c>
      <c r="AD43" s="135">
        <v>62.2</v>
      </c>
      <c r="AE43" s="136">
        <f t="shared" si="0"/>
        <v>1464810</v>
      </c>
      <c r="AF43" s="137">
        <v>1424170.39</v>
      </c>
      <c r="AG43" s="138">
        <v>62.2</v>
      </c>
      <c r="AH43" s="136" t="s">
        <v>4571</v>
      </c>
      <c r="AI43" s="133">
        <v>23550</v>
      </c>
      <c r="AJ43" s="132">
        <v>42112</v>
      </c>
      <c r="AK43" s="136" t="s">
        <v>4572</v>
      </c>
      <c r="AL43" s="132">
        <v>42206</v>
      </c>
      <c r="AM43" s="131" t="s">
        <v>49</v>
      </c>
      <c r="AN43" s="133" t="s">
        <v>4440</v>
      </c>
    </row>
    <row r="44" spans="1:40" s="129" customFormat="1" x14ac:dyDescent="0.25">
      <c r="A44" s="130">
        <v>43</v>
      </c>
      <c r="B44" s="130" t="s">
        <v>4428</v>
      </c>
      <c r="C44" s="130" t="s">
        <v>38</v>
      </c>
      <c r="D44" s="136">
        <v>9103650017</v>
      </c>
      <c r="E44" s="132">
        <v>42105</v>
      </c>
      <c r="F44" s="132" t="s">
        <v>4429</v>
      </c>
      <c r="G44" s="132" t="s">
        <v>124</v>
      </c>
      <c r="H44" s="130" t="s">
        <v>4456</v>
      </c>
      <c r="I44" s="132" t="s">
        <v>40</v>
      </c>
      <c r="J44" s="131" t="s">
        <v>4432</v>
      </c>
      <c r="K44" s="132" t="s">
        <v>4433</v>
      </c>
      <c r="L44" s="136">
        <v>8835663</v>
      </c>
      <c r="M44" s="132" t="s">
        <v>4573</v>
      </c>
      <c r="N44" s="136" t="s">
        <v>4457</v>
      </c>
      <c r="O44" s="130" t="s">
        <v>4436</v>
      </c>
      <c r="P44" s="130" t="s">
        <v>241</v>
      </c>
      <c r="Q44" s="130">
        <v>38237090</v>
      </c>
      <c r="R44" s="136">
        <v>78.739999999999995</v>
      </c>
      <c r="S44" s="130" t="s">
        <v>70</v>
      </c>
      <c r="T44" s="136" t="s">
        <v>52</v>
      </c>
      <c r="U44" s="136" t="s">
        <v>53</v>
      </c>
      <c r="V44" s="136">
        <v>1285</v>
      </c>
      <c r="W44" s="133">
        <f t="shared" si="1"/>
        <v>101180.9</v>
      </c>
      <c r="X44" s="136">
        <v>0</v>
      </c>
      <c r="Y44" s="136">
        <v>3400</v>
      </c>
      <c r="Z44" s="136">
        <v>0</v>
      </c>
      <c r="AA44" s="136">
        <v>0</v>
      </c>
      <c r="AB44" s="131">
        <v>42101</v>
      </c>
      <c r="AC44" s="134">
        <f>AF44/AD44</f>
        <v>97780.900000000009</v>
      </c>
      <c r="AD44" s="135">
        <v>62.2</v>
      </c>
      <c r="AE44" s="136">
        <f t="shared" si="0"/>
        <v>6293451.9799999995</v>
      </c>
      <c r="AF44" s="137">
        <v>6081971.9800000004</v>
      </c>
      <c r="AG44" s="138">
        <v>62.2</v>
      </c>
      <c r="AH44" s="136" t="s">
        <v>4574</v>
      </c>
      <c r="AI44" s="133">
        <v>101159.9</v>
      </c>
      <c r="AJ44" s="132" t="s">
        <v>4575</v>
      </c>
      <c r="AK44" s="136" t="s">
        <v>4576</v>
      </c>
      <c r="AL44" s="132" t="s">
        <v>4577</v>
      </c>
      <c r="AM44" s="131" t="s">
        <v>49</v>
      </c>
      <c r="AN44" s="133" t="s">
        <v>4440</v>
      </c>
    </row>
    <row r="45" spans="1:40" s="129" customFormat="1" x14ac:dyDescent="0.25">
      <c r="A45" s="136">
        <v>44</v>
      </c>
      <c r="B45" s="130" t="s">
        <v>4428</v>
      </c>
      <c r="C45" s="130" t="s">
        <v>38</v>
      </c>
      <c r="D45" s="136" t="s">
        <v>4454</v>
      </c>
      <c r="E45" s="132">
        <v>42103</v>
      </c>
      <c r="F45" s="132" t="s">
        <v>4429</v>
      </c>
      <c r="G45" s="132" t="s">
        <v>4455</v>
      </c>
      <c r="H45" s="130" t="s">
        <v>4456</v>
      </c>
      <c r="I45" s="132" t="s">
        <v>40</v>
      </c>
      <c r="J45" s="131" t="s">
        <v>4432</v>
      </c>
      <c r="K45" s="132" t="s">
        <v>4433</v>
      </c>
      <c r="L45" s="136">
        <v>8621315</v>
      </c>
      <c r="M45" s="132">
        <v>42089</v>
      </c>
      <c r="N45" s="136" t="s">
        <v>4457</v>
      </c>
      <c r="O45" s="130" t="s">
        <v>4436</v>
      </c>
      <c r="P45" s="130" t="s">
        <v>241</v>
      </c>
      <c r="Q45" s="130">
        <v>38237090</v>
      </c>
      <c r="R45" s="136">
        <v>19.45</v>
      </c>
      <c r="S45" s="130" t="s">
        <v>70</v>
      </c>
      <c r="T45" s="136" t="s">
        <v>52</v>
      </c>
      <c r="U45" s="136" t="s">
        <v>53</v>
      </c>
      <c r="V45" s="136">
        <v>1285</v>
      </c>
      <c r="W45" s="133">
        <f t="shared" si="1"/>
        <v>24993.25</v>
      </c>
      <c r="X45" s="136">
        <v>0</v>
      </c>
      <c r="Y45" s="136">
        <v>850</v>
      </c>
      <c r="Z45" s="136">
        <v>0</v>
      </c>
      <c r="AA45" s="136">
        <v>0</v>
      </c>
      <c r="AB45" s="131">
        <v>42093</v>
      </c>
      <c r="AC45" s="134">
        <f>AF45/AD45</f>
        <v>24143.25</v>
      </c>
      <c r="AD45" s="135">
        <v>62</v>
      </c>
      <c r="AE45" s="136">
        <f t="shared" si="0"/>
        <v>1549581.5</v>
      </c>
      <c r="AF45" s="137">
        <v>1496881.5</v>
      </c>
      <c r="AG45" s="138">
        <v>62</v>
      </c>
      <c r="AH45" s="136" t="s">
        <v>4458</v>
      </c>
      <c r="AI45" s="136">
        <v>24993.25</v>
      </c>
      <c r="AJ45" s="132">
        <v>42158</v>
      </c>
      <c r="AK45" s="136" t="s">
        <v>4578</v>
      </c>
      <c r="AL45" s="132">
        <v>42159</v>
      </c>
      <c r="AM45" s="131" t="s">
        <v>49</v>
      </c>
      <c r="AN45" s="136" t="s">
        <v>4440</v>
      </c>
    </row>
    <row r="46" spans="1:40" s="129" customFormat="1" x14ac:dyDescent="0.25">
      <c r="A46" s="130">
        <v>45</v>
      </c>
      <c r="B46" s="130" t="s">
        <v>4428</v>
      </c>
      <c r="C46" s="130" t="s">
        <v>38</v>
      </c>
      <c r="D46" s="136">
        <v>9103650021</v>
      </c>
      <c r="E46" s="132">
        <v>42105</v>
      </c>
      <c r="F46" s="132" t="s">
        <v>4429</v>
      </c>
      <c r="G46" s="132" t="s">
        <v>125</v>
      </c>
      <c r="H46" s="130" t="s">
        <v>4564</v>
      </c>
      <c r="I46" s="132" t="s">
        <v>40</v>
      </c>
      <c r="J46" s="131" t="s">
        <v>4432</v>
      </c>
      <c r="K46" s="132" t="s">
        <v>4433</v>
      </c>
      <c r="L46" s="136">
        <v>8843295</v>
      </c>
      <c r="M46" s="132">
        <v>42100</v>
      </c>
      <c r="N46" s="136" t="s">
        <v>4579</v>
      </c>
      <c r="O46" s="130" t="s">
        <v>4436</v>
      </c>
      <c r="P46" s="130" t="s">
        <v>4566</v>
      </c>
      <c r="Q46" s="130">
        <v>38231200</v>
      </c>
      <c r="R46" s="136">
        <v>19.87</v>
      </c>
      <c r="S46" s="130" t="s">
        <v>70</v>
      </c>
      <c r="T46" s="136" t="s">
        <v>44</v>
      </c>
      <c r="U46" s="136" t="s">
        <v>53</v>
      </c>
      <c r="V46" s="136">
        <v>1170</v>
      </c>
      <c r="W46" s="133">
        <f t="shared" si="1"/>
        <v>23247.9</v>
      </c>
      <c r="X46" s="136">
        <v>3.32</v>
      </c>
      <c r="Y46" s="136">
        <v>600</v>
      </c>
      <c r="Z46" s="136">
        <v>0</v>
      </c>
      <c r="AA46" s="136">
        <v>0</v>
      </c>
      <c r="AB46" s="131">
        <v>42101</v>
      </c>
      <c r="AC46" s="134">
        <f t="shared" si="2"/>
        <v>22644.58006430868</v>
      </c>
      <c r="AD46" s="135">
        <v>62.2</v>
      </c>
      <c r="AE46" s="136">
        <f t="shared" si="0"/>
        <v>1446019.3800000001</v>
      </c>
      <c r="AF46" s="137">
        <v>1408492.88</v>
      </c>
      <c r="AG46" s="138">
        <v>62.2</v>
      </c>
      <c r="AH46" s="136" t="s">
        <v>4580</v>
      </c>
      <c r="AI46" s="133">
        <v>23127.9</v>
      </c>
      <c r="AJ46" s="132">
        <v>42118</v>
      </c>
      <c r="AK46" s="136" t="s">
        <v>4581</v>
      </c>
      <c r="AL46" s="132">
        <v>42119</v>
      </c>
      <c r="AM46" s="131" t="s">
        <v>49</v>
      </c>
      <c r="AN46" s="133" t="s">
        <v>4440</v>
      </c>
    </row>
    <row r="47" spans="1:40" s="129" customFormat="1" x14ac:dyDescent="0.25">
      <c r="A47" s="136">
        <v>46</v>
      </c>
      <c r="B47" s="130" t="s">
        <v>4428</v>
      </c>
      <c r="C47" s="130" t="s">
        <v>38</v>
      </c>
      <c r="D47" s="136">
        <v>9103650022</v>
      </c>
      <c r="E47" s="132">
        <v>42104</v>
      </c>
      <c r="F47" s="132" t="s">
        <v>4429</v>
      </c>
      <c r="G47" s="132" t="s">
        <v>128</v>
      </c>
      <c r="H47" s="130" t="s">
        <v>4564</v>
      </c>
      <c r="I47" s="132" t="s">
        <v>40</v>
      </c>
      <c r="J47" s="131" t="s">
        <v>4432</v>
      </c>
      <c r="K47" s="132" t="s">
        <v>4433</v>
      </c>
      <c r="L47" s="136">
        <v>8855508</v>
      </c>
      <c r="M47" s="132">
        <v>42101</v>
      </c>
      <c r="N47" s="136" t="s">
        <v>4582</v>
      </c>
      <c r="O47" s="130" t="s">
        <v>4436</v>
      </c>
      <c r="P47" s="130" t="s">
        <v>90</v>
      </c>
      <c r="Q47" s="130">
        <v>38231190</v>
      </c>
      <c r="R47" s="136">
        <v>24</v>
      </c>
      <c r="S47" s="130" t="s">
        <v>70</v>
      </c>
      <c r="T47" s="136" t="s">
        <v>44</v>
      </c>
      <c r="U47" s="136" t="s">
        <v>53</v>
      </c>
      <c r="V47" s="136">
        <v>1158</v>
      </c>
      <c r="W47" s="133">
        <f t="shared" si="1"/>
        <v>27792</v>
      </c>
      <c r="X47" s="136">
        <v>3.97</v>
      </c>
      <c r="Y47" s="136">
        <v>1350</v>
      </c>
      <c r="Z47" s="136">
        <v>0</v>
      </c>
      <c r="AA47" s="136">
        <v>507.36</v>
      </c>
      <c r="AB47" s="131">
        <v>42102</v>
      </c>
      <c r="AC47" s="134">
        <f t="shared" si="2"/>
        <v>26438.030064308681</v>
      </c>
      <c r="AD47" s="135">
        <v>62.2</v>
      </c>
      <c r="AE47" s="136">
        <f t="shared" si="0"/>
        <v>1728662.4000000001</v>
      </c>
      <c r="AF47" s="137">
        <v>1644445.47</v>
      </c>
      <c r="AG47" s="138">
        <v>62.2</v>
      </c>
      <c r="AH47" s="136" t="s">
        <v>4583</v>
      </c>
      <c r="AI47" s="133">
        <v>27707</v>
      </c>
      <c r="AJ47" s="132">
        <v>42117</v>
      </c>
      <c r="AK47" s="136" t="s">
        <v>4584</v>
      </c>
      <c r="AL47" s="132">
        <v>42118</v>
      </c>
      <c r="AM47" s="131" t="s">
        <v>49</v>
      </c>
      <c r="AN47" s="133" t="s">
        <v>4440</v>
      </c>
    </row>
    <row r="48" spans="1:40" s="129" customFormat="1" x14ac:dyDescent="0.25">
      <c r="A48" s="130">
        <v>47</v>
      </c>
      <c r="B48" s="130" t="s">
        <v>4428</v>
      </c>
      <c r="C48" s="130" t="s">
        <v>38</v>
      </c>
      <c r="D48" s="136">
        <v>9103650023</v>
      </c>
      <c r="E48" s="132">
        <v>42106</v>
      </c>
      <c r="F48" s="132" t="s">
        <v>4429</v>
      </c>
      <c r="G48" s="132" t="s">
        <v>131</v>
      </c>
      <c r="H48" s="130" t="s">
        <v>4491</v>
      </c>
      <c r="I48" s="132" t="s">
        <v>40</v>
      </c>
      <c r="J48" s="131" t="s">
        <v>4432</v>
      </c>
      <c r="K48" s="132" t="s">
        <v>4433</v>
      </c>
      <c r="L48" s="136">
        <v>8856905</v>
      </c>
      <c r="M48" s="132" t="s">
        <v>4585</v>
      </c>
      <c r="N48" s="136" t="s">
        <v>3741</v>
      </c>
      <c r="O48" s="130" t="s">
        <v>4436</v>
      </c>
      <c r="P48" s="130" t="s">
        <v>188</v>
      </c>
      <c r="Q48" s="130">
        <v>29051700</v>
      </c>
      <c r="R48" s="136">
        <v>54.42</v>
      </c>
      <c r="S48" s="130" t="s">
        <v>70</v>
      </c>
      <c r="T48" s="136" t="s">
        <v>44</v>
      </c>
      <c r="U48" s="136" t="s">
        <v>53</v>
      </c>
      <c r="V48" s="136">
        <v>1818</v>
      </c>
      <c r="W48" s="133">
        <f t="shared" si="1"/>
        <v>98935.56</v>
      </c>
      <c r="X48" s="136">
        <v>14.15</v>
      </c>
      <c r="Y48" s="136">
        <v>9450</v>
      </c>
      <c r="Z48" s="136">
        <v>0</v>
      </c>
      <c r="AA48" s="136">
        <v>0</v>
      </c>
      <c r="AB48" s="131">
        <v>42102</v>
      </c>
      <c r="AC48" s="134">
        <f t="shared" si="2"/>
        <v>89471.409967845655</v>
      </c>
      <c r="AD48" s="135">
        <v>62.2</v>
      </c>
      <c r="AE48" s="136">
        <f t="shared" si="0"/>
        <v>6153791.8320000004</v>
      </c>
      <c r="AF48" s="137">
        <v>5565121.7000000002</v>
      </c>
      <c r="AG48" s="138">
        <v>62.2</v>
      </c>
      <c r="AH48" s="136" t="s">
        <v>4586</v>
      </c>
      <c r="AI48" s="133">
        <v>98935.56</v>
      </c>
      <c r="AJ48" s="132" t="s">
        <v>4494</v>
      </c>
      <c r="AK48" s="136" t="s">
        <v>4587</v>
      </c>
      <c r="AL48" s="132" t="s">
        <v>4451</v>
      </c>
      <c r="AM48" s="131" t="s">
        <v>49</v>
      </c>
      <c r="AN48" s="133" t="s">
        <v>4440</v>
      </c>
    </row>
    <row r="49" spans="1:40" s="129" customFormat="1" x14ac:dyDescent="0.25">
      <c r="A49" s="136">
        <v>48</v>
      </c>
      <c r="B49" s="130" t="s">
        <v>4428</v>
      </c>
      <c r="C49" s="130" t="s">
        <v>38</v>
      </c>
      <c r="D49" s="136">
        <v>9103650024</v>
      </c>
      <c r="E49" s="132">
        <v>42106</v>
      </c>
      <c r="F49" s="132" t="s">
        <v>4429</v>
      </c>
      <c r="G49" s="132" t="s">
        <v>3170</v>
      </c>
      <c r="H49" s="130" t="s">
        <v>4446</v>
      </c>
      <c r="I49" s="132" t="s">
        <v>40</v>
      </c>
      <c r="J49" s="131" t="s">
        <v>4432</v>
      </c>
      <c r="K49" s="132" t="s">
        <v>4433</v>
      </c>
      <c r="L49" s="136">
        <v>8885046</v>
      </c>
      <c r="M49" s="132">
        <v>42102</v>
      </c>
      <c r="N49" s="136" t="s">
        <v>4588</v>
      </c>
      <c r="O49" s="130" t="s">
        <v>4436</v>
      </c>
      <c r="P49" s="130" t="s">
        <v>59</v>
      </c>
      <c r="Q49" s="130">
        <v>29157010</v>
      </c>
      <c r="R49" s="136">
        <v>116.7</v>
      </c>
      <c r="S49" s="130" t="s">
        <v>70</v>
      </c>
      <c r="T49" s="136" t="s">
        <v>44</v>
      </c>
      <c r="U49" s="136" t="s">
        <v>53</v>
      </c>
      <c r="V49" s="136">
        <v>1030</v>
      </c>
      <c r="W49" s="133">
        <f t="shared" si="1"/>
        <v>120201</v>
      </c>
      <c r="X49" s="136"/>
      <c r="Y49" s="136"/>
      <c r="Z49" s="136"/>
      <c r="AA49" s="136"/>
      <c r="AB49" s="131"/>
      <c r="AC49" s="134"/>
      <c r="AD49" s="135"/>
      <c r="AE49" s="136"/>
      <c r="AF49" s="137"/>
      <c r="AG49" s="138"/>
      <c r="AH49" s="136" t="s">
        <v>4589</v>
      </c>
      <c r="AI49" s="133">
        <v>120201</v>
      </c>
      <c r="AJ49" s="132">
        <v>42136</v>
      </c>
      <c r="AK49" s="136" t="s">
        <v>4590</v>
      </c>
      <c r="AL49" s="132">
        <v>42139</v>
      </c>
      <c r="AM49" s="131" t="s">
        <v>49</v>
      </c>
      <c r="AN49" s="133" t="s">
        <v>4440</v>
      </c>
    </row>
    <row r="50" spans="1:40" s="129" customFormat="1" x14ac:dyDescent="0.25">
      <c r="A50" s="130">
        <v>49</v>
      </c>
      <c r="B50" s="130" t="s">
        <v>4428</v>
      </c>
      <c r="C50" s="130" t="s">
        <v>38</v>
      </c>
      <c r="D50" s="136">
        <v>9103650025</v>
      </c>
      <c r="E50" s="132">
        <v>42109</v>
      </c>
      <c r="F50" s="132" t="s">
        <v>4429</v>
      </c>
      <c r="G50" s="132" t="s">
        <v>133</v>
      </c>
      <c r="H50" s="130" t="s">
        <v>4446</v>
      </c>
      <c r="I50" s="132" t="s">
        <v>40</v>
      </c>
      <c r="J50" s="131" t="s">
        <v>4432</v>
      </c>
      <c r="K50" s="132" t="s">
        <v>4433</v>
      </c>
      <c r="L50" s="136">
        <v>8887496</v>
      </c>
      <c r="M50" s="132" t="s">
        <v>4591</v>
      </c>
      <c r="N50" s="136" t="s">
        <v>4592</v>
      </c>
      <c r="O50" s="130" t="s">
        <v>4436</v>
      </c>
      <c r="P50" s="130" t="s">
        <v>4492</v>
      </c>
      <c r="Q50" s="130">
        <v>38237090</v>
      </c>
      <c r="R50" s="136">
        <v>18.75</v>
      </c>
      <c r="S50" s="130" t="s">
        <v>70</v>
      </c>
      <c r="T50" s="136" t="s">
        <v>67</v>
      </c>
      <c r="U50" s="136" t="s">
        <v>53</v>
      </c>
      <c r="V50" s="136">
        <v>1390</v>
      </c>
      <c r="W50" s="133">
        <f t="shared" si="1"/>
        <v>26062.5</v>
      </c>
      <c r="X50" s="136">
        <v>0</v>
      </c>
      <c r="Y50" s="136">
        <v>0</v>
      </c>
      <c r="Z50" s="136">
        <v>0</v>
      </c>
      <c r="AA50" s="136">
        <v>0</v>
      </c>
      <c r="AB50" s="131">
        <v>42103</v>
      </c>
      <c r="AC50" s="134">
        <f t="shared" si="2"/>
        <v>26062.5</v>
      </c>
      <c r="AD50" s="135">
        <v>62.2</v>
      </c>
      <c r="AE50" s="136">
        <f t="shared" si="0"/>
        <v>1621087.5</v>
      </c>
      <c r="AF50" s="137">
        <v>1621087.5</v>
      </c>
      <c r="AG50" s="138">
        <v>62.2</v>
      </c>
      <c r="AH50" s="136" t="s">
        <v>4593</v>
      </c>
      <c r="AI50" s="133">
        <v>26022.5</v>
      </c>
      <c r="AJ50" s="132" t="s">
        <v>4594</v>
      </c>
      <c r="AK50" s="136" t="s">
        <v>4595</v>
      </c>
      <c r="AL50" s="132" t="s">
        <v>3928</v>
      </c>
      <c r="AM50" s="131" t="s">
        <v>49</v>
      </c>
      <c r="AN50" s="133" t="s">
        <v>4440</v>
      </c>
    </row>
    <row r="51" spans="1:40" s="129" customFormat="1" x14ac:dyDescent="0.25">
      <c r="A51" s="136">
        <v>50</v>
      </c>
      <c r="B51" s="130" t="s">
        <v>4428</v>
      </c>
      <c r="C51" s="130" t="s">
        <v>38</v>
      </c>
      <c r="D51" s="136">
        <v>9103650026</v>
      </c>
      <c r="E51" s="132">
        <v>42111</v>
      </c>
      <c r="F51" s="132" t="s">
        <v>4429</v>
      </c>
      <c r="G51" s="132" t="s">
        <v>136</v>
      </c>
      <c r="H51" s="130" t="s">
        <v>4446</v>
      </c>
      <c r="I51" s="132" t="s">
        <v>40</v>
      </c>
      <c r="J51" s="131" t="s">
        <v>4432</v>
      </c>
      <c r="K51" s="132" t="s">
        <v>4433</v>
      </c>
      <c r="L51" s="136">
        <v>8908167</v>
      </c>
      <c r="M51" s="132">
        <v>42103</v>
      </c>
      <c r="N51" s="136" t="s">
        <v>4544</v>
      </c>
      <c r="O51" s="130" t="s">
        <v>4436</v>
      </c>
      <c r="P51" s="130" t="s">
        <v>75</v>
      </c>
      <c r="Q51" s="130">
        <v>29054500</v>
      </c>
      <c r="R51" s="136">
        <v>20</v>
      </c>
      <c r="S51" s="130" t="s">
        <v>70</v>
      </c>
      <c r="T51" s="136" t="s">
        <v>52</v>
      </c>
      <c r="U51" s="136" t="s">
        <v>53</v>
      </c>
      <c r="V51" s="136">
        <v>830</v>
      </c>
      <c r="W51" s="133">
        <f t="shared" si="1"/>
        <v>16600</v>
      </c>
      <c r="X51" s="136">
        <v>0</v>
      </c>
      <c r="Y51" s="136">
        <v>100</v>
      </c>
      <c r="Z51" s="136">
        <v>0</v>
      </c>
      <c r="AA51" s="136">
        <v>0</v>
      </c>
      <c r="AB51" s="131">
        <v>42104</v>
      </c>
      <c r="AC51" s="134">
        <f t="shared" si="2"/>
        <v>16500</v>
      </c>
      <c r="AD51" s="135">
        <v>62.2</v>
      </c>
      <c r="AE51" s="136">
        <f t="shared" si="0"/>
        <v>1032520</v>
      </c>
      <c r="AF51" s="137">
        <v>1026300</v>
      </c>
      <c r="AG51" s="138">
        <v>62.2</v>
      </c>
      <c r="AH51" s="136" t="s">
        <v>4596</v>
      </c>
      <c r="AI51" s="133">
        <v>16563</v>
      </c>
      <c r="AJ51" s="132">
        <v>42142</v>
      </c>
      <c r="AK51" s="136" t="s">
        <v>4597</v>
      </c>
      <c r="AL51" s="132">
        <v>42219</v>
      </c>
      <c r="AM51" s="131" t="s">
        <v>49</v>
      </c>
      <c r="AN51" s="133" t="s">
        <v>4440</v>
      </c>
    </row>
    <row r="52" spans="1:40" s="129" customFormat="1" x14ac:dyDescent="0.25">
      <c r="A52" s="130">
        <v>51</v>
      </c>
      <c r="B52" s="130" t="s">
        <v>4428</v>
      </c>
      <c r="C52" s="130" t="s">
        <v>38</v>
      </c>
      <c r="D52" s="136">
        <v>9103650027</v>
      </c>
      <c r="E52" s="132">
        <v>42111</v>
      </c>
      <c r="F52" s="132" t="s">
        <v>4429</v>
      </c>
      <c r="G52" s="132" t="s">
        <v>140</v>
      </c>
      <c r="H52" s="130" t="s">
        <v>4431</v>
      </c>
      <c r="I52" s="132" t="s">
        <v>40</v>
      </c>
      <c r="J52" s="131" t="s">
        <v>4432</v>
      </c>
      <c r="K52" s="132" t="s">
        <v>4433</v>
      </c>
      <c r="L52" s="136">
        <v>8911159</v>
      </c>
      <c r="M52" s="132" t="s">
        <v>4598</v>
      </c>
      <c r="N52" s="136" t="s">
        <v>4599</v>
      </c>
      <c r="O52" s="130" t="s">
        <v>4436</v>
      </c>
      <c r="P52" s="130" t="s">
        <v>54</v>
      </c>
      <c r="Q52" s="130">
        <v>29159090</v>
      </c>
      <c r="R52" s="136">
        <v>24</v>
      </c>
      <c r="S52" s="130" t="s">
        <v>70</v>
      </c>
      <c r="T52" s="136" t="s">
        <v>44</v>
      </c>
      <c r="U52" s="136" t="s">
        <v>53</v>
      </c>
      <c r="V52" s="136">
        <v>3327</v>
      </c>
      <c r="W52" s="133">
        <f t="shared" si="1"/>
        <v>79848</v>
      </c>
      <c r="X52" s="136">
        <v>11.42</v>
      </c>
      <c r="Y52" s="136">
        <v>75</v>
      </c>
      <c r="Z52" s="136">
        <v>0</v>
      </c>
      <c r="AA52" s="136">
        <v>0</v>
      </c>
      <c r="AB52" s="131">
        <v>42104</v>
      </c>
      <c r="AC52" s="134">
        <f t="shared" si="2"/>
        <v>79761.580064308684</v>
      </c>
      <c r="AD52" s="135">
        <v>62.2</v>
      </c>
      <c r="AE52" s="136">
        <f t="shared" si="0"/>
        <v>4966545.6000000006</v>
      </c>
      <c r="AF52" s="137">
        <v>4961170.28</v>
      </c>
      <c r="AG52" s="138">
        <v>62.2</v>
      </c>
      <c r="AH52" s="136" t="s">
        <v>4600</v>
      </c>
      <c r="AI52" s="133">
        <v>79723</v>
      </c>
      <c r="AJ52" s="132" t="s">
        <v>4439</v>
      </c>
      <c r="AK52" s="136" t="s">
        <v>4601</v>
      </c>
      <c r="AL52" s="132" t="s">
        <v>4451</v>
      </c>
      <c r="AM52" s="131" t="s">
        <v>49</v>
      </c>
      <c r="AN52" s="133" t="s">
        <v>4440</v>
      </c>
    </row>
    <row r="53" spans="1:40" s="129" customFormat="1" x14ac:dyDescent="0.25">
      <c r="A53" s="136">
        <v>52</v>
      </c>
      <c r="B53" s="130" t="s">
        <v>4428</v>
      </c>
      <c r="C53" s="130" t="s">
        <v>38</v>
      </c>
      <c r="D53" s="136">
        <v>9103650028</v>
      </c>
      <c r="E53" s="132">
        <v>42111</v>
      </c>
      <c r="F53" s="132" t="s">
        <v>4429</v>
      </c>
      <c r="G53" s="132" t="s">
        <v>139</v>
      </c>
      <c r="H53" s="130" t="s">
        <v>4491</v>
      </c>
      <c r="I53" s="132" t="s">
        <v>40</v>
      </c>
      <c r="J53" s="131" t="s">
        <v>4432</v>
      </c>
      <c r="K53" s="132" t="s">
        <v>4433</v>
      </c>
      <c r="L53" s="136">
        <v>8914506</v>
      </c>
      <c r="M53" s="132" t="s">
        <v>4598</v>
      </c>
      <c r="N53" s="136" t="s">
        <v>3741</v>
      </c>
      <c r="O53" s="130" t="s">
        <v>4436</v>
      </c>
      <c r="P53" s="130" t="s">
        <v>4492</v>
      </c>
      <c r="Q53" s="130">
        <v>38237090</v>
      </c>
      <c r="R53" s="136">
        <v>18</v>
      </c>
      <c r="S53" s="130" t="s">
        <v>70</v>
      </c>
      <c r="T53" s="136" t="s">
        <v>44</v>
      </c>
      <c r="U53" s="136" t="s">
        <v>53</v>
      </c>
      <c r="V53" s="136">
        <v>1758</v>
      </c>
      <c r="W53" s="133">
        <f t="shared" si="1"/>
        <v>31644</v>
      </c>
      <c r="X53" s="136">
        <v>4.53</v>
      </c>
      <c r="Y53" s="136">
        <v>4350</v>
      </c>
      <c r="Z53" s="136">
        <v>0</v>
      </c>
      <c r="AA53" s="136">
        <v>0</v>
      </c>
      <c r="AB53" s="131">
        <v>42104</v>
      </c>
      <c r="AC53" s="134">
        <f t="shared" si="2"/>
        <v>27289.469935691319</v>
      </c>
      <c r="AD53" s="135">
        <v>62.2</v>
      </c>
      <c r="AE53" s="136">
        <f t="shared" si="0"/>
        <v>1968256.8</v>
      </c>
      <c r="AF53" s="137">
        <v>1697405.03</v>
      </c>
      <c r="AG53" s="138">
        <v>62.2</v>
      </c>
      <c r="AH53" s="136" t="s">
        <v>4602</v>
      </c>
      <c r="AI53" s="133">
        <v>31609</v>
      </c>
      <c r="AJ53" s="132" t="s">
        <v>4494</v>
      </c>
      <c r="AK53" s="136" t="s">
        <v>4603</v>
      </c>
      <c r="AL53" s="132" t="s">
        <v>4451</v>
      </c>
      <c r="AM53" s="131" t="s">
        <v>49</v>
      </c>
      <c r="AN53" s="133" t="s">
        <v>4440</v>
      </c>
    </row>
    <row r="54" spans="1:40" s="129" customFormat="1" x14ac:dyDescent="0.25">
      <c r="A54" s="130">
        <v>53</v>
      </c>
      <c r="B54" s="130" t="s">
        <v>4428</v>
      </c>
      <c r="C54" s="130" t="s">
        <v>38</v>
      </c>
      <c r="D54" s="136">
        <v>9103650029</v>
      </c>
      <c r="E54" s="132">
        <v>42112</v>
      </c>
      <c r="F54" s="132" t="s">
        <v>4429</v>
      </c>
      <c r="G54" s="132" t="s">
        <v>144</v>
      </c>
      <c r="H54" s="130" t="s">
        <v>4564</v>
      </c>
      <c r="I54" s="132" t="s">
        <v>40</v>
      </c>
      <c r="J54" s="131" t="s">
        <v>4432</v>
      </c>
      <c r="K54" s="132" t="s">
        <v>4433</v>
      </c>
      <c r="L54" s="136">
        <v>8936273</v>
      </c>
      <c r="M54" s="132">
        <v>42104</v>
      </c>
      <c r="N54" s="136" t="s">
        <v>4604</v>
      </c>
      <c r="O54" s="130" t="s">
        <v>4436</v>
      </c>
      <c r="P54" s="130" t="s">
        <v>205</v>
      </c>
      <c r="Q54" s="130">
        <v>38237090</v>
      </c>
      <c r="R54" s="136">
        <v>12</v>
      </c>
      <c r="S54" s="130" t="s">
        <v>70</v>
      </c>
      <c r="T54" s="136" t="s">
        <v>44</v>
      </c>
      <c r="U54" s="136" t="s">
        <v>53</v>
      </c>
      <c r="V54" s="136">
        <v>1140</v>
      </c>
      <c r="W54" s="133">
        <f t="shared" si="1"/>
        <v>13680</v>
      </c>
      <c r="X54" s="136">
        <v>1.96</v>
      </c>
      <c r="Y54" s="136">
        <v>700</v>
      </c>
      <c r="Z54" s="136">
        <v>0</v>
      </c>
      <c r="AA54" s="136">
        <v>0</v>
      </c>
      <c r="AB54" s="131">
        <v>42105</v>
      </c>
      <c r="AC54" s="134">
        <f t="shared" si="2"/>
        <v>12978.04003215434</v>
      </c>
      <c r="AD54" s="135">
        <v>62.2</v>
      </c>
      <c r="AE54" s="136">
        <f t="shared" si="0"/>
        <v>850896</v>
      </c>
      <c r="AF54" s="137">
        <v>807234.09</v>
      </c>
      <c r="AG54" s="138">
        <v>62.2</v>
      </c>
      <c r="AH54" s="136" t="s">
        <v>4605</v>
      </c>
      <c r="AI54" s="133">
        <v>13667</v>
      </c>
      <c r="AJ54" s="132">
        <v>42135</v>
      </c>
      <c r="AK54" s="136" t="s">
        <v>4606</v>
      </c>
      <c r="AL54" s="132">
        <v>42135</v>
      </c>
      <c r="AM54" s="131" t="s">
        <v>49</v>
      </c>
      <c r="AN54" s="133" t="s">
        <v>4440</v>
      </c>
    </row>
    <row r="55" spans="1:40" s="129" customFormat="1" x14ac:dyDescent="0.25">
      <c r="A55" s="136">
        <v>54</v>
      </c>
      <c r="B55" s="130" t="s">
        <v>4428</v>
      </c>
      <c r="C55" s="130" t="s">
        <v>38</v>
      </c>
      <c r="D55" s="136">
        <v>9103650030</v>
      </c>
      <c r="E55" s="132">
        <v>42111</v>
      </c>
      <c r="F55" s="132" t="s">
        <v>4429</v>
      </c>
      <c r="G55" s="132" t="s">
        <v>144</v>
      </c>
      <c r="H55" s="130" t="s">
        <v>4564</v>
      </c>
      <c r="I55" s="132" t="s">
        <v>40</v>
      </c>
      <c r="J55" s="131" t="s">
        <v>4432</v>
      </c>
      <c r="K55" s="132" t="s">
        <v>4433</v>
      </c>
      <c r="L55" s="136">
        <v>8936536</v>
      </c>
      <c r="M55" s="132" t="s">
        <v>4607</v>
      </c>
      <c r="N55" s="136" t="s">
        <v>4608</v>
      </c>
      <c r="O55" s="130" t="s">
        <v>4436</v>
      </c>
      <c r="P55" s="130" t="s">
        <v>205</v>
      </c>
      <c r="Q55" s="130">
        <v>38237090</v>
      </c>
      <c r="R55" s="136">
        <v>17.600000000000001</v>
      </c>
      <c r="S55" s="130" t="s">
        <v>70</v>
      </c>
      <c r="T55" s="136" t="s">
        <v>44</v>
      </c>
      <c r="U55" s="136" t="s">
        <v>53</v>
      </c>
      <c r="V55" s="136">
        <v>1705</v>
      </c>
      <c r="W55" s="133">
        <f t="shared" si="1"/>
        <v>30008.000000000004</v>
      </c>
      <c r="X55" s="136">
        <v>4.29</v>
      </c>
      <c r="Y55" s="136">
        <v>1000</v>
      </c>
      <c r="Z55" s="136">
        <v>0</v>
      </c>
      <c r="AA55" s="136">
        <v>0</v>
      </c>
      <c r="AB55" s="131">
        <v>42105</v>
      </c>
      <c r="AC55" s="134">
        <f t="shared" si="2"/>
        <v>29003.709967845658</v>
      </c>
      <c r="AD55" s="135">
        <v>62.2</v>
      </c>
      <c r="AE55" s="136">
        <f t="shared" si="0"/>
        <v>1866497.6000000003</v>
      </c>
      <c r="AF55" s="137">
        <v>1804030.76</v>
      </c>
      <c r="AG55" s="138">
        <v>62.2</v>
      </c>
      <c r="AH55" s="136" t="s">
        <v>4609</v>
      </c>
      <c r="AI55" s="133">
        <v>29993</v>
      </c>
      <c r="AJ55" s="132" t="s">
        <v>4494</v>
      </c>
      <c r="AK55" s="136" t="s">
        <v>4610</v>
      </c>
      <c r="AL55" s="132" t="s">
        <v>4451</v>
      </c>
      <c r="AM55" s="131" t="s">
        <v>49</v>
      </c>
      <c r="AN55" s="133" t="s">
        <v>4440</v>
      </c>
    </row>
    <row r="56" spans="1:40" s="129" customFormat="1" x14ac:dyDescent="0.25">
      <c r="A56" s="130">
        <v>55</v>
      </c>
      <c r="B56" s="130" t="s">
        <v>4428</v>
      </c>
      <c r="C56" s="130" t="s">
        <v>38</v>
      </c>
      <c r="D56" s="136" t="s">
        <v>4611</v>
      </c>
      <c r="E56" s="132">
        <v>42110</v>
      </c>
      <c r="F56" s="132" t="s">
        <v>4429</v>
      </c>
      <c r="G56" s="132" t="s">
        <v>138</v>
      </c>
      <c r="H56" s="130" t="s">
        <v>4456</v>
      </c>
      <c r="I56" s="132" t="s">
        <v>40</v>
      </c>
      <c r="J56" s="131" t="s">
        <v>4432</v>
      </c>
      <c r="K56" s="132" t="s">
        <v>4433</v>
      </c>
      <c r="L56" s="136">
        <v>8914499</v>
      </c>
      <c r="M56" s="132">
        <v>42103</v>
      </c>
      <c r="N56" s="136" t="s">
        <v>4612</v>
      </c>
      <c r="O56" s="130" t="s">
        <v>4436</v>
      </c>
      <c r="P56" s="130" t="s">
        <v>47</v>
      </c>
      <c r="Q56" s="130">
        <v>38231900</v>
      </c>
      <c r="R56" s="136">
        <v>19.91</v>
      </c>
      <c r="S56" s="130" t="s">
        <v>70</v>
      </c>
      <c r="T56" s="136" t="s">
        <v>44</v>
      </c>
      <c r="U56" s="136" t="s">
        <v>53</v>
      </c>
      <c r="V56" s="136">
        <v>3740</v>
      </c>
      <c r="W56" s="133">
        <f t="shared" si="1"/>
        <v>74463.399999999994</v>
      </c>
      <c r="X56" s="136">
        <v>10.65</v>
      </c>
      <c r="Y56" s="136">
        <v>950</v>
      </c>
      <c r="Z56" s="136">
        <v>0</v>
      </c>
      <c r="AA56" s="136">
        <v>1433.52</v>
      </c>
      <c r="AB56" s="131">
        <v>42105</v>
      </c>
      <c r="AC56" s="134">
        <f>AF56/AD56</f>
        <v>73502.75</v>
      </c>
      <c r="AD56" s="135">
        <v>62.2</v>
      </c>
      <c r="AE56" s="136">
        <f t="shared" si="0"/>
        <v>4631623.4799999995</v>
      </c>
      <c r="AF56" s="137">
        <v>4571871.05</v>
      </c>
      <c r="AG56" s="138">
        <v>62.2</v>
      </c>
      <c r="AH56" s="136" t="s">
        <v>4613</v>
      </c>
      <c r="AI56" s="136">
        <v>75896.92</v>
      </c>
      <c r="AJ56" s="132">
        <v>42163</v>
      </c>
      <c r="AK56" s="136" t="s">
        <v>4614</v>
      </c>
      <c r="AL56" s="132">
        <v>42164</v>
      </c>
      <c r="AM56" s="131" t="s">
        <v>49</v>
      </c>
      <c r="AN56" s="136" t="s">
        <v>4440</v>
      </c>
    </row>
    <row r="57" spans="1:40" s="129" customFormat="1" x14ac:dyDescent="0.25">
      <c r="A57" s="136">
        <v>56</v>
      </c>
      <c r="B57" s="130" t="s">
        <v>4428</v>
      </c>
      <c r="C57" s="130" t="s">
        <v>38</v>
      </c>
      <c r="D57" s="136" t="s">
        <v>4611</v>
      </c>
      <c r="E57" s="132">
        <v>42110</v>
      </c>
      <c r="F57" s="132" t="s">
        <v>4429</v>
      </c>
      <c r="G57" s="132" t="s">
        <v>145</v>
      </c>
      <c r="H57" s="130" t="s">
        <v>4456</v>
      </c>
      <c r="I57" s="132" t="s">
        <v>40</v>
      </c>
      <c r="J57" s="131" t="s">
        <v>4432</v>
      </c>
      <c r="K57" s="132" t="s">
        <v>4433</v>
      </c>
      <c r="L57" s="136">
        <v>8927381</v>
      </c>
      <c r="M57" s="132">
        <v>42104</v>
      </c>
      <c r="N57" s="136" t="s">
        <v>4612</v>
      </c>
      <c r="O57" s="130" t="s">
        <v>4436</v>
      </c>
      <c r="P57" s="130" t="s">
        <v>47</v>
      </c>
      <c r="Q57" s="130">
        <v>38231900</v>
      </c>
      <c r="R57" s="136">
        <v>19.670000000000002</v>
      </c>
      <c r="S57" s="130" t="s">
        <v>70</v>
      </c>
      <c r="T57" s="136" t="s">
        <v>44</v>
      </c>
      <c r="U57" s="136" t="s">
        <v>53</v>
      </c>
      <c r="V57" s="136">
        <v>3740</v>
      </c>
      <c r="W57" s="133">
        <f t="shared" si="1"/>
        <v>73565.8</v>
      </c>
      <c r="X57" s="136">
        <v>10.52</v>
      </c>
      <c r="Y57" s="136">
        <v>950</v>
      </c>
      <c r="Z57" s="136">
        <v>0</v>
      </c>
      <c r="AA57" s="136">
        <v>1416.24</v>
      </c>
      <c r="AB57" s="131">
        <v>42105</v>
      </c>
      <c r="AC57" s="134">
        <f t="shared" si="2"/>
        <v>72605.280064308681</v>
      </c>
      <c r="AD57" s="135">
        <v>62.2</v>
      </c>
      <c r="AE57" s="136">
        <f t="shared" si="0"/>
        <v>4575792.7600000007</v>
      </c>
      <c r="AF57" s="137">
        <v>4516048.42</v>
      </c>
      <c r="AG57" s="138">
        <v>62.2</v>
      </c>
      <c r="AH57" s="136" t="s">
        <v>4613</v>
      </c>
      <c r="AI57" s="136">
        <v>72127.679999999993</v>
      </c>
      <c r="AJ57" s="132">
        <v>42163</v>
      </c>
      <c r="AK57" s="136" t="s">
        <v>4615</v>
      </c>
      <c r="AL57" s="132">
        <v>42164</v>
      </c>
      <c r="AM57" s="131" t="s">
        <v>49</v>
      </c>
      <c r="AN57" s="136" t="s">
        <v>4440</v>
      </c>
    </row>
    <row r="58" spans="1:40" s="129" customFormat="1" x14ac:dyDescent="0.25">
      <c r="A58" s="130">
        <v>57</v>
      </c>
      <c r="B58" s="130" t="s">
        <v>4428</v>
      </c>
      <c r="C58" s="130" t="s">
        <v>38</v>
      </c>
      <c r="D58" s="136">
        <v>9103650033</v>
      </c>
      <c r="E58" s="132">
        <v>42111</v>
      </c>
      <c r="F58" s="132" t="s">
        <v>4429</v>
      </c>
      <c r="G58" s="132" t="s">
        <v>109</v>
      </c>
      <c r="H58" s="130" t="s">
        <v>4564</v>
      </c>
      <c r="I58" s="132" t="s">
        <v>40</v>
      </c>
      <c r="J58" s="131" t="s">
        <v>4432</v>
      </c>
      <c r="K58" s="132" t="s">
        <v>4433</v>
      </c>
      <c r="L58" s="136">
        <v>8806716</v>
      </c>
      <c r="M58" s="132" t="s">
        <v>4540</v>
      </c>
      <c r="N58" s="136" t="s">
        <v>4616</v>
      </c>
      <c r="O58" s="130" t="s">
        <v>4436</v>
      </c>
      <c r="P58" s="130" t="s">
        <v>137</v>
      </c>
      <c r="Q58" s="130">
        <v>38231900</v>
      </c>
      <c r="R58" s="136">
        <v>0.54</v>
      </c>
      <c r="S58" s="130" t="s">
        <v>70</v>
      </c>
      <c r="T58" s="136" t="s">
        <v>44</v>
      </c>
      <c r="U58" s="136" t="s">
        <v>53</v>
      </c>
      <c r="V58" s="136">
        <v>1672</v>
      </c>
      <c r="W58" s="133">
        <f t="shared" si="1"/>
        <v>902.88000000000011</v>
      </c>
      <c r="X58" s="136">
        <v>0.13</v>
      </c>
      <c r="Y58" s="136">
        <v>50</v>
      </c>
      <c r="Z58" s="136">
        <v>0</v>
      </c>
      <c r="AA58" s="136">
        <v>0</v>
      </c>
      <c r="AB58" s="131">
        <v>42105</v>
      </c>
      <c r="AC58" s="134">
        <f t="shared" si="2"/>
        <v>852.75</v>
      </c>
      <c r="AD58" s="135">
        <v>62.2</v>
      </c>
      <c r="AE58" s="136">
        <f t="shared" si="0"/>
        <v>56159.136000000006</v>
      </c>
      <c r="AF58" s="137">
        <v>53041.05</v>
      </c>
      <c r="AG58" s="138">
        <v>62.2</v>
      </c>
      <c r="AH58" s="136" t="s">
        <v>4617</v>
      </c>
      <c r="AI58" s="133">
        <v>887.88</v>
      </c>
      <c r="AJ58" s="132" t="s">
        <v>4494</v>
      </c>
      <c r="AK58" s="136" t="s">
        <v>4618</v>
      </c>
      <c r="AL58" s="132" t="s">
        <v>4451</v>
      </c>
      <c r="AM58" s="131" t="s">
        <v>49</v>
      </c>
      <c r="AN58" s="133" t="s">
        <v>4440</v>
      </c>
    </row>
    <row r="59" spans="1:40" s="129" customFormat="1" x14ac:dyDescent="0.25">
      <c r="A59" s="136">
        <v>58</v>
      </c>
      <c r="B59" s="130" t="s">
        <v>4428</v>
      </c>
      <c r="C59" s="130" t="s">
        <v>38</v>
      </c>
      <c r="D59" s="136">
        <v>9103650034</v>
      </c>
      <c r="E59" s="132">
        <v>42111</v>
      </c>
      <c r="F59" s="132" t="s">
        <v>4429</v>
      </c>
      <c r="G59" s="132" t="s">
        <v>135</v>
      </c>
      <c r="H59" s="130" t="s">
        <v>4564</v>
      </c>
      <c r="I59" s="132" t="s">
        <v>40</v>
      </c>
      <c r="J59" s="131" t="s">
        <v>4432</v>
      </c>
      <c r="K59" s="132" t="s">
        <v>4433</v>
      </c>
      <c r="L59" s="136">
        <v>8908172</v>
      </c>
      <c r="M59" s="132">
        <v>42103</v>
      </c>
      <c r="N59" s="136" t="s">
        <v>4619</v>
      </c>
      <c r="O59" s="130" t="s">
        <v>4436</v>
      </c>
      <c r="P59" s="130" t="s">
        <v>64</v>
      </c>
      <c r="Q59" s="130">
        <v>38237090</v>
      </c>
      <c r="R59" s="136">
        <v>0.6</v>
      </c>
      <c r="S59" s="130" t="s">
        <v>70</v>
      </c>
      <c r="T59" s="136" t="s">
        <v>44</v>
      </c>
      <c r="U59" s="136" t="s">
        <v>53</v>
      </c>
      <c r="V59" s="136">
        <v>1450</v>
      </c>
      <c r="W59" s="133">
        <f t="shared" si="1"/>
        <v>870</v>
      </c>
      <c r="X59" s="136">
        <v>0.12</v>
      </c>
      <c r="Y59" s="136">
        <v>50</v>
      </c>
      <c r="Z59" s="136">
        <v>0</v>
      </c>
      <c r="AA59" s="136">
        <v>0</v>
      </c>
      <c r="AB59" s="131">
        <v>42105</v>
      </c>
      <c r="AC59" s="134">
        <f t="shared" si="2"/>
        <v>819.88006430868165</v>
      </c>
      <c r="AD59" s="135">
        <v>62.2</v>
      </c>
      <c r="AE59" s="136">
        <f t="shared" si="0"/>
        <v>54114</v>
      </c>
      <c r="AF59" s="137">
        <v>50996.54</v>
      </c>
      <c r="AG59" s="138">
        <v>62.2</v>
      </c>
      <c r="AH59" s="136" t="s">
        <v>4620</v>
      </c>
      <c r="AI59" s="133">
        <v>852</v>
      </c>
      <c r="AJ59" s="132">
        <v>42131</v>
      </c>
      <c r="AK59" s="136" t="s">
        <v>4621</v>
      </c>
      <c r="AL59" s="132">
        <v>42193</v>
      </c>
      <c r="AM59" s="131" t="s">
        <v>49</v>
      </c>
      <c r="AN59" s="133" t="s">
        <v>4440</v>
      </c>
    </row>
    <row r="60" spans="1:40" s="129" customFormat="1" x14ac:dyDescent="0.25">
      <c r="A60" s="130">
        <v>59</v>
      </c>
      <c r="B60" s="130" t="s">
        <v>4428</v>
      </c>
      <c r="C60" s="130" t="s">
        <v>38</v>
      </c>
      <c r="D60" s="136">
        <v>9103650035</v>
      </c>
      <c r="E60" s="132">
        <v>42112</v>
      </c>
      <c r="F60" s="132" t="s">
        <v>4429</v>
      </c>
      <c r="G60" s="132" t="s">
        <v>148</v>
      </c>
      <c r="H60" s="130" t="s">
        <v>4463</v>
      </c>
      <c r="I60" s="132" t="s">
        <v>40</v>
      </c>
      <c r="J60" s="131" t="s">
        <v>4432</v>
      </c>
      <c r="K60" s="132" t="s">
        <v>4433</v>
      </c>
      <c r="L60" s="136">
        <v>8968187</v>
      </c>
      <c r="M60" s="132">
        <v>42107</v>
      </c>
      <c r="N60" s="136" t="s">
        <v>4622</v>
      </c>
      <c r="O60" s="130" t="s">
        <v>4436</v>
      </c>
      <c r="P60" s="130" t="s">
        <v>188</v>
      </c>
      <c r="Q60" s="130">
        <v>29051700</v>
      </c>
      <c r="R60" s="136">
        <v>24</v>
      </c>
      <c r="S60" s="130" t="s">
        <v>70</v>
      </c>
      <c r="T60" s="136" t="s">
        <v>44</v>
      </c>
      <c r="U60" s="136" t="s">
        <v>53</v>
      </c>
      <c r="V60" s="136">
        <v>1730</v>
      </c>
      <c r="W60" s="133">
        <f t="shared" si="1"/>
        <v>41520</v>
      </c>
      <c r="X60" s="136">
        <v>5.94</v>
      </c>
      <c r="Y60" s="136">
        <v>3150</v>
      </c>
      <c r="Z60" s="136">
        <v>0</v>
      </c>
      <c r="AA60" s="136">
        <v>0</v>
      </c>
      <c r="AB60" s="131">
        <v>42109</v>
      </c>
      <c r="AC60" s="134">
        <f t="shared" si="2"/>
        <v>38364.059967845657</v>
      </c>
      <c r="AD60" s="135">
        <v>62.2</v>
      </c>
      <c r="AE60" s="136">
        <f t="shared" si="0"/>
        <v>2582544</v>
      </c>
      <c r="AF60" s="137">
        <v>2386244.5299999998</v>
      </c>
      <c r="AG60" s="138">
        <v>62.2</v>
      </c>
      <c r="AH60" s="136" t="s">
        <v>4623</v>
      </c>
      <c r="AI60" s="133">
        <v>41485.5</v>
      </c>
      <c r="AJ60" s="132">
        <v>42163</v>
      </c>
      <c r="AK60" s="136" t="s">
        <v>4624</v>
      </c>
      <c r="AL60" s="132">
        <v>42193</v>
      </c>
      <c r="AM60" s="131" t="s">
        <v>49</v>
      </c>
      <c r="AN60" s="133" t="s">
        <v>4440</v>
      </c>
    </row>
    <row r="61" spans="1:40" s="129" customFormat="1" x14ac:dyDescent="0.25">
      <c r="A61" s="136">
        <v>60</v>
      </c>
      <c r="B61" s="130" t="s">
        <v>4428</v>
      </c>
      <c r="C61" s="130" t="s">
        <v>38</v>
      </c>
      <c r="D61" s="136">
        <v>9103650036</v>
      </c>
      <c r="E61" s="132">
        <v>42113</v>
      </c>
      <c r="F61" s="132" t="s">
        <v>4429</v>
      </c>
      <c r="G61" s="132" t="s">
        <v>147</v>
      </c>
      <c r="H61" s="130" t="s">
        <v>4491</v>
      </c>
      <c r="I61" s="132" t="s">
        <v>40</v>
      </c>
      <c r="J61" s="131" t="s">
        <v>4432</v>
      </c>
      <c r="K61" s="132" t="s">
        <v>4433</v>
      </c>
      <c r="L61" s="136">
        <v>8971035</v>
      </c>
      <c r="M61" s="132">
        <v>42107</v>
      </c>
      <c r="N61" s="136" t="s">
        <v>4532</v>
      </c>
      <c r="O61" s="130" t="s">
        <v>4436</v>
      </c>
      <c r="P61" s="130" t="s">
        <v>4625</v>
      </c>
      <c r="Q61" s="130">
        <v>29157010</v>
      </c>
      <c r="R61" s="136">
        <v>15</v>
      </c>
      <c r="S61" s="130" t="s">
        <v>70</v>
      </c>
      <c r="T61" s="136" t="s">
        <v>67</v>
      </c>
      <c r="U61" s="136" t="s">
        <v>53</v>
      </c>
      <c r="V61" s="136">
        <v>1080</v>
      </c>
      <c r="W61" s="133">
        <f t="shared" si="1"/>
        <v>16200</v>
      </c>
      <c r="X61" s="136">
        <v>0</v>
      </c>
      <c r="Y61" s="136">
        <v>0</v>
      </c>
      <c r="Z61" s="136">
        <v>0</v>
      </c>
      <c r="AA61" s="136">
        <v>0</v>
      </c>
      <c r="AB61" s="131"/>
      <c r="AC61" s="134">
        <f t="shared" si="2"/>
        <v>31699.3</v>
      </c>
      <c r="AD61" s="135">
        <v>62.2</v>
      </c>
      <c r="AE61" s="136">
        <f t="shared" si="0"/>
        <v>1007640</v>
      </c>
      <c r="AF61" s="137">
        <v>1971696.46</v>
      </c>
      <c r="AG61" s="138">
        <v>62.2</v>
      </c>
      <c r="AH61" s="136" t="s">
        <v>4626</v>
      </c>
      <c r="AI61" s="136">
        <v>16185</v>
      </c>
      <c r="AJ61" s="132" t="s">
        <v>4627</v>
      </c>
      <c r="AK61" s="136" t="s">
        <v>4628</v>
      </c>
      <c r="AL61" s="132" t="s">
        <v>4629</v>
      </c>
      <c r="AM61" s="131" t="s">
        <v>49</v>
      </c>
      <c r="AN61" s="136" t="s">
        <v>4440</v>
      </c>
    </row>
    <row r="62" spans="1:40" s="129" customFormat="1" ht="25.5" x14ac:dyDescent="0.25">
      <c r="A62" s="130">
        <v>61</v>
      </c>
      <c r="B62" s="130" t="s">
        <v>4428</v>
      </c>
      <c r="C62" s="130" t="s">
        <v>38</v>
      </c>
      <c r="D62" s="136">
        <v>9103650037</v>
      </c>
      <c r="E62" s="132">
        <v>42113</v>
      </c>
      <c r="F62" s="132" t="s">
        <v>4429</v>
      </c>
      <c r="G62" s="132" t="s">
        <v>152</v>
      </c>
      <c r="H62" s="130" t="s">
        <v>4463</v>
      </c>
      <c r="I62" s="132" t="s">
        <v>40</v>
      </c>
      <c r="J62" s="131" t="s">
        <v>4432</v>
      </c>
      <c r="K62" s="132" t="s">
        <v>4433</v>
      </c>
      <c r="L62" s="136">
        <v>8975355</v>
      </c>
      <c r="M62" s="132">
        <v>42107</v>
      </c>
      <c r="N62" s="136" t="s">
        <v>4630</v>
      </c>
      <c r="O62" s="130" t="s">
        <v>4436</v>
      </c>
      <c r="P62" s="130" t="s">
        <v>4566</v>
      </c>
      <c r="Q62" s="130" t="s">
        <v>4631</v>
      </c>
      <c r="R62" s="136">
        <v>14</v>
      </c>
      <c r="S62" s="130" t="s">
        <v>70</v>
      </c>
      <c r="T62" s="136" t="s">
        <v>44</v>
      </c>
      <c r="U62" s="136" t="s">
        <v>53</v>
      </c>
      <c r="V62" s="136">
        <v>0</v>
      </c>
      <c r="W62" s="133">
        <f>(10*1450+4*996)</f>
        <v>18484</v>
      </c>
      <c r="X62" s="136">
        <v>2.64</v>
      </c>
      <c r="Y62" s="136">
        <v>157</v>
      </c>
      <c r="Z62" s="136">
        <v>0</v>
      </c>
      <c r="AA62" s="136">
        <v>0</v>
      </c>
      <c r="AB62" s="131">
        <v>42109</v>
      </c>
      <c r="AC62" s="134">
        <f t="shared" si="2"/>
        <v>18324.359967845656</v>
      </c>
      <c r="AD62" s="135">
        <v>62.2</v>
      </c>
      <c r="AE62" s="136">
        <f t="shared" si="0"/>
        <v>1149704.8</v>
      </c>
      <c r="AF62" s="137">
        <v>1139775.19</v>
      </c>
      <c r="AG62" s="138">
        <v>62.2</v>
      </c>
      <c r="AH62" s="136" t="s">
        <v>4632</v>
      </c>
      <c r="AI62" s="133">
        <v>18484</v>
      </c>
      <c r="AJ62" s="132">
        <v>42100</v>
      </c>
      <c r="AK62" s="139" t="s">
        <v>4633</v>
      </c>
      <c r="AL62" s="142" t="s">
        <v>4634</v>
      </c>
      <c r="AM62" s="131" t="s">
        <v>49</v>
      </c>
      <c r="AN62" s="133" t="s">
        <v>4440</v>
      </c>
    </row>
    <row r="63" spans="1:40" s="129" customFormat="1" x14ac:dyDescent="0.25">
      <c r="A63" s="136">
        <v>62</v>
      </c>
      <c r="B63" s="130" t="s">
        <v>4428</v>
      </c>
      <c r="C63" s="130" t="s">
        <v>38</v>
      </c>
      <c r="D63" s="136">
        <v>9103650038</v>
      </c>
      <c r="E63" s="132">
        <v>42115</v>
      </c>
      <c r="F63" s="132" t="s">
        <v>4429</v>
      </c>
      <c r="G63" s="132" t="s">
        <v>157</v>
      </c>
      <c r="H63" s="130" t="s">
        <v>4564</v>
      </c>
      <c r="I63" s="132" t="s">
        <v>40</v>
      </c>
      <c r="J63" s="131" t="s">
        <v>4432</v>
      </c>
      <c r="K63" s="132" t="s">
        <v>4433</v>
      </c>
      <c r="L63" s="136">
        <v>8980203</v>
      </c>
      <c r="M63" s="132">
        <v>42107</v>
      </c>
      <c r="N63" s="136" t="s">
        <v>4537</v>
      </c>
      <c r="O63" s="130" t="s">
        <v>4436</v>
      </c>
      <c r="P63" s="130" t="s">
        <v>492</v>
      </c>
      <c r="Q63" s="130">
        <v>38237090</v>
      </c>
      <c r="R63" s="136">
        <v>195</v>
      </c>
      <c r="S63" s="130" t="s">
        <v>70</v>
      </c>
      <c r="T63" s="136" t="s">
        <v>67</v>
      </c>
      <c r="U63" s="136" t="s">
        <v>53</v>
      </c>
      <c r="V63" s="136">
        <v>1300</v>
      </c>
      <c r="W63" s="133">
        <f t="shared" si="1"/>
        <v>253500</v>
      </c>
      <c r="X63" s="136">
        <v>0</v>
      </c>
      <c r="Y63" s="136">
        <v>0</v>
      </c>
      <c r="Z63" s="136">
        <v>0</v>
      </c>
      <c r="AA63" s="136">
        <v>0</v>
      </c>
      <c r="AB63" s="131">
        <v>42109</v>
      </c>
      <c r="AC63" s="134">
        <f t="shared" si="2"/>
        <v>253500</v>
      </c>
      <c r="AD63" s="135">
        <v>62.2</v>
      </c>
      <c r="AE63" s="136">
        <f t="shared" si="0"/>
        <v>15767700</v>
      </c>
      <c r="AF63" s="137">
        <v>15767700</v>
      </c>
      <c r="AG63" s="138">
        <v>62.2</v>
      </c>
      <c r="AH63" s="136" t="s">
        <v>4635</v>
      </c>
      <c r="AI63" s="133">
        <v>253448</v>
      </c>
      <c r="AJ63" s="132">
        <v>42118</v>
      </c>
      <c r="AK63" s="136" t="s">
        <v>4636</v>
      </c>
      <c r="AL63" s="132">
        <v>42193</v>
      </c>
      <c r="AM63" s="131" t="s">
        <v>49</v>
      </c>
      <c r="AN63" s="133" t="s">
        <v>4440</v>
      </c>
    </row>
    <row r="64" spans="1:40" s="129" customFormat="1" x14ac:dyDescent="0.25">
      <c r="A64" s="130">
        <v>63</v>
      </c>
      <c r="B64" s="130" t="s">
        <v>4428</v>
      </c>
      <c r="C64" s="130" t="s">
        <v>38</v>
      </c>
      <c r="D64" s="136">
        <v>9103650039</v>
      </c>
      <c r="E64" s="132">
        <v>42114</v>
      </c>
      <c r="F64" s="132" t="s">
        <v>4429</v>
      </c>
      <c r="G64" s="132" t="s">
        <v>147</v>
      </c>
      <c r="H64" s="130" t="s">
        <v>4491</v>
      </c>
      <c r="I64" s="132" t="s">
        <v>40</v>
      </c>
      <c r="J64" s="131" t="s">
        <v>4432</v>
      </c>
      <c r="K64" s="132" t="s">
        <v>4433</v>
      </c>
      <c r="L64" s="136">
        <v>9002387</v>
      </c>
      <c r="M64" s="132" t="s">
        <v>3960</v>
      </c>
      <c r="N64" s="136" t="s">
        <v>3741</v>
      </c>
      <c r="O64" s="130" t="s">
        <v>4436</v>
      </c>
      <c r="P64" s="130" t="s">
        <v>4492</v>
      </c>
      <c r="Q64" s="130">
        <v>29051700</v>
      </c>
      <c r="R64" s="136">
        <v>18.14</v>
      </c>
      <c r="S64" s="130" t="s">
        <v>70</v>
      </c>
      <c r="T64" s="136" t="s">
        <v>44</v>
      </c>
      <c r="U64" s="136" t="s">
        <v>53</v>
      </c>
      <c r="V64" s="136">
        <v>1858</v>
      </c>
      <c r="W64" s="133">
        <f t="shared" si="1"/>
        <v>33704.120000000003</v>
      </c>
      <c r="X64" s="136">
        <v>4.82</v>
      </c>
      <c r="Y64" s="136">
        <v>2000</v>
      </c>
      <c r="Z64" s="136">
        <v>0</v>
      </c>
      <c r="AA64" s="136">
        <v>0</v>
      </c>
      <c r="AB64" s="131">
        <v>42110</v>
      </c>
      <c r="AC64" s="134">
        <f t="shared" si="2"/>
        <v>31699.3</v>
      </c>
      <c r="AD64" s="135">
        <v>62.2</v>
      </c>
      <c r="AE64" s="136">
        <f t="shared" si="0"/>
        <v>2096396.2640000002</v>
      </c>
      <c r="AF64" s="137">
        <v>1971696.46</v>
      </c>
      <c r="AG64" s="138">
        <v>62.2</v>
      </c>
      <c r="AH64" s="136" t="s">
        <v>4637</v>
      </c>
      <c r="AI64" s="133">
        <v>33704.120000000003</v>
      </c>
      <c r="AJ64" s="132" t="s">
        <v>4494</v>
      </c>
      <c r="AK64" s="136" t="s">
        <v>4638</v>
      </c>
      <c r="AL64" s="132" t="s">
        <v>4451</v>
      </c>
      <c r="AM64" s="131" t="s">
        <v>49</v>
      </c>
      <c r="AN64" s="133" t="s">
        <v>4440</v>
      </c>
    </row>
    <row r="65" spans="1:40" s="129" customFormat="1" x14ac:dyDescent="0.25">
      <c r="A65" s="136">
        <v>64</v>
      </c>
      <c r="B65" s="130" t="s">
        <v>4428</v>
      </c>
      <c r="C65" s="130" t="s">
        <v>38</v>
      </c>
      <c r="D65" s="136">
        <v>9103650040</v>
      </c>
      <c r="E65" s="132">
        <v>42115</v>
      </c>
      <c r="F65" s="132" t="s">
        <v>4429</v>
      </c>
      <c r="G65" s="132" t="s">
        <v>150</v>
      </c>
      <c r="H65" s="130" t="s">
        <v>4431</v>
      </c>
      <c r="I65" s="132" t="s">
        <v>40</v>
      </c>
      <c r="J65" s="131" t="s">
        <v>4432</v>
      </c>
      <c r="K65" s="132" t="s">
        <v>4433</v>
      </c>
      <c r="L65" s="136">
        <v>9007561</v>
      </c>
      <c r="M65" s="132" t="s">
        <v>3960</v>
      </c>
      <c r="N65" s="136" t="s">
        <v>4599</v>
      </c>
      <c r="O65" s="130" t="s">
        <v>4436</v>
      </c>
      <c r="P65" s="130" t="s">
        <v>54</v>
      </c>
      <c r="Q65" s="130">
        <v>29161990</v>
      </c>
      <c r="R65" s="136">
        <v>72</v>
      </c>
      <c r="S65" s="130" t="s">
        <v>70</v>
      </c>
      <c r="T65" s="136" t="s">
        <v>44</v>
      </c>
      <c r="U65" s="136" t="s">
        <v>53</v>
      </c>
      <c r="V65" s="136">
        <v>2575</v>
      </c>
      <c r="W65" s="133">
        <f t="shared" si="1"/>
        <v>185400</v>
      </c>
      <c r="X65" s="136">
        <v>26.51</v>
      </c>
      <c r="Y65" s="136">
        <v>200</v>
      </c>
      <c r="Z65" s="136">
        <v>0</v>
      </c>
      <c r="AA65" s="136">
        <v>0</v>
      </c>
      <c r="AB65" s="131">
        <v>42111</v>
      </c>
      <c r="AC65" s="134">
        <f t="shared" si="2"/>
        <v>185173.49003215434</v>
      </c>
      <c r="AD65" s="135">
        <v>62.2</v>
      </c>
      <c r="AE65" s="136">
        <f t="shared" si="0"/>
        <v>11531880</v>
      </c>
      <c r="AF65" s="137">
        <v>11517791.08</v>
      </c>
      <c r="AG65" s="138">
        <v>61.95</v>
      </c>
      <c r="AH65" s="136" t="s">
        <v>4639</v>
      </c>
      <c r="AI65" s="133">
        <v>185215</v>
      </c>
      <c r="AJ65" s="132" t="s">
        <v>4450</v>
      </c>
      <c r="AK65" s="136" t="s">
        <v>4640</v>
      </c>
      <c r="AL65" s="132" t="s">
        <v>4451</v>
      </c>
      <c r="AM65" s="131" t="s">
        <v>49</v>
      </c>
      <c r="AN65" s="133" t="s">
        <v>4440</v>
      </c>
    </row>
    <row r="66" spans="1:40" s="129" customFormat="1" x14ac:dyDescent="0.25">
      <c r="A66" s="130">
        <v>65</v>
      </c>
      <c r="B66" s="130" t="s">
        <v>4428</v>
      </c>
      <c r="C66" s="130" t="s">
        <v>38</v>
      </c>
      <c r="D66" s="136">
        <v>9103650041</v>
      </c>
      <c r="E66" s="132">
        <v>42111</v>
      </c>
      <c r="F66" s="132" t="s">
        <v>4429</v>
      </c>
      <c r="G66" s="132" t="s">
        <v>151</v>
      </c>
      <c r="H66" s="130" t="s">
        <v>4446</v>
      </c>
      <c r="I66" s="132" t="s">
        <v>40</v>
      </c>
      <c r="J66" s="131" t="s">
        <v>4432</v>
      </c>
      <c r="K66" s="132" t="s">
        <v>4433</v>
      </c>
      <c r="L66" s="136">
        <v>9011940</v>
      </c>
      <c r="M66" s="132" t="s">
        <v>3960</v>
      </c>
      <c r="N66" s="136" t="s">
        <v>4641</v>
      </c>
      <c r="O66" s="130" t="s">
        <v>4436</v>
      </c>
      <c r="P66" s="130" t="s">
        <v>143</v>
      </c>
      <c r="Q66" s="130">
        <v>29051700</v>
      </c>
      <c r="R66" s="136">
        <v>15</v>
      </c>
      <c r="S66" s="130" t="s">
        <v>70</v>
      </c>
      <c r="T66" s="136" t="s">
        <v>44</v>
      </c>
      <c r="U66" s="136" t="s">
        <v>53</v>
      </c>
      <c r="V66" s="136">
        <v>1790</v>
      </c>
      <c r="W66" s="133">
        <f t="shared" si="1"/>
        <v>26850</v>
      </c>
      <c r="X66" s="136">
        <v>3.84</v>
      </c>
      <c r="Y66" s="136">
        <v>650</v>
      </c>
      <c r="Z66" s="136">
        <v>0</v>
      </c>
      <c r="AA66" s="136">
        <v>0</v>
      </c>
      <c r="AB66" s="131">
        <v>42110</v>
      </c>
      <c r="AC66" s="134">
        <f t="shared" si="2"/>
        <v>26196.159967845655</v>
      </c>
      <c r="AD66" s="135">
        <v>62.2</v>
      </c>
      <c r="AE66" s="136">
        <f t="shared" ref="AE66:AE129" si="3">AD66*W66</f>
        <v>1670070</v>
      </c>
      <c r="AF66" s="137">
        <v>1629401.15</v>
      </c>
      <c r="AG66" s="138">
        <v>62.2</v>
      </c>
      <c r="AH66" s="136" t="s">
        <v>4642</v>
      </c>
      <c r="AI66" s="133">
        <v>26850</v>
      </c>
      <c r="AJ66" s="132" t="s">
        <v>4542</v>
      </c>
      <c r="AK66" s="136" t="s">
        <v>4643</v>
      </c>
      <c r="AL66" s="132" t="s">
        <v>4451</v>
      </c>
      <c r="AM66" s="131" t="s">
        <v>49</v>
      </c>
      <c r="AN66" s="133" t="s">
        <v>4440</v>
      </c>
    </row>
    <row r="67" spans="1:40" s="129" customFormat="1" x14ac:dyDescent="0.25">
      <c r="A67" s="136">
        <v>66</v>
      </c>
      <c r="B67" s="130" t="s">
        <v>4428</v>
      </c>
      <c r="C67" s="130" t="s">
        <v>38</v>
      </c>
      <c r="D67" s="136">
        <v>9103650042</v>
      </c>
      <c r="E67" s="132">
        <v>42116</v>
      </c>
      <c r="F67" s="132" t="s">
        <v>4429</v>
      </c>
      <c r="G67" s="132" t="s">
        <v>161</v>
      </c>
      <c r="H67" s="130" t="s">
        <v>4456</v>
      </c>
      <c r="I67" s="132" t="s">
        <v>40</v>
      </c>
      <c r="J67" s="131" t="s">
        <v>4432</v>
      </c>
      <c r="K67" s="132" t="s">
        <v>4433</v>
      </c>
      <c r="L67" s="136">
        <v>9011591</v>
      </c>
      <c r="M67" s="132" t="s">
        <v>3960</v>
      </c>
      <c r="N67" s="136" t="s">
        <v>4644</v>
      </c>
      <c r="O67" s="130" t="s">
        <v>4436</v>
      </c>
      <c r="P67" s="130" t="s">
        <v>294</v>
      </c>
      <c r="Q67" s="130" t="s">
        <v>4645</v>
      </c>
      <c r="R67" s="136">
        <v>12</v>
      </c>
      <c r="S67" s="130" t="s">
        <v>70</v>
      </c>
      <c r="T67" s="136" t="s">
        <v>44</v>
      </c>
      <c r="U67" s="136" t="s">
        <v>53</v>
      </c>
      <c r="V67" s="136">
        <v>0</v>
      </c>
      <c r="W67" s="133">
        <f>(4*1895+3*1695+5*1795)</f>
        <v>21640</v>
      </c>
      <c r="X67" s="136">
        <v>3.09</v>
      </c>
      <c r="Y67" s="136">
        <v>1200</v>
      </c>
      <c r="Z67" s="136">
        <v>0</v>
      </c>
      <c r="AA67" s="136">
        <v>0</v>
      </c>
      <c r="AB67" s="131">
        <v>42112</v>
      </c>
      <c r="AC67" s="134">
        <f t="shared" ref="AC67:AC125" si="4">AF67/AD67</f>
        <v>20436.909967845659</v>
      </c>
      <c r="AD67" s="135">
        <v>62.2</v>
      </c>
      <c r="AE67" s="136">
        <f t="shared" si="3"/>
        <v>1346008</v>
      </c>
      <c r="AF67" s="137">
        <v>1271175.8</v>
      </c>
      <c r="AG67" s="138">
        <v>61.95</v>
      </c>
      <c r="AH67" s="136" t="s">
        <v>4646</v>
      </c>
      <c r="AI67" s="133">
        <v>21335</v>
      </c>
      <c r="AJ67" s="132" t="s">
        <v>4647</v>
      </c>
      <c r="AK67" s="136" t="s">
        <v>4648</v>
      </c>
      <c r="AL67" s="132" t="s">
        <v>4649</v>
      </c>
      <c r="AM67" s="131" t="s">
        <v>49</v>
      </c>
      <c r="AN67" s="133" t="s">
        <v>4440</v>
      </c>
    </row>
    <row r="68" spans="1:40" s="129" customFormat="1" x14ac:dyDescent="0.25">
      <c r="A68" s="130">
        <v>67</v>
      </c>
      <c r="B68" s="130" t="s">
        <v>4428</v>
      </c>
      <c r="C68" s="130" t="s">
        <v>38</v>
      </c>
      <c r="D68" s="136">
        <v>9103650043</v>
      </c>
      <c r="E68" s="132">
        <v>42113</v>
      </c>
      <c r="F68" s="132" t="s">
        <v>4429</v>
      </c>
      <c r="G68" s="132" t="s">
        <v>153</v>
      </c>
      <c r="H68" s="130" t="s">
        <v>4491</v>
      </c>
      <c r="I68" s="132" t="s">
        <v>40</v>
      </c>
      <c r="J68" s="131" t="s">
        <v>4432</v>
      </c>
      <c r="K68" s="132" t="s">
        <v>4433</v>
      </c>
      <c r="L68" s="136">
        <v>9015329</v>
      </c>
      <c r="M68" s="132" t="s">
        <v>3960</v>
      </c>
      <c r="N68" s="136" t="s">
        <v>4650</v>
      </c>
      <c r="O68" s="130" t="s">
        <v>4436</v>
      </c>
      <c r="P68" s="130" t="s">
        <v>308</v>
      </c>
      <c r="Q68" s="130">
        <v>38237090</v>
      </c>
      <c r="R68" s="136">
        <v>12</v>
      </c>
      <c r="S68" s="130" t="s">
        <v>70</v>
      </c>
      <c r="T68" s="136" t="s">
        <v>52</v>
      </c>
      <c r="U68" s="136" t="s">
        <v>53</v>
      </c>
      <c r="V68" s="136">
        <v>3669</v>
      </c>
      <c r="W68" s="133">
        <f t="shared" ref="W68:W131" si="5">V68*R68</f>
        <v>44028</v>
      </c>
      <c r="X68" s="136">
        <v>0</v>
      </c>
      <c r="Y68" s="136">
        <v>1000</v>
      </c>
      <c r="Z68" s="136">
        <v>0</v>
      </c>
      <c r="AA68" s="136">
        <v>0</v>
      </c>
      <c r="AB68" s="131">
        <v>42110</v>
      </c>
      <c r="AC68" s="134">
        <f t="shared" si="4"/>
        <v>43028</v>
      </c>
      <c r="AD68" s="135">
        <v>62.2</v>
      </c>
      <c r="AE68" s="136">
        <f t="shared" si="3"/>
        <v>2738541.6</v>
      </c>
      <c r="AF68" s="137">
        <v>2676341.6</v>
      </c>
      <c r="AG68" s="138">
        <v>62.2</v>
      </c>
      <c r="AH68" s="136" t="s">
        <v>4651</v>
      </c>
      <c r="AI68" s="133">
        <v>43982</v>
      </c>
      <c r="AJ68" s="132" t="s">
        <v>4652</v>
      </c>
      <c r="AK68" s="136" t="s">
        <v>4653</v>
      </c>
      <c r="AL68" s="132" t="s">
        <v>4654</v>
      </c>
      <c r="AM68" s="131" t="s">
        <v>49</v>
      </c>
      <c r="AN68" s="133" t="s">
        <v>4440</v>
      </c>
    </row>
    <row r="69" spans="1:40" s="129" customFormat="1" x14ac:dyDescent="0.25">
      <c r="A69" s="136">
        <v>68</v>
      </c>
      <c r="B69" s="130" t="s">
        <v>4428</v>
      </c>
      <c r="C69" s="130" t="s">
        <v>38</v>
      </c>
      <c r="D69" s="136">
        <v>9103650044</v>
      </c>
      <c r="E69" s="132">
        <v>42111</v>
      </c>
      <c r="F69" s="132" t="s">
        <v>4429</v>
      </c>
      <c r="G69" s="132" t="s">
        <v>154</v>
      </c>
      <c r="H69" s="130" t="s">
        <v>4431</v>
      </c>
      <c r="I69" s="132" t="s">
        <v>40</v>
      </c>
      <c r="J69" s="131" t="s">
        <v>4432</v>
      </c>
      <c r="K69" s="132" t="s">
        <v>4433</v>
      </c>
      <c r="L69" s="136">
        <v>9015628</v>
      </c>
      <c r="M69" s="132" t="s">
        <v>3960</v>
      </c>
      <c r="N69" s="136" t="s">
        <v>4655</v>
      </c>
      <c r="O69" s="130" t="s">
        <v>4436</v>
      </c>
      <c r="P69" s="130" t="s">
        <v>143</v>
      </c>
      <c r="Q69" s="130">
        <v>38237090</v>
      </c>
      <c r="R69" s="136">
        <v>16</v>
      </c>
      <c r="S69" s="130" t="s">
        <v>70</v>
      </c>
      <c r="T69" s="136" t="s">
        <v>52</v>
      </c>
      <c r="U69" s="136" t="s">
        <v>53</v>
      </c>
      <c r="V69" s="136">
        <v>1552</v>
      </c>
      <c r="W69" s="133">
        <f t="shared" si="5"/>
        <v>24832</v>
      </c>
      <c r="X69" s="136">
        <v>0</v>
      </c>
      <c r="Y69" s="136">
        <v>700</v>
      </c>
      <c r="Z69" s="136">
        <v>0</v>
      </c>
      <c r="AA69" s="136">
        <v>0</v>
      </c>
      <c r="AB69" s="131">
        <v>42110</v>
      </c>
      <c r="AC69" s="134">
        <f t="shared" si="4"/>
        <v>24131.999999999996</v>
      </c>
      <c r="AD69" s="135">
        <v>62.2</v>
      </c>
      <c r="AE69" s="136">
        <f t="shared" si="3"/>
        <v>1544550.4000000001</v>
      </c>
      <c r="AF69" s="137">
        <v>1501010.4</v>
      </c>
      <c r="AG69" s="138">
        <v>62.2</v>
      </c>
      <c r="AH69" s="136" t="s">
        <v>4656</v>
      </c>
      <c r="AI69" s="133">
        <v>24603</v>
      </c>
      <c r="AJ69" s="132" t="s">
        <v>4542</v>
      </c>
      <c r="AK69" s="136" t="s">
        <v>4657</v>
      </c>
      <c r="AL69" s="132" t="s">
        <v>4451</v>
      </c>
      <c r="AM69" s="131" t="s">
        <v>49</v>
      </c>
      <c r="AN69" s="133" t="s">
        <v>4440</v>
      </c>
    </row>
    <row r="70" spans="1:40" s="129" customFormat="1" x14ac:dyDescent="0.25">
      <c r="A70" s="130">
        <v>69</v>
      </c>
      <c r="B70" s="130" t="s">
        <v>4428</v>
      </c>
      <c r="C70" s="130" t="s">
        <v>38</v>
      </c>
      <c r="D70" s="136">
        <v>9103650045</v>
      </c>
      <c r="E70" s="132">
        <v>42116</v>
      </c>
      <c r="F70" s="132" t="s">
        <v>4429</v>
      </c>
      <c r="G70" s="132" t="s">
        <v>155</v>
      </c>
      <c r="H70" s="130" t="s">
        <v>4463</v>
      </c>
      <c r="I70" s="132" t="s">
        <v>40</v>
      </c>
      <c r="J70" s="131" t="s">
        <v>4432</v>
      </c>
      <c r="K70" s="132" t="s">
        <v>4433</v>
      </c>
      <c r="L70" s="136">
        <v>9015963</v>
      </c>
      <c r="M70" s="132">
        <v>42109</v>
      </c>
      <c r="N70" s="136" t="s">
        <v>4658</v>
      </c>
      <c r="O70" s="130" t="s">
        <v>4436</v>
      </c>
      <c r="P70" s="130" t="s">
        <v>4659</v>
      </c>
      <c r="Q70" s="130">
        <v>29051700</v>
      </c>
      <c r="R70" s="136">
        <v>15</v>
      </c>
      <c r="S70" s="130" t="s">
        <v>70</v>
      </c>
      <c r="T70" s="136" t="s">
        <v>52</v>
      </c>
      <c r="U70" s="136" t="s">
        <v>53</v>
      </c>
      <c r="V70" s="136">
        <v>1610</v>
      </c>
      <c r="W70" s="133">
        <f t="shared" si="5"/>
        <v>24150</v>
      </c>
      <c r="X70" s="136">
        <v>0</v>
      </c>
      <c r="Y70" s="136">
        <v>1200</v>
      </c>
      <c r="Z70" s="136">
        <v>0</v>
      </c>
      <c r="AA70" s="136">
        <v>0</v>
      </c>
      <c r="AB70" s="131">
        <v>42112</v>
      </c>
      <c r="AC70" s="134">
        <f t="shared" si="4"/>
        <v>22950</v>
      </c>
      <c r="AD70" s="135">
        <v>62.2</v>
      </c>
      <c r="AE70" s="136">
        <f t="shared" si="3"/>
        <v>1502130</v>
      </c>
      <c r="AF70" s="137">
        <v>1427490</v>
      </c>
      <c r="AG70" s="138">
        <v>61.95</v>
      </c>
      <c r="AH70" s="136" t="s">
        <v>4660</v>
      </c>
      <c r="AI70" s="133">
        <v>24129</v>
      </c>
      <c r="AJ70" s="132">
        <v>42100</v>
      </c>
      <c r="AK70" s="136" t="s">
        <v>4661</v>
      </c>
      <c r="AL70" s="132">
        <v>42180</v>
      </c>
      <c r="AM70" s="131" t="s">
        <v>49</v>
      </c>
      <c r="AN70" s="133" t="s">
        <v>4440</v>
      </c>
    </row>
    <row r="71" spans="1:40" s="129" customFormat="1" x14ac:dyDescent="0.25">
      <c r="A71" s="136">
        <v>70</v>
      </c>
      <c r="B71" s="130" t="s">
        <v>4428</v>
      </c>
      <c r="C71" s="130" t="s">
        <v>38</v>
      </c>
      <c r="D71" s="136">
        <v>9103650046</v>
      </c>
      <c r="E71" s="132">
        <v>42115</v>
      </c>
      <c r="F71" s="132" t="s">
        <v>4429</v>
      </c>
      <c r="G71" s="132" t="s">
        <v>158</v>
      </c>
      <c r="H71" s="130" t="s">
        <v>4463</v>
      </c>
      <c r="I71" s="132" t="s">
        <v>40</v>
      </c>
      <c r="J71" s="131" t="s">
        <v>4432</v>
      </c>
      <c r="K71" s="132" t="s">
        <v>4433</v>
      </c>
      <c r="L71" s="136">
        <v>9029002</v>
      </c>
      <c r="M71" s="132">
        <v>42110</v>
      </c>
      <c r="N71" s="136" t="s">
        <v>4662</v>
      </c>
      <c r="O71" s="130" t="s">
        <v>4436</v>
      </c>
      <c r="P71" s="130" t="s">
        <v>4566</v>
      </c>
      <c r="Q71" s="130">
        <v>38231190</v>
      </c>
      <c r="R71" s="136">
        <v>1</v>
      </c>
      <c r="S71" s="130" t="s">
        <v>70</v>
      </c>
      <c r="T71" s="136" t="s">
        <v>44</v>
      </c>
      <c r="U71" s="136" t="s">
        <v>4528</v>
      </c>
      <c r="V71" s="136">
        <v>1550</v>
      </c>
      <c r="W71" s="133">
        <f t="shared" si="5"/>
        <v>1550</v>
      </c>
      <c r="X71" s="136">
        <v>0.52200000000000002</v>
      </c>
      <c r="Y71" s="136">
        <v>46.52</v>
      </c>
      <c r="Z71" s="136">
        <v>0</v>
      </c>
      <c r="AA71" s="136">
        <v>0</v>
      </c>
      <c r="AB71" s="131">
        <v>42111</v>
      </c>
      <c r="AC71" s="134">
        <f t="shared" si="4"/>
        <v>1503.2599850411368</v>
      </c>
      <c r="AD71" s="135">
        <v>66.849999999999994</v>
      </c>
      <c r="AE71" s="136">
        <f t="shared" si="3"/>
        <v>103617.49999999999</v>
      </c>
      <c r="AF71" s="130">
        <v>100492.93</v>
      </c>
      <c r="AG71" s="138">
        <v>65.95</v>
      </c>
      <c r="AH71" s="136" t="s">
        <v>4663</v>
      </c>
      <c r="AI71" s="133">
        <v>1529</v>
      </c>
      <c r="AJ71" s="132">
        <v>42104</v>
      </c>
      <c r="AK71" s="136" t="s">
        <v>4664</v>
      </c>
      <c r="AL71" s="132">
        <v>42147</v>
      </c>
      <c r="AM71" s="131" t="s">
        <v>49</v>
      </c>
      <c r="AN71" s="133" t="s">
        <v>4440</v>
      </c>
    </row>
    <row r="72" spans="1:40" s="129" customFormat="1" x14ac:dyDescent="0.25">
      <c r="A72" s="130">
        <v>71</v>
      </c>
      <c r="B72" s="130" t="s">
        <v>4428</v>
      </c>
      <c r="C72" s="130" t="s">
        <v>38</v>
      </c>
      <c r="D72" s="136">
        <v>9103650047</v>
      </c>
      <c r="E72" s="132">
        <v>42119</v>
      </c>
      <c r="F72" s="132" t="s">
        <v>4429</v>
      </c>
      <c r="G72" s="132" t="s">
        <v>160</v>
      </c>
      <c r="H72" s="130" t="s">
        <v>4446</v>
      </c>
      <c r="I72" s="132" t="s">
        <v>40</v>
      </c>
      <c r="J72" s="131" t="s">
        <v>4432</v>
      </c>
      <c r="K72" s="132" t="s">
        <v>4433</v>
      </c>
      <c r="L72" s="136">
        <v>9058294</v>
      </c>
      <c r="M72" s="132">
        <v>42111</v>
      </c>
      <c r="N72" s="136" t="s">
        <v>4544</v>
      </c>
      <c r="O72" s="130" t="s">
        <v>4436</v>
      </c>
      <c r="P72" s="130" t="s">
        <v>75</v>
      </c>
      <c r="Q72" s="130">
        <v>29054500</v>
      </c>
      <c r="R72" s="136">
        <v>40</v>
      </c>
      <c r="S72" s="130" t="s">
        <v>70</v>
      </c>
      <c r="T72" s="136" t="s">
        <v>52</v>
      </c>
      <c r="U72" s="136" t="s">
        <v>53</v>
      </c>
      <c r="V72" s="136">
        <v>830</v>
      </c>
      <c r="W72" s="133">
        <f t="shared" si="5"/>
        <v>33200</v>
      </c>
      <c r="X72" s="136">
        <v>0</v>
      </c>
      <c r="Y72" s="136">
        <v>200</v>
      </c>
      <c r="Z72" s="136">
        <v>0</v>
      </c>
      <c r="AA72" s="136">
        <v>0</v>
      </c>
      <c r="AB72" s="131">
        <v>42112</v>
      </c>
      <c r="AC72" s="134">
        <f t="shared" si="4"/>
        <v>33000</v>
      </c>
      <c r="AD72" s="135">
        <v>61.95</v>
      </c>
      <c r="AE72" s="136">
        <f t="shared" si="3"/>
        <v>2056740</v>
      </c>
      <c r="AF72" s="137">
        <v>2044350</v>
      </c>
      <c r="AG72" s="138">
        <v>61.95</v>
      </c>
      <c r="AH72" s="136" t="s">
        <v>4665</v>
      </c>
      <c r="AI72" s="133">
        <v>33200</v>
      </c>
      <c r="AJ72" s="132">
        <v>42152</v>
      </c>
      <c r="AK72" s="136" t="s">
        <v>4666</v>
      </c>
      <c r="AL72" s="132">
        <v>42153</v>
      </c>
      <c r="AM72" s="131" t="s">
        <v>49</v>
      </c>
      <c r="AN72" s="133" t="s">
        <v>4440</v>
      </c>
    </row>
    <row r="73" spans="1:40" s="129" customFormat="1" x14ac:dyDescent="0.25">
      <c r="A73" s="136">
        <v>72</v>
      </c>
      <c r="B73" s="130" t="s">
        <v>4428</v>
      </c>
      <c r="C73" s="130" t="s">
        <v>38</v>
      </c>
      <c r="D73" s="136">
        <v>9103650048</v>
      </c>
      <c r="E73" s="132">
        <v>42119</v>
      </c>
      <c r="F73" s="132" t="s">
        <v>4429</v>
      </c>
      <c r="G73" s="132" t="s">
        <v>162</v>
      </c>
      <c r="H73" s="130" t="s">
        <v>4446</v>
      </c>
      <c r="I73" s="132" t="s">
        <v>40</v>
      </c>
      <c r="J73" s="131" t="s">
        <v>4432</v>
      </c>
      <c r="K73" s="132" t="s">
        <v>4433</v>
      </c>
      <c r="L73" s="136">
        <v>9063307</v>
      </c>
      <c r="M73" s="132" t="s">
        <v>3945</v>
      </c>
      <c r="N73" s="136" t="s">
        <v>4532</v>
      </c>
      <c r="O73" s="130" t="s">
        <v>4436</v>
      </c>
      <c r="P73" s="130" t="s">
        <v>64</v>
      </c>
      <c r="Q73" s="130">
        <v>38231200</v>
      </c>
      <c r="R73" s="136">
        <v>39.56</v>
      </c>
      <c r="S73" s="130" t="s">
        <v>70</v>
      </c>
      <c r="T73" s="136" t="s">
        <v>44</v>
      </c>
      <c r="U73" s="136" t="s">
        <v>53</v>
      </c>
      <c r="V73" s="136">
        <v>1070</v>
      </c>
      <c r="W73" s="133">
        <f t="shared" si="5"/>
        <v>42329.200000000004</v>
      </c>
      <c r="X73" s="136">
        <v>6.05</v>
      </c>
      <c r="Y73" s="136">
        <v>720</v>
      </c>
      <c r="Z73" s="136">
        <v>0</v>
      </c>
      <c r="AA73" s="136">
        <v>0</v>
      </c>
      <c r="AB73" s="131">
        <v>42112</v>
      </c>
      <c r="AC73" s="134">
        <f t="shared" si="4"/>
        <v>41603.149959644878</v>
      </c>
      <c r="AD73" s="135">
        <v>61.95</v>
      </c>
      <c r="AE73" s="136">
        <f t="shared" si="3"/>
        <v>2622293.9400000004</v>
      </c>
      <c r="AF73" s="137">
        <v>2577315.14</v>
      </c>
      <c r="AG73" s="138">
        <v>61.95</v>
      </c>
      <c r="AH73" s="136" t="s">
        <v>4667</v>
      </c>
      <c r="AI73" s="133">
        <v>42314.2</v>
      </c>
      <c r="AJ73" s="132" t="s">
        <v>4594</v>
      </c>
      <c r="AK73" s="136" t="s">
        <v>4668</v>
      </c>
      <c r="AL73" s="132" t="s">
        <v>3928</v>
      </c>
      <c r="AM73" s="131" t="s">
        <v>49</v>
      </c>
      <c r="AN73" s="133" t="s">
        <v>4440</v>
      </c>
    </row>
    <row r="74" spans="1:40" s="129" customFormat="1" x14ac:dyDescent="0.25">
      <c r="A74" s="130">
        <v>73</v>
      </c>
      <c r="B74" s="130" t="s">
        <v>4428</v>
      </c>
      <c r="C74" s="130" t="s">
        <v>38</v>
      </c>
      <c r="D74" s="136">
        <v>9103650049</v>
      </c>
      <c r="E74" s="132">
        <v>42117</v>
      </c>
      <c r="F74" s="132" t="s">
        <v>4429</v>
      </c>
      <c r="G74" s="132" t="s">
        <v>159</v>
      </c>
      <c r="H74" s="130" t="s">
        <v>4669</v>
      </c>
      <c r="I74" s="132" t="s">
        <v>40</v>
      </c>
      <c r="J74" s="131" t="s">
        <v>4432</v>
      </c>
      <c r="K74" s="132" t="s">
        <v>4433</v>
      </c>
      <c r="L74" s="136">
        <v>9065569</v>
      </c>
      <c r="M74" s="132" t="s">
        <v>3945</v>
      </c>
      <c r="N74" s="136" t="s">
        <v>4670</v>
      </c>
      <c r="O74" s="130" t="s">
        <v>4436</v>
      </c>
      <c r="P74" s="130" t="s">
        <v>4671</v>
      </c>
      <c r="Q74" s="130">
        <v>38237090</v>
      </c>
      <c r="R74" s="136">
        <v>52</v>
      </c>
      <c r="S74" s="130" t="s">
        <v>70</v>
      </c>
      <c r="T74" s="136" t="s">
        <v>52</v>
      </c>
      <c r="U74" s="136" t="s">
        <v>53</v>
      </c>
      <c r="V74" s="136">
        <v>1430</v>
      </c>
      <c r="W74" s="133">
        <f t="shared" si="5"/>
        <v>74360</v>
      </c>
      <c r="X74" s="136">
        <v>0</v>
      </c>
      <c r="Y74" s="136">
        <v>3300</v>
      </c>
      <c r="Z74" s="136">
        <v>0</v>
      </c>
      <c r="AA74" s="136">
        <v>0</v>
      </c>
      <c r="AB74" s="131">
        <v>42112</v>
      </c>
      <c r="AC74" s="134">
        <f t="shared" si="4"/>
        <v>71060</v>
      </c>
      <c r="AD74" s="135">
        <v>61.95</v>
      </c>
      <c r="AE74" s="136">
        <f t="shared" si="3"/>
        <v>4606602</v>
      </c>
      <c r="AF74" s="137">
        <v>4402167</v>
      </c>
      <c r="AG74" s="138">
        <v>61.95</v>
      </c>
      <c r="AH74" s="136" t="s">
        <v>4672</v>
      </c>
      <c r="AI74" s="133">
        <v>74197</v>
      </c>
      <c r="AJ74" s="132" t="s">
        <v>4673</v>
      </c>
      <c r="AK74" s="136" t="s">
        <v>4674</v>
      </c>
      <c r="AL74" s="132" t="s">
        <v>4647</v>
      </c>
      <c r="AM74" s="131" t="s">
        <v>49</v>
      </c>
      <c r="AN74" s="133" t="s">
        <v>4440</v>
      </c>
    </row>
    <row r="75" spans="1:40" s="129" customFormat="1" x14ac:dyDescent="0.25">
      <c r="A75" s="136">
        <v>74</v>
      </c>
      <c r="B75" s="130" t="s">
        <v>4428</v>
      </c>
      <c r="C75" s="130" t="s">
        <v>38</v>
      </c>
      <c r="D75" s="136" t="s">
        <v>4675</v>
      </c>
      <c r="E75" s="132">
        <v>42120</v>
      </c>
      <c r="F75" s="132" t="s">
        <v>4429</v>
      </c>
      <c r="G75" s="132" t="s">
        <v>163</v>
      </c>
      <c r="H75" s="130" t="s">
        <v>4491</v>
      </c>
      <c r="I75" s="132" t="s">
        <v>40</v>
      </c>
      <c r="J75" s="131" t="s">
        <v>4432</v>
      </c>
      <c r="K75" s="132" t="s">
        <v>4433</v>
      </c>
      <c r="L75" s="136">
        <v>9076361</v>
      </c>
      <c r="M75" s="132" t="s">
        <v>3942</v>
      </c>
      <c r="N75" s="136" t="s">
        <v>3741</v>
      </c>
      <c r="O75" s="130" t="s">
        <v>4436</v>
      </c>
      <c r="P75" s="130" t="s">
        <v>4492</v>
      </c>
      <c r="Q75" s="130">
        <v>38237090</v>
      </c>
      <c r="R75" s="136">
        <v>18</v>
      </c>
      <c r="S75" s="130" t="s">
        <v>70</v>
      </c>
      <c r="T75" s="136" t="s">
        <v>44</v>
      </c>
      <c r="U75" s="136" t="s">
        <v>53</v>
      </c>
      <c r="V75" s="136">
        <v>1758</v>
      </c>
      <c r="W75" s="133">
        <f t="shared" si="5"/>
        <v>31644</v>
      </c>
      <c r="X75" s="136">
        <v>4.53</v>
      </c>
      <c r="Y75" s="136">
        <v>4350</v>
      </c>
      <c r="Z75" s="136">
        <v>0</v>
      </c>
      <c r="AA75" s="136">
        <v>0</v>
      </c>
      <c r="AB75" s="131">
        <v>42116</v>
      </c>
      <c r="AC75" s="134">
        <f t="shared" si="4"/>
        <v>27289.470056497172</v>
      </c>
      <c r="AD75" s="135">
        <v>61.95</v>
      </c>
      <c r="AE75" s="136">
        <f t="shared" si="3"/>
        <v>1960345.8</v>
      </c>
      <c r="AF75" s="137">
        <v>1690582.67</v>
      </c>
      <c r="AG75" s="138">
        <v>61.95</v>
      </c>
      <c r="AH75" s="136" t="s">
        <v>4676</v>
      </c>
      <c r="AI75" s="136">
        <v>31644</v>
      </c>
      <c r="AJ75" s="132" t="s">
        <v>4677</v>
      </c>
      <c r="AK75" s="136" t="s">
        <v>4678</v>
      </c>
      <c r="AL75" s="132" t="s">
        <v>4561</v>
      </c>
      <c r="AM75" s="131" t="s">
        <v>49</v>
      </c>
      <c r="AN75" s="136" t="s">
        <v>4440</v>
      </c>
    </row>
    <row r="76" spans="1:40" s="129" customFormat="1" x14ac:dyDescent="0.25">
      <c r="A76" s="130">
        <v>75</v>
      </c>
      <c r="B76" s="130" t="s">
        <v>4428</v>
      </c>
      <c r="C76" s="130" t="s">
        <v>38</v>
      </c>
      <c r="D76" s="136" t="s">
        <v>4675</v>
      </c>
      <c r="E76" s="132">
        <v>42120</v>
      </c>
      <c r="F76" s="132" t="s">
        <v>4429</v>
      </c>
      <c r="G76" s="132" t="s">
        <v>156</v>
      </c>
      <c r="H76" s="130" t="s">
        <v>4491</v>
      </c>
      <c r="I76" s="132" t="s">
        <v>40</v>
      </c>
      <c r="J76" s="131" t="s">
        <v>4432</v>
      </c>
      <c r="K76" s="132" t="s">
        <v>4433</v>
      </c>
      <c r="L76" s="136">
        <v>9017587</v>
      </c>
      <c r="M76" s="132">
        <v>42109</v>
      </c>
      <c r="N76" s="136" t="s">
        <v>3741</v>
      </c>
      <c r="O76" s="130" t="s">
        <v>4436</v>
      </c>
      <c r="P76" s="130" t="s">
        <v>4492</v>
      </c>
      <c r="Q76" s="130">
        <v>38237090</v>
      </c>
      <c r="R76" s="136">
        <v>36</v>
      </c>
      <c r="S76" s="130" t="s">
        <v>70</v>
      </c>
      <c r="T76" s="136" t="s">
        <v>44</v>
      </c>
      <c r="U76" s="136" t="s">
        <v>53</v>
      </c>
      <c r="V76" s="136">
        <v>1758</v>
      </c>
      <c r="W76" s="133">
        <f t="shared" si="5"/>
        <v>63288</v>
      </c>
      <c r="X76" s="136">
        <v>9.0500000000000007</v>
      </c>
      <c r="Y76" s="136">
        <v>8700</v>
      </c>
      <c r="Z76" s="136">
        <v>0</v>
      </c>
      <c r="AA76" s="136">
        <v>0</v>
      </c>
      <c r="AB76" s="131">
        <v>42111</v>
      </c>
      <c r="AC76" s="134">
        <f t="shared" si="4"/>
        <v>54578.95</v>
      </c>
      <c r="AD76" s="135">
        <v>62.2</v>
      </c>
      <c r="AE76" s="136">
        <f t="shared" si="3"/>
        <v>3936513.6</v>
      </c>
      <c r="AF76" s="137">
        <v>3394810.69</v>
      </c>
      <c r="AG76" s="138">
        <v>61.95</v>
      </c>
      <c r="AH76" s="136" t="s">
        <v>4676</v>
      </c>
      <c r="AI76" s="136">
        <v>63288</v>
      </c>
      <c r="AJ76" s="132" t="s">
        <v>4677</v>
      </c>
      <c r="AK76" s="136" t="s">
        <v>4679</v>
      </c>
      <c r="AL76" s="132" t="s">
        <v>4561</v>
      </c>
      <c r="AM76" s="131" t="s">
        <v>49</v>
      </c>
      <c r="AN76" s="136" t="s">
        <v>4440</v>
      </c>
    </row>
    <row r="77" spans="1:40" s="129" customFormat="1" x14ac:dyDescent="0.25">
      <c r="A77" s="136">
        <v>76</v>
      </c>
      <c r="B77" s="130" t="s">
        <v>4428</v>
      </c>
      <c r="C77" s="130" t="s">
        <v>38</v>
      </c>
      <c r="D77" s="136">
        <v>9103650052</v>
      </c>
      <c r="E77" s="132">
        <v>42119</v>
      </c>
      <c r="F77" s="132" t="s">
        <v>4429</v>
      </c>
      <c r="G77" s="132" t="s">
        <v>166</v>
      </c>
      <c r="H77" s="130" t="s">
        <v>4463</v>
      </c>
      <c r="I77" s="132" t="s">
        <v>40</v>
      </c>
      <c r="J77" s="131" t="s">
        <v>4432</v>
      </c>
      <c r="K77" s="132" t="s">
        <v>4433</v>
      </c>
      <c r="L77" s="136">
        <v>9078465</v>
      </c>
      <c r="M77" s="132">
        <v>42112</v>
      </c>
      <c r="N77" s="136" t="s">
        <v>4680</v>
      </c>
      <c r="O77" s="130" t="s">
        <v>4436</v>
      </c>
      <c r="P77" s="130" t="s">
        <v>3038</v>
      </c>
      <c r="Q77" s="130">
        <v>29051700</v>
      </c>
      <c r="R77" s="136">
        <v>12</v>
      </c>
      <c r="S77" s="130" t="s">
        <v>70</v>
      </c>
      <c r="T77" s="136" t="s">
        <v>44</v>
      </c>
      <c r="U77" s="136" t="s">
        <v>53</v>
      </c>
      <c r="V77" s="136">
        <v>1775</v>
      </c>
      <c r="W77" s="133">
        <f t="shared" si="5"/>
        <v>21300</v>
      </c>
      <c r="X77" s="136">
        <v>3.05</v>
      </c>
      <c r="Y77" s="136">
        <v>940</v>
      </c>
      <c r="Z77" s="136">
        <v>0</v>
      </c>
      <c r="AA77" s="136">
        <v>0</v>
      </c>
      <c r="AB77" s="131">
        <v>42114</v>
      </c>
      <c r="AC77" s="134">
        <f t="shared" si="4"/>
        <v>20356.949959644873</v>
      </c>
      <c r="AD77" s="135">
        <v>61.95</v>
      </c>
      <c r="AE77" s="136">
        <f t="shared" si="3"/>
        <v>1319535</v>
      </c>
      <c r="AF77" s="137">
        <v>1261113.05</v>
      </c>
      <c r="AG77" s="138">
        <v>61.95</v>
      </c>
      <c r="AH77" s="136" t="s">
        <v>4681</v>
      </c>
      <c r="AI77" s="133">
        <v>21245</v>
      </c>
      <c r="AJ77" s="132">
        <v>42103</v>
      </c>
      <c r="AK77" s="136" t="s">
        <v>4682</v>
      </c>
      <c r="AL77" s="132">
        <v>42180</v>
      </c>
      <c r="AM77" s="131" t="s">
        <v>49</v>
      </c>
      <c r="AN77" s="133" t="s">
        <v>4440</v>
      </c>
    </row>
    <row r="78" spans="1:40" s="129" customFormat="1" x14ac:dyDescent="0.25">
      <c r="A78" s="130">
        <v>77</v>
      </c>
      <c r="B78" s="130" t="s">
        <v>4428</v>
      </c>
      <c r="C78" s="130" t="s">
        <v>38</v>
      </c>
      <c r="D78" s="136">
        <v>9103650053</v>
      </c>
      <c r="E78" s="132">
        <v>42119</v>
      </c>
      <c r="F78" s="132" t="s">
        <v>4429</v>
      </c>
      <c r="G78" s="132" t="s">
        <v>164</v>
      </c>
      <c r="H78" s="130" t="s">
        <v>4564</v>
      </c>
      <c r="I78" s="132" t="s">
        <v>40</v>
      </c>
      <c r="J78" s="131" t="s">
        <v>4432</v>
      </c>
      <c r="K78" s="132" t="s">
        <v>4433</v>
      </c>
      <c r="L78" s="136">
        <v>9082007</v>
      </c>
      <c r="M78" s="132" t="s">
        <v>3942</v>
      </c>
      <c r="N78" s="136" t="s">
        <v>4608</v>
      </c>
      <c r="O78" s="130" t="s">
        <v>4436</v>
      </c>
      <c r="P78" s="130" t="s">
        <v>205</v>
      </c>
      <c r="Q78" s="130">
        <v>38237090</v>
      </c>
      <c r="R78" s="136">
        <v>17.600000000000001</v>
      </c>
      <c r="S78" s="130" t="s">
        <v>70</v>
      </c>
      <c r="T78" s="136" t="s">
        <v>44</v>
      </c>
      <c r="U78" s="136" t="s">
        <v>53</v>
      </c>
      <c r="V78" s="136">
        <v>1705</v>
      </c>
      <c r="W78" s="133">
        <f t="shared" si="5"/>
        <v>30008.000000000004</v>
      </c>
      <c r="X78" s="136">
        <v>4.29</v>
      </c>
      <c r="Y78" s="136">
        <v>900</v>
      </c>
      <c r="Z78" s="136">
        <v>0</v>
      </c>
      <c r="AA78" s="136">
        <v>0</v>
      </c>
      <c r="AB78" s="131">
        <v>42114</v>
      </c>
      <c r="AC78" s="134">
        <f t="shared" si="4"/>
        <v>29103.709927360775</v>
      </c>
      <c r="AD78" s="135">
        <v>61.95</v>
      </c>
      <c r="AE78" s="136">
        <f t="shared" si="3"/>
        <v>1858995.6000000003</v>
      </c>
      <c r="AF78" s="137">
        <v>1802974.83</v>
      </c>
      <c r="AG78" s="138">
        <v>61.95</v>
      </c>
      <c r="AH78" s="136" t="s">
        <v>4683</v>
      </c>
      <c r="AI78" s="133">
        <v>29993</v>
      </c>
      <c r="AJ78" s="132" t="s">
        <v>4677</v>
      </c>
      <c r="AK78" s="136" t="s">
        <v>4684</v>
      </c>
      <c r="AL78" s="132" t="s">
        <v>4561</v>
      </c>
      <c r="AM78" s="131" t="s">
        <v>49</v>
      </c>
      <c r="AN78" s="133" t="s">
        <v>4440</v>
      </c>
    </row>
    <row r="79" spans="1:40" s="129" customFormat="1" x14ac:dyDescent="0.25">
      <c r="A79" s="136">
        <v>78</v>
      </c>
      <c r="B79" s="130" t="s">
        <v>4428</v>
      </c>
      <c r="C79" s="130" t="s">
        <v>38</v>
      </c>
      <c r="D79" s="136">
        <v>9103650054</v>
      </c>
      <c r="E79" s="132">
        <v>42119</v>
      </c>
      <c r="F79" s="132" t="s">
        <v>4429</v>
      </c>
      <c r="G79" s="132" t="s">
        <v>165</v>
      </c>
      <c r="H79" s="130" t="s">
        <v>4564</v>
      </c>
      <c r="I79" s="132" t="s">
        <v>40</v>
      </c>
      <c r="J79" s="131" t="s">
        <v>4432</v>
      </c>
      <c r="K79" s="132" t="s">
        <v>4433</v>
      </c>
      <c r="L79" s="136">
        <v>9084560</v>
      </c>
      <c r="M79" s="132" t="s">
        <v>3942</v>
      </c>
      <c r="N79" s="136" t="s">
        <v>4582</v>
      </c>
      <c r="O79" s="130" t="s">
        <v>4436</v>
      </c>
      <c r="P79" s="130" t="s">
        <v>90</v>
      </c>
      <c r="Q79" s="130">
        <v>38231190</v>
      </c>
      <c r="R79" s="136">
        <v>24</v>
      </c>
      <c r="S79" s="130" t="s">
        <v>70</v>
      </c>
      <c r="T79" s="136" t="s">
        <v>44</v>
      </c>
      <c r="U79" s="136" t="s">
        <v>53</v>
      </c>
      <c r="V79" s="136">
        <v>1042</v>
      </c>
      <c r="W79" s="133">
        <f t="shared" si="5"/>
        <v>25008</v>
      </c>
      <c r="X79" s="136">
        <v>3.58</v>
      </c>
      <c r="Y79" s="136">
        <v>1285</v>
      </c>
      <c r="Z79" s="136">
        <v>0</v>
      </c>
      <c r="AA79" s="136">
        <v>452.16</v>
      </c>
      <c r="AB79" s="131">
        <v>42114</v>
      </c>
      <c r="AC79" s="134">
        <f t="shared" si="4"/>
        <v>23719.420016142049</v>
      </c>
      <c r="AD79" s="135">
        <v>61.95</v>
      </c>
      <c r="AE79" s="136">
        <f t="shared" si="3"/>
        <v>1549245.6</v>
      </c>
      <c r="AF79" s="137">
        <v>1469418.07</v>
      </c>
      <c r="AG79" s="138">
        <v>61.95</v>
      </c>
      <c r="AH79" s="136" t="s">
        <v>4685</v>
      </c>
      <c r="AI79" s="133">
        <v>24923</v>
      </c>
      <c r="AJ79" s="132" t="s">
        <v>4451</v>
      </c>
      <c r="AK79" s="136" t="s">
        <v>4686</v>
      </c>
      <c r="AL79" s="132" t="s">
        <v>4687</v>
      </c>
      <c r="AM79" s="131" t="s">
        <v>49</v>
      </c>
      <c r="AN79" s="133" t="s">
        <v>4440</v>
      </c>
    </row>
    <row r="80" spans="1:40" s="129" customFormat="1" x14ac:dyDescent="0.25">
      <c r="A80" s="130">
        <v>79</v>
      </c>
      <c r="B80" s="130" t="s">
        <v>4428</v>
      </c>
      <c r="C80" s="130" t="s">
        <v>38</v>
      </c>
      <c r="D80" s="136">
        <v>9103650055</v>
      </c>
      <c r="E80" s="132">
        <v>42118</v>
      </c>
      <c r="F80" s="132" t="s">
        <v>4429</v>
      </c>
      <c r="G80" s="132" t="s">
        <v>171</v>
      </c>
      <c r="H80" s="130" t="s">
        <v>4456</v>
      </c>
      <c r="I80" s="132" t="s">
        <v>40</v>
      </c>
      <c r="J80" s="131" t="s">
        <v>4432</v>
      </c>
      <c r="K80" s="132" t="s">
        <v>4433</v>
      </c>
      <c r="L80" s="136">
        <v>9097668</v>
      </c>
      <c r="M80" s="132" t="s">
        <v>4688</v>
      </c>
      <c r="N80" s="136" t="s">
        <v>4457</v>
      </c>
      <c r="O80" s="130" t="s">
        <v>4436</v>
      </c>
      <c r="P80" s="130" t="s">
        <v>241</v>
      </c>
      <c r="Q80" s="130">
        <v>38237090</v>
      </c>
      <c r="R80" s="136">
        <v>95.23</v>
      </c>
      <c r="S80" s="130" t="s">
        <v>70</v>
      </c>
      <c r="T80" s="136" t="s">
        <v>52</v>
      </c>
      <c r="U80" s="136" t="s">
        <v>53</v>
      </c>
      <c r="V80" s="136">
        <v>1285</v>
      </c>
      <c r="W80" s="133">
        <f t="shared" si="5"/>
        <v>122370.55</v>
      </c>
      <c r="X80" s="136">
        <v>0</v>
      </c>
      <c r="Y80" s="136">
        <v>4250</v>
      </c>
      <c r="Z80" s="136">
        <v>0</v>
      </c>
      <c r="AA80" s="136">
        <v>0</v>
      </c>
      <c r="AB80" s="131">
        <v>42115</v>
      </c>
      <c r="AC80" s="134">
        <f t="shared" si="4"/>
        <v>118120.54995964488</v>
      </c>
      <c r="AD80" s="135">
        <v>61.95</v>
      </c>
      <c r="AE80" s="136">
        <f t="shared" si="3"/>
        <v>7580855.5725000007</v>
      </c>
      <c r="AF80" s="137">
        <v>7317568.0700000003</v>
      </c>
      <c r="AG80" s="138">
        <v>61.95</v>
      </c>
      <c r="AH80" s="136" t="s">
        <v>4689</v>
      </c>
      <c r="AI80" s="133">
        <v>122370.55</v>
      </c>
      <c r="AJ80" s="132" t="s">
        <v>4690</v>
      </c>
      <c r="AK80" s="136" t="s">
        <v>4691</v>
      </c>
      <c r="AL80" s="132" t="s">
        <v>4692</v>
      </c>
      <c r="AM80" s="131" t="s">
        <v>49</v>
      </c>
      <c r="AN80" s="133" t="s">
        <v>4440</v>
      </c>
    </row>
    <row r="81" spans="1:40" s="129" customFormat="1" ht="25.5" x14ac:dyDescent="0.25">
      <c r="A81" s="136">
        <v>80</v>
      </c>
      <c r="B81" s="130" t="s">
        <v>4428</v>
      </c>
      <c r="C81" s="130" t="s">
        <v>38</v>
      </c>
      <c r="D81" s="136">
        <v>9103650056</v>
      </c>
      <c r="E81" s="132">
        <v>42118</v>
      </c>
      <c r="F81" s="132" t="s">
        <v>4429</v>
      </c>
      <c r="G81" s="132" t="s">
        <v>167</v>
      </c>
      <c r="H81" s="130" t="s">
        <v>4456</v>
      </c>
      <c r="I81" s="132" t="s">
        <v>40</v>
      </c>
      <c r="J81" s="131" t="s">
        <v>4432</v>
      </c>
      <c r="K81" s="132" t="s">
        <v>4433</v>
      </c>
      <c r="L81" s="136">
        <v>9102602</v>
      </c>
      <c r="M81" s="132" t="s">
        <v>4688</v>
      </c>
      <c r="N81" s="136" t="s">
        <v>4457</v>
      </c>
      <c r="O81" s="130" t="s">
        <v>4436</v>
      </c>
      <c r="P81" s="130" t="s">
        <v>241</v>
      </c>
      <c r="Q81" s="130">
        <v>38237090</v>
      </c>
      <c r="R81" s="136">
        <v>174.33</v>
      </c>
      <c r="S81" s="130" t="s">
        <v>70</v>
      </c>
      <c r="T81" s="136" t="s">
        <v>52</v>
      </c>
      <c r="U81" s="136" t="s">
        <v>53</v>
      </c>
      <c r="V81" s="136">
        <v>1285</v>
      </c>
      <c r="W81" s="133">
        <f t="shared" si="5"/>
        <v>224014.05000000002</v>
      </c>
      <c r="X81" s="136">
        <v>0</v>
      </c>
      <c r="Y81" s="136">
        <v>7650</v>
      </c>
      <c r="Z81" s="136">
        <v>0</v>
      </c>
      <c r="AA81" s="136">
        <v>0</v>
      </c>
      <c r="AB81" s="131">
        <v>42115</v>
      </c>
      <c r="AC81" s="134">
        <f t="shared" si="4"/>
        <v>216364.05004035513</v>
      </c>
      <c r="AD81" s="135">
        <v>61.95</v>
      </c>
      <c r="AE81" s="136">
        <f t="shared" si="3"/>
        <v>13877670.397500001</v>
      </c>
      <c r="AF81" s="137">
        <v>13403752.9</v>
      </c>
      <c r="AG81" s="138">
        <v>61.95</v>
      </c>
      <c r="AH81" s="136" t="s">
        <v>4693</v>
      </c>
      <c r="AI81" s="133">
        <v>224014.05</v>
      </c>
      <c r="AJ81" s="132" t="s">
        <v>4690</v>
      </c>
      <c r="AK81" s="139" t="s">
        <v>4694</v>
      </c>
      <c r="AL81" s="132" t="s">
        <v>4692</v>
      </c>
      <c r="AM81" s="131" t="s">
        <v>49</v>
      </c>
      <c r="AN81" s="133" t="s">
        <v>4440</v>
      </c>
    </row>
    <row r="82" spans="1:40" s="129" customFormat="1" ht="25.5" x14ac:dyDescent="0.25">
      <c r="A82" s="130">
        <v>81</v>
      </c>
      <c r="B82" s="130" t="s">
        <v>4428</v>
      </c>
      <c r="C82" s="130" t="s">
        <v>38</v>
      </c>
      <c r="D82" s="136">
        <v>9103650056</v>
      </c>
      <c r="E82" s="132">
        <v>42118</v>
      </c>
      <c r="F82" s="132" t="s">
        <v>4429</v>
      </c>
      <c r="G82" s="132" t="s">
        <v>4695</v>
      </c>
      <c r="H82" s="130" t="s">
        <v>4456</v>
      </c>
      <c r="I82" s="132" t="s">
        <v>40</v>
      </c>
      <c r="J82" s="131" t="s">
        <v>4432</v>
      </c>
      <c r="K82" s="132" t="s">
        <v>4433</v>
      </c>
      <c r="L82" s="136">
        <v>9103241</v>
      </c>
      <c r="M82" s="132" t="s">
        <v>4688</v>
      </c>
      <c r="N82" s="136" t="s">
        <v>4457</v>
      </c>
      <c r="O82" s="130" t="s">
        <v>4436</v>
      </c>
      <c r="P82" s="130" t="s">
        <v>241</v>
      </c>
      <c r="Q82" s="130">
        <v>38237090</v>
      </c>
      <c r="R82" s="136">
        <v>19.77</v>
      </c>
      <c r="S82" s="130" t="s">
        <v>70</v>
      </c>
      <c r="T82" s="136" t="s">
        <v>52</v>
      </c>
      <c r="U82" s="136" t="s">
        <v>53</v>
      </c>
      <c r="V82" s="136">
        <v>1285</v>
      </c>
      <c r="W82" s="133">
        <f>V82*R82</f>
        <v>25404.45</v>
      </c>
      <c r="X82" s="136">
        <v>0</v>
      </c>
      <c r="Y82" s="136">
        <v>850</v>
      </c>
      <c r="Z82" s="136">
        <v>0</v>
      </c>
      <c r="AA82" s="136">
        <v>0</v>
      </c>
      <c r="AB82" s="131">
        <v>42115</v>
      </c>
      <c r="AC82" s="134">
        <f>AF82/AD82</f>
        <v>24554.450040355125</v>
      </c>
      <c r="AD82" s="135">
        <v>61.95</v>
      </c>
      <c r="AE82" s="136">
        <f>AD82*W82</f>
        <v>1573805.6775000002</v>
      </c>
      <c r="AF82" s="137">
        <v>1521148.18</v>
      </c>
      <c r="AG82" s="138">
        <v>61.95</v>
      </c>
      <c r="AH82" s="136" t="s">
        <v>4693</v>
      </c>
      <c r="AI82" s="133">
        <v>25404.45</v>
      </c>
      <c r="AJ82" s="132" t="s">
        <v>4690</v>
      </c>
      <c r="AK82" s="139" t="s">
        <v>4694</v>
      </c>
      <c r="AL82" s="132" t="s">
        <v>4692</v>
      </c>
      <c r="AM82" s="131" t="s">
        <v>49</v>
      </c>
      <c r="AN82" s="133" t="s">
        <v>4440</v>
      </c>
    </row>
    <row r="83" spans="1:40" s="129" customFormat="1" x14ac:dyDescent="0.25">
      <c r="A83" s="136">
        <v>82</v>
      </c>
      <c r="B83" s="130" t="s">
        <v>4428</v>
      </c>
      <c r="C83" s="130" t="s">
        <v>38</v>
      </c>
      <c r="D83" s="136">
        <v>9103650057</v>
      </c>
      <c r="E83" s="132">
        <v>42118</v>
      </c>
      <c r="F83" s="132" t="s">
        <v>4429</v>
      </c>
      <c r="G83" s="132" t="s">
        <v>177</v>
      </c>
      <c r="H83" s="130" t="s">
        <v>4431</v>
      </c>
      <c r="I83" s="132" t="s">
        <v>40</v>
      </c>
      <c r="J83" s="131" t="s">
        <v>4432</v>
      </c>
      <c r="K83" s="132" t="s">
        <v>4433</v>
      </c>
      <c r="L83" s="136">
        <v>9105082</v>
      </c>
      <c r="M83" s="132" t="s">
        <v>4688</v>
      </c>
      <c r="N83" s="136" t="s">
        <v>4655</v>
      </c>
      <c r="O83" s="130" t="s">
        <v>4436</v>
      </c>
      <c r="P83" s="130" t="s">
        <v>143</v>
      </c>
      <c r="Q83" s="130">
        <v>38237090</v>
      </c>
      <c r="R83" s="136">
        <v>16</v>
      </c>
      <c r="S83" s="130" t="s">
        <v>70</v>
      </c>
      <c r="T83" s="136" t="s">
        <v>52</v>
      </c>
      <c r="U83" s="136" t="s">
        <v>53</v>
      </c>
      <c r="V83" s="136">
        <v>1552</v>
      </c>
      <c r="W83" s="133">
        <f t="shared" si="5"/>
        <v>24832</v>
      </c>
      <c r="X83" s="136"/>
      <c r="Y83" s="136"/>
      <c r="Z83" s="136"/>
      <c r="AA83" s="136"/>
      <c r="AB83" s="131"/>
      <c r="AC83" s="134">
        <f t="shared" si="4"/>
        <v>24156.999999999996</v>
      </c>
      <c r="AD83" s="135">
        <v>61.95</v>
      </c>
      <c r="AE83" s="136">
        <f>AD83*W83</f>
        <v>1538342.4000000001</v>
      </c>
      <c r="AF83" s="137">
        <v>1496526.15</v>
      </c>
      <c r="AG83" s="138">
        <v>61.95</v>
      </c>
      <c r="AH83" s="136" t="s">
        <v>4696</v>
      </c>
      <c r="AI83" s="133">
        <v>24603</v>
      </c>
      <c r="AJ83" s="132" t="s">
        <v>4450</v>
      </c>
      <c r="AK83" s="136" t="s">
        <v>4697</v>
      </c>
      <c r="AL83" s="132" t="s">
        <v>4451</v>
      </c>
      <c r="AM83" s="131" t="s">
        <v>49</v>
      </c>
      <c r="AN83" s="133" t="s">
        <v>4440</v>
      </c>
    </row>
    <row r="84" spans="1:40" s="129" customFormat="1" x14ac:dyDescent="0.25">
      <c r="A84" s="130">
        <v>83</v>
      </c>
      <c r="B84" s="130" t="s">
        <v>4428</v>
      </c>
      <c r="C84" s="130" t="s">
        <v>38</v>
      </c>
      <c r="D84" s="136">
        <v>9103650058</v>
      </c>
      <c r="E84" s="132">
        <v>42122</v>
      </c>
      <c r="F84" s="132" t="s">
        <v>4429</v>
      </c>
      <c r="G84" s="132" t="s">
        <v>172</v>
      </c>
      <c r="H84" s="130" t="s">
        <v>4456</v>
      </c>
      <c r="I84" s="132" t="s">
        <v>40</v>
      </c>
      <c r="J84" s="131" t="s">
        <v>4432</v>
      </c>
      <c r="K84" s="132" t="s">
        <v>4433</v>
      </c>
      <c r="L84" s="136">
        <v>9106942</v>
      </c>
      <c r="M84" s="132" t="s">
        <v>4688</v>
      </c>
      <c r="N84" s="136" t="s">
        <v>4644</v>
      </c>
      <c r="O84" s="130" t="s">
        <v>4436</v>
      </c>
      <c r="P84" s="130" t="s">
        <v>294</v>
      </c>
      <c r="Q84" s="130">
        <v>29051700</v>
      </c>
      <c r="R84" s="136">
        <v>12</v>
      </c>
      <c r="S84" s="130" t="s">
        <v>70</v>
      </c>
      <c r="T84" s="136" t="s">
        <v>44</v>
      </c>
      <c r="U84" s="136" t="s">
        <v>53</v>
      </c>
      <c r="V84" s="136">
        <v>1795</v>
      </c>
      <c r="W84" s="133">
        <f t="shared" si="5"/>
        <v>21540</v>
      </c>
      <c r="X84" s="136">
        <v>3.08</v>
      </c>
      <c r="Y84" s="136">
        <v>1200</v>
      </c>
      <c r="Z84" s="136">
        <v>0</v>
      </c>
      <c r="AA84" s="136">
        <v>0</v>
      </c>
      <c r="AB84" s="131">
        <v>42115</v>
      </c>
      <c r="AC84" s="134">
        <f t="shared" si="4"/>
        <v>20336.919935431797</v>
      </c>
      <c r="AD84" s="135">
        <v>61.95</v>
      </c>
      <c r="AE84" s="136">
        <f t="shared" si="3"/>
        <v>1334403</v>
      </c>
      <c r="AF84" s="137">
        <v>1259872.19</v>
      </c>
      <c r="AG84" s="138">
        <v>61.95</v>
      </c>
      <c r="AH84" s="136" t="s">
        <v>4698</v>
      </c>
      <c r="AI84" s="133">
        <v>21345</v>
      </c>
      <c r="AJ84" s="132" t="s">
        <v>4690</v>
      </c>
      <c r="AK84" s="136" t="s">
        <v>4699</v>
      </c>
      <c r="AL84" s="132" t="s">
        <v>4692</v>
      </c>
      <c r="AM84" s="131" t="s">
        <v>49</v>
      </c>
      <c r="AN84" s="133" t="s">
        <v>4440</v>
      </c>
    </row>
    <row r="85" spans="1:40" s="129" customFormat="1" x14ac:dyDescent="0.25">
      <c r="A85" s="136">
        <v>84</v>
      </c>
      <c r="B85" s="130" t="s">
        <v>4428</v>
      </c>
      <c r="C85" s="130" t="s">
        <v>38</v>
      </c>
      <c r="D85" s="136">
        <v>9103650059</v>
      </c>
      <c r="E85" s="132">
        <v>42119</v>
      </c>
      <c r="F85" s="132" t="s">
        <v>4429</v>
      </c>
      <c r="G85" s="132" t="s">
        <v>173</v>
      </c>
      <c r="H85" s="130" t="s">
        <v>4463</v>
      </c>
      <c r="I85" s="132" t="s">
        <v>40</v>
      </c>
      <c r="J85" s="131" t="s">
        <v>4432</v>
      </c>
      <c r="K85" s="132" t="s">
        <v>4433</v>
      </c>
      <c r="L85" s="136">
        <v>9110007</v>
      </c>
      <c r="M85" s="132">
        <v>42114</v>
      </c>
      <c r="N85" s="136" t="s">
        <v>4473</v>
      </c>
      <c r="O85" s="130" t="s">
        <v>4436</v>
      </c>
      <c r="P85" s="130" t="s">
        <v>361</v>
      </c>
      <c r="Q85" s="130">
        <v>29051700</v>
      </c>
      <c r="R85" s="136">
        <v>113.18</v>
      </c>
      <c r="S85" s="130" t="s">
        <v>70</v>
      </c>
      <c r="T85" s="136" t="s">
        <v>67</v>
      </c>
      <c r="U85" s="136" t="s">
        <v>1117</v>
      </c>
      <c r="V85" s="136">
        <v>82189</v>
      </c>
      <c r="W85" s="133">
        <f t="shared" si="5"/>
        <v>9302151.0200000014</v>
      </c>
      <c r="X85" s="136"/>
      <c r="Y85" s="136"/>
      <c r="Z85" s="136"/>
      <c r="AA85" s="136"/>
      <c r="AB85" s="131"/>
      <c r="AC85" s="134">
        <f t="shared" si="4"/>
        <v>20336.919935431797</v>
      </c>
      <c r="AD85" s="135">
        <v>61.95</v>
      </c>
      <c r="AE85" s="136">
        <f t="shared" si="3"/>
        <v>576268255.68900013</v>
      </c>
      <c r="AF85" s="130">
        <v>1259872.19</v>
      </c>
      <c r="AG85" s="138">
        <v>61.95</v>
      </c>
      <c r="AH85" s="136" t="s">
        <v>4700</v>
      </c>
      <c r="AI85" s="136">
        <v>9302151.0199999996</v>
      </c>
      <c r="AJ85" s="132">
        <v>42133</v>
      </c>
      <c r="AK85" s="136" t="s">
        <v>4701</v>
      </c>
      <c r="AL85" s="132">
        <v>42135</v>
      </c>
      <c r="AM85" s="131" t="s">
        <v>49</v>
      </c>
      <c r="AN85" s="136" t="s">
        <v>4440</v>
      </c>
    </row>
    <row r="86" spans="1:40" s="129" customFormat="1" x14ac:dyDescent="0.25">
      <c r="A86" s="130">
        <v>85</v>
      </c>
      <c r="B86" s="130" t="s">
        <v>4428</v>
      </c>
      <c r="C86" s="130" t="s">
        <v>38</v>
      </c>
      <c r="D86" s="136">
        <v>9103650061</v>
      </c>
      <c r="E86" s="132">
        <v>42119</v>
      </c>
      <c r="F86" s="132" t="s">
        <v>4429</v>
      </c>
      <c r="G86" s="132" t="s">
        <v>176</v>
      </c>
      <c r="H86" s="130" t="s">
        <v>4491</v>
      </c>
      <c r="I86" s="132" t="s">
        <v>40</v>
      </c>
      <c r="J86" s="131" t="s">
        <v>4432</v>
      </c>
      <c r="K86" s="132" t="s">
        <v>4433</v>
      </c>
      <c r="L86" s="136">
        <v>9122467</v>
      </c>
      <c r="M86" s="132" t="s">
        <v>4702</v>
      </c>
      <c r="N86" s="136" t="s">
        <v>3741</v>
      </c>
      <c r="O86" s="130" t="s">
        <v>4436</v>
      </c>
      <c r="P86" s="130" t="s">
        <v>4492</v>
      </c>
      <c r="Q86" s="130">
        <v>38237090</v>
      </c>
      <c r="R86" s="136">
        <v>18.14</v>
      </c>
      <c r="S86" s="130" t="s">
        <v>70</v>
      </c>
      <c r="T86" s="136" t="s">
        <v>44</v>
      </c>
      <c r="U86" s="136" t="s">
        <v>53</v>
      </c>
      <c r="V86" s="136">
        <v>1567</v>
      </c>
      <c r="W86" s="133">
        <f t="shared" si="5"/>
        <v>28425.38</v>
      </c>
      <c r="X86" s="136">
        <v>4.0599999999999996</v>
      </c>
      <c r="Y86" s="136">
        <v>2800</v>
      </c>
      <c r="Z86" s="136">
        <v>0</v>
      </c>
      <c r="AA86" s="136">
        <v>0</v>
      </c>
      <c r="AB86" s="131">
        <v>42116</v>
      </c>
      <c r="AC86" s="134">
        <f t="shared" si="4"/>
        <v>25621.319935431799</v>
      </c>
      <c r="AD86" s="135">
        <v>61.95</v>
      </c>
      <c r="AE86" s="136">
        <f t="shared" si="3"/>
        <v>1760952.2910000002</v>
      </c>
      <c r="AF86" s="137">
        <v>1587240.77</v>
      </c>
      <c r="AG86" s="138">
        <v>61.95</v>
      </c>
      <c r="AH86" s="136" t="s">
        <v>4703</v>
      </c>
      <c r="AI86" s="133">
        <v>28425.38</v>
      </c>
      <c r="AJ86" s="132" t="s">
        <v>4677</v>
      </c>
      <c r="AK86" s="136" t="s">
        <v>4704</v>
      </c>
      <c r="AL86" s="132" t="s">
        <v>4561</v>
      </c>
      <c r="AM86" s="131" t="s">
        <v>49</v>
      </c>
      <c r="AN86" s="133" t="s">
        <v>4440</v>
      </c>
    </row>
    <row r="87" spans="1:40" s="129" customFormat="1" x14ac:dyDescent="0.25">
      <c r="A87" s="136">
        <v>86</v>
      </c>
      <c r="B87" s="130" t="s">
        <v>4428</v>
      </c>
      <c r="C87" s="130" t="s">
        <v>38</v>
      </c>
      <c r="D87" s="136">
        <v>9103650062</v>
      </c>
      <c r="E87" s="132">
        <v>42119</v>
      </c>
      <c r="F87" s="132" t="s">
        <v>4429</v>
      </c>
      <c r="G87" s="132" t="s">
        <v>175</v>
      </c>
      <c r="H87" s="130" t="s">
        <v>4491</v>
      </c>
      <c r="I87" s="132" t="s">
        <v>40</v>
      </c>
      <c r="J87" s="131" t="s">
        <v>4432</v>
      </c>
      <c r="K87" s="132" t="s">
        <v>4433</v>
      </c>
      <c r="L87" s="136">
        <v>9123229</v>
      </c>
      <c r="M87" s="132" t="s">
        <v>4702</v>
      </c>
      <c r="N87" s="136" t="s">
        <v>3741</v>
      </c>
      <c r="O87" s="130" t="s">
        <v>4436</v>
      </c>
      <c r="P87" s="130" t="s">
        <v>4492</v>
      </c>
      <c r="Q87" s="130">
        <v>38237090</v>
      </c>
      <c r="R87" s="136">
        <v>18.14</v>
      </c>
      <c r="S87" s="130" t="s">
        <v>70</v>
      </c>
      <c r="T87" s="136" t="s">
        <v>44</v>
      </c>
      <c r="U87" s="136" t="s">
        <v>53</v>
      </c>
      <c r="V87" s="136">
        <v>1652</v>
      </c>
      <c r="W87" s="133">
        <f t="shared" si="5"/>
        <v>29967.280000000002</v>
      </c>
      <c r="X87" s="136">
        <v>4.29</v>
      </c>
      <c r="Y87" s="136">
        <v>2800</v>
      </c>
      <c r="Z87" s="136">
        <v>0</v>
      </c>
      <c r="AA87" s="136">
        <v>0</v>
      </c>
      <c r="AB87" s="131">
        <v>42116</v>
      </c>
      <c r="AC87" s="134">
        <f t="shared" si="4"/>
        <v>27162.989991928975</v>
      </c>
      <c r="AD87" s="135">
        <v>61.95</v>
      </c>
      <c r="AE87" s="136">
        <f t="shared" si="3"/>
        <v>1856472.9960000003</v>
      </c>
      <c r="AF87" s="137">
        <v>1682747.23</v>
      </c>
      <c r="AG87" s="138">
        <v>61.95</v>
      </c>
      <c r="AH87" s="136" t="s">
        <v>4705</v>
      </c>
      <c r="AI87" s="133">
        <v>29967.279999999999</v>
      </c>
      <c r="AJ87" s="132" t="s">
        <v>4677</v>
      </c>
      <c r="AK87" s="136" t="s">
        <v>4706</v>
      </c>
      <c r="AL87" s="132" t="s">
        <v>4561</v>
      </c>
      <c r="AM87" s="131" t="s">
        <v>49</v>
      </c>
      <c r="AN87" s="133" t="s">
        <v>4440</v>
      </c>
    </row>
    <row r="88" spans="1:40" s="129" customFormat="1" x14ac:dyDescent="0.25">
      <c r="A88" s="130">
        <v>87</v>
      </c>
      <c r="B88" s="130" t="s">
        <v>4428</v>
      </c>
      <c r="C88" s="130" t="s">
        <v>38</v>
      </c>
      <c r="D88" s="136">
        <v>9103650063</v>
      </c>
      <c r="E88" s="132">
        <v>42119</v>
      </c>
      <c r="F88" s="132" t="s">
        <v>4429</v>
      </c>
      <c r="G88" s="132" t="s">
        <v>170</v>
      </c>
      <c r="H88" s="130" t="s">
        <v>4463</v>
      </c>
      <c r="I88" s="132" t="s">
        <v>40</v>
      </c>
      <c r="J88" s="131" t="s">
        <v>4432</v>
      </c>
      <c r="K88" s="132" t="s">
        <v>4433</v>
      </c>
      <c r="L88" s="136">
        <v>9140424</v>
      </c>
      <c r="M88" s="132">
        <v>42116</v>
      </c>
      <c r="N88" s="136" t="s">
        <v>4473</v>
      </c>
      <c r="O88" s="130" t="s">
        <v>4436</v>
      </c>
      <c r="P88" s="130" t="s">
        <v>361</v>
      </c>
      <c r="Q88" s="130">
        <v>29051700</v>
      </c>
      <c r="R88" s="136">
        <v>48</v>
      </c>
      <c r="S88" s="130" t="s">
        <v>70</v>
      </c>
      <c r="T88" s="136" t="s">
        <v>67</v>
      </c>
      <c r="U88" s="136" t="s">
        <v>1117</v>
      </c>
      <c r="V88" s="136">
        <v>100400</v>
      </c>
      <c r="W88" s="133">
        <f t="shared" si="5"/>
        <v>4819200</v>
      </c>
      <c r="X88" s="136">
        <v>0</v>
      </c>
      <c r="Y88" s="136">
        <v>0</v>
      </c>
      <c r="Z88" s="136">
        <v>0</v>
      </c>
      <c r="AA88" s="136">
        <v>120046.27</v>
      </c>
      <c r="AB88" s="131">
        <v>42116</v>
      </c>
      <c r="AC88" s="134">
        <f t="shared" si="4"/>
        <v>4819200</v>
      </c>
      <c r="AD88" s="135">
        <v>1</v>
      </c>
      <c r="AE88" s="133">
        <f t="shared" si="3"/>
        <v>4819200</v>
      </c>
      <c r="AF88" s="130">
        <v>4819200</v>
      </c>
      <c r="AG88" s="138">
        <v>1</v>
      </c>
      <c r="AH88" s="136" t="s">
        <v>4707</v>
      </c>
      <c r="AI88" s="136">
        <v>4819200</v>
      </c>
      <c r="AJ88" s="132">
        <v>42532</v>
      </c>
      <c r="AK88" s="136" t="s">
        <v>4708</v>
      </c>
      <c r="AL88" s="132">
        <v>42533</v>
      </c>
      <c r="AM88" s="131" t="s">
        <v>49</v>
      </c>
      <c r="AN88" s="136" t="s">
        <v>4440</v>
      </c>
    </row>
    <row r="89" spans="1:40" s="129" customFormat="1" x14ac:dyDescent="0.25">
      <c r="A89" s="136">
        <v>88</v>
      </c>
      <c r="B89" s="130" t="s">
        <v>4428</v>
      </c>
      <c r="C89" s="130" t="s">
        <v>38</v>
      </c>
      <c r="D89" s="136">
        <v>9103650064</v>
      </c>
      <c r="E89" s="132">
        <v>42121</v>
      </c>
      <c r="F89" s="132" t="s">
        <v>4429</v>
      </c>
      <c r="G89" s="132" t="s">
        <v>189</v>
      </c>
      <c r="H89" s="130" t="s">
        <v>4491</v>
      </c>
      <c r="I89" s="132" t="s">
        <v>40</v>
      </c>
      <c r="J89" s="131" t="s">
        <v>4432</v>
      </c>
      <c r="K89" s="132" t="s">
        <v>4433</v>
      </c>
      <c r="L89" s="136">
        <v>9134229</v>
      </c>
      <c r="M89" s="132" t="s">
        <v>4702</v>
      </c>
      <c r="N89" s="136" t="s">
        <v>3741</v>
      </c>
      <c r="O89" s="130" t="s">
        <v>4436</v>
      </c>
      <c r="P89" s="130" t="s">
        <v>4492</v>
      </c>
      <c r="Q89" s="130">
        <v>38237090</v>
      </c>
      <c r="R89" s="136">
        <v>18.670000000000002</v>
      </c>
      <c r="S89" s="130" t="s">
        <v>70</v>
      </c>
      <c r="T89" s="136" t="s">
        <v>44</v>
      </c>
      <c r="U89" s="136" t="s">
        <v>53</v>
      </c>
      <c r="V89" s="136">
        <v>1563</v>
      </c>
      <c r="W89" s="133">
        <f t="shared" si="5"/>
        <v>29181.210000000003</v>
      </c>
      <c r="X89" s="136">
        <v>4.17</v>
      </c>
      <c r="Y89" s="136">
        <v>4300</v>
      </c>
      <c r="Z89" s="136">
        <v>0</v>
      </c>
      <c r="AA89" s="136">
        <v>0</v>
      </c>
      <c r="AB89" s="131">
        <v>42116</v>
      </c>
      <c r="AC89" s="134">
        <f t="shared" si="4"/>
        <v>24877.040032284098</v>
      </c>
      <c r="AD89" s="135">
        <v>61.95</v>
      </c>
      <c r="AE89" s="136">
        <f t="shared" si="3"/>
        <v>1807775.9595000003</v>
      </c>
      <c r="AF89" s="137">
        <v>1541132.63</v>
      </c>
      <c r="AG89" s="138">
        <v>61.95</v>
      </c>
      <c r="AH89" s="136" t="s">
        <v>4709</v>
      </c>
      <c r="AI89" s="133">
        <v>29181.21</v>
      </c>
      <c r="AJ89" s="132" t="s">
        <v>4677</v>
      </c>
      <c r="AK89" s="136" t="s">
        <v>4710</v>
      </c>
      <c r="AL89" s="132" t="s">
        <v>4561</v>
      </c>
      <c r="AM89" s="131" t="s">
        <v>49</v>
      </c>
      <c r="AN89" s="133" t="s">
        <v>4440</v>
      </c>
    </row>
    <row r="90" spans="1:40" s="129" customFormat="1" x14ac:dyDescent="0.25">
      <c r="A90" s="130">
        <v>89</v>
      </c>
      <c r="B90" s="130" t="s">
        <v>4428</v>
      </c>
      <c r="C90" s="130" t="s">
        <v>38</v>
      </c>
      <c r="D90" s="136">
        <v>9103650065</v>
      </c>
      <c r="E90" s="132">
        <v>42119</v>
      </c>
      <c r="F90" s="132" t="s">
        <v>4429</v>
      </c>
      <c r="G90" s="132" t="s">
        <v>168</v>
      </c>
      <c r="H90" s="130" t="s">
        <v>4491</v>
      </c>
      <c r="I90" s="132" t="s">
        <v>40</v>
      </c>
      <c r="J90" s="131" t="s">
        <v>4432</v>
      </c>
      <c r="K90" s="132" t="s">
        <v>4433</v>
      </c>
      <c r="L90" s="136">
        <v>9134187</v>
      </c>
      <c r="M90" s="132" t="s">
        <v>4702</v>
      </c>
      <c r="N90" s="136" t="s">
        <v>3741</v>
      </c>
      <c r="O90" s="130" t="s">
        <v>4436</v>
      </c>
      <c r="P90" s="130" t="s">
        <v>4492</v>
      </c>
      <c r="Q90" s="130" t="s">
        <v>4711</v>
      </c>
      <c r="R90" s="136">
        <v>19.59</v>
      </c>
      <c r="S90" s="130" t="s">
        <v>70</v>
      </c>
      <c r="T90" s="136" t="s">
        <v>44</v>
      </c>
      <c r="U90" s="136" t="s">
        <v>53</v>
      </c>
      <c r="V90" s="136">
        <v>0</v>
      </c>
      <c r="W90" s="133">
        <f>(2*3483+17.59*1838)</f>
        <v>39296.42</v>
      </c>
      <c r="X90" s="136">
        <v>5.62</v>
      </c>
      <c r="Y90" s="136">
        <v>3510</v>
      </c>
      <c r="Z90" s="136">
        <v>0</v>
      </c>
      <c r="AA90" s="136">
        <v>0</v>
      </c>
      <c r="AB90" s="131">
        <v>42117</v>
      </c>
      <c r="AC90" s="134">
        <f t="shared" si="4"/>
        <v>35780.799999999996</v>
      </c>
      <c r="AD90" s="135">
        <v>61.95</v>
      </c>
      <c r="AE90" s="136">
        <f t="shared" si="3"/>
        <v>2434413.219</v>
      </c>
      <c r="AF90" s="137">
        <v>2216620.56</v>
      </c>
      <c r="AG90" s="138">
        <v>61.95</v>
      </c>
      <c r="AH90" s="136" t="s">
        <v>4712</v>
      </c>
      <c r="AI90" s="133">
        <v>39296.42</v>
      </c>
      <c r="AJ90" s="132" t="s">
        <v>4677</v>
      </c>
      <c r="AK90" s="136" t="s">
        <v>4713</v>
      </c>
      <c r="AL90" s="132" t="s">
        <v>4561</v>
      </c>
      <c r="AM90" s="131" t="s">
        <v>49</v>
      </c>
      <c r="AN90" s="133" t="s">
        <v>4440</v>
      </c>
    </row>
    <row r="91" spans="1:40" s="129" customFormat="1" x14ac:dyDescent="0.25">
      <c r="A91" s="136">
        <v>90</v>
      </c>
      <c r="B91" s="130" t="s">
        <v>4428</v>
      </c>
      <c r="C91" s="130" t="s">
        <v>38</v>
      </c>
      <c r="D91" s="136">
        <v>9103650066</v>
      </c>
      <c r="E91" s="132">
        <v>42122</v>
      </c>
      <c r="F91" s="132" t="s">
        <v>4429</v>
      </c>
      <c r="G91" s="132" t="s">
        <v>182</v>
      </c>
      <c r="H91" s="130" t="s">
        <v>4714</v>
      </c>
      <c r="I91" s="132" t="s">
        <v>40</v>
      </c>
      <c r="J91" s="131" t="s">
        <v>4432</v>
      </c>
      <c r="K91" s="132" t="s">
        <v>4433</v>
      </c>
      <c r="L91" s="136">
        <v>9155078</v>
      </c>
      <c r="M91" s="132">
        <v>42116</v>
      </c>
      <c r="N91" s="136" t="s">
        <v>4715</v>
      </c>
      <c r="O91" s="130" t="s">
        <v>4436</v>
      </c>
      <c r="P91" s="130" t="s">
        <v>4716</v>
      </c>
      <c r="Q91" s="130" t="s">
        <v>4717</v>
      </c>
      <c r="R91" s="136">
        <v>15</v>
      </c>
      <c r="S91" s="130" t="s">
        <v>70</v>
      </c>
      <c r="T91" s="136" t="s">
        <v>52</v>
      </c>
      <c r="U91" s="136" t="s">
        <v>53</v>
      </c>
      <c r="V91" s="136">
        <v>0</v>
      </c>
      <c r="W91" s="133">
        <f>(2*1755+6*1765+7*1175)</f>
        <v>22325</v>
      </c>
      <c r="X91" s="136">
        <v>0</v>
      </c>
      <c r="Y91" s="136">
        <v>2050</v>
      </c>
      <c r="Z91" s="136">
        <v>0</v>
      </c>
      <c r="AA91" s="136">
        <v>0</v>
      </c>
      <c r="AB91" s="131">
        <v>42117</v>
      </c>
      <c r="AC91" s="134">
        <f t="shared" si="4"/>
        <v>20275</v>
      </c>
      <c r="AD91" s="135">
        <v>61.95</v>
      </c>
      <c r="AE91" s="136">
        <f t="shared" si="3"/>
        <v>1383033.75</v>
      </c>
      <c r="AF91" s="137">
        <v>1256036.25</v>
      </c>
      <c r="AG91" s="138">
        <v>61.95</v>
      </c>
      <c r="AH91" s="136" t="s">
        <v>4718</v>
      </c>
      <c r="AI91" s="133">
        <v>22315</v>
      </c>
      <c r="AJ91" s="132">
        <v>42114</v>
      </c>
      <c r="AK91" s="136" t="s">
        <v>4719</v>
      </c>
      <c r="AL91" s="132">
        <v>42147</v>
      </c>
      <c r="AM91" s="131" t="s">
        <v>49</v>
      </c>
      <c r="AN91" s="133" t="s">
        <v>4440</v>
      </c>
    </row>
    <row r="92" spans="1:40" s="129" customFormat="1" x14ac:dyDescent="0.25">
      <c r="A92" s="130">
        <v>91</v>
      </c>
      <c r="B92" s="130" t="s">
        <v>4428</v>
      </c>
      <c r="C92" s="130" t="s">
        <v>38</v>
      </c>
      <c r="D92" s="136">
        <v>9103650067</v>
      </c>
      <c r="E92" s="132">
        <v>42120</v>
      </c>
      <c r="F92" s="132" t="s">
        <v>4429</v>
      </c>
      <c r="G92" s="132" t="s">
        <v>183</v>
      </c>
      <c r="H92" s="130" t="s">
        <v>4491</v>
      </c>
      <c r="I92" s="132" t="s">
        <v>40</v>
      </c>
      <c r="J92" s="131" t="s">
        <v>4432</v>
      </c>
      <c r="K92" s="132" t="s">
        <v>4433</v>
      </c>
      <c r="L92" s="136">
        <v>9157668</v>
      </c>
      <c r="M92" s="132" t="s">
        <v>4462</v>
      </c>
      <c r="N92" s="136" t="s">
        <v>4720</v>
      </c>
      <c r="O92" s="130" t="s">
        <v>4436</v>
      </c>
      <c r="P92" s="130" t="s">
        <v>130</v>
      </c>
      <c r="Q92" s="130">
        <v>29159090</v>
      </c>
      <c r="R92" s="136">
        <v>19.86</v>
      </c>
      <c r="S92" s="130" t="s">
        <v>70</v>
      </c>
      <c r="T92" s="136" t="s">
        <v>333</v>
      </c>
      <c r="U92" s="136" t="s">
        <v>4528</v>
      </c>
      <c r="V92" s="136">
        <v>2700</v>
      </c>
      <c r="W92" s="133">
        <f t="shared" si="5"/>
        <v>53622</v>
      </c>
      <c r="X92" s="136">
        <v>7.67</v>
      </c>
      <c r="Y92" s="136">
        <v>3193.78</v>
      </c>
      <c r="Z92" s="136">
        <v>971.15</v>
      </c>
      <c r="AA92" s="136">
        <v>0</v>
      </c>
      <c r="AB92" s="131">
        <v>42117</v>
      </c>
      <c r="AC92" s="134">
        <f t="shared" si="4"/>
        <v>50420.549962092489</v>
      </c>
      <c r="AD92" s="135">
        <v>65.95</v>
      </c>
      <c r="AE92" s="136">
        <f t="shared" si="3"/>
        <v>3536370.9000000004</v>
      </c>
      <c r="AF92" s="130">
        <v>3325235.27</v>
      </c>
      <c r="AG92" s="138">
        <v>65.95</v>
      </c>
      <c r="AH92" s="136" t="s">
        <v>4721</v>
      </c>
      <c r="AI92" s="133">
        <v>53547</v>
      </c>
      <c r="AJ92" s="132" t="s">
        <v>4722</v>
      </c>
      <c r="AK92" s="136" t="s">
        <v>4723</v>
      </c>
      <c r="AL92" s="132" t="s">
        <v>4724</v>
      </c>
      <c r="AM92" s="131" t="s">
        <v>49</v>
      </c>
      <c r="AN92" s="133" t="s">
        <v>4440</v>
      </c>
    </row>
    <row r="93" spans="1:40" s="129" customFormat="1" x14ac:dyDescent="0.25">
      <c r="A93" s="136">
        <v>92</v>
      </c>
      <c r="B93" s="130" t="s">
        <v>4428</v>
      </c>
      <c r="C93" s="130" t="s">
        <v>38</v>
      </c>
      <c r="D93" s="136" t="s">
        <v>4725</v>
      </c>
      <c r="E93" s="132">
        <v>42122</v>
      </c>
      <c r="F93" s="132" t="s">
        <v>4429</v>
      </c>
      <c r="G93" s="132" t="s">
        <v>181</v>
      </c>
      <c r="H93" s="130" t="s">
        <v>4714</v>
      </c>
      <c r="I93" s="132" t="s">
        <v>40</v>
      </c>
      <c r="J93" s="131" t="s">
        <v>4432</v>
      </c>
      <c r="K93" s="132" t="s">
        <v>4433</v>
      </c>
      <c r="L93" s="136">
        <v>9149839</v>
      </c>
      <c r="M93" s="132">
        <v>42117</v>
      </c>
      <c r="N93" s="136" t="s">
        <v>4726</v>
      </c>
      <c r="O93" s="130" t="s">
        <v>4436</v>
      </c>
      <c r="P93" s="130" t="s">
        <v>4727</v>
      </c>
      <c r="Q93" s="130" t="s">
        <v>4645</v>
      </c>
      <c r="R93" s="136">
        <v>15.04</v>
      </c>
      <c r="S93" s="130" t="s">
        <v>70</v>
      </c>
      <c r="T93" s="136" t="s">
        <v>67</v>
      </c>
      <c r="U93" s="136" t="s">
        <v>53</v>
      </c>
      <c r="V93" s="136">
        <v>0</v>
      </c>
      <c r="W93" s="133">
        <f>(5.25*1560+2.65*1560+5.1*1535+2.04*1900)</f>
        <v>24028.5</v>
      </c>
      <c r="X93" s="136">
        <v>0</v>
      </c>
      <c r="Y93" s="136">
        <v>0</v>
      </c>
      <c r="Z93" s="136">
        <v>0</v>
      </c>
      <c r="AA93" s="136">
        <v>0</v>
      </c>
      <c r="AB93" s="131">
        <v>42118</v>
      </c>
      <c r="AC93" s="134">
        <f t="shared" si="4"/>
        <v>24028.500080710251</v>
      </c>
      <c r="AD93" s="135">
        <v>61.95</v>
      </c>
      <c r="AE93" s="136">
        <f t="shared" si="3"/>
        <v>1488565.575</v>
      </c>
      <c r="AF93" s="137">
        <v>1488565.58</v>
      </c>
      <c r="AG93" s="138">
        <v>61.95</v>
      </c>
      <c r="AH93" s="136" t="s">
        <v>4728</v>
      </c>
      <c r="AI93" s="133">
        <v>24028.5</v>
      </c>
      <c r="AJ93" s="132">
        <v>42291</v>
      </c>
      <c r="AK93" s="136" t="s">
        <v>4729</v>
      </c>
      <c r="AL93" s="132">
        <v>42291</v>
      </c>
      <c r="AM93" s="131" t="s">
        <v>49</v>
      </c>
      <c r="AN93" s="136" t="s">
        <v>4440</v>
      </c>
    </row>
    <row r="94" spans="1:40" s="129" customFormat="1" x14ac:dyDescent="0.25">
      <c r="A94" s="130">
        <v>93</v>
      </c>
      <c r="B94" s="130" t="s">
        <v>4428</v>
      </c>
      <c r="C94" s="130" t="s">
        <v>38</v>
      </c>
      <c r="D94" s="136" t="s">
        <v>4725</v>
      </c>
      <c r="E94" s="132">
        <v>42122</v>
      </c>
      <c r="F94" s="132" t="s">
        <v>4429</v>
      </c>
      <c r="G94" s="132" t="s">
        <v>181</v>
      </c>
      <c r="H94" s="130" t="s">
        <v>4714</v>
      </c>
      <c r="I94" s="132" t="s">
        <v>40</v>
      </c>
      <c r="J94" s="131" t="s">
        <v>4432</v>
      </c>
      <c r="K94" s="132" t="s">
        <v>4433</v>
      </c>
      <c r="L94" s="136">
        <v>9172369</v>
      </c>
      <c r="M94" s="132">
        <v>42117</v>
      </c>
      <c r="N94" s="136" t="s">
        <v>4726</v>
      </c>
      <c r="O94" s="130" t="s">
        <v>4436</v>
      </c>
      <c r="P94" s="130" t="s">
        <v>4727</v>
      </c>
      <c r="Q94" s="130">
        <v>29051700</v>
      </c>
      <c r="R94" s="136">
        <v>15.04</v>
      </c>
      <c r="S94" s="130" t="s">
        <v>70</v>
      </c>
      <c r="T94" s="136" t="s">
        <v>67</v>
      </c>
      <c r="U94" s="136" t="s">
        <v>53</v>
      </c>
      <c r="V94" s="136">
        <v>1560</v>
      </c>
      <c r="W94" s="133">
        <f t="shared" si="5"/>
        <v>23462.399999999998</v>
      </c>
      <c r="X94" s="136">
        <v>0</v>
      </c>
      <c r="Y94" s="136">
        <v>0</v>
      </c>
      <c r="Z94" s="136">
        <v>0</v>
      </c>
      <c r="AA94" s="136">
        <v>0</v>
      </c>
      <c r="AB94" s="131">
        <v>42118</v>
      </c>
      <c r="AC94" s="134">
        <f t="shared" si="4"/>
        <v>23400</v>
      </c>
      <c r="AD94" s="135">
        <v>61.95</v>
      </c>
      <c r="AE94" s="136">
        <f t="shared" si="3"/>
        <v>1453495.68</v>
      </c>
      <c r="AF94" s="137">
        <v>1449630</v>
      </c>
      <c r="AG94" s="138">
        <v>61.95</v>
      </c>
      <c r="AH94" s="136" t="s">
        <v>4728</v>
      </c>
      <c r="AI94" s="133">
        <v>23400</v>
      </c>
      <c r="AJ94" s="132">
        <v>42291</v>
      </c>
      <c r="AK94" s="136" t="s">
        <v>4729</v>
      </c>
      <c r="AL94" s="132">
        <v>42291</v>
      </c>
      <c r="AM94" s="131" t="s">
        <v>49</v>
      </c>
      <c r="AN94" s="136" t="s">
        <v>4440</v>
      </c>
    </row>
    <row r="95" spans="1:40" s="129" customFormat="1" x14ac:dyDescent="0.25">
      <c r="A95" s="136">
        <v>94</v>
      </c>
      <c r="B95" s="130" t="s">
        <v>4428</v>
      </c>
      <c r="C95" s="130" t="s">
        <v>38</v>
      </c>
      <c r="D95" s="136" t="s">
        <v>4725</v>
      </c>
      <c r="E95" s="132">
        <v>42122</v>
      </c>
      <c r="F95" s="132" t="s">
        <v>4429</v>
      </c>
      <c r="G95" s="132" t="s">
        <v>181</v>
      </c>
      <c r="H95" s="130" t="s">
        <v>4714</v>
      </c>
      <c r="I95" s="132" t="s">
        <v>40</v>
      </c>
      <c r="J95" s="131" t="s">
        <v>4432</v>
      </c>
      <c r="K95" s="132" t="s">
        <v>4433</v>
      </c>
      <c r="L95" s="136">
        <v>9172385</v>
      </c>
      <c r="M95" s="132">
        <v>42117</v>
      </c>
      <c r="N95" s="136" t="s">
        <v>4726</v>
      </c>
      <c r="O95" s="130" t="s">
        <v>4436</v>
      </c>
      <c r="P95" s="130" t="s">
        <v>4727</v>
      </c>
      <c r="Q95" s="130">
        <v>29051700</v>
      </c>
      <c r="R95" s="136">
        <v>15.04</v>
      </c>
      <c r="S95" s="130" t="s">
        <v>70</v>
      </c>
      <c r="T95" s="136" t="s">
        <v>67</v>
      </c>
      <c r="U95" s="136" t="s">
        <v>53</v>
      </c>
      <c r="V95" s="136">
        <v>1560</v>
      </c>
      <c r="W95" s="133">
        <f t="shared" si="5"/>
        <v>23462.399999999998</v>
      </c>
      <c r="X95" s="136">
        <v>0</v>
      </c>
      <c r="Y95" s="136">
        <v>0</v>
      </c>
      <c r="Z95" s="136">
        <v>0</v>
      </c>
      <c r="AA95" s="136">
        <v>0</v>
      </c>
      <c r="AB95" s="131">
        <v>42118</v>
      </c>
      <c r="AC95" s="134">
        <f t="shared" si="4"/>
        <v>23400</v>
      </c>
      <c r="AD95" s="135">
        <v>61.95</v>
      </c>
      <c r="AE95" s="136">
        <f t="shared" si="3"/>
        <v>1453495.68</v>
      </c>
      <c r="AF95" s="137">
        <v>1449630</v>
      </c>
      <c r="AG95" s="138">
        <v>61.95</v>
      </c>
      <c r="AH95" s="136" t="s">
        <v>4728</v>
      </c>
      <c r="AI95" s="133">
        <v>23400</v>
      </c>
      <c r="AJ95" s="132">
        <v>42291</v>
      </c>
      <c r="AK95" s="136" t="s">
        <v>4730</v>
      </c>
      <c r="AL95" s="132">
        <v>42291</v>
      </c>
      <c r="AM95" s="131" t="s">
        <v>49</v>
      </c>
      <c r="AN95" s="136" t="s">
        <v>4440</v>
      </c>
    </row>
    <row r="96" spans="1:40" s="129" customFormat="1" x14ac:dyDescent="0.25">
      <c r="A96" s="130">
        <v>95</v>
      </c>
      <c r="B96" s="130" t="s">
        <v>4428</v>
      </c>
      <c r="C96" s="130" t="s">
        <v>38</v>
      </c>
      <c r="D96" s="136" t="s">
        <v>4725</v>
      </c>
      <c r="E96" s="132">
        <v>42122</v>
      </c>
      <c r="F96" s="132" t="s">
        <v>4429</v>
      </c>
      <c r="G96" s="132" t="s">
        <v>181</v>
      </c>
      <c r="H96" s="130" t="s">
        <v>4714</v>
      </c>
      <c r="I96" s="132" t="s">
        <v>40</v>
      </c>
      <c r="J96" s="131" t="s">
        <v>4432</v>
      </c>
      <c r="K96" s="132" t="s">
        <v>4433</v>
      </c>
      <c r="L96" s="136">
        <v>9172370</v>
      </c>
      <c r="M96" s="132">
        <v>42117</v>
      </c>
      <c r="N96" s="136" t="s">
        <v>4726</v>
      </c>
      <c r="O96" s="130" t="s">
        <v>4436</v>
      </c>
      <c r="P96" s="130" t="s">
        <v>4727</v>
      </c>
      <c r="Q96" s="130">
        <v>29051700</v>
      </c>
      <c r="R96" s="136">
        <v>15.04</v>
      </c>
      <c r="S96" s="130" t="s">
        <v>70</v>
      </c>
      <c r="T96" s="136" t="s">
        <v>67</v>
      </c>
      <c r="U96" s="136" t="s">
        <v>53</v>
      </c>
      <c r="V96" s="136">
        <v>1560</v>
      </c>
      <c r="W96" s="133">
        <f t="shared" si="5"/>
        <v>23462.399999999998</v>
      </c>
      <c r="X96" s="136">
        <v>0</v>
      </c>
      <c r="Y96" s="136">
        <v>0</v>
      </c>
      <c r="Z96" s="136">
        <v>0</v>
      </c>
      <c r="AA96" s="136">
        <v>0</v>
      </c>
      <c r="AB96" s="131">
        <v>42118</v>
      </c>
      <c r="AC96" s="134">
        <f t="shared" si="4"/>
        <v>23400</v>
      </c>
      <c r="AD96" s="135">
        <v>61.95</v>
      </c>
      <c r="AE96" s="136">
        <f t="shared" si="3"/>
        <v>1453495.68</v>
      </c>
      <c r="AF96" s="137">
        <v>1449630</v>
      </c>
      <c r="AG96" s="138">
        <v>61.95</v>
      </c>
      <c r="AH96" s="136" t="s">
        <v>4728</v>
      </c>
      <c r="AI96" s="133">
        <v>23400</v>
      </c>
      <c r="AJ96" s="132">
        <v>42291</v>
      </c>
      <c r="AK96" s="136" t="s">
        <v>4731</v>
      </c>
      <c r="AL96" s="132">
        <v>42291</v>
      </c>
      <c r="AM96" s="131" t="s">
        <v>49</v>
      </c>
      <c r="AN96" s="136" t="s">
        <v>4440</v>
      </c>
    </row>
    <row r="97" spans="1:40" s="129" customFormat="1" x14ac:dyDescent="0.25">
      <c r="A97" s="136">
        <v>96</v>
      </c>
      <c r="B97" s="130" t="s">
        <v>4428</v>
      </c>
      <c r="C97" s="130" t="s">
        <v>38</v>
      </c>
      <c r="D97" s="136" t="s">
        <v>4732</v>
      </c>
      <c r="E97" s="132">
        <v>42121</v>
      </c>
      <c r="F97" s="132" t="s">
        <v>4429</v>
      </c>
      <c r="G97" s="132" t="s">
        <v>185</v>
      </c>
      <c r="H97" s="130" t="s">
        <v>4446</v>
      </c>
      <c r="I97" s="132" t="s">
        <v>40</v>
      </c>
      <c r="J97" s="131" t="s">
        <v>4432</v>
      </c>
      <c r="K97" s="132" t="s">
        <v>4433</v>
      </c>
      <c r="L97" s="136">
        <v>9158321</v>
      </c>
      <c r="M97" s="132">
        <v>42116</v>
      </c>
      <c r="N97" s="136" t="s">
        <v>4733</v>
      </c>
      <c r="O97" s="130" t="s">
        <v>4436</v>
      </c>
      <c r="P97" s="130" t="s">
        <v>492</v>
      </c>
      <c r="Q97" s="130">
        <v>29157010</v>
      </c>
      <c r="R97" s="136">
        <v>78.55</v>
      </c>
      <c r="S97" s="130" t="s">
        <v>70</v>
      </c>
      <c r="T97" s="136" t="s">
        <v>44</v>
      </c>
      <c r="U97" s="136" t="s">
        <v>53</v>
      </c>
      <c r="V97" s="136">
        <v>920</v>
      </c>
      <c r="W97" s="133">
        <f t="shared" si="5"/>
        <v>72266</v>
      </c>
      <c r="X97" s="136">
        <v>10.33</v>
      </c>
      <c r="Y97" s="136">
        <v>1600</v>
      </c>
      <c r="Z97" s="136">
        <v>0</v>
      </c>
      <c r="AA97" s="136">
        <v>0</v>
      </c>
      <c r="AB97" s="131">
        <v>42117</v>
      </c>
      <c r="AC97" s="134">
        <f t="shared" si="4"/>
        <v>70655.669895076673</v>
      </c>
      <c r="AD97" s="135">
        <v>61.95</v>
      </c>
      <c r="AE97" s="136">
        <f t="shared" si="3"/>
        <v>4476878.7</v>
      </c>
      <c r="AF97" s="137">
        <v>4377118.75</v>
      </c>
      <c r="AG97" s="138">
        <v>61.95</v>
      </c>
      <c r="AH97" s="136" t="s">
        <v>4734</v>
      </c>
      <c r="AI97" s="136">
        <v>72266</v>
      </c>
      <c r="AJ97" s="132">
        <v>42152</v>
      </c>
      <c r="AK97" s="136" t="s">
        <v>4735</v>
      </c>
      <c r="AL97" s="132">
        <v>42156</v>
      </c>
      <c r="AM97" s="131" t="s">
        <v>49</v>
      </c>
      <c r="AN97" s="136" t="s">
        <v>4440</v>
      </c>
    </row>
    <row r="98" spans="1:40" s="129" customFormat="1" x14ac:dyDescent="0.25">
      <c r="A98" s="130">
        <v>97</v>
      </c>
      <c r="B98" s="130" t="s">
        <v>4428</v>
      </c>
      <c r="C98" s="130" t="s">
        <v>38</v>
      </c>
      <c r="D98" s="136" t="s">
        <v>4732</v>
      </c>
      <c r="E98" s="132">
        <v>42121</v>
      </c>
      <c r="F98" s="132" t="s">
        <v>4429</v>
      </c>
      <c r="G98" s="132" t="s">
        <v>186</v>
      </c>
      <c r="H98" s="130" t="s">
        <v>4446</v>
      </c>
      <c r="I98" s="132" t="s">
        <v>40</v>
      </c>
      <c r="J98" s="131" t="s">
        <v>4432</v>
      </c>
      <c r="K98" s="132" t="s">
        <v>4433</v>
      </c>
      <c r="L98" s="136">
        <v>9172750</v>
      </c>
      <c r="M98" s="132">
        <v>42117</v>
      </c>
      <c r="N98" s="136" t="s">
        <v>4733</v>
      </c>
      <c r="O98" s="130" t="s">
        <v>4436</v>
      </c>
      <c r="P98" s="130" t="s">
        <v>492</v>
      </c>
      <c r="Q98" s="130">
        <v>29157010</v>
      </c>
      <c r="R98" s="136">
        <v>39.479999999999997</v>
      </c>
      <c r="S98" s="130" t="s">
        <v>70</v>
      </c>
      <c r="T98" s="136" t="s">
        <v>44</v>
      </c>
      <c r="U98" s="136" t="s">
        <v>53</v>
      </c>
      <c r="V98" s="136">
        <v>920</v>
      </c>
      <c r="W98" s="133">
        <f t="shared" si="5"/>
        <v>36321.599999999999</v>
      </c>
      <c r="X98" s="136">
        <v>5.19</v>
      </c>
      <c r="Y98" s="136">
        <v>800</v>
      </c>
      <c r="Z98" s="136">
        <v>0</v>
      </c>
      <c r="AA98" s="136">
        <v>0</v>
      </c>
      <c r="AB98" s="131">
        <v>42118</v>
      </c>
      <c r="AC98" s="134">
        <f t="shared" si="4"/>
        <v>35516.410008071027</v>
      </c>
      <c r="AD98" s="135">
        <v>61.95</v>
      </c>
      <c r="AE98" s="136">
        <f t="shared" si="3"/>
        <v>2250123.12</v>
      </c>
      <c r="AF98" s="137">
        <v>2200241.6</v>
      </c>
      <c r="AG98" s="138">
        <v>61.95</v>
      </c>
      <c r="AH98" s="136" t="s">
        <v>4734</v>
      </c>
      <c r="AI98" s="136">
        <v>36321.599999999999</v>
      </c>
      <c r="AJ98" s="132">
        <v>42152</v>
      </c>
      <c r="AK98" s="136" t="s">
        <v>4736</v>
      </c>
      <c r="AL98" s="132">
        <v>42156</v>
      </c>
      <c r="AM98" s="131" t="s">
        <v>49</v>
      </c>
      <c r="AN98" s="136" t="s">
        <v>4440</v>
      </c>
    </row>
    <row r="99" spans="1:40" s="129" customFormat="1" x14ac:dyDescent="0.25">
      <c r="A99" s="136">
        <v>98</v>
      </c>
      <c r="B99" s="130" t="s">
        <v>4428</v>
      </c>
      <c r="C99" s="130" t="s">
        <v>38</v>
      </c>
      <c r="D99" s="136" t="s">
        <v>4732</v>
      </c>
      <c r="E99" s="132">
        <v>42121</v>
      </c>
      <c r="F99" s="132" t="s">
        <v>4429</v>
      </c>
      <c r="G99" s="132" t="s">
        <v>216</v>
      </c>
      <c r="H99" s="130" t="s">
        <v>4446</v>
      </c>
      <c r="I99" s="132" t="s">
        <v>40</v>
      </c>
      <c r="J99" s="131" t="s">
        <v>4432</v>
      </c>
      <c r="K99" s="132" t="s">
        <v>4433</v>
      </c>
      <c r="L99" s="136">
        <v>9177885</v>
      </c>
      <c r="M99" s="132">
        <v>42117</v>
      </c>
      <c r="N99" s="136" t="s">
        <v>4733</v>
      </c>
      <c r="O99" s="130" t="s">
        <v>4436</v>
      </c>
      <c r="P99" s="130" t="s">
        <v>492</v>
      </c>
      <c r="Q99" s="130">
        <v>29157010</v>
      </c>
      <c r="R99" s="136">
        <v>78.930000000000007</v>
      </c>
      <c r="S99" s="130" t="s">
        <v>70</v>
      </c>
      <c r="T99" s="136" t="s">
        <v>44</v>
      </c>
      <c r="U99" s="136" t="s">
        <v>53</v>
      </c>
      <c r="V99" s="136">
        <v>920</v>
      </c>
      <c r="W99" s="133">
        <f t="shared" si="5"/>
        <v>72615.600000000006</v>
      </c>
      <c r="X99" s="136">
        <v>10.38</v>
      </c>
      <c r="Y99" s="136">
        <v>1600</v>
      </c>
      <c r="Z99" s="136">
        <v>0</v>
      </c>
      <c r="AA99" s="136">
        <v>0</v>
      </c>
      <c r="AB99" s="131">
        <v>42118</v>
      </c>
      <c r="AC99" s="134">
        <f t="shared" si="4"/>
        <v>71005.220016142048</v>
      </c>
      <c r="AD99" s="135">
        <v>61.95</v>
      </c>
      <c r="AE99" s="136">
        <f t="shared" si="3"/>
        <v>4498536.4200000009</v>
      </c>
      <c r="AF99" s="137">
        <v>4398773.38</v>
      </c>
      <c r="AG99" s="138">
        <v>61.95</v>
      </c>
      <c r="AH99" s="136" t="s">
        <v>4734</v>
      </c>
      <c r="AI99" s="136">
        <v>72615.600000000006</v>
      </c>
      <c r="AJ99" s="132">
        <v>42152</v>
      </c>
      <c r="AK99" s="136" t="s">
        <v>4737</v>
      </c>
      <c r="AL99" s="132">
        <v>42156</v>
      </c>
      <c r="AM99" s="131" t="s">
        <v>49</v>
      </c>
      <c r="AN99" s="136" t="s">
        <v>4440</v>
      </c>
    </row>
    <row r="100" spans="1:40" s="129" customFormat="1" x14ac:dyDescent="0.25">
      <c r="A100" s="130">
        <v>99</v>
      </c>
      <c r="B100" s="130" t="s">
        <v>4428</v>
      </c>
      <c r="C100" s="130" t="s">
        <v>38</v>
      </c>
      <c r="D100" s="136">
        <v>9103650073</v>
      </c>
      <c r="E100" s="132">
        <v>42124</v>
      </c>
      <c r="F100" s="132" t="s">
        <v>4429</v>
      </c>
      <c r="G100" s="132" t="s">
        <v>217</v>
      </c>
      <c r="H100" s="130" t="s">
        <v>4442</v>
      </c>
      <c r="I100" s="132" t="s">
        <v>40</v>
      </c>
      <c r="J100" s="131" t="s">
        <v>4432</v>
      </c>
      <c r="K100" s="132" t="s">
        <v>4433</v>
      </c>
      <c r="L100" s="136">
        <v>9197556</v>
      </c>
      <c r="M100" s="132">
        <v>42118</v>
      </c>
      <c r="N100" s="136" t="s">
        <v>4443</v>
      </c>
      <c r="O100" s="130" t="s">
        <v>4436</v>
      </c>
      <c r="P100" s="130" t="s">
        <v>790</v>
      </c>
      <c r="Q100" s="130">
        <v>38237090</v>
      </c>
      <c r="R100" s="136">
        <v>26</v>
      </c>
      <c r="S100" s="130" t="s">
        <v>70</v>
      </c>
      <c r="T100" s="136" t="s">
        <v>44</v>
      </c>
      <c r="U100" s="136" t="s">
        <v>53</v>
      </c>
      <c r="V100" s="136">
        <v>0</v>
      </c>
      <c r="W100" s="133">
        <f>(13*1565+13*1445)</f>
        <v>39130</v>
      </c>
      <c r="X100" s="136">
        <v>5.6</v>
      </c>
      <c r="Y100" s="136">
        <v>1250</v>
      </c>
      <c r="Z100" s="136">
        <v>0</v>
      </c>
      <c r="AA100" s="136">
        <v>0</v>
      </c>
      <c r="AB100" s="131">
        <v>42119</v>
      </c>
      <c r="AC100" s="134">
        <f t="shared" si="4"/>
        <v>37874.400000000001</v>
      </c>
      <c r="AD100" s="135">
        <v>61.95</v>
      </c>
      <c r="AE100" s="136">
        <f t="shared" si="3"/>
        <v>2424103.5</v>
      </c>
      <c r="AF100" s="137">
        <v>2346319.08</v>
      </c>
      <c r="AG100" s="138">
        <v>61.95</v>
      </c>
      <c r="AH100" s="136" t="s">
        <v>4738</v>
      </c>
      <c r="AI100" s="133">
        <v>39130</v>
      </c>
      <c r="AJ100" s="132">
        <v>42114</v>
      </c>
      <c r="AK100" s="136" t="s">
        <v>4739</v>
      </c>
      <c r="AL100" s="132">
        <v>42209</v>
      </c>
      <c r="AM100" s="131" t="s">
        <v>49</v>
      </c>
      <c r="AN100" s="133" t="s">
        <v>4440</v>
      </c>
    </row>
    <row r="101" spans="1:40" s="129" customFormat="1" x14ac:dyDescent="0.25">
      <c r="A101" s="136">
        <v>100</v>
      </c>
      <c r="B101" s="130" t="s">
        <v>4428</v>
      </c>
      <c r="C101" s="130" t="s">
        <v>38</v>
      </c>
      <c r="D101" s="136">
        <v>9103650074</v>
      </c>
      <c r="E101" s="132">
        <v>42123</v>
      </c>
      <c r="F101" s="132" t="s">
        <v>4429</v>
      </c>
      <c r="G101" s="132" t="s">
        <v>214</v>
      </c>
      <c r="H101" s="130" t="s">
        <v>4446</v>
      </c>
      <c r="I101" s="132" t="s">
        <v>40</v>
      </c>
      <c r="J101" s="131" t="s">
        <v>4432</v>
      </c>
      <c r="K101" s="132" t="s">
        <v>4433</v>
      </c>
      <c r="L101" s="136">
        <v>9201942</v>
      </c>
      <c r="M101" s="132" t="s">
        <v>4740</v>
      </c>
      <c r="N101" s="136" t="s">
        <v>4741</v>
      </c>
      <c r="O101" s="130" t="s">
        <v>4436</v>
      </c>
      <c r="P101" s="130" t="s">
        <v>47</v>
      </c>
      <c r="Q101" s="130">
        <v>38231900</v>
      </c>
      <c r="R101" s="136">
        <v>20.03</v>
      </c>
      <c r="S101" s="130" t="s">
        <v>70</v>
      </c>
      <c r="T101" s="136" t="s">
        <v>67</v>
      </c>
      <c r="U101" s="136" t="s">
        <v>53</v>
      </c>
      <c r="V101" s="136">
        <v>3920</v>
      </c>
      <c r="W101" s="133">
        <f t="shared" si="5"/>
        <v>78517.600000000006</v>
      </c>
      <c r="X101" s="136">
        <v>0</v>
      </c>
      <c r="Y101" s="136">
        <v>0</v>
      </c>
      <c r="Z101" s="136">
        <v>0</v>
      </c>
      <c r="AA101" s="136">
        <v>0</v>
      </c>
      <c r="AB101" s="131">
        <v>42119</v>
      </c>
      <c r="AC101" s="134">
        <f t="shared" si="4"/>
        <v>78517.600000000006</v>
      </c>
      <c r="AD101" s="135">
        <v>61.95</v>
      </c>
      <c r="AE101" s="136">
        <f t="shared" si="3"/>
        <v>4864165.32</v>
      </c>
      <c r="AF101" s="137">
        <v>4864165.32</v>
      </c>
      <c r="AG101" s="138">
        <v>61.95</v>
      </c>
      <c r="AH101" s="136" t="s">
        <v>4742</v>
      </c>
      <c r="AI101" s="133">
        <v>78517.600000000006</v>
      </c>
      <c r="AJ101" s="132" t="s">
        <v>4743</v>
      </c>
      <c r="AK101" s="136" t="s">
        <v>4744</v>
      </c>
      <c r="AL101" s="132" t="s">
        <v>4745</v>
      </c>
      <c r="AM101" s="131" t="s">
        <v>49</v>
      </c>
      <c r="AN101" s="133" t="s">
        <v>4440</v>
      </c>
    </row>
    <row r="102" spans="1:40" s="129" customFormat="1" x14ac:dyDescent="0.25">
      <c r="A102" s="130">
        <v>101</v>
      </c>
      <c r="B102" s="130" t="s">
        <v>4428</v>
      </c>
      <c r="C102" s="130" t="s">
        <v>38</v>
      </c>
      <c r="D102" s="136">
        <v>9103650075</v>
      </c>
      <c r="E102" s="132">
        <v>42123</v>
      </c>
      <c r="F102" s="132" t="s">
        <v>4429</v>
      </c>
      <c r="G102" s="132" t="s">
        <v>193</v>
      </c>
      <c r="H102" s="130" t="s">
        <v>4446</v>
      </c>
      <c r="I102" s="132" t="s">
        <v>40</v>
      </c>
      <c r="J102" s="131" t="s">
        <v>4432</v>
      </c>
      <c r="K102" s="132" t="s">
        <v>4433</v>
      </c>
      <c r="L102" s="136">
        <v>9205720</v>
      </c>
      <c r="M102" s="132" t="s">
        <v>4746</v>
      </c>
      <c r="N102" s="136" t="s">
        <v>4741</v>
      </c>
      <c r="O102" s="130" t="s">
        <v>4436</v>
      </c>
      <c r="P102" s="130" t="s">
        <v>47</v>
      </c>
      <c r="Q102" s="130">
        <v>38231900</v>
      </c>
      <c r="R102" s="136">
        <v>20.07</v>
      </c>
      <c r="S102" s="130" t="s">
        <v>70</v>
      </c>
      <c r="T102" s="136" t="s">
        <v>67</v>
      </c>
      <c r="U102" s="136" t="s">
        <v>53</v>
      </c>
      <c r="V102" s="136">
        <v>3920</v>
      </c>
      <c r="W102" s="133">
        <f t="shared" si="5"/>
        <v>78674.399999999994</v>
      </c>
      <c r="X102" s="136">
        <v>0</v>
      </c>
      <c r="Y102" s="136">
        <v>0</v>
      </c>
      <c r="Z102" s="136">
        <v>0</v>
      </c>
      <c r="AA102" s="136">
        <v>0</v>
      </c>
      <c r="AB102" s="131">
        <v>42119</v>
      </c>
      <c r="AC102" s="134">
        <f t="shared" si="4"/>
        <v>78674.399999999994</v>
      </c>
      <c r="AD102" s="135">
        <v>61.95</v>
      </c>
      <c r="AE102" s="136">
        <f t="shared" si="3"/>
        <v>4873879.08</v>
      </c>
      <c r="AF102" s="137">
        <v>4873879.08</v>
      </c>
      <c r="AG102" s="138">
        <v>61.95</v>
      </c>
      <c r="AH102" s="136" t="s">
        <v>4747</v>
      </c>
      <c r="AI102" s="133">
        <v>78674.399999999994</v>
      </c>
      <c r="AJ102" s="132" t="s">
        <v>4743</v>
      </c>
      <c r="AK102" s="136" t="s">
        <v>4748</v>
      </c>
      <c r="AL102" s="132" t="s">
        <v>4745</v>
      </c>
      <c r="AM102" s="131" t="s">
        <v>49</v>
      </c>
      <c r="AN102" s="133" t="s">
        <v>4440</v>
      </c>
    </row>
    <row r="103" spans="1:40" s="129" customFormat="1" x14ac:dyDescent="0.25">
      <c r="A103" s="136">
        <v>102</v>
      </c>
      <c r="B103" s="130" t="s">
        <v>4428</v>
      </c>
      <c r="C103" s="130" t="s">
        <v>38</v>
      </c>
      <c r="D103" s="136">
        <v>9103650078</v>
      </c>
      <c r="E103" s="132">
        <v>42123</v>
      </c>
      <c r="F103" s="132" t="s">
        <v>4429</v>
      </c>
      <c r="G103" s="132" t="s">
        <v>196</v>
      </c>
      <c r="H103" s="130" t="s">
        <v>4714</v>
      </c>
      <c r="I103" s="132" t="s">
        <v>40</v>
      </c>
      <c r="J103" s="131" t="s">
        <v>4432</v>
      </c>
      <c r="K103" s="132" t="s">
        <v>4433</v>
      </c>
      <c r="L103" s="136">
        <v>9223843</v>
      </c>
      <c r="M103" s="132">
        <v>42119</v>
      </c>
      <c r="N103" s="136" t="s">
        <v>4622</v>
      </c>
      <c r="O103" s="130" t="s">
        <v>4436</v>
      </c>
      <c r="P103" s="130" t="s">
        <v>4566</v>
      </c>
      <c r="Q103" s="130">
        <v>38231200</v>
      </c>
      <c r="R103" s="136">
        <v>19.8</v>
      </c>
      <c r="S103" s="130" t="s">
        <v>70</v>
      </c>
      <c r="T103" s="136" t="s">
        <v>67</v>
      </c>
      <c r="U103" s="136" t="s">
        <v>53</v>
      </c>
      <c r="V103" s="136">
        <v>1025</v>
      </c>
      <c r="W103" s="133">
        <f t="shared" si="5"/>
        <v>20295</v>
      </c>
      <c r="X103" s="136">
        <v>0</v>
      </c>
      <c r="Y103" s="136">
        <v>0</v>
      </c>
      <c r="Z103" s="136">
        <v>0</v>
      </c>
      <c r="AA103" s="136">
        <v>0</v>
      </c>
      <c r="AB103" s="131">
        <v>42121</v>
      </c>
      <c r="AC103" s="134">
        <f t="shared" si="4"/>
        <v>20295</v>
      </c>
      <c r="AD103" s="135">
        <v>61.95</v>
      </c>
      <c r="AE103" s="136">
        <f t="shared" si="3"/>
        <v>1257275.25</v>
      </c>
      <c r="AF103" s="137">
        <v>1257275.25</v>
      </c>
      <c r="AG103" s="138">
        <v>61.95</v>
      </c>
      <c r="AH103" s="136" t="s">
        <v>4749</v>
      </c>
      <c r="AI103" s="133">
        <v>20260.5</v>
      </c>
      <c r="AJ103" s="132">
        <v>0</v>
      </c>
      <c r="AK103" s="136" t="s">
        <v>4750</v>
      </c>
      <c r="AL103" s="132">
        <v>42193</v>
      </c>
      <c r="AM103" s="131" t="s">
        <v>49</v>
      </c>
      <c r="AN103" s="133" t="s">
        <v>4440</v>
      </c>
    </row>
    <row r="104" spans="1:40" s="129" customFormat="1" x14ac:dyDescent="0.25">
      <c r="A104" s="130">
        <v>103</v>
      </c>
      <c r="B104" s="130" t="s">
        <v>4428</v>
      </c>
      <c r="C104" s="130" t="s">
        <v>38</v>
      </c>
      <c r="D104" s="136">
        <v>9103650087</v>
      </c>
      <c r="E104" s="132">
        <v>42122</v>
      </c>
      <c r="F104" s="132" t="s">
        <v>4429</v>
      </c>
      <c r="G104" s="132" t="s">
        <v>4751</v>
      </c>
      <c r="H104" s="130"/>
      <c r="I104" s="132" t="s">
        <v>40</v>
      </c>
      <c r="J104" s="131" t="s">
        <v>4432</v>
      </c>
      <c r="K104" s="132" t="s">
        <v>4433</v>
      </c>
      <c r="L104" s="136"/>
      <c r="M104" s="132"/>
      <c r="N104" s="136" t="s">
        <v>4752</v>
      </c>
      <c r="O104" s="130" t="s">
        <v>4436</v>
      </c>
      <c r="P104" s="130"/>
      <c r="Q104" s="130"/>
      <c r="R104" s="136">
        <v>25</v>
      </c>
      <c r="S104" s="130" t="s">
        <v>4753</v>
      </c>
      <c r="T104" s="136"/>
      <c r="U104" s="136"/>
      <c r="V104" s="136"/>
      <c r="W104" s="133"/>
      <c r="X104" s="136"/>
      <c r="Y104" s="136"/>
      <c r="Z104" s="136"/>
      <c r="AA104" s="136"/>
      <c r="AB104" s="131"/>
      <c r="AC104" s="134"/>
      <c r="AD104" s="135"/>
      <c r="AE104" s="136"/>
      <c r="AF104" s="130"/>
      <c r="AG104" s="138"/>
      <c r="AH104" s="136"/>
      <c r="AI104" s="136"/>
      <c r="AJ104" s="132"/>
      <c r="AK104" s="136"/>
      <c r="AL104" s="132"/>
      <c r="AM104" s="132" t="s">
        <v>4751</v>
      </c>
      <c r="AN104" s="132" t="s">
        <v>4751</v>
      </c>
    </row>
    <row r="105" spans="1:40" s="129" customFormat="1" x14ac:dyDescent="0.25">
      <c r="A105" s="136">
        <v>104</v>
      </c>
      <c r="B105" s="130" t="s">
        <v>4428</v>
      </c>
      <c r="C105" s="130" t="s">
        <v>38</v>
      </c>
      <c r="D105" s="136" t="s">
        <v>4754</v>
      </c>
      <c r="E105" s="132">
        <v>42119</v>
      </c>
      <c r="F105" s="132" t="s">
        <v>4429</v>
      </c>
      <c r="G105" s="141" t="s">
        <v>4755</v>
      </c>
      <c r="H105" s="136" t="s">
        <v>4456</v>
      </c>
      <c r="I105" s="132" t="s">
        <v>40</v>
      </c>
      <c r="J105" s="131" t="s">
        <v>4756</v>
      </c>
      <c r="K105" s="132" t="s">
        <v>4433</v>
      </c>
      <c r="L105" s="136">
        <v>9052311</v>
      </c>
      <c r="M105" s="132">
        <v>42111</v>
      </c>
      <c r="N105" s="136" t="s">
        <v>69</v>
      </c>
      <c r="O105" s="130" t="s">
        <v>4436</v>
      </c>
      <c r="P105" s="136" t="s">
        <v>90</v>
      </c>
      <c r="Q105" s="136">
        <v>34021900</v>
      </c>
      <c r="R105" s="143">
        <v>16.8</v>
      </c>
      <c r="S105" s="130" t="s">
        <v>70</v>
      </c>
      <c r="T105" s="144" t="s">
        <v>67</v>
      </c>
      <c r="U105" s="136" t="s">
        <v>53</v>
      </c>
      <c r="V105" s="136">
        <v>2227</v>
      </c>
      <c r="W105" s="133">
        <f t="shared" si="5"/>
        <v>37413.599999999999</v>
      </c>
      <c r="X105" s="136">
        <v>0</v>
      </c>
      <c r="Y105" s="136">
        <v>0</v>
      </c>
      <c r="Z105" s="136">
        <v>0</v>
      </c>
      <c r="AA105" s="136">
        <v>0</v>
      </c>
      <c r="AB105" s="131">
        <v>42112</v>
      </c>
      <c r="AC105" s="134">
        <f t="shared" si="4"/>
        <v>37413.599999999999</v>
      </c>
      <c r="AD105" s="135">
        <v>61.95</v>
      </c>
      <c r="AE105" s="136">
        <f t="shared" si="3"/>
        <v>2317772.52</v>
      </c>
      <c r="AF105" s="145">
        <v>2317772.52</v>
      </c>
      <c r="AG105" s="146">
        <v>61.95</v>
      </c>
      <c r="AH105" s="132" t="s">
        <v>4757</v>
      </c>
      <c r="AI105" s="133">
        <v>37413.599999999999</v>
      </c>
      <c r="AJ105" s="132">
        <v>42185</v>
      </c>
      <c r="AK105" s="147" t="s">
        <v>4758</v>
      </c>
      <c r="AL105" s="132">
        <v>42186</v>
      </c>
      <c r="AM105" s="131" t="s">
        <v>49</v>
      </c>
      <c r="AN105" s="136" t="s">
        <v>4440</v>
      </c>
    </row>
    <row r="106" spans="1:40" s="129" customFormat="1" x14ac:dyDescent="0.25">
      <c r="A106" s="130">
        <v>105</v>
      </c>
      <c r="B106" s="130" t="s">
        <v>4428</v>
      </c>
      <c r="C106" s="130" t="s">
        <v>38</v>
      </c>
      <c r="D106" s="136" t="s">
        <v>4754</v>
      </c>
      <c r="E106" s="132">
        <v>42119</v>
      </c>
      <c r="F106" s="132" t="s">
        <v>4429</v>
      </c>
      <c r="G106" s="141" t="s">
        <v>4759</v>
      </c>
      <c r="H106" s="136" t="s">
        <v>4456</v>
      </c>
      <c r="I106" s="132" t="s">
        <v>40</v>
      </c>
      <c r="J106" s="131" t="s">
        <v>4756</v>
      </c>
      <c r="K106" s="132" t="s">
        <v>4433</v>
      </c>
      <c r="L106" s="136">
        <v>9052297</v>
      </c>
      <c r="M106" s="132">
        <v>42111</v>
      </c>
      <c r="N106" s="136" t="s">
        <v>69</v>
      </c>
      <c r="O106" s="130" t="s">
        <v>4436</v>
      </c>
      <c r="P106" s="136" t="s">
        <v>90</v>
      </c>
      <c r="Q106" s="136">
        <v>34021900</v>
      </c>
      <c r="R106" s="143">
        <v>16.8</v>
      </c>
      <c r="S106" s="130" t="s">
        <v>70</v>
      </c>
      <c r="T106" s="144" t="s">
        <v>67</v>
      </c>
      <c r="U106" s="136" t="s">
        <v>53</v>
      </c>
      <c r="V106" s="136">
        <v>2227</v>
      </c>
      <c r="W106" s="133">
        <f t="shared" si="5"/>
        <v>37413.599999999999</v>
      </c>
      <c r="X106" s="136">
        <v>0</v>
      </c>
      <c r="Y106" s="136">
        <v>0</v>
      </c>
      <c r="Z106" s="136">
        <v>0</v>
      </c>
      <c r="AA106" s="136">
        <v>0</v>
      </c>
      <c r="AB106" s="131">
        <v>42112</v>
      </c>
      <c r="AC106" s="134">
        <f t="shared" si="4"/>
        <v>37413.599999999999</v>
      </c>
      <c r="AD106" s="135">
        <v>61.95</v>
      </c>
      <c r="AE106" s="136">
        <f t="shared" si="3"/>
        <v>2317772.52</v>
      </c>
      <c r="AF106" s="145">
        <v>2317772.52</v>
      </c>
      <c r="AG106" s="146">
        <v>61.95</v>
      </c>
      <c r="AH106" s="132" t="s">
        <v>4757</v>
      </c>
      <c r="AI106" s="133">
        <v>37413.599999999999</v>
      </c>
      <c r="AJ106" s="132">
        <v>42185</v>
      </c>
      <c r="AK106" s="147" t="s">
        <v>4760</v>
      </c>
      <c r="AL106" s="132">
        <v>42186</v>
      </c>
      <c r="AM106" s="131" t="s">
        <v>49</v>
      </c>
      <c r="AN106" s="136" t="s">
        <v>4440</v>
      </c>
    </row>
    <row r="107" spans="1:40" s="129" customFormat="1" x14ac:dyDescent="0.25">
      <c r="A107" s="136">
        <v>106</v>
      </c>
      <c r="B107" s="130" t="s">
        <v>4428</v>
      </c>
      <c r="C107" s="130" t="s">
        <v>38</v>
      </c>
      <c r="D107" s="136" t="s">
        <v>4754</v>
      </c>
      <c r="E107" s="132">
        <v>42119</v>
      </c>
      <c r="F107" s="132" t="s">
        <v>4429</v>
      </c>
      <c r="G107" s="141" t="s">
        <v>4761</v>
      </c>
      <c r="H107" s="136" t="s">
        <v>4456</v>
      </c>
      <c r="I107" s="132" t="s">
        <v>40</v>
      </c>
      <c r="J107" s="131" t="s">
        <v>4756</v>
      </c>
      <c r="K107" s="132" t="s">
        <v>4433</v>
      </c>
      <c r="L107" s="136">
        <v>9074455</v>
      </c>
      <c r="M107" s="132">
        <v>42112</v>
      </c>
      <c r="N107" s="136" t="s">
        <v>69</v>
      </c>
      <c r="O107" s="130" t="s">
        <v>4436</v>
      </c>
      <c r="P107" s="136" t="s">
        <v>90</v>
      </c>
      <c r="Q107" s="136">
        <v>34021900</v>
      </c>
      <c r="R107" s="143">
        <v>17.25</v>
      </c>
      <c r="S107" s="130" t="s">
        <v>70</v>
      </c>
      <c r="T107" s="144" t="s">
        <v>67</v>
      </c>
      <c r="U107" s="136" t="s">
        <v>53</v>
      </c>
      <c r="V107" s="136">
        <v>2227</v>
      </c>
      <c r="W107" s="133">
        <f t="shared" si="5"/>
        <v>38415.75</v>
      </c>
      <c r="X107" s="136">
        <v>0</v>
      </c>
      <c r="Y107" s="136">
        <v>0</v>
      </c>
      <c r="Z107" s="136">
        <v>0</v>
      </c>
      <c r="AA107" s="136">
        <v>0</v>
      </c>
      <c r="AB107" s="131">
        <v>42112</v>
      </c>
      <c r="AC107" s="134">
        <f t="shared" si="4"/>
        <v>38415.749959644876</v>
      </c>
      <c r="AD107" s="135">
        <v>61.95</v>
      </c>
      <c r="AE107" s="136">
        <f t="shared" si="3"/>
        <v>2379855.7124999999</v>
      </c>
      <c r="AF107" s="145">
        <v>2379855.71</v>
      </c>
      <c r="AG107" s="146">
        <v>61.95</v>
      </c>
      <c r="AH107" s="132" t="s">
        <v>4757</v>
      </c>
      <c r="AI107" s="133">
        <v>38415.75</v>
      </c>
      <c r="AJ107" s="132">
        <v>42185</v>
      </c>
      <c r="AK107" s="147" t="s">
        <v>4762</v>
      </c>
      <c r="AL107" s="132">
        <v>42186</v>
      </c>
      <c r="AM107" s="131" t="s">
        <v>49</v>
      </c>
      <c r="AN107" s="136" t="s">
        <v>4440</v>
      </c>
    </row>
    <row r="108" spans="1:40" s="129" customFormat="1" x14ac:dyDescent="0.25">
      <c r="A108" s="130">
        <v>107</v>
      </c>
      <c r="B108" s="130" t="s">
        <v>4428</v>
      </c>
      <c r="C108" s="130" t="s">
        <v>38</v>
      </c>
      <c r="D108" s="136" t="s">
        <v>4754</v>
      </c>
      <c r="E108" s="132">
        <v>42119</v>
      </c>
      <c r="F108" s="132" t="s">
        <v>4429</v>
      </c>
      <c r="G108" s="141" t="s">
        <v>4763</v>
      </c>
      <c r="H108" s="136" t="s">
        <v>4456</v>
      </c>
      <c r="I108" s="132" t="s">
        <v>40</v>
      </c>
      <c r="J108" s="131" t="s">
        <v>4756</v>
      </c>
      <c r="K108" s="132" t="s">
        <v>4433</v>
      </c>
      <c r="L108" s="136">
        <v>9074492</v>
      </c>
      <c r="M108" s="132">
        <v>42112</v>
      </c>
      <c r="N108" s="136" t="s">
        <v>69</v>
      </c>
      <c r="O108" s="130" t="s">
        <v>4436</v>
      </c>
      <c r="P108" s="136" t="s">
        <v>90</v>
      </c>
      <c r="Q108" s="136">
        <v>34021900</v>
      </c>
      <c r="R108" s="143">
        <v>17.13</v>
      </c>
      <c r="S108" s="130" t="s">
        <v>70</v>
      </c>
      <c r="T108" s="144" t="s">
        <v>67</v>
      </c>
      <c r="U108" s="136" t="s">
        <v>53</v>
      </c>
      <c r="V108" s="136">
        <v>2227</v>
      </c>
      <c r="W108" s="133">
        <f t="shared" si="5"/>
        <v>38148.509999999995</v>
      </c>
      <c r="X108" s="136">
        <v>0</v>
      </c>
      <c r="Y108" s="136">
        <v>0</v>
      </c>
      <c r="Z108" s="136">
        <v>0</v>
      </c>
      <c r="AA108" s="136">
        <v>0</v>
      </c>
      <c r="AB108" s="131">
        <v>42112</v>
      </c>
      <c r="AC108" s="134">
        <f t="shared" si="4"/>
        <v>38148.50992736077</v>
      </c>
      <c r="AD108" s="135">
        <v>61.95</v>
      </c>
      <c r="AE108" s="136">
        <f t="shared" si="3"/>
        <v>2363300.1944999998</v>
      </c>
      <c r="AF108" s="145">
        <v>2363300.19</v>
      </c>
      <c r="AG108" s="146">
        <v>61.95</v>
      </c>
      <c r="AH108" s="132" t="s">
        <v>4757</v>
      </c>
      <c r="AI108" s="133">
        <v>38148.51</v>
      </c>
      <c r="AJ108" s="132">
        <v>42185</v>
      </c>
      <c r="AK108" s="147" t="s">
        <v>4764</v>
      </c>
      <c r="AL108" s="132">
        <v>42186</v>
      </c>
      <c r="AM108" s="131" t="s">
        <v>49</v>
      </c>
      <c r="AN108" s="136" t="s">
        <v>4440</v>
      </c>
    </row>
    <row r="109" spans="1:40" s="129" customFormat="1" x14ac:dyDescent="0.25">
      <c r="A109" s="136">
        <v>108</v>
      </c>
      <c r="B109" s="130" t="s">
        <v>4428</v>
      </c>
      <c r="C109" s="130" t="s">
        <v>38</v>
      </c>
      <c r="D109" s="136">
        <v>9114550033</v>
      </c>
      <c r="E109" s="132">
        <v>42096</v>
      </c>
      <c r="F109" s="132" t="s">
        <v>4429</v>
      </c>
      <c r="G109" s="132" t="s">
        <v>4765</v>
      </c>
      <c r="H109" s="136" t="s">
        <v>4456</v>
      </c>
      <c r="I109" s="132" t="s">
        <v>40</v>
      </c>
      <c r="J109" s="131" t="s">
        <v>4766</v>
      </c>
      <c r="K109" s="132" t="s">
        <v>4433</v>
      </c>
      <c r="L109" s="136">
        <v>8565509</v>
      </c>
      <c r="M109" s="132">
        <v>42087</v>
      </c>
      <c r="N109" s="136" t="s">
        <v>3820</v>
      </c>
      <c r="O109" s="130" t="s">
        <v>4767</v>
      </c>
      <c r="P109" s="130" t="s">
        <v>4566</v>
      </c>
      <c r="Q109" s="130">
        <v>84135029</v>
      </c>
      <c r="R109" s="136">
        <v>1</v>
      </c>
      <c r="S109" s="130" t="s">
        <v>4768</v>
      </c>
      <c r="T109" s="136" t="s">
        <v>67</v>
      </c>
      <c r="U109" s="136" t="s">
        <v>53</v>
      </c>
      <c r="V109" s="136">
        <v>1715</v>
      </c>
      <c r="W109" s="133">
        <f t="shared" si="5"/>
        <v>1715</v>
      </c>
      <c r="X109" s="136">
        <v>0</v>
      </c>
      <c r="Y109" s="136">
        <v>0</v>
      </c>
      <c r="Z109" s="136">
        <v>0</v>
      </c>
      <c r="AA109" s="136">
        <v>0</v>
      </c>
      <c r="AB109" s="131"/>
      <c r="AC109" s="134"/>
      <c r="AD109" s="135"/>
      <c r="AE109" s="136"/>
      <c r="AF109" s="130"/>
      <c r="AG109" s="138"/>
      <c r="AH109" s="136"/>
      <c r="AI109" s="148">
        <v>35375</v>
      </c>
      <c r="AJ109" s="132"/>
      <c r="AK109" s="136"/>
      <c r="AL109" s="132"/>
      <c r="AM109" s="131" t="s">
        <v>49</v>
      </c>
      <c r="AN109" s="132" t="s">
        <v>4321</v>
      </c>
    </row>
    <row r="110" spans="1:40" s="129" customFormat="1" x14ac:dyDescent="0.25">
      <c r="A110" s="130">
        <v>109</v>
      </c>
      <c r="B110" s="130" t="s">
        <v>4428</v>
      </c>
      <c r="C110" s="130" t="s">
        <v>38</v>
      </c>
      <c r="D110" s="132" t="s">
        <v>4769</v>
      </c>
      <c r="E110" s="132">
        <v>42096</v>
      </c>
      <c r="F110" s="132" t="s">
        <v>4429</v>
      </c>
      <c r="G110" s="132" t="s">
        <v>4770</v>
      </c>
      <c r="H110" s="130" t="s">
        <v>4446</v>
      </c>
      <c r="I110" s="132" t="s">
        <v>40</v>
      </c>
      <c r="J110" s="131" t="s">
        <v>4766</v>
      </c>
      <c r="K110" s="132" t="s">
        <v>4433</v>
      </c>
      <c r="L110" s="136">
        <v>8537436</v>
      </c>
      <c r="M110" s="132">
        <v>42086</v>
      </c>
      <c r="N110" s="136" t="s">
        <v>3820</v>
      </c>
      <c r="O110" s="130" t="s">
        <v>4771</v>
      </c>
      <c r="P110" s="130" t="s">
        <v>4566</v>
      </c>
      <c r="Q110" s="130">
        <v>34012000</v>
      </c>
      <c r="R110" s="136">
        <v>30</v>
      </c>
      <c r="S110" s="130" t="s">
        <v>70</v>
      </c>
      <c r="T110" s="136" t="s">
        <v>44</v>
      </c>
      <c r="U110" s="136" t="s">
        <v>53</v>
      </c>
      <c r="V110" s="136">
        <v>1122</v>
      </c>
      <c r="W110" s="133">
        <f t="shared" si="5"/>
        <v>33660</v>
      </c>
      <c r="X110" s="136">
        <v>4.8099999999999996</v>
      </c>
      <c r="Y110" s="136">
        <v>212</v>
      </c>
      <c r="Z110" s="136">
        <v>0</v>
      </c>
      <c r="AA110" s="136">
        <v>0</v>
      </c>
      <c r="AB110" s="131">
        <v>42089</v>
      </c>
      <c r="AC110" s="134"/>
      <c r="AD110" s="135">
        <v>62</v>
      </c>
      <c r="AE110" s="136"/>
      <c r="AF110" s="130">
        <v>2073477.78</v>
      </c>
      <c r="AG110" s="138">
        <v>62</v>
      </c>
      <c r="AH110" s="136" t="s">
        <v>4772</v>
      </c>
      <c r="AI110" s="136">
        <v>33660</v>
      </c>
      <c r="AJ110" s="132">
        <v>42146</v>
      </c>
      <c r="AK110" s="136" t="s">
        <v>4773</v>
      </c>
      <c r="AL110" s="132">
        <v>42147</v>
      </c>
      <c r="AM110" s="131" t="s">
        <v>49</v>
      </c>
      <c r="AN110" s="136" t="s">
        <v>4440</v>
      </c>
    </row>
    <row r="111" spans="1:40" s="129" customFormat="1" x14ac:dyDescent="0.25">
      <c r="A111" s="136">
        <v>110</v>
      </c>
      <c r="B111" s="130" t="s">
        <v>4428</v>
      </c>
      <c r="C111" s="130" t="s">
        <v>38</v>
      </c>
      <c r="D111" s="136">
        <v>9114550036</v>
      </c>
      <c r="E111" s="132">
        <v>42098</v>
      </c>
      <c r="F111" s="132" t="s">
        <v>4429</v>
      </c>
      <c r="G111" s="132" t="s">
        <v>4774</v>
      </c>
      <c r="H111" s="130" t="s">
        <v>4491</v>
      </c>
      <c r="I111" s="132" t="s">
        <v>40</v>
      </c>
      <c r="J111" s="131" t="s">
        <v>4766</v>
      </c>
      <c r="K111" s="132" t="s">
        <v>4433</v>
      </c>
      <c r="L111" s="136">
        <v>8318343</v>
      </c>
      <c r="M111" s="132">
        <v>42075</v>
      </c>
      <c r="N111" s="136" t="s">
        <v>4775</v>
      </c>
      <c r="O111" s="130" t="s">
        <v>4776</v>
      </c>
      <c r="P111" s="130" t="s">
        <v>4492</v>
      </c>
      <c r="Q111" s="130">
        <v>34011190</v>
      </c>
      <c r="R111" s="136">
        <v>2500</v>
      </c>
      <c r="S111" s="130" t="s">
        <v>4768</v>
      </c>
      <c r="T111" s="136" t="s">
        <v>67</v>
      </c>
      <c r="U111" s="136" t="s">
        <v>53</v>
      </c>
      <c r="V111" s="136">
        <v>0</v>
      </c>
      <c r="W111" s="133">
        <v>36818.85</v>
      </c>
      <c r="X111" s="136">
        <v>0</v>
      </c>
      <c r="Y111" s="136">
        <v>0</v>
      </c>
      <c r="Z111" s="136">
        <v>0</v>
      </c>
      <c r="AA111" s="136">
        <v>0</v>
      </c>
      <c r="AB111" s="131">
        <v>42080</v>
      </c>
      <c r="AC111" s="134"/>
      <c r="AD111" s="135">
        <v>61.8</v>
      </c>
      <c r="AE111" s="136"/>
      <c r="AF111" s="130">
        <v>2275404.9300000002</v>
      </c>
      <c r="AG111" s="138">
        <v>61.8</v>
      </c>
      <c r="AH111" s="136" t="s">
        <v>4777</v>
      </c>
      <c r="AI111" s="133">
        <v>36818.85</v>
      </c>
      <c r="AJ111" s="132">
        <v>42201</v>
      </c>
      <c r="AK111" s="136" t="s">
        <v>4778</v>
      </c>
      <c r="AL111" s="132" t="s">
        <v>4779</v>
      </c>
      <c r="AM111" s="131" t="s">
        <v>49</v>
      </c>
      <c r="AN111" s="136" t="s">
        <v>4440</v>
      </c>
    </row>
    <row r="112" spans="1:40" s="129" customFormat="1" x14ac:dyDescent="0.25">
      <c r="A112" s="130">
        <v>111</v>
      </c>
      <c r="B112" s="130" t="s">
        <v>4428</v>
      </c>
      <c r="C112" s="130" t="s">
        <v>38</v>
      </c>
      <c r="D112" s="136" t="s">
        <v>4780</v>
      </c>
      <c r="E112" s="132">
        <v>42098</v>
      </c>
      <c r="F112" s="132" t="s">
        <v>4429</v>
      </c>
      <c r="G112" s="132" t="s">
        <v>4781</v>
      </c>
      <c r="H112" s="130" t="s">
        <v>4491</v>
      </c>
      <c r="I112" s="132" t="s">
        <v>40</v>
      </c>
      <c r="J112" s="131" t="s">
        <v>4766</v>
      </c>
      <c r="K112" s="132" t="s">
        <v>4433</v>
      </c>
      <c r="L112" s="136">
        <v>8497351</v>
      </c>
      <c r="M112" s="132">
        <v>42083</v>
      </c>
      <c r="N112" s="136" t="s">
        <v>4775</v>
      </c>
      <c r="O112" s="130" t="s">
        <v>4776</v>
      </c>
      <c r="P112" s="130" t="s">
        <v>4492</v>
      </c>
      <c r="Q112" s="130">
        <v>34011190</v>
      </c>
      <c r="R112" s="136">
        <v>2500</v>
      </c>
      <c r="S112" s="130" t="s">
        <v>4768</v>
      </c>
      <c r="T112" s="136" t="s">
        <v>67</v>
      </c>
      <c r="U112" s="136" t="s">
        <v>53</v>
      </c>
      <c r="V112" s="136">
        <v>0</v>
      </c>
      <c r="W112" s="133">
        <v>36616.5</v>
      </c>
      <c r="X112" s="136">
        <v>0</v>
      </c>
      <c r="Y112" s="136">
        <v>0</v>
      </c>
      <c r="Z112" s="136">
        <v>0</v>
      </c>
      <c r="AA112" s="136">
        <v>0</v>
      </c>
      <c r="AB112" s="131">
        <v>42087</v>
      </c>
      <c r="AC112" s="134"/>
      <c r="AD112" s="135">
        <v>62</v>
      </c>
      <c r="AE112" s="136"/>
      <c r="AF112" s="130">
        <v>2270223</v>
      </c>
      <c r="AG112" s="138">
        <v>62</v>
      </c>
      <c r="AH112" s="136" t="s">
        <v>4782</v>
      </c>
      <c r="AI112" s="136">
        <v>36616.5</v>
      </c>
      <c r="AJ112" s="132">
        <v>42201</v>
      </c>
      <c r="AK112" s="136" t="s">
        <v>4783</v>
      </c>
      <c r="AL112" s="132" t="s">
        <v>4779</v>
      </c>
      <c r="AM112" s="131" t="s">
        <v>49</v>
      </c>
      <c r="AN112" s="136" t="s">
        <v>4440</v>
      </c>
    </row>
    <row r="113" spans="1:40" s="129" customFormat="1" x14ac:dyDescent="0.2">
      <c r="A113" s="136">
        <v>112</v>
      </c>
      <c r="B113" s="130" t="s">
        <v>4428</v>
      </c>
      <c r="C113" s="130" t="s">
        <v>38</v>
      </c>
      <c r="D113" s="136" t="s">
        <v>4784</v>
      </c>
      <c r="E113" s="132">
        <v>42109</v>
      </c>
      <c r="F113" s="132" t="s">
        <v>4429</v>
      </c>
      <c r="G113" s="132" t="s">
        <v>4785</v>
      </c>
      <c r="H113" s="130" t="s">
        <v>4491</v>
      </c>
      <c r="I113" s="132" t="s">
        <v>40</v>
      </c>
      <c r="J113" s="131" t="s">
        <v>4766</v>
      </c>
      <c r="K113" s="132" t="s">
        <v>4433</v>
      </c>
      <c r="L113" s="136">
        <v>8588935</v>
      </c>
      <c r="M113" s="132">
        <v>42088</v>
      </c>
      <c r="N113" s="136" t="s">
        <v>4775</v>
      </c>
      <c r="O113" s="130" t="s">
        <v>4776</v>
      </c>
      <c r="P113" s="130" t="s">
        <v>4492</v>
      </c>
      <c r="Q113" s="130">
        <v>34011190</v>
      </c>
      <c r="R113" s="136">
        <v>2500</v>
      </c>
      <c r="S113" s="130" t="s">
        <v>4768</v>
      </c>
      <c r="T113" s="136" t="s">
        <v>67</v>
      </c>
      <c r="U113" s="136" t="s">
        <v>53</v>
      </c>
      <c r="V113" s="136">
        <v>0</v>
      </c>
      <c r="W113" s="133">
        <v>36900</v>
      </c>
      <c r="X113" s="136">
        <v>0</v>
      </c>
      <c r="Y113" s="136">
        <v>0</v>
      </c>
      <c r="Z113" s="136">
        <v>0</v>
      </c>
      <c r="AA113" s="136">
        <v>0</v>
      </c>
      <c r="AB113" s="131">
        <v>42093</v>
      </c>
      <c r="AC113" s="134"/>
      <c r="AD113" s="135">
        <v>62</v>
      </c>
      <c r="AE113" s="136"/>
      <c r="AF113" s="130">
        <v>2287800</v>
      </c>
      <c r="AG113" s="138">
        <v>62</v>
      </c>
      <c r="AH113" s="136" t="s">
        <v>4786</v>
      </c>
      <c r="AI113" s="149">
        <v>36900</v>
      </c>
      <c r="AJ113" s="132">
        <v>42201</v>
      </c>
      <c r="AK113" s="136" t="s">
        <v>4787</v>
      </c>
      <c r="AL113" s="132" t="s">
        <v>4779</v>
      </c>
      <c r="AM113" s="131" t="s">
        <v>49</v>
      </c>
      <c r="AN113" s="136" t="s">
        <v>4440</v>
      </c>
    </row>
    <row r="114" spans="1:40" s="129" customFormat="1" x14ac:dyDescent="0.25">
      <c r="A114" s="130">
        <v>113</v>
      </c>
      <c r="B114" s="130" t="s">
        <v>4428</v>
      </c>
      <c r="C114" s="130" t="s">
        <v>38</v>
      </c>
      <c r="D114" s="136" t="s">
        <v>4788</v>
      </c>
      <c r="E114" s="132">
        <v>42109</v>
      </c>
      <c r="F114" s="132" t="s">
        <v>4429</v>
      </c>
      <c r="G114" s="132" t="s">
        <v>4789</v>
      </c>
      <c r="H114" s="130" t="s">
        <v>4491</v>
      </c>
      <c r="I114" s="132" t="s">
        <v>40</v>
      </c>
      <c r="J114" s="131" t="s">
        <v>4766</v>
      </c>
      <c r="K114" s="132" t="s">
        <v>4433</v>
      </c>
      <c r="L114" s="136">
        <v>8618718</v>
      </c>
      <c r="M114" s="132">
        <v>42089</v>
      </c>
      <c r="N114" s="136" t="s">
        <v>4775</v>
      </c>
      <c r="O114" s="130" t="s">
        <v>4776</v>
      </c>
      <c r="P114" s="130" t="s">
        <v>4492</v>
      </c>
      <c r="Q114" s="130">
        <v>34011190</v>
      </c>
      <c r="R114" s="136">
        <v>2500</v>
      </c>
      <c r="S114" s="130" t="s">
        <v>4768</v>
      </c>
      <c r="T114" s="136" t="s">
        <v>67</v>
      </c>
      <c r="U114" s="136" t="s">
        <v>53</v>
      </c>
      <c r="V114" s="136">
        <v>0</v>
      </c>
      <c r="W114" s="133">
        <v>36910.800000000003</v>
      </c>
      <c r="X114" s="136">
        <v>0</v>
      </c>
      <c r="Y114" s="136">
        <v>0</v>
      </c>
      <c r="Z114" s="136">
        <v>0</v>
      </c>
      <c r="AA114" s="136">
        <v>0</v>
      </c>
      <c r="AB114" s="131">
        <v>42093</v>
      </c>
      <c r="AC114" s="134"/>
      <c r="AD114" s="135">
        <v>62</v>
      </c>
      <c r="AE114" s="136"/>
      <c r="AF114" s="130">
        <v>2288469.6</v>
      </c>
      <c r="AG114" s="138">
        <v>62</v>
      </c>
      <c r="AH114" s="136" t="s">
        <v>4790</v>
      </c>
      <c r="AI114" s="136">
        <v>36910.800000000003</v>
      </c>
      <c r="AJ114" s="132">
        <v>42201</v>
      </c>
      <c r="AK114" s="136" t="s">
        <v>4791</v>
      </c>
      <c r="AL114" s="132" t="s">
        <v>4779</v>
      </c>
      <c r="AM114" s="131" t="s">
        <v>49</v>
      </c>
      <c r="AN114" s="136" t="s">
        <v>4440</v>
      </c>
    </row>
    <row r="115" spans="1:40" s="129" customFormat="1" x14ac:dyDescent="0.25">
      <c r="A115" s="136">
        <v>114</v>
      </c>
      <c r="B115" s="130" t="s">
        <v>4428</v>
      </c>
      <c r="C115" s="130" t="s">
        <v>38</v>
      </c>
      <c r="D115" s="136">
        <v>9103650060</v>
      </c>
      <c r="E115" s="132">
        <v>42125</v>
      </c>
      <c r="F115" s="132" t="s">
        <v>4792</v>
      </c>
      <c r="G115" s="132" t="s">
        <v>174</v>
      </c>
      <c r="H115" s="130" t="s">
        <v>4463</v>
      </c>
      <c r="I115" s="132" t="s">
        <v>40</v>
      </c>
      <c r="J115" s="131" t="s">
        <v>4432</v>
      </c>
      <c r="K115" s="132" t="s">
        <v>4433</v>
      </c>
      <c r="L115" s="136">
        <v>9109957</v>
      </c>
      <c r="M115" s="132">
        <v>42114</v>
      </c>
      <c r="N115" s="136" t="s">
        <v>4793</v>
      </c>
      <c r="O115" s="130" t="s">
        <v>4436</v>
      </c>
      <c r="P115" s="130" t="s">
        <v>64</v>
      </c>
      <c r="Q115" s="130">
        <v>38237090</v>
      </c>
      <c r="R115" s="136">
        <v>3</v>
      </c>
      <c r="S115" s="130" t="s">
        <v>70</v>
      </c>
      <c r="T115" s="136" t="s">
        <v>44</v>
      </c>
      <c r="U115" s="136" t="s">
        <v>53</v>
      </c>
      <c r="V115" s="136">
        <v>1721</v>
      </c>
      <c r="W115" s="133">
        <f t="shared" si="5"/>
        <v>5163</v>
      </c>
      <c r="X115" s="136">
        <v>0.74</v>
      </c>
      <c r="Y115" s="136">
        <v>100</v>
      </c>
      <c r="Z115" s="136">
        <v>0</v>
      </c>
      <c r="AA115" s="136">
        <v>0</v>
      </c>
      <c r="AB115" s="131">
        <v>42115</v>
      </c>
      <c r="AC115" s="134">
        <f t="shared" si="4"/>
        <v>5062.2600484261502</v>
      </c>
      <c r="AD115" s="135">
        <v>61.95</v>
      </c>
      <c r="AE115" s="136">
        <f t="shared" si="3"/>
        <v>319847.85000000003</v>
      </c>
      <c r="AF115" s="137">
        <v>313607.01</v>
      </c>
      <c r="AG115" s="138">
        <v>61.95</v>
      </c>
      <c r="AH115" s="136" t="s">
        <v>4794</v>
      </c>
      <c r="AI115" s="133">
        <v>5129.88</v>
      </c>
      <c r="AJ115" s="132">
        <v>42111</v>
      </c>
      <c r="AK115" s="136" t="s">
        <v>4795</v>
      </c>
      <c r="AL115" s="132">
        <v>42147</v>
      </c>
      <c r="AM115" s="131" t="s">
        <v>49</v>
      </c>
      <c r="AN115" s="133" t="s">
        <v>4440</v>
      </c>
    </row>
    <row r="116" spans="1:40" s="129" customFormat="1" x14ac:dyDescent="0.25">
      <c r="A116" s="130">
        <v>115</v>
      </c>
      <c r="B116" s="130" t="s">
        <v>4428</v>
      </c>
      <c r="C116" s="130" t="s">
        <v>38</v>
      </c>
      <c r="D116" s="136">
        <v>9103650072</v>
      </c>
      <c r="E116" s="132">
        <v>42129</v>
      </c>
      <c r="F116" s="132" t="s">
        <v>4792</v>
      </c>
      <c r="G116" s="132" t="s">
        <v>191</v>
      </c>
      <c r="H116" s="130" t="s">
        <v>4456</v>
      </c>
      <c r="I116" s="132" t="s">
        <v>40</v>
      </c>
      <c r="J116" s="131" t="s">
        <v>4432</v>
      </c>
      <c r="K116" s="132" t="s">
        <v>4433</v>
      </c>
      <c r="L116" s="136">
        <v>9190995</v>
      </c>
      <c r="M116" s="132" t="s">
        <v>4740</v>
      </c>
      <c r="N116" s="136" t="s">
        <v>4796</v>
      </c>
      <c r="O116" s="130" t="s">
        <v>4436</v>
      </c>
      <c r="P116" s="130" t="s">
        <v>4671</v>
      </c>
      <c r="Q116" s="130">
        <v>38237090</v>
      </c>
      <c r="R116" s="136">
        <v>12</v>
      </c>
      <c r="S116" s="130" t="s">
        <v>70</v>
      </c>
      <c r="T116" s="136" t="s">
        <v>52</v>
      </c>
      <c r="U116" s="136" t="s">
        <v>53</v>
      </c>
      <c r="V116" s="136">
        <v>3596</v>
      </c>
      <c r="W116" s="133">
        <f t="shared" si="5"/>
        <v>43152</v>
      </c>
      <c r="X116" s="136">
        <v>0</v>
      </c>
      <c r="Y116" s="136">
        <v>950</v>
      </c>
      <c r="Z116" s="136">
        <v>0</v>
      </c>
      <c r="AA116" s="136">
        <v>0</v>
      </c>
      <c r="AB116" s="131">
        <v>42121</v>
      </c>
      <c r="AC116" s="134">
        <f t="shared" si="4"/>
        <v>42202</v>
      </c>
      <c r="AD116" s="135">
        <v>61.95</v>
      </c>
      <c r="AE116" s="136">
        <f t="shared" si="3"/>
        <v>2673266.4</v>
      </c>
      <c r="AF116" s="137">
        <v>2614413.9</v>
      </c>
      <c r="AG116" s="138">
        <v>61.95</v>
      </c>
      <c r="AH116" s="136" t="s">
        <v>4797</v>
      </c>
      <c r="AI116" s="133">
        <v>43152</v>
      </c>
      <c r="AJ116" s="132" t="s">
        <v>4798</v>
      </c>
      <c r="AK116" s="136" t="s">
        <v>4799</v>
      </c>
      <c r="AL116" s="132" t="s">
        <v>4779</v>
      </c>
      <c r="AM116" s="131" t="s">
        <v>49</v>
      </c>
      <c r="AN116" s="133" t="s">
        <v>4440</v>
      </c>
    </row>
    <row r="117" spans="1:40" s="129" customFormat="1" x14ac:dyDescent="0.25">
      <c r="A117" s="136">
        <v>116</v>
      </c>
      <c r="B117" s="130" t="s">
        <v>4428</v>
      </c>
      <c r="C117" s="130" t="s">
        <v>38</v>
      </c>
      <c r="D117" s="136">
        <v>9103650076</v>
      </c>
      <c r="E117" s="132">
        <v>42125</v>
      </c>
      <c r="F117" s="132" t="s">
        <v>4792</v>
      </c>
      <c r="G117" s="132" t="s">
        <v>198</v>
      </c>
      <c r="H117" s="130" t="s">
        <v>4446</v>
      </c>
      <c r="I117" s="132" t="s">
        <v>40</v>
      </c>
      <c r="J117" s="131" t="s">
        <v>4432</v>
      </c>
      <c r="K117" s="132" t="s">
        <v>4433</v>
      </c>
      <c r="L117" s="136">
        <v>9220567</v>
      </c>
      <c r="M117" s="132">
        <v>42119</v>
      </c>
      <c r="N117" s="136" t="s">
        <v>4532</v>
      </c>
      <c r="O117" s="130" t="s">
        <v>4436</v>
      </c>
      <c r="P117" s="130" t="s">
        <v>64</v>
      </c>
      <c r="Q117" s="130">
        <v>38231200</v>
      </c>
      <c r="R117" s="136">
        <v>39.020000000000003</v>
      </c>
      <c r="S117" s="130" t="s">
        <v>70</v>
      </c>
      <c r="T117" s="136" t="s">
        <v>44</v>
      </c>
      <c r="U117" s="136" t="s">
        <v>53</v>
      </c>
      <c r="V117" s="136">
        <v>1070</v>
      </c>
      <c r="W117" s="133">
        <f t="shared" si="5"/>
        <v>41751.4</v>
      </c>
      <c r="X117" s="136">
        <v>13.78</v>
      </c>
      <c r="Y117" s="136">
        <v>720</v>
      </c>
      <c r="Z117" s="136">
        <v>0</v>
      </c>
      <c r="AA117" s="136">
        <v>0</v>
      </c>
      <c r="AB117" s="131">
        <v>42121</v>
      </c>
      <c r="AC117" s="134">
        <f t="shared" si="4"/>
        <v>41017.620016142049</v>
      </c>
      <c r="AD117" s="135">
        <v>61.95</v>
      </c>
      <c r="AE117" s="136">
        <f t="shared" si="3"/>
        <v>2586499.23</v>
      </c>
      <c r="AF117" s="137">
        <v>2541041.56</v>
      </c>
      <c r="AG117" s="138">
        <v>61.95</v>
      </c>
      <c r="AH117" s="136" t="s">
        <v>4800</v>
      </c>
      <c r="AI117" s="136">
        <v>41736.400000000001</v>
      </c>
      <c r="AJ117" s="132" t="s">
        <v>4627</v>
      </c>
      <c r="AK117" s="136" t="s">
        <v>4801</v>
      </c>
      <c r="AL117" s="132" t="s">
        <v>4629</v>
      </c>
      <c r="AM117" s="131" t="s">
        <v>49</v>
      </c>
      <c r="AN117" s="136" t="s">
        <v>4440</v>
      </c>
    </row>
    <row r="118" spans="1:40" s="129" customFormat="1" x14ac:dyDescent="0.25">
      <c r="A118" s="130">
        <v>117</v>
      </c>
      <c r="B118" s="130" t="s">
        <v>4428</v>
      </c>
      <c r="C118" s="130" t="s">
        <v>38</v>
      </c>
      <c r="D118" s="136">
        <v>9103650077</v>
      </c>
      <c r="E118" s="132">
        <v>42125</v>
      </c>
      <c r="F118" s="132" t="s">
        <v>4792</v>
      </c>
      <c r="G118" s="132" t="s">
        <v>197</v>
      </c>
      <c r="H118" s="130" t="s">
        <v>4446</v>
      </c>
      <c r="I118" s="132" t="s">
        <v>40</v>
      </c>
      <c r="J118" s="131" t="s">
        <v>4432</v>
      </c>
      <c r="K118" s="132" t="s">
        <v>4433</v>
      </c>
      <c r="L118" s="136">
        <v>9221975</v>
      </c>
      <c r="M118" s="132" t="s">
        <v>4746</v>
      </c>
      <c r="N118" s="136" t="s">
        <v>4532</v>
      </c>
      <c r="O118" s="130" t="s">
        <v>4436</v>
      </c>
      <c r="P118" s="130" t="s">
        <v>64</v>
      </c>
      <c r="Q118" s="130">
        <v>29161990</v>
      </c>
      <c r="R118" s="136">
        <v>59.71</v>
      </c>
      <c r="S118" s="130" t="s">
        <v>70</v>
      </c>
      <c r="T118" s="136" t="s">
        <v>44</v>
      </c>
      <c r="U118" s="136" t="s">
        <v>53</v>
      </c>
      <c r="V118" s="136">
        <v>2428</v>
      </c>
      <c r="W118" s="133">
        <f t="shared" si="5"/>
        <v>144975.88</v>
      </c>
      <c r="X118" s="136">
        <v>47.84</v>
      </c>
      <c r="Y118" s="136">
        <v>1080</v>
      </c>
      <c r="Z118" s="136">
        <v>0</v>
      </c>
      <c r="AA118" s="136">
        <v>0</v>
      </c>
      <c r="AB118" s="131">
        <v>42121</v>
      </c>
      <c r="AC118" s="134">
        <f t="shared" si="4"/>
        <v>143848.0400322841</v>
      </c>
      <c r="AD118" s="135">
        <v>61.95</v>
      </c>
      <c r="AE118" s="136">
        <f t="shared" si="3"/>
        <v>8981255.7660000008</v>
      </c>
      <c r="AF118" s="137">
        <v>8911386.0800000001</v>
      </c>
      <c r="AG118" s="138">
        <v>61.95</v>
      </c>
      <c r="AH118" s="136" t="s">
        <v>4802</v>
      </c>
      <c r="AI118" s="133">
        <v>144955.88</v>
      </c>
      <c r="AJ118" s="132" t="s">
        <v>4803</v>
      </c>
      <c r="AK118" s="136" t="s">
        <v>4804</v>
      </c>
      <c r="AL118" s="132" t="s">
        <v>4805</v>
      </c>
      <c r="AM118" s="131" t="s">
        <v>49</v>
      </c>
      <c r="AN118" s="133" t="s">
        <v>4440</v>
      </c>
    </row>
    <row r="119" spans="1:40" s="129" customFormat="1" x14ac:dyDescent="0.25">
      <c r="A119" s="136">
        <v>118</v>
      </c>
      <c r="B119" s="130" t="s">
        <v>4428</v>
      </c>
      <c r="C119" s="130" t="s">
        <v>38</v>
      </c>
      <c r="D119" s="136" t="s">
        <v>4806</v>
      </c>
      <c r="E119" s="132">
        <v>42125</v>
      </c>
      <c r="F119" s="132" t="s">
        <v>4792</v>
      </c>
      <c r="G119" s="132" t="s">
        <v>194</v>
      </c>
      <c r="H119" s="130" t="s">
        <v>4463</v>
      </c>
      <c r="I119" s="132" t="s">
        <v>40</v>
      </c>
      <c r="J119" s="131" t="s">
        <v>4432</v>
      </c>
      <c r="K119" s="132" t="s">
        <v>4433</v>
      </c>
      <c r="L119" s="136">
        <v>9233176</v>
      </c>
      <c r="M119" s="132">
        <v>42121</v>
      </c>
      <c r="N119" s="136" t="s">
        <v>4807</v>
      </c>
      <c r="O119" s="130" t="s">
        <v>4436</v>
      </c>
      <c r="P119" s="130" t="s">
        <v>4465</v>
      </c>
      <c r="Q119" s="130">
        <v>38237090</v>
      </c>
      <c r="R119" s="136">
        <v>23.4</v>
      </c>
      <c r="S119" s="130" t="s">
        <v>70</v>
      </c>
      <c r="T119" s="136" t="s">
        <v>44</v>
      </c>
      <c r="U119" s="136" t="s">
        <v>53</v>
      </c>
      <c r="V119" s="136">
        <v>2850</v>
      </c>
      <c r="W119" s="133">
        <f t="shared" si="5"/>
        <v>66690</v>
      </c>
      <c r="X119" s="136">
        <v>9.5399999999999991</v>
      </c>
      <c r="Y119" s="136">
        <v>300</v>
      </c>
      <c r="Z119" s="136">
        <v>0</v>
      </c>
      <c r="AA119" s="136">
        <v>1404</v>
      </c>
      <c r="AB119" s="131">
        <v>42122</v>
      </c>
      <c r="AC119" s="134">
        <f t="shared" si="4"/>
        <v>66380.460048426146</v>
      </c>
      <c r="AD119" s="135">
        <v>61.95</v>
      </c>
      <c r="AE119" s="136">
        <f t="shared" si="3"/>
        <v>4131445.5</v>
      </c>
      <c r="AF119" s="137">
        <v>4112269.5</v>
      </c>
      <c r="AG119" s="138">
        <v>61.95</v>
      </c>
      <c r="AH119" s="136" t="s">
        <v>4808</v>
      </c>
      <c r="AI119" s="136">
        <v>66690</v>
      </c>
      <c r="AJ119" s="132">
        <v>42205</v>
      </c>
      <c r="AK119" s="136" t="s">
        <v>4809</v>
      </c>
      <c r="AL119" s="132">
        <v>42206</v>
      </c>
      <c r="AM119" s="131" t="s">
        <v>49</v>
      </c>
      <c r="AN119" s="136" t="s">
        <v>4440</v>
      </c>
    </row>
    <row r="120" spans="1:40" s="129" customFormat="1" x14ac:dyDescent="0.25">
      <c r="A120" s="130">
        <v>119</v>
      </c>
      <c r="B120" s="130" t="s">
        <v>4428</v>
      </c>
      <c r="C120" s="130" t="s">
        <v>38</v>
      </c>
      <c r="D120" s="136" t="s">
        <v>4806</v>
      </c>
      <c r="E120" s="132">
        <v>42125</v>
      </c>
      <c r="F120" s="132" t="s">
        <v>4792</v>
      </c>
      <c r="G120" s="132" t="s">
        <v>194</v>
      </c>
      <c r="H120" s="130" t="s">
        <v>4463</v>
      </c>
      <c r="I120" s="132" t="s">
        <v>40</v>
      </c>
      <c r="J120" s="131" t="s">
        <v>4432</v>
      </c>
      <c r="K120" s="132" t="s">
        <v>4433</v>
      </c>
      <c r="L120" s="136">
        <v>9223944</v>
      </c>
      <c r="M120" s="132">
        <v>42119</v>
      </c>
      <c r="N120" s="136" t="s">
        <v>4807</v>
      </c>
      <c r="O120" s="130" t="s">
        <v>4436</v>
      </c>
      <c r="P120" s="130" t="s">
        <v>4465</v>
      </c>
      <c r="Q120" s="130">
        <v>38237090</v>
      </c>
      <c r="R120" s="136">
        <v>23.4</v>
      </c>
      <c r="S120" s="130" t="s">
        <v>70</v>
      </c>
      <c r="T120" s="136" t="s">
        <v>44</v>
      </c>
      <c r="U120" s="136" t="s">
        <v>53</v>
      </c>
      <c r="V120" s="136">
        <v>2850</v>
      </c>
      <c r="W120" s="133">
        <f t="shared" si="5"/>
        <v>66690</v>
      </c>
      <c r="X120" s="136">
        <v>19.13</v>
      </c>
      <c r="Y120" s="136">
        <v>300</v>
      </c>
      <c r="Z120" s="136">
        <v>0</v>
      </c>
      <c r="AA120" s="136">
        <v>1404</v>
      </c>
      <c r="AB120" s="131">
        <v>42121</v>
      </c>
      <c r="AC120" s="134">
        <f t="shared" si="4"/>
        <v>66370.870056497166</v>
      </c>
      <c r="AD120" s="135">
        <v>61.95</v>
      </c>
      <c r="AE120" s="136">
        <f t="shared" si="3"/>
        <v>4131445.5</v>
      </c>
      <c r="AF120" s="137">
        <v>4111675.4</v>
      </c>
      <c r="AG120" s="138">
        <v>61.95</v>
      </c>
      <c r="AH120" s="136" t="s">
        <v>4810</v>
      </c>
      <c r="AI120" s="136">
        <v>66690</v>
      </c>
      <c r="AJ120" s="132">
        <v>42205</v>
      </c>
      <c r="AK120" s="136" t="s">
        <v>4811</v>
      </c>
      <c r="AL120" s="132">
        <v>42206</v>
      </c>
      <c r="AM120" s="131" t="s">
        <v>49</v>
      </c>
      <c r="AN120" s="136" t="s">
        <v>4440</v>
      </c>
    </row>
    <row r="121" spans="1:40" s="129" customFormat="1" x14ac:dyDescent="0.25">
      <c r="A121" s="136">
        <v>120</v>
      </c>
      <c r="B121" s="130" t="s">
        <v>4428</v>
      </c>
      <c r="C121" s="130" t="s">
        <v>38</v>
      </c>
      <c r="D121" s="136">
        <v>9103650081</v>
      </c>
      <c r="E121" s="132">
        <v>42130</v>
      </c>
      <c r="F121" s="132" t="s">
        <v>4792</v>
      </c>
      <c r="G121" s="132" t="s">
        <v>235</v>
      </c>
      <c r="H121" s="130" t="s">
        <v>4714</v>
      </c>
      <c r="I121" s="132" t="s">
        <v>40</v>
      </c>
      <c r="J121" s="131" t="s">
        <v>4432</v>
      </c>
      <c r="K121" s="132" t="s">
        <v>4433</v>
      </c>
      <c r="L121" s="136">
        <v>9241971</v>
      </c>
      <c r="M121" s="132">
        <v>42121</v>
      </c>
      <c r="N121" s="136" t="s">
        <v>4630</v>
      </c>
      <c r="O121" s="130" t="s">
        <v>4436</v>
      </c>
      <c r="P121" s="130" t="s">
        <v>4727</v>
      </c>
      <c r="Q121" s="130" t="s">
        <v>4559</v>
      </c>
      <c r="R121" s="136">
        <v>12</v>
      </c>
      <c r="S121" s="130" t="s">
        <v>70</v>
      </c>
      <c r="T121" s="136" t="s">
        <v>52</v>
      </c>
      <c r="U121" s="136" t="s">
        <v>53</v>
      </c>
      <c r="V121" s="136">
        <v>1679.25</v>
      </c>
      <c r="W121" s="133">
        <f t="shared" si="5"/>
        <v>20151</v>
      </c>
      <c r="X121" s="136">
        <v>0</v>
      </c>
      <c r="Y121" s="136">
        <v>1200</v>
      </c>
      <c r="Z121" s="136">
        <v>0</v>
      </c>
      <c r="AA121" s="136">
        <v>0</v>
      </c>
      <c r="AB121" s="131">
        <v>42122</v>
      </c>
      <c r="AC121" s="134">
        <f t="shared" si="4"/>
        <v>18951</v>
      </c>
      <c r="AD121" s="135">
        <v>61.95</v>
      </c>
      <c r="AE121" s="136">
        <f t="shared" si="3"/>
        <v>1248354.45</v>
      </c>
      <c r="AF121" s="137">
        <v>1174014.45</v>
      </c>
      <c r="AG121" s="138">
        <v>61.95</v>
      </c>
      <c r="AH121" s="136" t="s">
        <v>4812</v>
      </c>
      <c r="AI121" s="133">
        <v>20151</v>
      </c>
      <c r="AJ121" s="132">
        <v>42116</v>
      </c>
      <c r="AK121" s="136" t="s">
        <v>4813</v>
      </c>
      <c r="AL121" s="132">
        <v>42147</v>
      </c>
      <c r="AM121" s="131" t="s">
        <v>49</v>
      </c>
      <c r="AN121" s="133" t="s">
        <v>4440</v>
      </c>
    </row>
    <row r="122" spans="1:40" s="129" customFormat="1" x14ac:dyDescent="0.25">
      <c r="A122" s="130">
        <v>121</v>
      </c>
      <c r="B122" s="130" t="s">
        <v>4428</v>
      </c>
      <c r="C122" s="130" t="s">
        <v>38</v>
      </c>
      <c r="D122" s="136" t="s">
        <v>4814</v>
      </c>
      <c r="E122" s="132">
        <v>42126</v>
      </c>
      <c r="F122" s="132" t="s">
        <v>4792</v>
      </c>
      <c r="G122" s="132" t="s">
        <v>201</v>
      </c>
      <c r="H122" s="130" t="s">
        <v>4564</v>
      </c>
      <c r="I122" s="132" t="s">
        <v>40</v>
      </c>
      <c r="J122" s="131" t="s">
        <v>4432</v>
      </c>
      <c r="K122" s="132" t="s">
        <v>4433</v>
      </c>
      <c r="L122" s="136">
        <v>9260430</v>
      </c>
      <c r="M122" s="132">
        <v>42122</v>
      </c>
      <c r="N122" s="136" t="s">
        <v>4815</v>
      </c>
      <c r="O122" s="130" t="s">
        <v>4436</v>
      </c>
      <c r="P122" s="130" t="s">
        <v>61</v>
      </c>
      <c r="Q122" s="130">
        <v>38231900</v>
      </c>
      <c r="R122" s="136">
        <v>19.89</v>
      </c>
      <c r="S122" s="130" t="s">
        <v>70</v>
      </c>
      <c r="T122" s="136" t="s">
        <v>44</v>
      </c>
      <c r="U122" s="136" t="s">
        <v>53</v>
      </c>
      <c r="V122" s="129">
        <v>3730</v>
      </c>
      <c r="W122" s="133">
        <f>V122*R122</f>
        <v>74189.7</v>
      </c>
      <c r="X122" s="136">
        <v>24.48</v>
      </c>
      <c r="Y122" s="136">
        <v>850</v>
      </c>
      <c r="Z122" s="136">
        <v>0</v>
      </c>
      <c r="AA122" s="136">
        <v>0</v>
      </c>
      <c r="AB122" s="131">
        <v>42123</v>
      </c>
      <c r="AC122" s="134">
        <f t="shared" si="4"/>
        <v>73315.220016142048</v>
      </c>
      <c r="AD122" s="135">
        <v>61.95</v>
      </c>
      <c r="AE122" s="136">
        <f t="shared" si="3"/>
        <v>4596051.915</v>
      </c>
      <c r="AF122" s="137">
        <v>4541877.88</v>
      </c>
      <c r="AG122" s="138">
        <v>61.95</v>
      </c>
      <c r="AH122" s="136" t="s">
        <v>4816</v>
      </c>
      <c r="AI122" s="136">
        <v>74189.7</v>
      </c>
      <c r="AJ122" s="132" t="s">
        <v>3928</v>
      </c>
      <c r="AK122" s="136" t="s">
        <v>4817</v>
      </c>
      <c r="AL122" s="132" t="s">
        <v>4818</v>
      </c>
      <c r="AM122" s="131" t="s">
        <v>49</v>
      </c>
      <c r="AN122" s="136" t="s">
        <v>4440</v>
      </c>
    </row>
    <row r="123" spans="1:40" s="129" customFormat="1" x14ac:dyDescent="0.25">
      <c r="A123" s="136">
        <v>122</v>
      </c>
      <c r="B123" s="130" t="s">
        <v>4428</v>
      </c>
      <c r="C123" s="130" t="s">
        <v>38</v>
      </c>
      <c r="D123" s="136" t="s">
        <v>4814</v>
      </c>
      <c r="E123" s="132">
        <v>42126</v>
      </c>
      <c r="F123" s="132" t="s">
        <v>4792</v>
      </c>
      <c r="G123" s="132" t="s">
        <v>202</v>
      </c>
      <c r="H123" s="130" t="s">
        <v>4564</v>
      </c>
      <c r="I123" s="132" t="s">
        <v>40</v>
      </c>
      <c r="J123" s="131" t="s">
        <v>4432</v>
      </c>
      <c r="K123" s="132" t="s">
        <v>4433</v>
      </c>
      <c r="L123" s="136">
        <v>9250072</v>
      </c>
      <c r="M123" s="132">
        <v>42121</v>
      </c>
      <c r="N123" s="136" t="s">
        <v>4815</v>
      </c>
      <c r="O123" s="130" t="s">
        <v>4436</v>
      </c>
      <c r="P123" s="130" t="s">
        <v>61</v>
      </c>
      <c r="Q123" s="130">
        <v>38231900</v>
      </c>
      <c r="R123" s="136">
        <v>79.5</v>
      </c>
      <c r="S123" s="130" t="s">
        <v>70</v>
      </c>
      <c r="T123" s="136" t="s">
        <v>44</v>
      </c>
      <c r="U123" s="136" t="s">
        <v>53</v>
      </c>
      <c r="V123" s="129">
        <v>3730</v>
      </c>
      <c r="W123" s="133">
        <f t="shared" si="5"/>
        <v>296535</v>
      </c>
      <c r="X123" s="136">
        <v>97.86</v>
      </c>
      <c r="Y123" s="136">
        <v>3400</v>
      </c>
      <c r="Z123" s="136">
        <v>0</v>
      </c>
      <c r="AA123" s="136">
        <v>0</v>
      </c>
      <c r="AB123" s="131">
        <v>42122</v>
      </c>
      <c r="AC123" s="134">
        <f t="shared" si="4"/>
        <v>293037.13995157386</v>
      </c>
      <c r="AD123" s="135">
        <v>61.95</v>
      </c>
      <c r="AE123" s="136">
        <f t="shared" si="3"/>
        <v>18370343.25</v>
      </c>
      <c r="AF123" s="137">
        <v>18153650.82</v>
      </c>
      <c r="AG123" s="138">
        <v>61.95</v>
      </c>
      <c r="AH123" s="136" t="s">
        <v>4816</v>
      </c>
      <c r="AI123" s="136">
        <v>296535</v>
      </c>
      <c r="AJ123" s="132" t="s">
        <v>3928</v>
      </c>
      <c r="AK123" s="136" t="s">
        <v>4819</v>
      </c>
      <c r="AL123" s="132" t="s">
        <v>4818</v>
      </c>
      <c r="AM123" s="131" t="s">
        <v>49</v>
      </c>
      <c r="AN123" s="136" t="s">
        <v>4440</v>
      </c>
    </row>
    <row r="124" spans="1:40" s="129" customFormat="1" x14ac:dyDescent="0.25">
      <c r="A124" s="130">
        <v>123</v>
      </c>
      <c r="B124" s="130" t="s">
        <v>4428</v>
      </c>
      <c r="C124" s="130" t="s">
        <v>38</v>
      </c>
      <c r="D124" s="136" t="s">
        <v>4820</v>
      </c>
      <c r="E124" s="132">
        <v>42127</v>
      </c>
      <c r="F124" s="132" t="s">
        <v>4792</v>
      </c>
      <c r="G124" s="141" t="s">
        <v>220</v>
      </c>
      <c r="H124" s="130" t="s">
        <v>4456</v>
      </c>
      <c r="I124" s="132" t="s">
        <v>40</v>
      </c>
      <c r="J124" s="131" t="s">
        <v>4432</v>
      </c>
      <c r="K124" s="132" t="s">
        <v>4433</v>
      </c>
      <c r="L124" s="136">
        <v>9250094</v>
      </c>
      <c r="M124" s="132" t="s">
        <v>4821</v>
      </c>
      <c r="N124" s="136" t="s">
        <v>4822</v>
      </c>
      <c r="O124" s="130" t="s">
        <v>4436</v>
      </c>
      <c r="P124" s="130" t="s">
        <v>4566</v>
      </c>
      <c r="Q124" s="130">
        <v>38231200</v>
      </c>
      <c r="R124" s="136">
        <v>157.91</v>
      </c>
      <c r="S124" s="130" t="s">
        <v>70</v>
      </c>
      <c r="T124" s="136" t="s">
        <v>44</v>
      </c>
      <c r="U124" s="136" t="s">
        <v>53</v>
      </c>
      <c r="V124" s="136">
        <v>1030</v>
      </c>
      <c r="W124" s="133">
        <f t="shared" si="5"/>
        <v>162647.29999999999</v>
      </c>
      <c r="X124" s="136">
        <v>53.67</v>
      </c>
      <c r="Y124" s="136">
        <v>5400</v>
      </c>
      <c r="Z124" s="136">
        <v>0</v>
      </c>
      <c r="AA124" s="136">
        <v>0</v>
      </c>
      <c r="AB124" s="131">
        <v>42122</v>
      </c>
      <c r="AC124" s="134">
        <f t="shared" si="4"/>
        <v>157193.63002421308</v>
      </c>
      <c r="AD124" s="135">
        <v>61.95</v>
      </c>
      <c r="AE124" s="136">
        <f t="shared" si="3"/>
        <v>10076000.234999999</v>
      </c>
      <c r="AF124" s="137">
        <v>9738145.3800000008</v>
      </c>
      <c r="AG124" s="138">
        <v>61.95</v>
      </c>
      <c r="AH124" s="136" t="s">
        <v>4823</v>
      </c>
      <c r="AI124" s="136">
        <v>162647.29999999999</v>
      </c>
      <c r="AJ124" s="132" t="s">
        <v>4451</v>
      </c>
      <c r="AK124" s="136" t="s">
        <v>4824</v>
      </c>
      <c r="AL124" s="132" t="s">
        <v>4687</v>
      </c>
      <c r="AM124" s="131" t="s">
        <v>49</v>
      </c>
      <c r="AN124" s="136" t="s">
        <v>4440</v>
      </c>
    </row>
    <row r="125" spans="1:40" s="129" customFormat="1" x14ac:dyDescent="0.25">
      <c r="A125" s="136">
        <v>124</v>
      </c>
      <c r="B125" s="130" t="s">
        <v>4428</v>
      </c>
      <c r="C125" s="130" t="s">
        <v>38</v>
      </c>
      <c r="D125" s="136">
        <v>9103650086</v>
      </c>
      <c r="E125" s="132">
        <v>42127</v>
      </c>
      <c r="F125" s="132" t="s">
        <v>4792</v>
      </c>
      <c r="G125" s="132" t="s">
        <v>206</v>
      </c>
      <c r="H125" s="130" t="s">
        <v>4456</v>
      </c>
      <c r="I125" s="132" t="s">
        <v>40</v>
      </c>
      <c r="J125" s="131" t="s">
        <v>4432</v>
      </c>
      <c r="K125" s="132" t="s">
        <v>4433</v>
      </c>
      <c r="L125" s="136">
        <v>9273329</v>
      </c>
      <c r="M125" s="132" t="s">
        <v>4825</v>
      </c>
      <c r="N125" s="136" t="s">
        <v>4826</v>
      </c>
      <c r="O125" s="130" t="s">
        <v>4436</v>
      </c>
      <c r="P125" s="130" t="s">
        <v>90</v>
      </c>
      <c r="Q125" s="130">
        <v>38237090</v>
      </c>
      <c r="R125" s="136">
        <v>24</v>
      </c>
      <c r="S125" s="130" t="s">
        <v>70</v>
      </c>
      <c r="T125" s="136" t="s">
        <v>44</v>
      </c>
      <c r="U125" s="136" t="s">
        <v>53</v>
      </c>
      <c r="V125" s="136">
        <v>1550</v>
      </c>
      <c r="W125" s="133">
        <f t="shared" si="5"/>
        <v>37200</v>
      </c>
      <c r="X125" s="136">
        <v>12.28</v>
      </c>
      <c r="Y125" s="136">
        <v>1300</v>
      </c>
      <c r="Z125" s="136">
        <v>0</v>
      </c>
      <c r="AA125" s="136">
        <v>702.24</v>
      </c>
      <c r="AB125" s="131">
        <v>42123</v>
      </c>
      <c r="AC125" s="134">
        <f t="shared" si="4"/>
        <v>35887.7199354318</v>
      </c>
      <c r="AD125" s="135">
        <v>61.95</v>
      </c>
      <c r="AE125" s="136">
        <f t="shared" si="3"/>
        <v>2304540</v>
      </c>
      <c r="AF125" s="137">
        <v>2223244.25</v>
      </c>
      <c r="AG125" s="138">
        <v>61.95</v>
      </c>
      <c r="AH125" s="136" t="s">
        <v>4827</v>
      </c>
      <c r="AI125" s="133">
        <v>37040</v>
      </c>
      <c r="AJ125" s="132" t="s">
        <v>4828</v>
      </c>
      <c r="AK125" s="136" t="s">
        <v>4829</v>
      </c>
      <c r="AL125" s="132" t="s">
        <v>4830</v>
      </c>
      <c r="AM125" s="131" t="s">
        <v>49</v>
      </c>
      <c r="AN125" s="133" t="s">
        <v>4440</v>
      </c>
    </row>
    <row r="126" spans="1:40" s="129" customFormat="1" x14ac:dyDescent="0.25">
      <c r="A126" s="130">
        <v>125</v>
      </c>
      <c r="B126" s="130" t="s">
        <v>4428</v>
      </c>
      <c r="C126" s="130" t="s">
        <v>38</v>
      </c>
      <c r="D126" s="136" t="s">
        <v>4831</v>
      </c>
      <c r="E126" s="132">
        <v>42130</v>
      </c>
      <c r="F126" s="132" t="s">
        <v>4792</v>
      </c>
      <c r="G126" s="132" t="s">
        <v>192</v>
      </c>
      <c r="H126" s="130" t="s">
        <v>4431</v>
      </c>
      <c r="I126" s="132" t="s">
        <v>40</v>
      </c>
      <c r="J126" s="131" t="s">
        <v>4432</v>
      </c>
      <c r="K126" s="132" t="s">
        <v>4433</v>
      </c>
      <c r="L126" s="136">
        <v>9202531</v>
      </c>
      <c r="M126" s="132" t="s">
        <v>4740</v>
      </c>
      <c r="N126" s="136" t="s">
        <v>4832</v>
      </c>
      <c r="O126" s="130" t="s">
        <v>4436</v>
      </c>
      <c r="P126" s="130" t="s">
        <v>54</v>
      </c>
      <c r="Q126" s="130">
        <v>29161990</v>
      </c>
      <c r="R126" s="136">
        <v>100.8</v>
      </c>
      <c r="S126" s="130" t="s">
        <v>70</v>
      </c>
      <c r="T126" s="136" t="s">
        <v>52</v>
      </c>
      <c r="U126" s="136" t="s">
        <v>53</v>
      </c>
      <c r="V126" s="136">
        <v>2605</v>
      </c>
      <c r="W126" s="133">
        <f t="shared" si="5"/>
        <v>262584</v>
      </c>
      <c r="X126" s="136">
        <v>0</v>
      </c>
      <c r="Y126" s="136">
        <v>1400</v>
      </c>
      <c r="Z126" s="136">
        <v>0</v>
      </c>
      <c r="AA126" s="136">
        <v>0</v>
      </c>
      <c r="AB126" s="131">
        <v>42119</v>
      </c>
      <c r="AC126" s="134">
        <f>AF126/AD126</f>
        <v>261184</v>
      </c>
      <c r="AD126" s="135">
        <v>61.95</v>
      </c>
      <c r="AE126" s="136">
        <f t="shared" si="3"/>
        <v>16267078.800000001</v>
      </c>
      <c r="AF126" s="137">
        <v>16180348.800000001</v>
      </c>
      <c r="AG126" s="138">
        <v>61.95</v>
      </c>
      <c r="AH126" s="136" t="s">
        <v>4833</v>
      </c>
      <c r="AI126" s="136">
        <v>262584</v>
      </c>
      <c r="AJ126" s="132" t="s">
        <v>4677</v>
      </c>
      <c r="AK126" s="136" t="s">
        <v>4834</v>
      </c>
      <c r="AL126" s="132" t="s">
        <v>4561</v>
      </c>
      <c r="AM126" s="131" t="s">
        <v>49</v>
      </c>
      <c r="AN126" s="136" t="s">
        <v>4440</v>
      </c>
    </row>
    <row r="127" spans="1:40" s="129" customFormat="1" x14ac:dyDescent="0.25">
      <c r="A127" s="136">
        <v>126</v>
      </c>
      <c r="B127" s="130" t="s">
        <v>4428</v>
      </c>
      <c r="C127" s="130" t="s">
        <v>38</v>
      </c>
      <c r="D127" s="136" t="s">
        <v>4831</v>
      </c>
      <c r="E127" s="132">
        <v>42130</v>
      </c>
      <c r="F127" s="132" t="s">
        <v>4792</v>
      </c>
      <c r="G127" s="132" t="s">
        <v>208</v>
      </c>
      <c r="H127" s="130" t="s">
        <v>4431</v>
      </c>
      <c r="I127" s="132" t="s">
        <v>40</v>
      </c>
      <c r="J127" s="131" t="s">
        <v>4432</v>
      </c>
      <c r="K127" s="132" t="s">
        <v>4433</v>
      </c>
      <c r="L127" s="136">
        <v>9270773</v>
      </c>
      <c r="M127" s="132">
        <v>42122</v>
      </c>
      <c r="N127" s="136" t="s">
        <v>4832</v>
      </c>
      <c r="O127" s="130" t="s">
        <v>4436</v>
      </c>
      <c r="P127" s="130" t="s">
        <v>54</v>
      </c>
      <c r="Q127" s="130">
        <v>29161990</v>
      </c>
      <c r="R127" s="136">
        <v>14.4</v>
      </c>
      <c r="S127" s="130" t="s">
        <v>70</v>
      </c>
      <c r="T127" s="136" t="s">
        <v>52</v>
      </c>
      <c r="U127" s="136" t="s">
        <v>53</v>
      </c>
      <c r="V127" s="136">
        <v>2605</v>
      </c>
      <c r="W127" s="133">
        <f t="shared" si="5"/>
        <v>37512</v>
      </c>
      <c r="X127" s="136">
        <v>0</v>
      </c>
      <c r="Y127" s="136">
        <v>200</v>
      </c>
      <c r="Z127" s="136">
        <v>0</v>
      </c>
      <c r="AA127" s="136">
        <v>0</v>
      </c>
      <c r="AB127" s="131">
        <v>42123</v>
      </c>
      <c r="AC127" s="134">
        <f>AF127/AD127</f>
        <v>37312</v>
      </c>
      <c r="AD127" s="135">
        <v>61.95</v>
      </c>
      <c r="AE127" s="136">
        <f t="shared" si="3"/>
        <v>2323868.4</v>
      </c>
      <c r="AF127" s="137">
        <v>2311478.4</v>
      </c>
      <c r="AG127" s="138">
        <v>61.95</v>
      </c>
      <c r="AH127" s="136" t="s">
        <v>4833</v>
      </c>
      <c r="AI127" s="136">
        <v>262584</v>
      </c>
      <c r="AJ127" s="132" t="s">
        <v>4677</v>
      </c>
      <c r="AK127" s="136" t="s">
        <v>4834</v>
      </c>
      <c r="AL127" s="132" t="s">
        <v>4561</v>
      </c>
      <c r="AM127" s="131" t="s">
        <v>49</v>
      </c>
      <c r="AN127" s="136" t="s">
        <v>4440</v>
      </c>
    </row>
    <row r="128" spans="1:40" s="129" customFormat="1" x14ac:dyDescent="0.25">
      <c r="A128" s="130">
        <v>127</v>
      </c>
      <c r="B128" s="130" t="s">
        <v>4428</v>
      </c>
      <c r="C128" s="130" t="s">
        <v>38</v>
      </c>
      <c r="D128" s="136" t="s">
        <v>4831</v>
      </c>
      <c r="E128" s="132">
        <v>42130</v>
      </c>
      <c r="F128" s="132" t="s">
        <v>4792</v>
      </c>
      <c r="G128" s="132" t="s">
        <v>215</v>
      </c>
      <c r="H128" s="130" t="s">
        <v>4431</v>
      </c>
      <c r="I128" s="132" t="s">
        <v>40</v>
      </c>
      <c r="J128" s="131" t="s">
        <v>4432</v>
      </c>
      <c r="K128" s="132" t="s">
        <v>4433</v>
      </c>
      <c r="L128" s="136">
        <v>9289542</v>
      </c>
      <c r="M128" s="132">
        <v>42123</v>
      </c>
      <c r="N128" s="136" t="s">
        <v>4832</v>
      </c>
      <c r="O128" s="130" t="s">
        <v>4436</v>
      </c>
      <c r="P128" s="130" t="s">
        <v>54</v>
      </c>
      <c r="Q128" s="130">
        <v>29161990</v>
      </c>
      <c r="R128" s="136">
        <v>28.8</v>
      </c>
      <c r="S128" s="130" t="s">
        <v>70</v>
      </c>
      <c r="T128" s="136" t="s">
        <v>52</v>
      </c>
      <c r="U128" s="136" t="s">
        <v>53</v>
      </c>
      <c r="V128" s="136">
        <v>2605</v>
      </c>
      <c r="W128" s="133">
        <f t="shared" si="5"/>
        <v>75024</v>
      </c>
      <c r="X128" s="136">
        <v>0</v>
      </c>
      <c r="Y128" s="136">
        <v>400</v>
      </c>
      <c r="Z128" s="136">
        <v>0</v>
      </c>
      <c r="AA128" s="136">
        <v>0</v>
      </c>
      <c r="AB128" s="131">
        <v>42124</v>
      </c>
      <c r="AC128" s="134">
        <f>AF128/AD128</f>
        <v>74624</v>
      </c>
      <c r="AD128" s="135">
        <v>61.95</v>
      </c>
      <c r="AE128" s="136">
        <f t="shared" si="3"/>
        <v>4647736.8</v>
      </c>
      <c r="AF128" s="137">
        <v>4622956.8</v>
      </c>
      <c r="AG128" s="138">
        <v>61.95</v>
      </c>
      <c r="AH128" s="136" t="s">
        <v>4833</v>
      </c>
      <c r="AI128" s="136">
        <v>262584</v>
      </c>
      <c r="AJ128" s="132" t="s">
        <v>4677</v>
      </c>
      <c r="AK128" s="136" t="s">
        <v>4834</v>
      </c>
      <c r="AL128" s="132" t="s">
        <v>4561</v>
      </c>
      <c r="AM128" s="131" t="s">
        <v>49</v>
      </c>
      <c r="AN128" s="136" t="s">
        <v>4440</v>
      </c>
    </row>
    <row r="129" spans="1:40" s="129" customFormat="1" x14ac:dyDescent="0.25">
      <c r="A129" s="136">
        <v>128</v>
      </c>
      <c r="B129" s="130" t="s">
        <v>4428</v>
      </c>
      <c r="C129" s="130" t="s">
        <v>38</v>
      </c>
      <c r="D129" s="136">
        <v>9103650091</v>
      </c>
      <c r="E129" s="132">
        <v>42129</v>
      </c>
      <c r="F129" s="132" t="s">
        <v>4792</v>
      </c>
      <c r="G129" s="132" t="s">
        <v>213</v>
      </c>
      <c r="H129" s="130" t="s">
        <v>4446</v>
      </c>
      <c r="I129" s="132" t="s">
        <v>40</v>
      </c>
      <c r="J129" s="131" t="s">
        <v>4432</v>
      </c>
      <c r="K129" s="132" t="s">
        <v>4433</v>
      </c>
      <c r="L129" s="136">
        <v>9293046</v>
      </c>
      <c r="M129" s="132" t="s">
        <v>4568</v>
      </c>
      <c r="N129" s="136" t="s">
        <v>4592</v>
      </c>
      <c r="O129" s="130" t="s">
        <v>4436</v>
      </c>
      <c r="P129" s="130" t="s">
        <v>4492</v>
      </c>
      <c r="Q129" s="130">
        <v>38237090</v>
      </c>
      <c r="R129" s="136">
        <v>18.25</v>
      </c>
      <c r="S129" s="130" t="s">
        <v>70</v>
      </c>
      <c r="T129" s="136" t="s">
        <v>67</v>
      </c>
      <c r="U129" s="136" t="s">
        <v>53</v>
      </c>
      <c r="V129" s="136">
        <v>1390</v>
      </c>
      <c r="W129" s="133">
        <f t="shared" si="5"/>
        <v>25367.5</v>
      </c>
      <c r="X129" s="136">
        <v>0</v>
      </c>
      <c r="Y129" s="136">
        <v>0</v>
      </c>
      <c r="Z129" s="136">
        <v>0</v>
      </c>
      <c r="AA129" s="136">
        <v>0</v>
      </c>
      <c r="AB129" s="131">
        <v>42124</v>
      </c>
      <c r="AC129" s="134">
        <f t="shared" ref="AC129:AC192" si="6">AF129/AD129</f>
        <v>25367.500080710248</v>
      </c>
      <c r="AD129" s="135">
        <v>61.95</v>
      </c>
      <c r="AE129" s="136">
        <f t="shared" si="3"/>
        <v>1571516.625</v>
      </c>
      <c r="AF129" s="137">
        <v>1571516.63</v>
      </c>
      <c r="AG129" s="138">
        <v>61.95</v>
      </c>
      <c r="AH129" s="136" t="s">
        <v>4835</v>
      </c>
      <c r="AI129" s="133">
        <v>25327.5</v>
      </c>
      <c r="AJ129" s="132" t="s">
        <v>4836</v>
      </c>
      <c r="AK129" s="136" t="s">
        <v>4837</v>
      </c>
      <c r="AL129" s="132" t="s">
        <v>4838</v>
      </c>
      <c r="AM129" s="131" t="s">
        <v>49</v>
      </c>
      <c r="AN129" s="133" t="s">
        <v>4440</v>
      </c>
    </row>
    <row r="130" spans="1:40" s="129" customFormat="1" x14ac:dyDescent="0.25">
      <c r="A130" s="130">
        <v>129</v>
      </c>
      <c r="B130" s="130" t="s">
        <v>4428</v>
      </c>
      <c r="C130" s="130" t="s">
        <v>38</v>
      </c>
      <c r="D130" s="136" t="s">
        <v>4839</v>
      </c>
      <c r="E130" s="132">
        <v>42126</v>
      </c>
      <c r="F130" s="132" t="s">
        <v>4792</v>
      </c>
      <c r="G130" s="132" t="s">
        <v>210</v>
      </c>
      <c r="H130" s="130" t="s">
        <v>4564</v>
      </c>
      <c r="I130" s="132" t="s">
        <v>40</v>
      </c>
      <c r="J130" s="131" t="s">
        <v>4432</v>
      </c>
      <c r="K130" s="132" t="s">
        <v>4433</v>
      </c>
      <c r="L130" s="136">
        <v>9298779</v>
      </c>
      <c r="M130" s="132">
        <v>42123</v>
      </c>
      <c r="N130" s="136" t="s">
        <v>4840</v>
      </c>
      <c r="O130" s="130" t="s">
        <v>4436</v>
      </c>
      <c r="P130" s="130" t="s">
        <v>59</v>
      </c>
      <c r="Q130" s="130">
        <v>38231900</v>
      </c>
      <c r="R130" s="136">
        <v>20.239999999999998</v>
      </c>
      <c r="S130" s="130" t="s">
        <v>70</v>
      </c>
      <c r="T130" s="136" t="s">
        <v>44</v>
      </c>
      <c r="U130" s="136" t="s">
        <v>4528</v>
      </c>
      <c r="V130" s="136">
        <v>3305</v>
      </c>
      <c r="W130" s="133">
        <f t="shared" si="5"/>
        <v>66893.2</v>
      </c>
      <c r="X130" s="136">
        <v>22.07</v>
      </c>
      <c r="Y130" s="136">
        <v>1972.63</v>
      </c>
      <c r="Z130" s="136">
        <v>889.95</v>
      </c>
      <c r="AA130" s="136">
        <v>0</v>
      </c>
      <c r="AB130" s="131">
        <v>42124</v>
      </c>
      <c r="AC130" s="134">
        <f t="shared" si="6"/>
        <v>64898.500075815013</v>
      </c>
      <c r="AD130" s="135">
        <v>65.95</v>
      </c>
      <c r="AE130" s="136">
        <f t="shared" ref="AE130:AE192" si="7">AD130*W130</f>
        <v>4411606.54</v>
      </c>
      <c r="AF130" s="130">
        <v>4280056.08</v>
      </c>
      <c r="AG130" s="138">
        <v>65.95</v>
      </c>
      <c r="AH130" s="136" t="s">
        <v>4841</v>
      </c>
      <c r="AI130" s="133">
        <v>66893.2</v>
      </c>
      <c r="AJ130" s="132">
        <v>42179</v>
      </c>
      <c r="AK130" s="136" t="s">
        <v>4842</v>
      </c>
      <c r="AL130" s="132">
        <v>42180</v>
      </c>
      <c r="AM130" s="131" t="s">
        <v>49</v>
      </c>
      <c r="AN130" s="133" t="s">
        <v>4440</v>
      </c>
    </row>
    <row r="131" spans="1:40" s="129" customFormat="1" x14ac:dyDescent="0.25">
      <c r="A131" s="136">
        <v>130</v>
      </c>
      <c r="B131" s="130" t="s">
        <v>4428</v>
      </c>
      <c r="C131" s="130" t="s">
        <v>38</v>
      </c>
      <c r="D131" s="136" t="s">
        <v>4839</v>
      </c>
      <c r="E131" s="132">
        <v>42126</v>
      </c>
      <c r="F131" s="132" t="s">
        <v>4792</v>
      </c>
      <c r="G131" s="132" t="s">
        <v>204</v>
      </c>
      <c r="H131" s="130" t="s">
        <v>4564</v>
      </c>
      <c r="I131" s="132" t="s">
        <v>40</v>
      </c>
      <c r="J131" s="131" t="s">
        <v>4432</v>
      </c>
      <c r="K131" s="132" t="s">
        <v>4433</v>
      </c>
      <c r="L131" s="136">
        <v>9273698</v>
      </c>
      <c r="M131" s="132">
        <v>42122</v>
      </c>
      <c r="N131" s="136" t="s">
        <v>4840</v>
      </c>
      <c r="O131" s="130" t="s">
        <v>4436</v>
      </c>
      <c r="P131" s="130" t="s">
        <v>59</v>
      </c>
      <c r="Q131" s="130">
        <v>38231900</v>
      </c>
      <c r="R131" s="136">
        <v>19.91</v>
      </c>
      <c r="S131" s="130" t="s">
        <v>70</v>
      </c>
      <c r="T131" s="136" t="s">
        <v>44</v>
      </c>
      <c r="U131" s="136" t="s">
        <v>4528</v>
      </c>
      <c r="V131" s="136">
        <v>3305</v>
      </c>
      <c r="W131" s="133">
        <f t="shared" si="5"/>
        <v>65802.55</v>
      </c>
      <c r="X131" s="136">
        <v>21.71</v>
      </c>
      <c r="Y131" s="136">
        <v>1972.63</v>
      </c>
      <c r="Z131" s="136">
        <v>875.44</v>
      </c>
      <c r="AA131" s="136">
        <v>0</v>
      </c>
      <c r="AB131" s="131">
        <v>42123</v>
      </c>
      <c r="AC131" s="134">
        <f t="shared" si="6"/>
        <v>255232.82001516299</v>
      </c>
      <c r="AD131" s="135">
        <v>65.95</v>
      </c>
      <c r="AE131" s="136">
        <f t="shared" si="7"/>
        <v>4339678.1725000003</v>
      </c>
      <c r="AF131" s="130">
        <v>16832604.48</v>
      </c>
      <c r="AG131" s="138">
        <v>65.95</v>
      </c>
      <c r="AH131" s="136" t="s">
        <v>4841</v>
      </c>
      <c r="AI131" s="136">
        <v>65802.55</v>
      </c>
      <c r="AJ131" s="132" t="s">
        <v>4649</v>
      </c>
      <c r="AK131" s="136" t="s">
        <v>4843</v>
      </c>
      <c r="AL131" s="132" t="s">
        <v>4844</v>
      </c>
      <c r="AM131" s="131" t="s">
        <v>49</v>
      </c>
      <c r="AN131" s="136" t="s">
        <v>4440</v>
      </c>
    </row>
    <row r="132" spans="1:40" s="129" customFormat="1" x14ac:dyDescent="0.25">
      <c r="A132" s="130">
        <v>131</v>
      </c>
      <c r="B132" s="130" t="s">
        <v>4428</v>
      </c>
      <c r="C132" s="130" t="s">
        <v>38</v>
      </c>
      <c r="D132" s="136" t="s">
        <v>4839</v>
      </c>
      <c r="E132" s="132">
        <v>42126</v>
      </c>
      <c r="F132" s="132" t="s">
        <v>4792</v>
      </c>
      <c r="G132" s="132" t="s">
        <v>219</v>
      </c>
      <c r="H132" s="130" t="s">
        <v>4564</v>
      </c>
      <c r="I132" s="132" t="s">
        <v>40</v>
      </c>
      <c r="J132" s="131" t="s">
        <v>4432</v>
      </c>
      <c r="K132" s="132" t="s">
        <v>4433</v>
      </c>
      <c r="L132" s="136">
        <v>9284107</v>
      </c>
      <c r="M132" s="132" t="s">
        <v>4568</v>
      </c>
      <c r="N132" s="136" t="s">
        <v>4840</v>
      </c>
      <c r="O132" s="130" t="s">
        <v>4436</v>
      </c>
      <c r="P132" s="130" t="s">
        <v>59</v>
      </c>
      <c r="Q132" s="130">
        <v>38231900</v>
      </c>
      <c r="R132" s="136">
        <v>79.64</v>
      </c>
      <c r="S132" s="130" t="s">
        <v>70</v>
      </c>
      <c r="T132" s="136" t="s">
        <v>44</v>
      </c>
      <c r="U132" s="136" t="s">
        <v>4528</v>
      </c>
      <c r="V132" s="136">
        <v>3305</v>
      </c>
      <c r="W132" s="133">
        <f t="shared" ref="W132:W194" si="8">V132*R132</f>
        <v>263210.2</v>
      </c>
      <c r="X132" s="136">
        <v>86.86</v>
      </c>
      <c r="Y132" s="136">
        <v>7890.52</v>
      </c>
      <c r="Z132" s="136">
        <v>3501.77</v>
      </c>
      <c r="AA132" s="136">
        <v>0</v>
      </c>
      <c r="AB132" s="131">
        <v>42124</v>
      </c>
      <c r="AC132" s="134">
        <f t="shared" si="6"/>
        <v>255232.82001516299</v>
      </c>
      <c r="AD132" s="135">
        <v>65.95</v>
      </c>
      <c r="AE132" s="136">
        <f t="shared" si="7"/>
        <v>17358712.690000001</v>
      </c>
      <c r="AF132" s="130">
        <v>16832604.48</v>
      </c>
      <c r="AG132" s="138">
        <v>65.95</v>
      </c>
      <c r="AH132" s="136" t="s">
        <v>4841</v>
      </c>
      <c r="AI132" s="136">
        <v>263210.2</v>
      </c>
      <c r="AJ132" s="132" t="s">
        <v>4649</v>
      </c>
      <c r="AK132" s="136" t="s">
        <v>4843</v>
      </c>
      <c r="AL132" s="132" t="s">
        <v>4844</v>
      </c>
      <c r="AM132" s="131" t="s">
        <v>49</v>
      </c>
      <c r="AN132" s="136" t="s">
        <v>4440</v>
      </c>
    </row>
    <row r="133" spans="1:40" s="129" customFormat="1" x14ac:dyDescent="0.25">
      <c r="A133" s="136">
        <v>132</v>
      </c>
      <c r="B133" s="130" t="s">
        <v>4428</v>
      </c>
      <c r="C133" s="130" t="s">
        <v>38</v>
      </c>
      <c r="D133" s="136">
        <v>9103650094</v>
      </c>
      <c r="E133" s="132">
        <v>42139</v>
      </c>
      <c r="F133" s="132" t="s">
        <v>4792</v>
      </c>
      <c r="G133" s="132" t="s">
        <v>209</v>
      </c>
      <c r="H133" s="130" t="s">
        <v>4463</v>
      </c>
      <c r="I133" s="132" t="s">
        <v>40</v>
      </c>
      <c r="J133" s="131" t="s">
        <v>4432</v>
      </c>
      <c r="K133" s="132" t="s">
        <v>4433</v>
      </c>
      <c r="L133" s="136">
        <v>9308481</v>
      </c>
      <c r="M133" s="132">
        <v>42124</v>
      </c>
      <c r="N133" s="136" t="s">
        <v>4658</v>
      </c>
      <c r="O133" s="130" t="s">
        <v>4436</v>
      </c>
      <c r="P133" s="130" t="s">
        <v>4727</v>
      </c>
      <c r="Q133" s="130">
        <v>29051700</v>
      </c>
      <c r="R133" s="136">
        <v>16</v>
      </c>
      <c r="S133" s="130" t="s">
        <v>70</v>
      </c>
      <c r="T133" s="136" t="s">
        <v>52</v>
      </c>
      <c r="U133" s="136" t="s">
        <v>53</v>
      </c>
      <c r="V133" s="136">
        <v>1600</v>
      </c>
      <c r="W133" s="133">
        <f t="shared" si="8"/>
        <v>25600</v>
      </c>
      <c r="X133" s="136">
        <v>0</v>
      </c>
      <c r="Y133" s="136">
        <v>1200</v>
      </c>
      <c r="Z133" s="136">
        <v>0</v>
      </c>
      <c r="AA133" s="136">
        <v>0</v>
      </c>
      <c r="AB133" s="131">
        <v>42126</v>
      </c>
      <c r="AC133" s="134">
        <f t="shared" si="6"/>
        <v>24400</v>
      </c>
      <c r="AD133" s="135">
        <v>61.95</v>
      </c>
      <c r="AE133" s="136">
        <f t="shared" si="7"/>
        <v>1585920</v>
      </c>
      <c r="AF133" s="137">
        <v>1511580</v>
      </c>
      <c r="AG133" s="138">
        <v>61.95</v>
      </c>
      <c r="AH133" s="136" t="s">
        <v>4845</v>
      </c>
      <c r="AI133" s="133">
        <v>25600</v>
      </c>
      <c r="AJ133" s="132">
        <v>42116</v>
      </c>
      <c r="AK133" s="136" t="s">
        <v>4846</v>
      </c>
      <c r="AL133" s="132">
        <v>42180</v>
      </c>
      <c r="AM133" s="131" t="s">
        <v>49</v>
      </c>
      <c r="AN133" s="133" t="s">
        <v>4440</v>
      </c>
    </row>
    <row r="134" spans="1:40" s="129" customFormat="1" x14ac:dyDescent="0.25">
      <c r="A134" s="130">
        <v>133</v>
      </c>
      <c r="B134" s="130" t="s">
        <v>4428</v>
      </c>
      <c r="C134" s="130" t="s">
        <v>38</v>
      </c>
      <c r="D134" s="136" t="s">
        <v>4847</v>
      </c>
      <c r="E134" s="132">
        <v>42134</v>
      </c>
      <c r="F134" s="132" t="s">
        <v>4792</v>
      </c>
      <c r="G134" s="132" t="s">
        <v>212</v>
      </c>
      <c r="H134" s="130" t="s">
        <v>4564</v>
      </c>
      <c r="I134" s="132" t="s">
        <v>40</v>
      </c>
      <c r="J134" s="131" t="s">
        <v>4432</v>
      </c>
      <c r="K134" s="132" t="s">
        <v>4433</v>
      </c>
      <c r="L134" s="136">
        <v>9293970</v>
      </c>
      <c r="M134" s="132" t="s">
        <v>4568</v>
      </c>
      <c r="N134" s="136" t="s">
        <v>4848</v>
      </c>
      <c r="O134" s="130" t="s">
        <v>4436</v>
      </c>
      <c r="P134" s="130" t="s">
        <v>59</v>
      </c>
      <c r="Q134" s="130">
        <v>38231900</v>
      </c>
      <c r="R134" s="136">
        <v>19.88</v>
      </c>
      <c r="S134" s="130" t="s">
        <v>70</v>
      </c>
      <c r="T134" s="136" t="s">
        <v>44</v>
      </c>
      <c r="U134" s="136" t="s">
        <v>4528</v>
      </c>
      <c r="V134" s="136">
        <v>3275</v>
      </c>
      <c r="W134" s="133">
        <f t="shared" si="8"/>
        <v>65107</v>
      </c>
      <c r="X134" s="136">
        <v>21.49</v>
      </c>
      <c r="Y134" s="136">
        <v>1972.63</v>
      </c>
      <c r="Z134" s="136">
        <v>0</v>
      </c>
      <c r="AA134" s="136">
        <v>0</v>
      </c>
      <c r="AB134" s="131">
        <v>42124</v>
      </c>
      <c r="AC134" s="134">
        <f t="shared" si="6"/>
        <v>63112.880060652009</v>
      </c>
      <c r="AD134" s="135">
        <v>65.95</v>
      </c>
      <c r="AE134" s="136">
        <f t="shared" si="7"/>
        <v>4293806.6500000004</v>
      </c>
      <c r="AF134" s="130">
        <v>4162294.44</v>
      </c>
      <c r="AG134" s="138">
        <v>65.95</v>
      </c>
      <c r="AH134" s="136" t="s">
        <v>4849</v>
      </c>
      <c r="AI134" s="136">
        <v>65107</v>
      </c>
      <c r="AJ134" s="132" t="s">
        <v>4480</v>
      </c>
      <c r="AK134" s="136" t="s">
        <v>4850</v>
      </c>
      <c r="AL134" s="132" t="s">
        <v>4482</v>
      </c>
      <c r="AM134" s="131" t="s">
        <v>49</v>
      </c>
      <c r="AN134" s="136" t="s">
        <v>4440</v>
      </c>
    </row>
    <row r="135" spans="1:40" s="129" customFormat="1" x14ac:dyDescent="0.25">
      <c r="A135" s="136">
        <v>134</v>
      </c>
      <c r="B135" s="130" t="s">
        <v>4428</v>
      </c>
      <c r="C135" s="130" t="s">
        <v>38</v>
      </c>
      <c r="D135" s="136" t="s">
        <v>4847</v>
      </c>
      <c r="E135" s="132">
        <v>42134</v>
      </c>
      <c r="F135" s="132" t="s">
        <v>4792</v>
      </c>
      <c r="G135" s="132" t="s">
        <v>222</v>
      </c>
      <c r="H135" s="130" t="s">
        <v>4564</v>
      </c>
      <c r="I135" s="132" t="s">
        <v>40</v>
      </c>
      <c r="J135" s="131" t="s">
        <v>4432</v>
      </c>
      <c r="K135" s="132" t="s">
        <v>4433</v>
      </c>
      <c r="L135" s="136">
        <v>9327085</v>
      </c>
      <c r="M135" s="132">
        <v>42124</v>
      </c>
      <c r="N135" s="136" t="s">
        <v>4848</v>
      </c>
      <c r="O135" s="130" t="s">
        <v>4436</v>
      </c>
      <c r="P135" s="130" t="s">
        <v>59</v>
      </c>
      <c r="Q135" s="130">
        <v>38231900</v>
      </c>
      <c r="R135" s="136">
        <v>39.770000000000003</v>
      </c>
      <c r="S135" s="130" t="s">
        <v>70</v>
      </c>
      <c r="T135" s="136" t="s">
        <v>44</v>
      </c>
      <c r="U135" s="136" t="s">
        <v>4528</v>
      </c>
      <c r="V135" s="136">
        <v>3275</v>
      </c>
      <c r="W135" s="133">
        <f t="shared" si="8"/>
        <v>130246.75000000001</v>
      </c>
      <c r="X135" s="136">
        <v>42.98</v>
      </c>
      <c r="Y135" s="136">
        <v>3945.26</v>
      </c>
      <c r="Z135" s="136">
        <v>0</v>
      </c>
      <c r="AA135" s="136">
        <v>0</v>
      </c>
      <c r="AB135" s="131">
        <v>42126</v>
      </c>
      <c r="AC135" s="134">
        <f t="shared" si="6"/>
        <v>126258.50993176649</v>
      </c>
      <c r="AD135" s="135">
        <v>65.95</v>
      </c>
      <c r="AE135" s="136">
        <f t="shared" si="7"/>
        <v>8589773.1625000015</v>
      </c>
      <c r="AF135" s="130">
        <v>8326748.7300000004</v>
      </c>
      <c r="AG135" s="138">
        <v>65.95</v>
      </c>
      <c r="AH135" s="136" t="s">
        <v>4849</v>
      </c>
      <c r="AI135" s="136">
        <v>130246.75</v>
      </c>
      <c r="AJ135" s="132" t="s">
        <v>4480</v>
      </c>
      <c r="AK135" s="136" t="s">
        <v>4851</v>
      </c>
      <c r="AL135" s="132" t="s">
        <v>4482</v>
      </c>
      <c r="AM135" s="131" t="s">
        <v>49</v>
      </c>
      <c r="AN135" s="136" t="s">
        <v>4440</v>
      </c>
    </row>
    <row r="136" spans="1:40" s="129" customFormat="1" x14ac:dyDescent="0.25">
      <c r="A136" s="130">
        <v>135</v>
      </c>
      <c r="B136" s="130" t="s">
        <v>4428</v>
      </c>
      <c r="C136" s="130" t="s">
        <v>38</v>
      </c>
      <c r="D136" s="136">
        <v>9103650097</v>
      </c>
      <c r="E136" s="132">
        <v>42130</v>
      </c>
      <c r="F136" s="132" t="s">
        <v>4792</v>
      </c>
      <c r="G136" s="132" t="s">
        <v>225</v>
      </c>
      <c r="H136" s="130" t="s">
        <v>4446</v>
      </c>
      <c r="I136" s="132" t="s">
        <v>40</v>
      </c>
      <c r="J136" s="131" t="s">
        <v>4432</v>
      </c>
      <c r="K136" s="132" t="s">
        <v>4433</v>
      </c>
      <c r="L136" s="136">
        <v>9327078</v>
      </c>
      <c r="M136" s="132" t="s">
        <v>4852</v>
      </c>
      <c r="N136" s="136" t="s">
        <v>4741</v>
      </c>
      <c r="O136" s="130" t="s">
        <v>4436</v>
      </c>
      <c r="P136" s="130" t="s">
        <v>47</v>
      </c>
      <c r="Q136" s="130">
        <v>29159020</v>
      </c>
      <c r="R136" s="136">
        <v>19.75</v>
      </c>
      <c r="S136" s="130" t="s">
        <v>70</v>
      </c>
      <c r="T136" s="136" t="s">
        <v>44</v>
      </c>
      <c r="U136" s="136" t="s">
        <v>53</v>
      </c>
      <c r="V136" s="136">
        <v>4785</v>
      </c>
      <c r="W136" s="133">
        <f t="shared" si="8"/>
        <v>94503.75</v>
      </c>
      <c r="X136" s="136">
        <v>31.19</v>
      </c>
      <c r="Y136" s="136">
        <v>1550</v>
      </c>
      <c r="Z136" s="136">
        <v>0</v>
      </c>
      <c r="AA136" s="136">
        <v>0</v>
      </c>
      <c r="AB136" s="131">
        <v>42125</v>
      </c>
      <c r="AC136" s="134">
        <f t="shared" si="6"/>
        <v>92922.55996771589</v>
      </c>
      <c r="AD136" s="135">
        <v>61.95</v>
      </c>
      <c r="AE136" s="136">
        <f t="shared" si="7"/>
        <v>5854507.3125</v>
      </c>
      <c r="AF136" s="137">
        <v>5756552.5899999999</v>
      </c>
      <c r="AG136" s="138">
        <v>61.95</v>
      </c>
      <c r="AH136" s="136" t="s">
        <v>4853</v>
      </c>
      <c r="AI136" s="133">
        <v>94503.75</v>
      </c>
      <c r="AJ136" s="132" t="s">
        <v>4743</v>
      </c>
      <c r="AK136" s="136" t="s">
        <v>4854</v>
      </c>
      <c r="AL136" s="132" t="s">
        <v>4745</v>
      </c>
      <c r="AM136" s="131" t="s">
        <v>49</v>
      </c>
      <c r="AN136" s="133" t="s">
        <v>4440</v>
      </c>
    </row>
    <row r="137" spans="1:40" s="129" customFormat="1" x14ac:dyDescent="0.25">
      <c r="A137" s="136">
        <v>136</v>
      </c>
      <c r="B137" s="130" t="s">
        <v>4428</v>
      </c>
      <c r="C137" s="130" t="s">
        <v>38</v>
      </c>
      <c r="D137" s="136">
        <v>9103650098</v>
      </c>
      <c r="E137" s="132">
        <v>42130</v>
      </c>
      <c r="F137" s="132" t="s">
        <v>4792</v>
      </c>
      <c r="G137" s="132" t="s">
        <v>229</v>
      </c>
      <c r="H137" s="130" t="s">
        <v>4446</v>
      </c>
      <c r="I137" s="132" t="s">
        <v>40</v>
      </c>
      <c r="J137" s="131" t="s">
        <v>4432</v>
      </c>
      <c r="K137" s="132" t="s">
        <v>4433</v>
      </c>
      <c r="L137" s="136">
        <v>9327080</v>
      </c>
      <c r="M137" s="132" t="s">
        <v>4852</v>
      </c>
      <c r="N137" s="136" t="s">
        <v>4741</v>
      </c>
      <c r="O137" s="130" t="s">
        <v>4436</v>
      </c>
      <c r="P137" s="130" t="s">
        <v>47</v>
      </c>
      <c r="Q137" s="130">
        <v>29159020</v>
      </c>
      <c r="R137" s="136">
        <v>19.93</v>
      </c>
      <c r="S137" s="130" t="s">
        <v>70</v>
      </c>
      <c r="T137" s="136" t="s">
        <v>44</v>
      </c>
      <c r="U137" s="136" t="s">
        <v>53</v>
      </c>
      <c r="V137" s="136">
        <v>4785</v>
      </c>
      <c r="W137" s="133">
        <f t="shared" si="8"/>
        <v>95365.05</v>
      </c>
      <c r="X137" s="136">
        <v>31.47</v>
      </c>
      <c r="Y137" s="136">
        <v>1550</v>
      </c>
      <c r="Z137" s="136">
        <v>0</v>
      </c>
      <c r="AA137" s="136">
        <v>0</v>
      </c>
      <c r="AB137" s="131">
        <v>42125</v>
      </c>
      <c r="AC137" s="134">
        <f t="shared" si="6"/>
        <v>93783.579983857955</v>
      </c>
      <c r="AD137" s="135">
        <v>61.95</v>
      </c>
      <c r="AE137" s="136">
        <f t="shared" si="7"/>
        <v>5907864.8475000001</v>
      </c>
      <c r="AF137" s="137">
        <v>5809892.7800000003</v>
      </c>
      <c r="AG137" s="138">
        <v>61.95</v>
      </c>
      <c r="AH137" s="136" t="s">
        <v>4855</v>
      </c>
      <c r="AI137" s="133">
        <v>95355.05</v>
      </c>
      <c r="AJ137" s="132" t="s">
        <v>4743</v>
      </c>
      <c r="AK137" s="136" t="s">
        <v>4856</v>
      </c>
      <c r="AL137" s="132" t="s">
        <v>4745</v>
      </c>
      <c r="AM137" s="131" t="s">
        <v>49</v>
      </c>
      <c r="AN137" s="133" t="s">
        <v>4440</v>
      </c>
    </row>
    <row r="138" spans="1:40" s="129" customFormat="1" x14ac:dyDescent="0.25">
      <c r="A138" s="130">
        <v>137</v>
      </c>
      <c r="B138" s="130" t="s">
        <v>4428</v>
      </c>
      <c r="C138" s="130" t="s">
        <v>38</v>
      </c>
      <c r="D138" s="136" t="s">
        <v>4857</v>
      </c>
      <c r="E138" s="132">
        <v>42135</v>
      </c>
      <c r="F138" s="132" t="s">
        <v>4792</v>
      </c>
      <c r="G138" s="132" t="s">
        <v>211</v>
      </c>
      <c r="H138" s="130" t="s">
        <v>4491</v>
      </c>
      <c r="I138" s="132" t="s">
        <v>40</v>
      </c>
      <c r="J138" s="131" t="s">
        <v>4432</v>
      </c>
      <c r="K138" s="132" t="s">
        <v>4433</v>
      </c>
      <c r="L138" s="136">
        <v>9297704</v>
      </c>
      <c r="M138" s="132">
        <v>42123</v>
      </c>
      <c r="N138" s="136" t="s">
        <v>4858</v>
      </c>
      <c r="O138" s="130" t="s">
        <v>4436</v>
      </c>
      <c r="P138" s="130" t="s">
        <v>54</v>
      </c>
      <c r="Q138" s="130">
        <v>38237090</v>
      </c>
      <c r="R138" s="136">
        <v>18.97</v>
      </c>
      <c r="S138" s="130" t="s">
        <v>70</v>
      </c>
      <c r="T138" s="136" t="s">
        <v>44</v>
      </c>
      <c r="U138" s="136" t="s">
        <v>53</v>
      </c>
      <c r="V138" s="136">
        <v>1175</v>
      </c>
      <c r="W138" s="133">
        <f t="shared" si="8"/>
        <v>22289.75</v>
      </c>
      <c r="X138" s="136">
        <v>7.36</v>
      </c>
      <c r="Y138" s="136">
        <v>550</v>
      </c>
      <c r="Z138" s="136">
        <v>0</v>
      </c>
      <c r="AA138" s="136">
        <v>0</v>
      </c>
      <c r="AB138" s="131">
        <v>42126</v>
      </c>
      <c r="AC138" s="134">
        <f t="shared" si="6"/>
        <v>21732.389991928976</v>
      </c>
      <c r="AD138" s="135">
        <v>61.95</v>
      </c>
      <c r="AE138" s="136">
        <f t="shared" si="7"/>
        <v>1380850.0125</v>
      </c>
      <c r="AF138" s="137">
        <v>1346321.56</v>
      </c>
      <c r="AG138" s="138">
        <v>61.95</v>
      </c>
      <c r="AH138" s="136" t="s">
        <v>4859</v>
      </c>
      <c r="AI138" s="136">
        <v>22289.75</v>
      </c>
      <c r="AJ138" s="132" t="s">
        <v>4860</v>
      </c>
      <c r="AK138" s="136" t="s">
        <v>4861</v>
      </c>
      <c r="AL138" s="132" t="s">
        <v>4627</v>
      </c>
      <c r="AM138" s="131" t="s">
        <v>49</v>
      </c>
      <c r="AN138" s="136" t="s">
        <v>4440</v>
      </c>
    </row>
    <row r="139" spans="1:40" s="129" customFormat="1" x14ac:dyDescent="0.25">
      <c r="A139" s="136">
        <v>138</v>
      </c>
      <c r="B139" s="130" t="s">
        <v>4428</v>
      </c>
      <c r="C139" s="130" t="s">
        <v>38</v>
      </c>
      <c r="D139" s="136" t="s">
        <v>4857</v>
      </c>
      <c r="E139" s="132">
        <v>42135</v>
      </c>
      <c r="F139" s="132" t="s">
        <v>4792</v>
      </c>
      <c r="G139" s="132" t="s">
        <v>211</v>
      </c>
      <c r="H139" s="130" t="s">
        <v>4491</v>
      </c>
      <c r="I139" s="132" t="s">
        <v>40</v>
      </c>
      <c r="J139" s="131" t="s">
        <v>4432</v>
      </c>
      <c r="K139" s="132" t="s">
        <v>4433</v>
      </c>
      <c r="L139" s="136">
        <v>9324913</v>
      </c>
      <c r="M139" s="132" t="s">
        <v>4852</v>
      </c>
      <c r="N139" s="136" t="s">
        <v>4858</v>
      </c>
      <c r="O139" s="130" t="s">
        <v>4436</v>
      </c>
      <c r="P139" s="130" t="s">
        <v>54</v>
      </c>
      <c r="Q139" s="130">
        <v>38237090</v>
      </c>
      <c r="R139" s="136">
        <v>39.119999999999997</v>
      </c>
      <c r="S139" s="130" t="s">
        <v>70</v>
      </c>
      <c r="T139" s="136" t="s">
        <v>44</v>
      </c>
      <c r="U139" s="136" t="s">
        <v>53</v>
      </c>
      <c r="V139" s="136">
        <v>1175</v>
      </c>
      <c r="W139" s="133">
        <f t="shared" si="8"/>
        <v>45966</v>
      </c>
      <c r="X139" s="136">
        <v>15.17</v>
      </c>
      <c r="Y139" s="136">
        <v>1100</v>
      </c>
      <c r="Z139" s="136">
        <v>0</v>
      </c>
      <c r="AA139" s="136">
        <v>0</v>
      </c>
      <c r="AB139" s="131">
        <v>42126</v>
      </c>
      <c r="AC139" s="134">
        <f t="shared" si="6"/>
        <v>44850.830024213072</v>
      </c>
      <c r="AD139" s="135">
        <v>61.95</v>
      </c>
      <c r="AE139" s="136">
        <f t="shared" si="7"/>
        <v>2847593.7</v>
      </c>
      <c r="AF139" s="137">
        <v>2778508.92</v>
      </c>
      <c r="AG139" s="138">
        <v>61.95</v>
      </c>
      <c r="AH139" s="136" t="s">
        <v>4859</v>
      </c>
      <c r="AI139" s="136">
        <v>45966</v>
      </c>
      <c r="AJ139" s="132" t="s">
        <v>4860</v>
      </c>
      <c r="AK139" s="136" t="s">
        <v>4862</v>
      </c>
      <c r="AL139" s="132" t="s">
        <v>4627</v>
      </c>
      <c r="AM139" s="131" t="s">
        <v>49</v>
      </c>
      <c r="AN139" s="136" t="s">
        <v>4440</v>
      </c>
    </row>
    <row r="140" spans="1:40" s="129" customFormat="1" x14ac:dyDescent="0.25">
      <c r="A140" s="130">
        <v>139</v>
      </c>
      <c r="B140" s="130" t="s">
        <v>4428</v>
      </c>
      <c r="C140" s="130" t="s">
        <v>38</v>
      </c>
      <c r="D140" s="136">
        <v>9103650101</v>
      </c>
      <c r="E140" s="132">
        <v>42135</v>
      </c>
      <c r="F140" s="132" t="s">
        <v>4792</v>
      </c>
      <c r="G140" s="132" t="s">
        <v>226</v>
      </c>
      <c r="H140" s="130" t="s">
        <v>4863</v>
      </c>
      <c r="I140" s="132" t="s">
        <v>40</v>
      </c>
      <c r="J140" s="131" t="s">
        <v>4432</v>
      </c>
      <c r="K140" s="132" t="s">
        <v>4433</v>
      </c>
      <c r="L140" s="136">
        <v>9353425</v>
      </c>
      <c r="M140" s="132" t="s">
        <v>4864</v>
      </c>
      <c r="N140" s="136" t="s">
        <v>4670</v>
      </c>
      <c r="O140" s="130" t="s">
        <v>4436</v>
      </c>
      <c r="P140" s="130" t="s">
        <v>4671</v>
      </c>
      <c r="Q140" s="130">
        <v>38237090</v>
      </c>
      <c r="R140" s="136">
        <v>52</v>
      </c>
      <c r="S140" s="130" t="s">
        <v>70</v>
      </c>
      <c r="T140" s="136" t="s">
        <v>52</v>
      </c>
      <c r="U140" s="136" t="s">
        <v>53</v>
      </c>
      <c r="V140" s="136">
        <v>1430</v>
      </c>
      <c r="W140" s="133">
        <f t="shared" si="8"/>
        <v>74360</v>
      </c>
      <c r="X140" s="136">
        <v>0</v>
      </c>
      <c r="Y140" s="136">
        <v>3100</v>
      </c>
      <c r="Z140" s="136">
        <v>0</v>
      </c>
      <c r="AA140" s="136">
        <v>0</v>
      </c>
      <c r="AB140" s="131">
        <v>42127</v>
      </c>
      <c r="AC140" s="134">
        <f t="shared" si="6"/>
        <v>71260</v>
      </c>
      <c r="AD140" s="135">
        <v>61.95</v>
      </c>
      <c r="AE140" s="136">
        <f t="shared" si="7"/>
        <v>4606602</v>
      </c>
      <c r="AF140" s="137">
        <v>4414557</v>
      </c>
      <c r="AG140" s="138">
        <v>61.95</v>
      </c>
      <c r="AH140" s="136" t="s">
        <v>4865</v>
      </c>
      <c r="AI140" s="133">
        <v>74212.2</v>
      </c>
      <c r="AJ140" s="132" t="s">
        <v>4673</v>
      </c>
      <c r="AK140" s="136" t="s">
        <v>4866</v>
      </c>
      <c r="AL140" s="132" t="s">
        <v>4647</v>
      </c>
      <c r="AM140" s="131" t="s">
        <v>49</v>
      </c>
      <c r="AN140" s="133" t="s">
        <v>4440</v>
      </c>
    </row>
    <row r="141" spans="1:40" s="129" customFormat="1" x14ac:dyDescent="0.25">
      <c r="A141" s="136">
        <v>140</v>
      </c>
      <c r="B141" s="130" t="s">
        <v>4428</v>
      </c>
      <c r="C141" s="130" t="s">
        <v>38</v>
      </c>
      <c r="D141" s="136">
        <v>9103650102</v>
      </c>
      <c r="E141" s="132">
        <v>42130</v>
      </c>
      <c r="F141" s="132" t="s">
        <v>4792</v>
      </c>
      <c r="G141" s="132" t="s">
        <v>234</v>
      </c>
      <c r="H141" s="130" t="s">
        <v>4463</v>
      </c>
      <c r="I141" s="132" t="s">
        <v>40</v>
      </c>
      <c r="J141" s="131" t="s">
        <v>4432</v>
      </c>
      <c r="K141" s="132" t="s">
        <v>4433</v>
      </c>
      <c r="L141" s="136">
        <v>9353421</v>
      </c>
      <c r="M141" s="132" t="s">
        <v>4864</v>
      </c>
      <c r="N141" s="136" t="s">
        <v>4867</v>
      </c>
      <c r="O141" s="130" t="s">
        <v>4436</v>
      </c>
      <c r="P141" s="130" t="s">
        <v>90</v>
      </c>
      <c r="Q141" s="130">
        <v>38231190</v>
      </c>
      <c r="R141" s="136">
        <v>10</v>
      </c>
      <c r="S141" s="130" t="s">
        <v>70</v>
      </c>
      <c r="T141" s="136" t="s">
        <v>67</v>
      </c>
      <c r="U141" s="136" t="s">
        <v>53</v>
      </c>
      <c r="V141" s="136">
        <v>835</v>
      </c>
      <c r="W141" s="133">
        <f t="shared" si="8"/>
        <v>8350</v>
      </c>
      <c r="X141" s="136">
        <v>0</v>
      </c>
      <c r="Y141" s="136">
        <v>0</v>
      </c>
      <c r="Z141" s="136">
        <v>0</v>
      </c>
      <c r="AA141" s="136">
        <v>0</v>
      </c>
      <c r="AB141" s="131">
        <v>42128</v>
      </c>
      <c r="AC141" s="134">
        <f t="shared" si="6"/>
        <v>8350</v>
      </c>
      <c r="AD141" s="135">
        <v>61.95</v>
      </c>
      <c r="AE141" s="136">
        <f t="shared" si="7"/>
        <v>517282.5</v>
      </c>
      <c r="AF141" s="137">
        <v>517282.5</v>
      </c>
      <c r="AG141" s="138">
        <v>61.95</v>
      </c>
      <c r="AH141" s="136" t="s">
        <v>4868</v>
      </c>
      <c r="AI141" s="133">
        <v>8335</v>
      </c>
      <c r="AJ141" s="132" t="s">
        <v>4869</v>
      </c>
      <c r="AK141" s="136" t="s">
        <v>4870</v>
      </c>
      <c r="AL141" s="132" t="s">
        <v>3928</v>
      </c>
      <c r="AM141" s="131" t="s">
        <v>49</v>
      </c>
      <c r="AN141" s="133" t="s">
        <v>4440</v>
      </c>
    </row>
    <row r="142" spans="1:40" s="129" customFormat="1" x14ac:dyDescent="0.25">
      <c r="A142" s="130">
        <v>141</v>
      </c>
      <c r="B142" s="130" t="s">
        <v>4428</v>
      </c>
      <c r="C142" s="130" t="s">
        <v>38</v>
      </c>
      <c r="D142" s="136">
        <v>9103650103</v>
      </c>
      <c r="E142" s="132">
        <v>42135</v>
      </c>
      <c r="F142" s="132" t="s">
        <v>4792</v>
      </c>
      <c r="G142" s="132" t="s">
        <v>224</v>
      </c>
      <c r="H142" s="130" t="s">
        <v>4446</v>
      </c>
      <c r="I142" s="132" t="s">
        <v>40</v>
      </c>
      <c r="J142" s="131" t="s">
        <v>4432</v>
      </c>
      <c r="K142" s="132" t="s">
        <v>4433</v>
      </c>
      <c r="L142" s="136">
        <v>9348147</v>
      </c>
      <c r="M142" s="132">
        <v>42126</v>
      </c>
      <c r="N142" s="136" t="s">
        <v>4532</v>
      </c>
      <c r="O142" s="130" t="s">
        <v>4436</v>
      </c>
      <c r="P142" s="130" t="s">
        <v>64</v>
      </c>
      <c r="Q142" s="130">
        <v>29161990</v>
      </c>
      <c r="R142" s="136">
        <v>59.66</v>
      </c>
      <c r="S142" s="130" t="s">
        <v>70</v>
      </c>
      <c r="T142" s="136" t="s">
        <v>44</v>
      </c>
      <c r="U142" s="136" t="s">
        <v>53</v>
      </c>
      <c r="V142" s="136">
        <v>2428</v>
      </c>
      <c r="W142" s="133">
        <f t="shared" si="8"/>
        <v>144854.47999999998</v>
      </c>
      <c r="X142" s="136">
        <v>47.8</v>
      </c>
      <c r="Y142" s="136">
        <v>1080</v>
      </c>
      <c r="Z142" s="136">
        <v>0</v>
      </c>
      <c r="AA142" s="136">
        <v>0</v>
      </c>
      <c r="AB142" s="131">
        <v>42127</v>
      </c>
      <c r="AC142" s="134">
        <f t="shared" si="6"/>
        <v>143726.68006456821</v>
      </c>
      <c r="AD142" s="135">
        <v>61.95</v>
      </c>
      <c r="AE142" s="136">
        <f t="shared" si="7"/>
        <v>8973735.0359999985</v>
      </c>
      <c r="AF142" s="137">
        <v>8903867.8300000001</v>
      </c>
      <c r="AG142" s="138">
        <v>61.95</v>
      </c>
      <c r="AH142" s="136" t="s">
        <v>4871</v>
      </c>
      <c r="AI142" s="133">
        <v>144834.48000000001</v>
      </c>
      <c r="AJ142" s="132">
        <v>42268</v>
      </c>
      <c r="AK142" s="136" t="s">
        <v>4872</v>
      </c>
      <c r="AL142" s="132">
        <v>42269</v>
      </c>
      <c r="AM142" s="131" t="s">
        <v>49</v>
      </c>
      <c r="AN142" s="136" t="s">
        <v>4440</v>
      </c>
    </row>
    <row r="143" spans="1:40" s="129" customFormat="1" x14ac:dyDescent="0.25">
      <c r="A143" s="136">
        <v>142</v>
      </c>
      <c r="B143" s="130" t="s">
        <v>4428</v>
      </c>
      <c r="C143" s="130" t="s">
        <v>38</v>
      </c>
      <c r="D143" s="136" t="s">
        <v>4847</v>
      </c>
      <c r="E143" s="132">
        <v>42134</v>
      </c>
      <c r="F143" s="132" t="s">
        <v>4792</v>
      </c>
      <c r="G143" s="132" t="s">
        <v>232</v>
      </c>
      <c r="H143" s="130" t="s">
        <v>4564</v>
      </c>
      <c r="I143" s="132" t="s">
        <v>40</v>
      </c>
      <c r="J143" s="131" t="s">
        <v>4432</v>
      </c>
      <c r="K143" s="132" t="s">
        <v>4433</v>
      </c>
      <c r="L143" s="136">
        <v>9344802</v>
      </c>
      <c r="M143" s="132">
        <v>42126</v>
      </c>
      <c r="N143" s="136" t="s">
        <v>4848</v>
      </c>
      <c r="O143" s="130" t="s">
        <v>4436</v>
      </c>
      <c r="P143" s="130" t="s">
        <v>59</v>
      </c>
      <c r="Q143" s="130">
        <v>38231900</v>
      </c>
      <c r="R143" s="136">
        <v>39.6</v>
      </c>
      <c r="S143" s="130" t="s">
        <v>70</v>
      </c>
      <c r="T143" s="136" t="s">
        <v>44</v>
      </c>
      <c r="U143" s="136" t="s">
        <v>4528</v>
      </c>
      <c r="V143" s="136">
        <v>3275</v>
      </c>
      <c r="W143" s="133">
        <f t="shared" si="8"/>
        <v>129690</v>
      </c>
      <c r="X143" s="136">
        <v>42.8</v>
      </c>
      <c r="Y143" s="136">
        <v>3945.26</v>
      </c>
      <c r="Z143" s="136">
        <v>0</v>
      </c>
      <c r="AA143" s="136">
        <v>0</v>
      </c>
      <c r="AB143" s="131">
        <v>42127</v>
      </c>
      <c r="AC143" s="134">
        <f t="shared" si="6"/>
        <v>125701.94002869441</v>
      </c>
      <c r="AD143" s="135">
        <v>69.7</v>
      </c>
      <c r="AE143" s="136">
        <f t="shared" si="7"/>
        <v>9039393</v>
      </c>
      <c r="AF143" s="130">
        <v>8761425.2200000007</v>
      </c>
      <c r="AG143" s="138">
        <v>65.95</v>
      </c>
      <c r="AH143" s="136" t="s">
        <v>4849</v>
      </c>
      <c r="AI143" s="136">
        <v>129690</v>
      </c>
      <c r="AJ143" s="132" t="s">
        <v>4480</v>
      </c>
      <c r="AK143" s="136" t="s">
        <v>4873</v>
      </c>
      <c r="AL143" s="132" t="s">
        <v>4482</v>
      </c>
      <c r="AM143" s="131" t="s">
        <v>49</v>
      </c>
      <c r="AN143" s="136" t="s">
        <v>4440</v>
      </c>
    </row>
    <row r="144" spans="1:40" s="129" customFormat="1" x14ac:dyDescent="0.25">
      <c r="A144" s="130">
        <v>143</v>
      </c>
      <c r="B144" s="130" t="s">
        <v>4428</v>
      </c>
      <c r="C144" s="130" t="s">
        <v>38</v>
      </c>
      <c r="D144" s="136" t="s">
        <v>4820</v>
      </c>
      <c r="E144" s="132">
        <v>42127</v>
      </c>
      <c r="F144" s="132" t="s">
        <v>4792</v>
      </c>
      <c r="G144" s="132" t="s">
        <v>203</v>
      </c>
      <c r="H144" s="130" t="s">
        <v>4564</v>
      </c>
      <c r="I144" s="132" t="s">
        <v>40</v>
      </c>
      <c r="J144" s="131" t="s">
        <v>4432</v>
      </c>
      <c r="K144" s="132" t="s">
        <v>4433</v>
      </c>
      <c r="L144" s="136">
        <v>9258996</v>
      </c>
      <c r="M144" s="132">
        <v>42122</v>
      </c>
      <c r="N144" s="136" t="s">
        <v>4822</v>
      </c>
      <c r="O144" s="130" t="s">
        <v>4436</v>
      </c>
      <c r="P144" s="130" t="s">
        <v>4566</v>
      </c>
      <c r="Q144" s="130">
        <v>38231200</v>
      </c>
      <c r="R144" s="136">
        <v>39.36</v>
      </c>
      <c r="S144" s="130" t="s">
        <v>70</v>
      </c>
      <c r="T144" s="136" t="s">
        <v>44</v>
      </c>
      <c r="U144" s="136" t="s">
        <v>53</v>
      </c>
      <c r="V144" s="136">
        <v>1030</v>
      </c>
      <c r="W144" s="133">
        <f t="shared" si="8"/>
        <v>40540.800000000003</v>
      </c>
      <c r="X144" s="136">
        <v>13.38</v>
      </c>
      <c r="Y144" s="136">
        <v>1200</v>
      </c>
      <c r="Z144" s="136">
        <v>0</v>
      </c>
      <c r="AA144" s="136">
        <v>0</v>
      </c>
      <c r="AB144" s="131">
        <v>42123</v>
      </c>
      <c r="AC144" s="134">
        <f t="shared" si="6"/>
        <v>39327.420016142045</v>
      </c>
      <c r="AD144" s="135">
        <v>61.95</v>
      </c>
      <c r="AE144" s="136">
        <f t="shared" si="7"/>
        <v>2511502.5600000005</v>
      </c>
      <c r="AF144" s="137">
        <v>2436333.67</v>
      </c>
      <c r="AG144" s="138">
        <v>61.95</v>
      </c>
      <c r="AH144" s="136" t="s">
        <v>4823</v>
      </c>
      <c r="AI144" s="136">
        <v>40540.800000000003</v>
      </c>
      <c r="AJ144" s="132" t="s">
        <v>4451</v>
      </c>
      <c r="AK144" s="136" t="s">
        <v>4824</v>
      </c>
      <c r="AL144" s="132" t="s">
        <v>4687</v>
      </c>
      <c r="AM144" s="131" t="s">
        <v>49</v>
      </c>
      <c r="AN144" s="136" t="s">
        <v>4440</v>
      </c>
    </row>
    <row r="145" spans="1:40" s="129" customFormat="1" x14ac:dyDescent="0.25">
      <c r="A145" s="136">
        <v>144</v>
      </c>
      <c r="B145" s="130" t="s">
        <v>4428</v>
      </c>
      <c r="C145" s="130" t="s">
        <v>38</v>
      </c>
      <c r="D145" s="136">
        <v>9103650107</v>
      </c>
      <c r="E145" s="132">
        <v>42133</v>
      </c>
      <c r="F145" s="132" t="s">
        <v>4792</v>
      </c>
      <c r="G145" s="132" t="s">
        <v>220</v>
      </c>
      <c r="H145" s="130" t="s">
        <v>4564</v>
      </c>
      <c r="I145" s="132" t="s">
        <v>40</v>
      </c>
      <c r="J145" s="131" t="s">
        <v>4432</v>
      </c>
      <c r="K145" s="132" t="s">
        <v>4433</v>
      </c>
      <c r="L145" s="136">
        <v>9250094</v>
      </c>
      <c r="M145" s="132">
        <v>42121</v>
      </c>
      <c r="N145" s="136" t="s">
        <v>4822</v>
      </c>
      <c r="O145" s="130" t="s">
        <v>4436</v>
      </c>
      <c r="P145" s="130" t="s">
        <v>4566</v>
      </c>
      <c r="Q145" s="130">
        <v>38231200</v>
      </c>
      <c r="R145" s="136">
        <v>19.600000000000001</v>
      </c>
      <c r="S145" s="130" t="s">
        <v>70</v>
      </c>
      <c r="T145" s="136" t="s">
        <v>44</v>
      </c>
      <c r="U145" s="136" t="s">
        <v>53</v>
      </c>
      <c r="V145" s="136">
        <v>1030</v>
      </c>
      <c r="W145" s="133">
        <f t="shared" si="8"/>
        <v>20188</v>
      </c>
      <c r="X145" s="136"/>
      <c r="Y145" s="136"/>
      <c r="Z145" s="136"/>
      <c r="AA145" s="136"/>
      <c r="AB145" s="131"/>
      <c r="AC145" s="134"/>
      <c r="AD145" s="135">
        <v>61.95</v>
      </c>
      <c r="AE145" s="136">
        <f t="shared" si="7"/>
        <v>1250646.6000000001</v>
      </c>
      <c r="AF145" s="137"/>
      <c r="AG145" s="138">
        <v>61.95</v>
      </c>
      <c r="AH145" s="136" t="s">
        <v>4823</v>
      </c>
      <c r="AI145" s="136">
        <v>162647.29999999999</v>
      </c>
      <c r="AJ145" s="132">
        <v>42139</v>
      </c>
      <c r="AK145" s="136" t="s">
        <v>4824</v>
      </c>
      <c r="AL145" s="132" t="s">
        <v>4687</v>
      </c>
      <c r="AM145" s="131" t="s">
        <v>49</v>
      </c>
      <c r="AN145" s="136" t="s">
        <v>4440</v>
      </c>
    </row>
    <row r="146" spans="1:40" s="129" customFormat="1" x14ac:dyDescent="0.25">
      <c r="A146" s="130">
        <v>145</v>
      </c>
      <c r="B146" s="130" t="s">
        <v>4428</v>
      </c>
      <c r="C146" s="130" t="s">
        <v>38</v>
      </c>
      <c r="D146" s="136">
        <v>9103650108</v>
      </c>
      <c r="E146" s="132">
        <v>42136</v>
      </c>
      <c r="F146" s="132" t="s">
        <v>4792</v>
      </c>
      <c r="G146" s="132" t="s">
        <v>4874</v>
      </c>
      <c r="H146" s="130" t="s">
        <v>4456</v>
      </c>
      <c r="I146" s="132" t="s">
        <v>40</v>
      </c>
      <c r="J146" s="131" t="s">
        <v>4432</v>
      </c>
      <c r="K146" s="132" t="s">
        <v>4433</v>
      </c>
      <c r="L146" s="136">
        <v>9395369</v>
      </c>
      <c r="M146" s="132" t="s">
        <v>4875</v>
      </c>
      <c r="N146" s="136" t="s">
        <v>4876</v>
      </c>
      <c r="O146" s="130" t="s">
        <v>4436</v>
      </c>
      <c r="P146" s="130" t="s">
        <v>90</v>
      </c>
      <c r="Q146" s="130">
        <v>34021900</v>
      </c>
      <c r="R146" s="136">
        <v>16.8</v>
      </c>
      <c r="S146" s="130" t="s">
        <v>70</v>
      </c>
      <c r="T146" s="136" t="s">
        <v>67</v>
      </c>
      <c r="U146" s="136" t="s">
        <v>53</v>
      </c>
      <c r="V146" s="136">
        <v>2227</v>
      </c>
      <c r="W146" s="133">
        <f t="shared" si="8"/>
        <v>37413.599999999999</v>
      </c>
      <c r="X146" s="136">
        <v>0</v>
      </c>
      <c r="Y146" s="136">
        <v>0</v>
      </c>
      <c r="Z146" s="136">
        <v>0</v>
      </c>
      <c r="AA146" s="136">
        <v>0</v>
      </c>
      <c r="AB146" s="131">
        <v>42130</v>
      </c>
      <c r="AC146" s="134">
        <f t="shared" si="6"/>
        <v>37413.599999999999</v>
      </c>
      <c r="AD146" s="135">
        <v>61.95</v>
      </c>
      <c r="AE146" s="136">
        <f t="shared" si="7"/>
        <v>2317772.52</v>
      </c>
      <c r="AF146" s="137">
        <v>2317772.52</v>
      </c>
      <c r="AG146" s="138">
        <v>61.95</v>
      </c>
      <c r="AH146" s="136" t="s">
        <v>4877</v>
      </c>
      <c r="AI146" s="133">
        <v>37318.6</v>
      </c>
      <c r="AJ146" s="132" t="s">
        <v>4878</v>
      </c>
      <c r="AK146" s="136" t="s">
        <v>4879</v>
      </c>
      <c r="AL146" s="132" t="s">
        <v>4880</v>
      </c>
      <c r="AM146" s="131" t="s">
        <v>49</v>
      </c>
      <c r="AN146" s="133" t="s">
        <v>4440</v>
      </c>
    </row>
    <row r="147" spans="1:40" s="129" customFormat="1" x14ac:dyDescent="0.25">
      <c r="A147" s="136">
        <v>146</v>
      </c>
      <c r="B147" s="130" t="s">
        <v>4428</v>
      </c>
      <c r="C147" s="130" t="s">
        <v>38</v>
      </c>
      <c r="D147" s="136">
        <v>9103650109</v>
      </c>
      <c r="E147" s="132">
        <v>42135</v>
      </c>
      <c r="F147" s="132" t="s">
        <v>4792</v>
      </c>
      <c r="G147" s="132" t="s">
        <v>227</v>
      </c>
      <c r="H147" s="130" t="s">
        <v>4491</v>
      </c>
      <c r="I147" s="132" t="s">
        <v>40</v>
      </c>
      <c r="J147" s="131" t="s">
        <v>4432</v>
      </c>
      <c r="K147" s="132" t="s">
        <v>4433</v>
      </c>
      <c r="L147" s="136">
        <v>9407099</v>
      </c>
      <c r="M147" s="132" t="s">
        <v>3940</v>
      </c>
      <c r="N147" s="136" t="s">
        <v>3741</v>
      </c>
      <c r="O147" s="130" t="s">
        <v>4436</v>
      </c>
      <c r="P147" s="130" t="s">
        <v>4492</v>
      </c>
      <c r="Q147" s="130">
        <v>29051700</v>
      </c>
      <c r="R147" s="136">
        <v>18.48</v>
      </c>
      <c r="S147" s="130" t="s">
        <v>70</v>
      </c>
      <c r="T147" s="136" t="s">
        <v>44</v>
      </c>
      <c r="U147" s="136" t="s">
        <v>53</v>
      </c>
      <c r="V147" s="136">
        <v>2043</v>
      </c>
      <c r="W147" s="133">
        <f t="shared" si="8"/>
        <v>37754.639999999999</v>
      </c>
      <c r="X147" s="136">
        <v>12.48</v>
      </c>
      <c r="Y147" s="136">
        <v>4300</v>
      </c>
      <c r="Z147" s="136">
        <v>0</v>
      </c>
      <c r="AA147" s="136">
        <v>0</v>
      </c>
      <c r="AB147" s="131">
        <v>42132</v>
      </c>
      <c r="AC147" s="134">
        <f t="shared" si="6"/>
        <v>33442.179983857946</v>
      </c>
      <c r="AD147" s="135">
        <v>61.95</v>
      </c>
      <c r="AE147" s="136">
        <f t="shared" si="7"/>
        <v>2338899.9479999999</v>
      </c>
      <c r="AF147" s="137">
        <v>2071743.05</v>
      </c>
      <c r="AG147" s="138">
        <v>63.3</v>
      </c>
      <c r="AH147" s="136" t="s">
        <v>4881</v>
      </c>
      <c r="AI147" s="133">
        <v>37719.64</v>
      </c>
      <c r="AJ147" s="132" t="s">
        <v>4677</v>
      </c>
      <c r="AK147" s="136" t="s">
        <v>4882</v>
      </c>
      <c r="AL147" s="132" t="s">
        <v>4561</v>
      </c>
      <c r="AM147" s="131" t="s">
        <v>49</v>
      </c>
      <c r="AN147" s="133" t="s">
        <v>4440</v>
      </c>
    </row>
    <row r="148" spans="1:40" s="129" customFormat="1" x14ac:dyDescent="0.25">
      <c r="A148" s="130">
        <v>147</v>
      </c>
      <c r="B148" s="130" t="s">
        <v>4428</v>
      </c>
      <c r="C148" s="130" t="s">
        <v>38</v>
      </c>
      <c r="D148" s="136">
        <v>9103650111</v>
      </c>
      <c r="E148" s="132">
        <v>42134</v>
      </c>
      <c r="F148" s="132" t="s">
        <v>4792</v>
      </c>
      <c r="G148" s="132" t="s">
        <v>2923</v>
      </c>
      <c r="H148" s="130" t="s">
        <v>4456</v>
      </c>
      <c r="I148" s="132" t="s">
        <v>40</v>
      </c>
      <c r="J148" s="131" t="s">
        <v>4432</v>
      </c>
      <c r="K148" s="132" t="s">
        <v>4433</v>
      </c>
      <c r="L148" s="136">
        <v>9420266</v>
      </c>
      <c r="M148" s="132" t="s">
        <v>3940</v>
      </c>
      <c r="N148" s="136" t="s">
        <v>4612</v>
      </c>
      <c r="O148" s="130" t="s">
        <v>4436</v>
      </c>
      <c r="P148" s="130" t="s">
        <v>2657</v>
      </c>
      <c r="Q148" s="130">
        <v>38231900</v>
      </c>
      <c r="R148" s="136">
        <v>19.690000000000001</v>
      </c>
      <c r="S148" s="130" t="s">
        <v>70</v>
      </c>
      <c r="T148" s="136" t="s">
        <v>44</v>
      </c>
      <c r="U148" s="136" t="s">
        <v>53</v>
      </c>
      <c r="V148" s="136">
        <v>3725</v>
      </c>
      <c r="W148" s="133">
        <f t="shared" si="8"/>
        <v>73345.25</v>
      </c>
      <c r="X148" s="136">
        <v>24.2</v>
      </c>
      <c r="Y148" s="136">
        <v>850</v>
      </c>
      <c r="Z148" s="136">
        <v>1417.68</v>
      </c>
      <c r="AA148" s="136">
        <v>0</v>
      </c>
      <c r="AB148" s="131">
        <v>42132</v>
      </c>
      <c r="AC148" s="134">
        <f t="shared" si="6"/>
        <v>72471.050040355112</v>
      </c>
      <c r="AD148" s="135">
        <v>61.95</v>
      </c>
      <c r="AE148" s="136">
        <f t="shared" si="7"/>
        <v>4543738.2374999998</v>
      </c>
      <c r="AF148" s="137">
        <v>4489581.55</v>
      </c>
      <c r="AG148" s="138">
        <v>63.3</v>
      </c>
      <c r="AH148" s="136" t="s">
        <v>4883</v>
      </c>
      <c r="AI148" s="133">
        <v>73345.25</v>
      </c>
      <c r="AJ148" s="132" t="s">
        <v>4884</v>
      </c>
      <c r="AK148" s="136" t="s">
        <v>4885</v>
      </c>
      <c r="AL148" s="132" t="s">
        <v>4886</v>
      </c>
      <c r="AM148" s="131" t="s">
        <v>49</v>
      </c>
      <c r="AN148" s="133" t="s">
        <v>4440</v>
      </c>
    </row>
    <row r="149" spans="1:40" s="129" customFormat="1" x14ac:dyDescent="0.25">
      <c r="A149" s="136">
        <v>148</v>
      </c>
      <c r="B149" s="130" t="s">
        <v>4428</v>
      </c>
      <c r="C149" s="130" t="s">
        <v>38</v>
      </c>
      <c r="D149" s="136">
        <v>9103650112</v>
      </c>
      <c r="E149" s="132">
        <v>42137</v>
      </c>
      <c r="F149" s="132" t="s">
        <v>4792</v>
      </c>
      <c r="G149" s="132" t="s">
        <v>228</v>
      </c>
      <c r="H149" s="130" t="s">
        <v>4456</v>
      </c>
      <c r="I149" s="132" t="s">
        <v>40</v>
      </c>
      <c r="J149" s="131" t="s">
        <v>4432</v>
      </c>
      <c r="K149" s="132" t="s">
        <v>4433</v>
      </c>
      <c r="L149" s="136">
        <v>9439948</v>
      </c>
      <c r="M149" s="132" t="s">
        <v>3938</v>
      </c>
      <c r="N149" s="136" t="s">
        <v>4612</v>
      </c>
      <c r="O149" s="130" t="s">
        <v>4436</v>
      </c>
      <c r="P149" s="130" t="s">
        <v>47</v>
      </c>
      <c r="Q149" s="130">
        <v>38231900</v>
      </c>
      <c r="R149" s="136">
        <v>19.37</v>
      </c>
      <c r="S149" s="130" t="s">
        <v>70</v>
      </c>
      <c r="T149" s="136" t="s">
        <v>44</v>
      </c>
      <c r="U149" s="136" t="s">
        <v>53</v>
      </c>
      <c r="V149" s="136">
        <v>3740</v>
      </c>
      <c r="W149" s="133">
        <f t="shared" si="8"/>
        <v>72443.8</v>
      </c>
      <c r="X149" s="136">
        <v>23.91</v>
      </c>
      <c r="Y149" s="136">
        <v>1050</v>
      </c>
      <c r="Z149" s="136">
        <v>1394.64</v>
      </c>
      <c r="AA149" s="136">
        <v>0</v>
      </c>
      <c r="AB149" s="131">
        <v>42132</v>
      </c>
      <c r="AC149" s="134">
        <f t="shared" si="6"/>
        <v>71369.890072639231</v>
      </c>
      <c r="AD149" s="135">
        <v>61.95</v>
      </c>
      <c r="AE149" s="136">
        <f t="shared" si="7"/>
        <v>4487893.41</v>
      </c>
      <c r="AF149" s="137">
        <v>4421364.6900000004</v>
      </c>
      <c r="AG149" s="138">
        <v>63.3</v>
      </c>
      <c r="AH149" s="136" t="s">
        <v>4887</v>
      </c>
      <c r="AI149" s="133">
        <v>72439.100000000006</v>
      </c>
      <c r="AJ149" s="132" t="s">
        <v>4884</v>
      </c>
      <c r="AK149" s="136" t="s">
        <v>4888</v>
      </c>
      <c r="AL149" s="132" t="s">
        <v>4886</v>
      </c>
      <c r="AM149" s="131" t="s">
        <v>49</v>
      </c>
      <c r="AN149" s="133" t="s">
        <v>4440</v>
      </c>
    </row>
    <row r="150" spans="1:40" s="129" customFormat="1" x14ac:dyDescent="0.25">
      <c r="A150" s="130">
        <v>149</v>
      </c>
      <c r="B150" s="130" t="s">
        <v>4428</v>
      </c>
      <c r="C150" s="130" t="s">
        <v>38</v>
      </c>
      <c r="D150" s="136">
        <v>9103650113</v>
      </c>
      <c r="E150" s="132">
        <v>42137</v>
      </c>
      <c r="F150" s="132" t="s">
        <v>4792</v>
      </c>
      <c r="G150" s="132" t="s">
        <v>253</v>
      </c>
      <c r="H150" s="130" t="s">
        <v>4463</v>
      </c>
      <c r="I150" s="132" t="s">
        <v>40</v>
      </c>
      <c r="J150" s="131" t="s">
        <v>4432</v>
      </c>
      <c r="K150" s="132" t="s">
        <v>4433</v>
      </c>
      <c r="L150" s="136">
        <v>9456487</v>
      </c>
      <c r="M150" s="132" t="s">
        <v>4439</v>
      </c>
      <c r="N150" s="136" t="s">
        <v>4848</v>
      </c>
      <c r="O150" s="130" t="s">
        <v>4436</v>
      </c>
      <c r="P150" s="130" t="s">
        <v>4889</v>
      </c>
      <c r="Q150" s="130">
        <v>29051700</v>
      </c>
      <c r="R150" s="136">
        <v>64</v>
      </c>
      <c r="S150" s="130" t="s">
        <v>70</v>
      </c>
      <c r="T150" s="136" t="s">
        <v>52</v>
      </c>
      <c r="U150" s="136" t="s">
        <v>53</v>
      </c>
      <c r="V150" s="136">
        <v>1600</v>
      </c>
      <c r="W150" s="133">
        <f t="shared" si="8"/>
        <v>102400</v>
      </c>
      <c r="X150" s="136">
        <v>0</v>
      </c>
      <c r="Y150" s="136">
        <v>6000</v>
      </c>
      <c r="Z150" s="136">
        <v>0</v>
      </c>
      <c r="AA150" s="136">
        <v>0</v>
      </c>
      <c r="AB150" s="131">
        <v>42133</v>
      </c>
      <c r="AC150" s="134">
        <f t="shared" si="6"/>
        <v>96400</v>
      </c>
      <c r="AD150" s="135">
        <v>63.3</v>
      </c>
      <c r="AE150" s="136">
        <f t="shared" si="7"/>
        <v>6481920</v>
      </c>
      <c r="AF150" s="137">
        <v>6102120</v>
      </c>
      <c r="AG150" s="138">
        <v>63.3</v>
      </c>
      <c r="AH150" s="136" t="s">
        <v>4890</v>
      </c>
      <c r="AI150" s="133">
        <v>102375</v>
      </c>
      <c r="AJ150" s="132" t="s">
        <v>4677</v>
      </c>
      <c r="AK150" s="136" t="s">
        <v>4891</v>
      </c>
      <c r="AL150" s="132" t="s">
        <v>4561</v>
      </c>
      <c r="AM150" s="131" t="s">
        <v>49</v>
      </c>
      <c r="AN150" s="133" t="s">
        <v>4440</v>
      </c>
    </row>
    <row r="151" spans="1:40" s="129" customFormat="1" x14ac:dyDescent="0.25">
      <c r="A151" s="136">
        <v>150</v>
      </c>
      <c r="B151" s="130" t="s">
        <v>4428</v>
      </c>
      <c r="C151" s="130" t="s">
        <v>38</v>
      </c>
      <c r="D151" s="136">
        <v>9103650114</v>
      </c>
      <c r="E151" s="132">
        <v>42137</v>
      </c>
      <c r="F151" s="132" t="s">
        <v>4792</v>
      </c>
      <c r="G151" s="132" t="s">
        <v>242</v>
      </c>
      <c r="H151" s="130" t="s">
        <v>4564</v>
      </c>
      <c r="I151" s="132" t="s">
        <v>40</v>
      </c>
      <c r="J151" s="131" t="s">
        <v>4432</v>
      </c>
      <c r="K151" s="132" t="s">
        <v>4433</v>
      </c>
      <c r="L151" s="136">
        <v>9466994</v>
      </c>
      <c r="M151" s="132" t="s">
        <v>4439</v>
      </c>
      <c r="N151" s="136" t="s">
        <v>4608</v>
      </c>
      <c r="O151" s="130" t="s">
        <v>4436</v>
      </c>
      <c r="P151" s="130" t="s">
        <v>205</v>
      </c>
      <c r="Q151" s="130">
        <v>29051700</v>
      </c>
      <c r="R151" s="136">
        <v>11</v>
      </c>
      <c r="S151" s="130" t="s">
        <v>70</v>
      </c>
      <c r="T151" s="136" t="s">
        <v>44</v>
      </c>
      <c r="U151" s="136" t="s">
        <v>53</v>
      </c>
      <c r="V151" s="136">
        <v>1950</v>
      </c>
      <c r="W151" s="133">
        <f t="shared" si="8"/>
        <v>21450</v>
      </c>
      <c r="X151" s="136">
        <v>7.08</v>
      </c>
      <c r="Y151" s="136">
        <v>500</v>
      </c>
      <c r="Z151" s="136">
        <v>0</v>
      </c>
      <c r="AA151" s="136">
        <v>0</v>
      </c>
      <c r="AB151" s="131">
        <v>42133</v>
      </c>
      <c r="AC151" s="134">
        <f t="shared" si="6"/>
        <v>20942.920063191155</v>
      </c>
      <c r="AD151" s="135">
        <v>63.3</v>
      </c>
      <c r="AE151" s="136">
        <f t="shared" si="7"/>
        <v>1357785</v>
      </c>
      <c r="AF151" s="137">
        <v>1325686.8400000001</v>
      </c>
      <c r="AG151" s="138">
        <v>63.3</v>
      </c>
      <c r="AH151" s="136" t="s">
        <v>4892</v>
      </c>
      <c r="AI151" s="133">
        <v>21435</v>
      </c>
      <c r="AJ151" s="132" t="s">
        <v>4480</v>
      </c>
      <c r="AK151" s="136" t="s">
        <v>4893</v>
      </c>
      <c r="AL151" s="132" t="s">
        <v>4482</v>
      </c>
      <c r="AM151" s="131" t="s">
        <v>49</v>
      </c>
      <c r="AN151" s="133" t="s">
        <v>4440</v>
      </c>
    </row>
    <row r="152" spans="1:40" s="129" customFormat="1" x14ac:dyDescent="0.25">
      <c r="A152" s="130">
        <v>151</v>
      </c>
      <c r="B152" s="130" t="s">
        <v>4428</v>
      </c>
      <c r="C152" s="130" t="s">
        <v>38</v>
      </c>
      <c r="D152" s="136" t="s">
        <v>4894</v>
      </c>
      <c r="E152" s="132">
        <v>42142</v>
      </c>
      <c r="F152" s="132" t="s">
        <v>4792</v>
      </c>
      <c r="G152" s="132" t="s">
        <v>239</v>
      </c>
      <c r="H152" s="130" t="s">
        <v>4669</v>
      </c>
      <c r="I152" s="132" t="s">
        <v>40</v>
      </c>
      <c r="J152" s="131" t="s">
        <v>4432</v>
      </c>
      <c r="K152" s="132" t="s">
        <v>4433</v>
      </c>
      <c r="L152" s="139">
        <v>9477889</v>
      </c>
      <c r="M152" s="142">
        <v>42133</v>
      </c>
      <c r="N152" s="136" t="s">
        <v>4670</v>
      </c>
      <c r="O152" s="130" t="s">
        <v>4436</v>
      </c>
      <c r="P152" s="130" t="s">
        <v>4671</v>
      </c>
      <c r="Q152" s="130">
        <v>38237090</v>
      </c>
      <c r="R152" s="136">
        <v>26</v>
      </c>
      <c r="S152" s="130" t="s">
        <v>70</v>
      </c>
      <c r="T152" s="136" t="s">
        <v>52</v>
      </c>
      <c r="U152" s="136" t="s">
        <v>53</v>
      </c>
      <c r="V152" s="136">
        <v>1430</v>
      </c>
      <c r="W152" s="133">
        <f t="shared" si="8"/>
        <v>37180</v>
      </c>
      <c r="X152" s="136">
        <v>0</v>
      </c>
      <c r="Y152" s="136">
        <v>1500</v>
      </c>
      <c r="Z152" s="136">
        <v>0</v>
      </c>
      <c r="AA152" s="136">
        <v>0</v>
      </c>
      <c r="AB152" s="131">
        <v>42136</v>
      </c>
      <c r="AC152" s="134">
        <f t="shared" si="6"/>
        <v>35680</v>
      </c>
      <c r="AD152" s="135">
        <v>63.3</v>
      </c>
      <c r="AE152" s="136">
        <f t="shared" si="7"/>
        <v>2353494</v>
      </c>
      <c r="AF152" s="137">
        <v>2258544</v>
      </c>
      <c r="AG152" s="138">
        <v>63.3</v>
      </c>
      <c r="AH152" s="136" t="s">
        <v>4895</v>
      </c>
      <c r="AI152" s="133">
        <v>37180</v>
      </c>
      <c r="AJ152" s="132">
        <v>42156</v>
      </c>
      <c r="AK152" s="139" t="s">
        <v>4896</v>
      </c>
      <c r="AL152" s="142">
        <v>42252</v>
      </c>
      <c r="AM152" s="131" t="s">
        <v>49</v>
      </c>
      <c r="AN152" s="133" t="s">
        <v>4440</v>
      </c>
    </row>
    <row r="153" spans="1:40" s="129" customFormat="1" x14ac:dyDescent="0.25">
      <c r="A153" s="136">
        <v>152</v>
      </c>
      <c r="B153" s="130" t="s">
        <v>4428</v>
      </c>
      <c r="C153" s="130" t="s">
        <v>38</v>
      </c>
      <c r="D153" s="136" t="s">
        <v>4894</v>
      </c>
      <c r="E153" s="132">
        <v>42142</v>
      </c>
      <c r="F153" s="132" t="s">
        <v>4792</v>
      </c>
      <c r="G153" s="132" t="s">
        <v>239</v>
      </c>
      <c r="H153" s="130" t="s">
        <v>4669</v>
      </c>
      <c r="I153" s="132" t="s">
        <v>40</v>
      </c>
      <c r="J153" s="131" t="s">
        <v>4432</v>
      </c>
      <c r="K153" s="132" t="s">
        <v>4433</v>
      </c>
      <c r="L153" s="139">
        <v>9458136</v>
      </c>
      <c r="M153" s="142">
        <v>42132</v>
      </c>
      <c r="N153" s="136" t="s">
        <v>4670</v>
      </c>
      <c r="O153" s="130" t="s">
        <v>4436</v>
      </c>
      <c r="P153" s="130" t="s">
        <v>4671</v>
      </c>
      <c r="Q153" s="130">
        <v>38237090</v>
      </c>
      <c r="R153" s="136">
        <v>26</v>
      </c>
      <c r="S153" s="130" t="s">
        <v>70</v>
      </c>
      <c r="T153" s="136" t="s">
        <v>52</v>
      </c>
      <c r="U153" s="136" t="s">
        <v>53</v>
      </c>
      <c r="V153" s="136">
        <v>1430</v>
      </c>
      <c r="W153" s="133">
        <f t="shared" si="8"/>
        <v>37180</v>
      </c>
      <c r="X153" s="136">
        <v>0</v>
      </c>
      <c r="Y153" s="136">
        <v>1500</v>
      </c>
      <c r="Z153" s="136">
        <v>0</v>
      </c>
      <c r="AA153" s="136">
        <v>0</v>
      </c>
      <c r="AB153" s="131">
        <v>42136</v>
      </c>
      <c r="AC153" s="134">
        <f t="shared" si="6"/>
        <v>35680</v>
      </c>
      <c r="AD153" s="135">
        <v>63.3</v>
      </c>
      <c r="AE153" s="136">
        <f t="shared" si="7"/>
        <v>2353494</v>
      </c>
      <c r="AF153" s="137">
        <v>2258544</v>
      </c>
      <c r="AG153" s="138">
        <v>63.3</v>
      </c>
      <c r="AH153" s="136" t="s">
        <v>4895</v>
      </c>
      <c r="AI153" s="133">
        <v>37090</v>
      </c>
      <c r="AJ153" s="132">
        <v>42156</v>
      </c>
      <c r="AK153" s="139" t="s">
        <v>4897</v>
      </c>
      <c r="AL153" s="142">
        <v>42178</v>
      </c>
      <c r="AM153" s="131" t="s">
        <v>49</v>
      </c>
      <c r="AN153" s="133" t="s">
        <v>4440</v>
      </c>
    </row>
    <row r="154" spans="1:40" s="129" customFormat="1" x14ac:dyDescent="0.25">
      <c r="A154" s="130">
        <v>153</v>
      </c>
      <c r="B154" s="130" t="s">
        <v>4428</v>
      </c>
      <c r="C154" s="130" t="s">
        <v>38</v>
      </c>
      <c r="D154" s="136">
        <v>9103650117</v>
      </c>
      <c r="E154" s="132">
        <v>42139</v>
      </c>
      <c r="F154" s="132" t="s">
        <v>4792</v>
      </c>
      <c r="G154" s="132" t="s">
        <v>237</v>
      </c>
      <c r="H154" s="130" t="s">
        <v>4564</v>
      </c>
      <c r="I154" s="132" t="s">
        <v>40</v>
      </c>
      <c r="J154" s="131" t="s">
        <v>4432</v>
      </c>
      <c r="K154" s="132" t="s">
        <v>4433</v>
      </c>
      <c r="L154" s="136">
        <v>9477899</v>
      </c>
      <c r="M154" s="132" t="s">
        <v>4898</v>
      </c>
      <c r="N154" s="136" t="s">
        <v>4899</v>
      </c>
      <c r="O154" s="130" t="s">
        <v>4436</v>
      </c>
      <c r="P154" s="130" t="s">
        <v>257</v>
      </c>
      <c r="Q154" s="130">
        <v>38237090</v>
      </c>
      <c r="R154" s="136">
        <v>12</v>
      </c>
      <c r="S154" s="130" t="s">
        <v>70</v>
      </c>
      <c r="T154" s="136" t="s">
        <v>67</v>
      </c>
      <c r="U154" s="136" t="s">
        <v>53</v>
      </c>
      <c r="V154" s="136">
        <v>2050</v>
      </c>
      <c r="W154" s="133">
        <f t="shared" si="8"/>
        <v>24600</v>
      </c>
      <c r="X154" s="136">
        <v>0</v>
      </c>
      <c r="Y154" s="136">
        <v>0</v>
      </c>
      <c r="Z154" s="136">
        <v>0</v>
      </c>
      <c r="AA154" s="136">
        <v>0</v>
      </c>
      <c r="AB154" s="131">
        <v>42135</v>
      </c>
      <c r="AC154" s="134">
        <f t="shared" si="6"/>
        <v>24600</v>
      </c>
      <c r="AD154" s="135">
        <v>63.3</v>
      </c>
      <c r="AE154" s="136">
        <f t="shared" si="7"/>
        <v>1557180</v>
      </c>
      <c r="AF154" s="137">
        <v>1557180</v>
      </c>
      <c r="AG154" s="138">
        <v>63.3</v>
      </c>
      <c r="AH154" s="136" t="s">
        <v>4900</v>
      </c>
      <c r="AI154" s="133">
        <v>24585</v>
      </c>
      <c r="AJ154" s="132" t="s">
        <v>4673</v>
      </c>
      <c r="AK154" s="136" t="s">
        <v>4901</v>
      </c>
      <c r="AL154" s="132" t="s">
        <v>4647</v>
      </c>
      <c r="AM154" s="131" t="s">
        <v>49</v>
      </c>
      <c r="AN154" s="133" t="s">
        <v>4440</v>
      </c>
    </row>
    <row r="155" spans="1:40" s="129" customFormat="1" x14ac:dyDescent="0.25">
      <c r="A155" s="136">
        <v>154</v>
      </c>
      <c r="B155" s="130" t="s">
        <v>4428</v>
      </c>
      <c r="C155" s="130" t="s">
        <v>38</v>
      </c>
      <c r="D155" s="136">
        <v>9103650118</v>
      </c>
      <c r="E155" s="132">
        <v>42139</v>
      </c>
      <c r="F155" s="132" t="s">
        <v>4792</v>
      </c>
      <c r="G155" s="132" t="s">
        <v>254</v>
      </c>
      <c r="H155" s="130" t="s">
        <v>4564</v>
      </c>
      <c r="I155" s="132" t="s">
        <v>40</v>
      </c>
      <c r="J155" s="131" t="s">
        <v>4432</v>
      </c>
      <c r="K155" s="132" t="s">
        <v>4433</v>
      </c>
      <c r="L155" s="136">
        <v>9477892</v>
      </c>
      <c r="M155" s="132" t="s">
        <v>4898</v>
      </c>
      <c r="N155" s="136" t="s">
        <v>4899</v>
      </c>
      <c r="O155" s="130" t="s">
        <v>4436</v>
      </c>
      <c r="P155" s="130" t="s">
        <v>257</v>
      </c>
      <c r="Q155" s="130">
        <v>38237090</v>
      </c>
      <c r="R155" s="136">
        <v>12</v>
      </c>
      <c r="S155" s="130" t="s">
        <v>70</v>
      </c>
      <c r="T155" s="136" t="s">
        <v>67</v>
      </c>
      <c r="U155" s="136" t="s">
        <v>53</v>
      </c>
      <c r="V155" s="136">
        <v>2050</v>
      </c>
      <c r="W155" s="133">
        <f t="shared" si="8"/>
        <v>24600</v>
      </c>
      <c r="X155" s="136">
        <v>0</v>
      </c>
      <c r="Y155" s="136">
        <v>0</v>
      </c>
      <c r="Z155" s="136">
        <v>0</v>
      </c>
      <c r="AA155" s="136">
        <v>0</v>
      </c>
      <c r="AB155" s="131">
        <v>42135</v>
      </c>
      <c r="AC155" s="134">
        <f t="shared" si="6"/>
        <v>24600</v>
      </c>
      <c r="AD155" s="135">
        <v>63.3</v>
      </c>
      <c r="AE155" s="136">
        <f t="shared" si="7"/>
        <v>1557180</v>
      </c>
      <c r="AF155" s="137">
        <v>1557180</v>
      </c>
      <c r="AG155" s="138">
        <v>63.3</v>
      </c>
      <c r="AH155" s="136" t="s">
        <v>4902</v>
      </c>
      <c r="AI155" s="133">
        <v>24585</v>
      </c>
      <c r="AJ155" s="132" t="s">
        <v>4673</v>
      </c>
      <c r="AK155" s="136" t="s">
        <v>4903</v>
      </c>
      <c r="AL155" s="132" t="s">
        <v>4647</v>
      </c>
      <c r="AM155" s="131" t="s">
        <v>49</v>
      </c>
      <c r="AN155" s="133" t="s">
        <v>4440</v>
      </c>
    </row>
    <row r="156" spans="1:40" s="129" customFormat="1" x14ac:dyDescent="0.25">
      <c r="A156" s="130">
        <v>155</v>
      </c>
      <c r="B156" s="130" t="s">
        <v>4428</v>
      </c>
      <c r="C156" s="130" t="s">
        <v>38</v>
      </c>
      <c r="D156" s="136" t="s">
        <v>4904</v>
      </c>
      <c r="E156" s="132">
        <v>42141</v>
      </c>
      <c r="F156" s="132" t="s">
        <v>4792</v>
      </c>
      <c r="G156" s="132" t="s">
        <v>240</v>
      </c>
      <c r="H156" s="130" t="s">
        <v>4446</v>
      </c>
      <c r="I156" s="132" t="s">
        <v>40</v>
      </c>
      <c r="J156" s="131" t="s">
        <v>4432</v>
      </c>
      <c r="K156" s="132" t="s">
        <v>4433</v>
      </c>
      <c r="L156" s="136">
        <v>9462397</v>
      </c>
      <c r="M156" s="132" t="s">
        <v>4439</v>
      </c>
      <c r="N156" s="136" t="s">
        <v>4532</v>
      </c>
      <c r="O156" s="130" t="s">
        <v>4436</v>
      </c>
      <c r="P156" s="130" t="s">
        <v>64</v>
      </c>
      <c r="Q156" s="130">
        <v>29161990</v>
      </c>
      <c r="R156" s="136">
        <v>39.19</v>
      </c>
      <c r="S156" s="130" t="s">
        <v>70</v>
      </c>
      <c r="T156" s="136" t="s">
        <v>44</v>
      </c>
      <c r="U156" s="136" t="s">
        <v>53</v>
      </c>
      <c r="V156" s="136">
        <v>2428</v>
      </c>
      <c r="W156" s="133">
        <f t="shared" si="8"/>
        <v>95153.319999999992</v>
      </c>
      <c r="X156" s="136">
        <v>31.4</v>
      </c>
      <c r="Y156" s="136">
        <v>720</v>
      </c>
      <c r="Z156" s="136">
        <v>0</v>
      </c>
      <c r="AA156" s="136">
        <v>0</v>
      </c>
      <c r="AB156" s="131">
        <v>42136</v>
      </c>
      <c r="AC156" s="134">
        <f t="shared" si="6"/>
        <v>94401.920063191152</v>
      </c>
      <c r="AD156" s="135">
        <v>63.3</v>
      </c>
      <c r="AE156" s="136">
        <f t="shared" si="7"/>
        <v>6023205.1559999995</v>
      </c>
      <c r="AF156" s="137">
        <v>5975641.54</v>
      </c>
      <c r="AG156" s="138">
        <v>63.3</v>
      </c>
      <c r="AH156" s="136" t="s">
        <v>4905</v>
      </c>
      <c r="AI156" s="136">
        <v>95153.32</v>
      </c>
      <c r="AJ156" s="132" t="s">
        <v>4906</v>
      </c>
      <c r="AK156" s="136" t="s">
        <v>4907</v>
      </c>
      <c r="AL156" s="132" t="s">
        <v>4908</v>
      </c>
      <c r="AM156" s="131" t="s">
        <v>49</v>
      </c>
      <c r="AN156" s="136" t="s">
        <v>4440</v>
      </c>
    </row>
    <row r="157" spans="1:40" s="129" customFormat="1" x14ac:dyDescent="0.25">
      <c r="A157" s="136">
        <v>156</v>
      </c>
      <c r="B157" s="130" t="s">
        <v>4428</v>
      </c>
      <c r="C157" s="130" t="s">
        <v>38</v>
      </c>
      <c r="D157" s="136" t="s">
        <v>4904</v>
      </c>
      <c r="E157" s="132">
        <v>42141</v>
      </c>
      <c r="F157" s="132" t="s">
        <v>4792</v>
      </c>
      <c r="G157" s="132" t="s">
        <v>244</v>
      </c>
      <c r="H157" s="130" t="s">
        <v>4446</v>
      </c>
      <c r="I157" s="132" t="s">
        <v>40</v>
      </c>
      <c r="J157" s="131" t="s">
        <v>4432</v>
      </c>
      <c r="K157" s="132" t="s">
        <v>4433</v>
      </c>
      <c r="L157" s="136">
        <v>9479524</v>
      </c>
      <c r="M157" s="132">
        <v>42133</v>
      </c>
      <c r="N157" s="136" t="s">
        <v>4532</v>
      </c>
      <c r="O157" s="130" t="s">
        <v>4436</v>
      </c>
      <c r="P157" s="130" t="s">
        <v>64</v>
      </c>
      <c r="Q157" s="130">
        <v>29161990</v>
      </c>
      <c r="R157" s="136">
        <v>19.79</v>
      </c>
      <c r="S157" s="130" t="s">
        <v>70</v>
      </c>
      <c r="T157" s="136" t="s">
        <v>44</v>
      </c>
      <c r="U157" s="136" t="s">
        <v>53</v>
      </c>
      <c r="V157" s="136">
        <v>2428</v>
      </c>
      <c r="W157" s="133">
        <f t="shared" si="8"/>
        <v>48050.119999999995</v>
      </c>
      <c r="X157" s="136">
        <v>15.86</v>
      </c>
      <c r="Y157" s="136">
        <v>360</v>
      </c>
      <c r="Z157" s="136">
        <v>0</v>
      </c>
      <c r="AA157" s="136">
        <v>0</v>
      </c>
      <c r="AB157" s="131">
        <v>42136</v>
      </c>
      <c r="AC157" s="134">
        <f t="shared" si="6"/>
        <v>47674.25845181675</v>
      </c>
      <c r="AD157" s="135">
        <v>63.3</v>
      </c>
      <c r="AE157" s="136">
        <f t="shared" si="7"/>
        <v>3041572.5959999994</v>
      </c>
      <c r="AF157" s="137">
        <v>3017780.56</v>
      </c>
      <c r="AG157" s="138">
        <v>63.3</v>
      </c>
      <c r="AH157" s="136" t="s">
        <v>4905</v>
      </c>
      <c r="AI157" s="136">
        <v>48050.12</v>
      </c>
      <c r="AJ157" s="132" t="s">
        <v>4906</v>
      </c>
      <c r="AK157" s="136" t="s">
        <v>4909</v>
      </c>
      <c r="AL157" s="132" t="s">
        <v>4908</v>
      </c>
      <c r="AM157" s="131" t="s">
        <v>49</v>
      </c>
      <c r="AN157" s="136" t="s">
        <v>4440</v>
      </c>
    </row>
    <row r="158" spans="1:40" s="129" customFormat="1" x14ac:dyDescent="0.25">
      <c r="A158" s="130">
        <v>157</v>
      </c>
      <c r="B158" s="130" t="s">
        <v>4428</v>
      </c>
      <c r="C158" s="130" t="s">
        <v>38</v>
      </c>
      <c r="D158" s="136">
        <v>9103650121</v>
      </c>
      <c r="E158" s="132">
        <v>42136</v>
      </c>
      <c r="F158" s="132" t="s">
        <v>4792</v>
      </c>
      <c r="G158" s="132" t="s">
        <v>244</v>
      </c>
      <c r="H158" s="130" t="s">
        <v>4463</v>
      </c>
      <c r="I158" s="132" t="s">
        <v>40</v>
      </c>
      <c r="J158" s="131" t="s">
        <v>4432</v>
      </c>
      <c r="K158" s="132" t="s">
        <v>4433</v>
      </c>
      <c r="L158" s="136">
        <v>9493475</v>
      </c>
      <c r="M158" s="132">
        <v>42135</v>
      </c>
      <c r="N158" s="136" t="s">
        <v>4793</v>
      </c>
      <c r="O158" s="130" t="s">
        <v>4436</v>
      </c>
      <c r="P158" s="130" t="s">
        <v>64</v>
      </c>
      <c r="Q158" s="130">
        <v>38237090</v>
      </c>
      <c r="R158" s="136">
        <v>200</v>
      </c>
      <c r="S158" s="130" t="s">
        <v>70</v>
      </c>
      <c r="T158" s="136" t="s">
        <v>44</v>
      </c>
      <c r="U158" s="136" t="s">
        <v>53</v>
      </c>
      <c r="V158" s="136">
        <v>4.9329999999999998</v>
      </c>
      <c r="W158" s="133">
        <f t="shared" si="8"/>
        <v>986.59999999999991</v>
      </c>
      <c r="X158" s="136">
        <v>0.33</v>
      </c>
      <c r="Y158" s="136">
        <v>366.08</v>
      </c>
      <c r="Z158" s="136">
        <v>0</v>
      </c>
      <c r="AA158" s="136">
        <v>0</v>
      </c>
      <c r="AB158" s="131"/>
      <c r="AC158" s="134">
        <f t="shared" si="6"/>
        <v>630.07598736176931</v>
      </c>
      <c r="AD158" s="135">
        <v>63.3</v>
      </c>
      <c r="AE158" s="136">
        <f t="shared" si="7"/>
        <v>62451.779999999992</v>
      </c>
      <c r="AF158" s="137">
        <v>39883.81</v>
      </c>
      <c r="AG158" s="138">
        <v>63.3</v>
      </c>
      <c r="AH158" s="136" t="s">
        <v>4910</v>
      </c>
      <c r="AI158" s="133">
        <v>953.48</v>
      </c>
      <c r="AJ158" s="132">
        <v>42138</v>
      </c>
      <c r="AK158" s="136" t="s">
        <v>4911</v>
      </c>
      <c r="AL158" s="132">
        <v>42208</v>
      </c>
      <c r="AM158" s="131" t="s">
        <v>49</v>
      </c>
      <c r="AN158" s="133" t="s">
        <v>4440</v>
      </c>
    </row>
    <row r="159" spans="1:40" s="129" customFormat="1" x14ac:dyDescent="0.25">
      <c r="A159" s="136">
        <v>158</v>
      </c>
      <c r="B159" s="130" t="s">
        <v>4428</v>
      </c>
      <c r="C159" s="130" t="s">
        <v>38</v>
      </c>
      <c r="D159" s="136">
        <v>9103650122</v>
      </c>
      <c r="E159" s="132">
        <v>42139</v>
      </c>
      <c r="F159" s="132" t="s">
        <v>4792</v>
      </c>
      <c r="G159" s="132" t="s">
        <v>245</v>
      </c>
      <c r="H159" s="130" t="s">
        <v>4491</v>
      </c>
      <c r="I159" s="132" t="s">
        <v>40</v>
      </c>
      <c r="J159" s="131" t="s">
        <v>4432</v>
      </c>
      <c r="K159" s="132" t="s">
        <v>4433</v>
      </c>
      <c r="L159" s="136">
        <v>9479793</v>
      </c>
      <c r="M159" s="132" t="s">
        <v>4898</v>
      </c>
      <c r="N159" s="136" t="s">
        <v>3741</v>
      </c>
      <c r="O159" s="130" t="s">
        <v>4436</v>
      </c>
      <c r="P159" s="130" t="s">
        <v>4492</v>
      </c>
      <c r="Q159" s="130">
        <v>38237090</v>
      </c>
      <c r="R159" s="136">
        <v>18.41</v>
      </c>
      <c r="S159" s="130" t="s">
        <v>70</v>
      </c>
      <c r="T159" s="136" t="s">
        <v>44</v>
      </c>
      <c r="U159" s="136" t="s">
        <v>53</v>
      </c>
      <c r="V159" s="136">
        <v>1723</v>
      </c>
      <c r="W159" s="133">
        <f t="shared" si="8"/>
        <v>31720.43</v>
      </c>
      <c r="X159" s="136">
        <v>10.31</v>
      </c>
      <c r="Y159" s="136">
        <v>3552</v>
      </c>
      <c r="Z159" s="136">
        <v>0</v>
      </c>
      <c r="AA159" s="136">
        <v>0</v>
      </c>
      <c r="AB159" s="131">
        <v>42135</v>
      </c>
      <c r="AC159" s="134">
        <f t="shared" si="6"/>
        <v>27692.910110584518</v>
      </c>
      <c r="AD159" s="135">
        <v>63.3</v>
      </c>
      <c r="AE159" s="136">
        <f t="shared" si="7"/>
        <v>2007903.219</v>
      </c>
      <c r="AF159" s="137">
        <v>1752961.21</v>
      </c>
      <c r="AG159" s="138">
        <v>63.3</v>
      </c>
      <c r="AH159" s="136" t="s">
        <v>4912</v>
      </c>
      <c r="AI159" s="133">
        <v>31255.22</v>
      </c>
      <c r="AJ159" s="132" t="s">
        <v>4844</v>
      </c>
      <c r="AK159" s="136" t="s">
        <v>4913</v>
      </c>
      <c r="AL159" s="132" t="s">
        <v>4692</v>
      </c>
      <c r="AM159" s="131" t="s">
        <v>49</v>
      </c>
      <c r="AN159" s="133" t="s">
        <v>4440</v>
      </c>
    </row>
    <row r="160" spans="1:40" s="129" customFormat="1" x14ac:dyDescent="0.25">
      <c r="A160" s="130">
        <v>159</v>
      </c>
      <c r="B160" s="130" t="s">
        <v>4428</v>
      </c>
      <c r="C160" s="130" t="s">
        <v>38</v>
      </c>
      <c r="D160" s="136">
        <v>9103650123</v>
      </c>
      <c r="E160" s="132">
        <v>42143</v>
      </c>
      <c r="F160" s="132" t="s">
        <v>4792</v>
      </c>
      <c r="G160" s="132" t="s">
        <v>247</v>
      </c>
      <c r="H160" s="130" t="s">
        <v>4463</v>
      </c>
      <c r="I160" s="132" t="s">
        <v>40</v>
      </c>
      <c r="J160" s="131" t="s">
        <v>4432</v>
      </c>
      <c r="K160" s="132" t="s">
        <v>4433</v>
      </c>
      <c r="L160" s="136">
        <v>9497291</v>
      </c>
      <c r="M160" s="132" t="s">
        <v>4542</v>
      </c>
      <c r="N160" s="136" t="s">
        <v>4662</v>
      </c>
      <c r="O160" s="130" t="s">
        <v>4436</v>
      </c>
      <c r="P160" s="130" t="s">
        <v>4566</v>
      </c>
      <c r="Q160" s="130">
        <v>38231190</v>
      </c>
      <c r="R160" s="136">
        <v>1</v>
      </c>
      <c r="S160" s="130" t="s">
        <v>70</v>
      </c>
      <c r="T160" s="136" t="s">
        <v>44</v>
      </c>
      <c r="U160" s="136" t="s">
        <v>4528</v>
      </c>
      <c r="V160" s="136">
        <v>1550</v>
      </c>
      <c r="W160" s="133">
        <f t="shared" si="8"/>
        <v>1550</v>
      </c>
      <c r="X160" s="136">
        <v>0.51</v>
      </c>
      <c r="Y160" s="136">
        <v>44.23</v>
      </c>
      <c r="Z160" s="136">
        <v>0</v>
      </c>
      <c r="AA160" s="136">
        <v>0</v>
      </c>
      <c r="AB160" s="131">
        <v>42136</v>
      </c>
      <c r="AC160" s="134">
        <f t="shared" si="6"/>
        <v>1505.259958071279</v>
      </c>
      <c r="AD160" s="135">
        <v>71.55</v>
      </c>
      <c r="AE160" s="136">
        <f t="shared" si="7"/>
        <v>110902.5</v>
      </c>
      <c r="AF160" s="130">
        <v>107701.35</v>
      </c>
      <c r="AG160" s="138">
        <v>71.55</v>
      </c>
      <c r="AH160" s="136" t="s">
        <v>4914</v>
      </c>
      <c r="AI160" s="136">
        <v>1529</v>
      </c>
      <c r="AJ160" s="132" t="s">
        <v>4915</v>
      </c>
      <c r="AK160" s="136" t="s">
        <v>4916</v>
      </c>
      <c r="AL160" s="132" t="s">
        <v>4917</v>
      </c>
      <c r="AM160" s="131" t="s">
        <v>49</v>
      </c>
      <c r="AN160" s="136" t="s">
        <v>4440</v>
      </c>
    </row>
    <row r="161" spans="1:40" s="129" customFormat="1" x14ac:dyDescent="0.25">
      <c r="A161" s="136">
        <v>160</v>
      </c>
      <c r="B161" s="130" t="s">
        <v>4428</v>
      </c>
      <c r="C161" s="130" t="s">
        <v>38</v>
      </c>
      <c r="D161" s="136">
        <v>9103650124</v>
      </c>
      <c r="E161" s="132">
        <v>42139</v>
      </c>
      <c r="F161" s="132" t="s">
        <v>4792</v>
      </c>
      <c r="G161" s="132" t="s">
        <v>248</v>
      </c>
      <c r="H161" s="130" t="s">
        <v>4491</v>
      </c>
      <c r="I161" s="132" t="s">
        <v>40</v>
      </c>
      <c r="J161" s="131" t="s">
        <v>4432</v>
      </c>
      <c r="K161" s="132" t="s">
        <v>4433</v>
      </c>
      <c r="L161" s="136">
        <v>9519857</v>
      </c>
      <c r="M161" s="132" t="s">
        <v>4494</v>
      </c>
      <c r="N161" s="136" t="s">
        <v>3741</v>
      </c>
      <c r="O161" s="130" t="s">
        <v>4436</v>
      </c>
      <c r="P161" s="130" t="s">
        <v>4492</v>
      </c>
      <c r="Q161" s="130">
        <v>29051700</v>
      </c>
      <c r="R161" s="136">
        <v>18.14</v>
      </c>
      <c r="S161" s="130" t="s">
        <v>70</v>
      </c>
      <c r="T161" s="136" t="s">
        <v>44</v>
      </c>
      <c r="U161" s="136" t="s">
        <v>53</v>
      </c>
      <c r="V161" s="136">
        <v>1801</v>
      </c>
      <c r="W161" s="133">
        <f t="shared" si="8"/>
        <v>32670.14</v>
      </c>
      <c r="X161" s="136">
        <v>10.78</v>
      </c>
      <c r="Y161" s="136">
        <v>3552</v>
      </c>
      <c r="Z161" s="136">
        <v>0</v>
      </c>
      <c r="AA161" s="136">
        <v>0</v>
      </c>
      <c r="AB161" s="131">
        <v>42138</v>
      </c>
      <c r="AC161" s="134">
        <f t="shared" si="6"/>
        <v>29107.360031595577</v>
      </c>
      <c r="AD161" s="135">
        <v>63.3</v>
      </c>
      <c r="AE161" s="136">
        <f t="shared" si="7"/>
        <v>2068019.862</v>
      </c>
      <c r="AF161" s="137">
        <v>1842495.89</v>
      </c>
      <c r="AG161" s="138">
        <v>63.3</v>
      </c>
      <c r="AH161" s="136" t="s">
        <v>4918</v>
      </c>
      <c r="AI161" s="133">
        <v>32670.14</v>
      </c>
      <c r="AJ161" s="132" t="s">
        <v>4844</v>
      </c>
      <c r="AK161" s="136" t="s">
        <v>4919</v>
      </c>
      <c r="AL161" s="132" t="s">
        <v>4692</v>
      </c>
      <c r="AM161" s="131" t="s">
        <v>49</v>
      </c>
      <c r="AN161" s="133" t="s">
        <v>4440</v>
      </c>
    </row>
    <row r="162" spans="1:40" s="129" customFormat="1" x14ac:dyDescent="0.25">
      <c r="A162" s="130">
        <v>161</v>
      </c>
      <c r="B162" s="130" t="s">
        <v>4428</v>
      </c>
      <c r="C162" s="130" t="s">
        <v>38</v>
      </c>
      <c r="D162" s="136">
        <v>9103650125</v>
      </c>
      <c r="E162" s="132">
        <v>42139</v>
      </c>
      <c r="F162" s="132" t="s">
        <v>4792</v>
      </c>
      <c r="G162" s="132" t="s">
        <v>266</v>
      </c>
      <c r="H162" s="130" t="s">
        <v>4491</v>
      </c>
      <c r="I162" s="132" t="s">
        <v>40</v>
      </c>
      <c r="J162" s="131" t="s">
        <v>4432</v>
      </c>
      <c r="K162" s="132" t="s">
        <v>4433</v>
      </c>
      <c r="L162" s="136">
        <v>9519876</v>
      </c>
      <c r="M162" s="132" t="s">
        <v>4494</v>
      </c>
      <c r="N162" s="136" t="s">
        <v>3741</v>
      </c>
      <c r="O162" s="130" t="s">
        <v>4436</v>
      </c>
      <c r="P162" s="130" t="s">
        <v>4492</v>
      </c>
      <c r="Q162" s="130">
        <v>38237090</v>
      </c>
      <c r="R162" s="136">
        <v>18.41</v>
      </c>
      <c r="S162" s="130" t="s">
        <v>70</v>
      </c>
      <c r="T162" s="136" t="s">
        <v>44</v>
      </c>
      <c r="U162" s="136" t="s">
        <v>53</v>
      </c>
      <c r="V162" s="136">
        <v>1603</v>
      </c>
      <c r="W162" s="133">
        <f t="shared" si="8"/>
        <v>29511.23</v>
      </c>
      <c r="X162" s="136">
        <v>9.6</v>
      </c>
      <c r="Y162" s="136">
        <v>3552</v>
      </c>
      <c r="Z162" s="136">
        <v>0</v>
      </c>
      <c r="AA162" s="136">
        <v>0</v>
      </c>
      <c r="AB162" s="131">
        <v>42138</v>
      </c>
      <c r="AC162" s="134">
        <f t="shared" si="6"/>
        <v>25516.820063191153</v>
      </c>
      <c r="AD162" s="135">
        <v>63.3</v>
      </c>
      <c r="AE162" s="136">
        <f t="shared" si="7"/>
        <v>1868060.8589999999</v>
      </c>
      <c r="AF162" s="137">
        <v>1615214.71</v>
      </c>
      <c r="AG162" s="138">
        <v>63.3</v>
      </c>
      <c r="AH162" s="136" t="s">
        <v>4920</v>
      </c>
      <c r="AI162" s="133">
        <v>29078.42</v>
      </c>
      <c r="AJ162" s="132" t="s">
        <v>4844</v>
      </c>
      <c r="AK162" s="136" t="s">
        <v>4921</v>
      </c>
      <c r="AL162" s="132" t="s">
        <v>4692</v>
      </c>
      <c r="AM162" s="131" t="s">
        <v>49</v>
      </c>
      <c r="AN162" s="133" t="s">
        <v>4440</v>
      </c>
    </row>
    <row r="163" spans="1:40" s="129" customFormat="1" ht="25.5" x14ac:dyDescent="0.25">
      <c r="A163" s="136">
        <v>162</v>
      </c>
      <c r="B163" s="130" t="s">
        <v>4428</v>
      </c>
      <c r="C163" s="130" t="s">
        <v>38</v>
      </c>
      <c r="D163" s="136">
        <v>9103650126</v>
      </c>
      <c r="E163" s="132">
        <v>42140</v>
      </c>
      <c r="F163" s="132" t="s">
        <v>4792</v>
      </c>
      <c r="G163" s="132" t="s">
        <v>252</v>
      </c>
      <c r="H163" s="130" t="s">
        <v>4463</v>
      </c>
      <c r="I163" s="132" t="s">
        <v>40</v>
      </c>
      <c r="J163" s="131" t="s">
        <v>4432</v>
      </c>
      <c r="K163" s="132" t="s">
        <v>4433</v>
      </c>
      <c r="L163" s="136">
        <v>9521975</v>
      </c>
      <c r="M163" s="132">
        <v>42136</v>
      </c>
      <c r="N163" s="136" t="s">
        <v>4570</v>
      </c>
      <c r="O163" s="130" t="s">
        <v>4436</v>
      </c>
      <c r="P163" s="130" t="s">
        <v>143</v>
      </c>
      <c r="Q163" s="130">
        <v>38237090</v>
      </c>
      <c r="R163" s="136">
        <v>15</v>
      </c>
      <c r="S163" s="130" t="s">
        <v>70</v>
      </c>
      <c r="T163" s="136" t="s">
        <v>44</v>
      </c>
      <c r="U163" s="136" t="s">
        <v>53</v>
      </c>
      <c r="V163" s="136">
        <v>1570</v>
      </c>
      <c r="W163" s="133">
        <f t="shared" si="8"/>
        <v>23550</v>
      </c>
      <c r="X163" s="136">
        <v>7.71</v>
      </c>
      <c r="Y163" s="136">
        <v>613</v>
      </c>
      <c r="Z163" s="136">
        <v>0</v>
      </c>
      <c r="AA163" s="136">
        <v>0</v>
      </c>
      <c r="AB163" s="131">
        <v>42138</v>
      </c>
      <c r="AC163" s="134">
        <f t="shared" si="6"/>
        <v>22929.230015797788</v>
      </c>
      <c r="AD163" s="135">
        <v>63.3</v>
      </c>
      <c r="AE163" s="136">
        <f t="shared" si="7"/>
        <v>1490715</v>
      </c>
      <c r="AF163" s="137">
        <v>1451420.26</v>
      </c>
      <c r="AG163" s="138">
        <v>63.3</v>
      </c>
      <c r="AH163" s="136" t="s">
        <v>4922</v>
      </c>
      <c r="AI163" s="133">
        <v>23550</v>
      </c>
      <c r="AJ163" s="132">
        <v>42152</v>
      </c>
      <c r="AK163" s="139" t="s">
        <v>4923</v>
      </c>
      <c r="AL163" s="142" t="s">
        <v>4924</v>
      </c>
      <c r="AM163" s="131" t="s">
        <v>49</v>
      </c>
      <c r="AN163" s="133" t="s">
        <v>4440</v>
      </c>
    </row>
    <row r="164" spans="1:40" s="129" customFormat="1" x14ac:dyDescent="0.25">
      <c r="A164" s="130">
        <v>163</v>
      </c>
      <c r="B164" s="130" t="s">
        <v>4428</v>
      </c>
      <c r="C164" s="130" t="s">
        <v>38</v>
      </c>
      <c r="D164" s="136">
        <v>9103650127</v>
      </c>
      <c r="E164" s="132">
        <v>42151</v>
      </c>
      <c r="F164" s="132" t="s">
        <v>4792</v>
      </c>
      <c r="G164" s="132" t="s">
        <v>274</v>
      </c>
      <c r="H164" s="130" t="s">
        <v>4491</v>
      </c>
      <c r="I164" s="132" t="s">
        <v>40</v>
      </c>
      <c r="J164" s="131" t="s">
        <v>4432</v>
      </c>
      <c r="K164" s="132" t="s">
        <v>4433</v>
      </c>
      <c r="L164" s="136">
        <v>9546483</v>
      </c>
      <c r="M164" s="132" t="s">
        <v>4925</v>
      </c>
      <c r="N164" s="136" t="s">
        <v>3741</v>
      </c>
      <c r="O164" s="130" t="s">
        <v>4436</v>
      </c>
      <c r="P164" s="130" t="s">
        <v>4492</v>
      </c>
      <c r="Q164" s="130">
        <v>38237090</v>
      </c>
      <c r="R164" s="136">
        <v>18</v>
      </c>
      <c r="S164" s="130" t="s">
        <v>70</v>
      </c>
      <c r="T164" s="136" t="s">
        <v>44</v>
      </c>
      <c r="U164" s="136" t="s">
        <v>53</v>
      </c>
      <c r="V164" s="136">
        <v>1597</v>
      </c>
      <c r="W164" s="133">
        <f t="shared" si="8"/>
        <v>28746</v>
      </c>
      <c r="X164" s="136">
        <v>9.49</v>
      </c>
      <c r="Y164" s="136">
        <v>2500</v>
      </c>
      <c r="Z164" s="136">
        <v>0</v>
      </c>
      <c r="AA164" s="136">
        <v>0</v>
      </c>
      <c r="AB164" s="131">
        <v>42138</v>
      </c>
      <c r="AC164" s="134">
        <f t="shared" si="6"/>
        <v>26236.509952606637</v>
      </c>
      <c r="AD164" s="135">
        <v>63.3</v>
      </c>
      <c r="AE164" s="136">
        <f t="shared" si="7"/>
        <v>1819621.7999999998</v>
      </c>
      <c r="AF164" s="137">
        <v>1660771.08</v>
      </c>
      <c r="AG164" s="138">
        <v>63.3</v>
      </c>
      <c r="AH164" s="136" t="s">
        <v>4926</v>
      </c>
      <c r="AI164" s="133">
        <v>28746</v>
      </c>
      <c r="AJ164" s="132" t="s">
        <v>4844</v>
      </c>
      <c r="AK164" s="136" t="s">
        <v>4927</v>
      </c>
      <c r="AL164" s="132" t="s">
        <v>4692</v>
      </c>
      <c r="AM164" s="131" t="s">
        <v>49</v>
      </c>
      <c r="AN164" s="133" t="s">
        <v>4440</v>
      </c>
    </row>
    <row r="165" spans="1:40" s="129" customFormat="1" x14ac:dyDescent="0.25">
      <c r="A165" s="136">
        <v>164</v>
      </c>
      <c r="B165" s="130" t="s">
        <v>4428</v>
      </c>
      <c r="C165" s="130" t="s">
        <v>38</v>
      </c>
      <c r="D165" s="136">
        <v>9103650128</v>
      </c>
      <c r="E165" s="132">
        <v>42151</v>
      </c>
      <c r="F165" s="132" t="s">
        <v>4792</v>
      </c>
      <c r="G165" s="132" t="s">
        <v>260</v>
      </c>
      <c r="H165" s="130" t="s">
        <v>4491</v>
      </c>
      <c r="I165" s="132" t="s">
        <v>40</v>
      </c>
      <c r="J165" s="131" t="s">
        <v>4432</v>
      </c>
      <c r="K165" s="132" t="s">
        <v>4433</v>
      </c>
      <c r="L165" s="136">
        <v>9546998</v>
      </c>
      <c r="M165" s="132" t="s">
        <v>4925</v>
      </c>
      <c r="N165" s="136" t="s">
        <v>3741</v>
      </c>
      <c r="O165" s="130" t="s">
        <v>4436</v>
      </c>
      <c r="P165" s="130" t="s">
        <v>4492</v>
      </c>
      <c r="Q165" s="130">
        <v>38237090</v>
      </c>
      <c r="R165" s="136">
        <v>18</v>
      </c>
      <c r="S165" s="130" t="s">
        <v>70</v>
      </c>
      <c r="T165" s="136" t="s">
        <v>44</v>
      </c>
      <c r="U165" s="136" t="s">
        <v>53</v>
      </c>
      <c r="V165" s="136">
        <v>1597</v>
      </c>
      <c r="W165" s="133">
        <f t="shared" si="8"/>
        <v>28746</v>
      </c>
      <c r="X165" s="136">
        <v>9.49</v>
      </c>
      <c r="Y165" s="136">
        <v>2500</v>
      </c>
      <c r="Z165" s="136">
        <v>0</v>
      </c>
      <c r="AA165" s="136">
        <v>0</v>
      </c>
      <c r="AB165" s="131">
        <v>42138</v>
      </c>
      <c r="AC165" s="134">
        <f t="shared" si="6"/>
        <v>26236.509952606637</v>
      </c>
      <c r="AD165" s="135">
        <v>63.3</v>
      </c>
      <c r="AE165" s="136">
        <f t="shared" si="7"/>
        <v>1819621.7999999998</v>
      </c>
      <c r="AF165" s="137">
        <v>1660771.08</v>
      </c>
      <c r="AG165" s="138">
        <v>63.3</v>
      </c>
      <c r="AH165" s="136" t="s">
        <v>4928</v>
      </c>
      <c r="AI165" s="133">
        <v>28746</v>
      </c>
      <c r="AJ165" s="132" t="s">
        <v>4844</v>
      </c>
      <c r="AK165" s="136" t="s">
        <v>4929</v>
      </c>
      <c r="AL165" s="132" t="s">
        <v>4692</v>
      </c>
      <c r="AM165" s="131" t="s">
        <v>49</v>
      </c>
      <c r="AN165" s="133" t="s">
        <v>4440</v>
      </c>
    </row>
    <row r="166" spans="1:40" s="129" customFormat="1" x14ac:dyDescent="0.25">
      <c r="A166" s="130">
        <v>165</v>
      </c>
      <c r="B166" s="130" t="s">
        <v>4428</v>
      </c>
      <c r="C166" s="130" t="s">
        <v>38</v>
      </c>
      <c r="D166" s="136" t="s">
        <v>4930</v>
      </c>
      <c r="E166" s="132">
        <v>42143</v>
      </c>
      <c r="F166" s="132" t="s">
        <v>4792</v>
      </c>
      <c r="G166" s="132" t="s">
        <v>246</v>
      </c>
      <c r="H166" s="130" t="s">
        <v>4456</v>
      </c>
      <c r="I166" s="132" t="s">
        <v>40</v>
      </c>
      <c r="J166" s="131" t="s">
        <v>4432</v>
      </c>
      <c r="K166" s="132" t="s">
        <v>4433</v>
      </c>
      <c r="L166" s="136">
        <v>9506346</v>
      </c>
      <c r="M166" s="132">
        <v>42135</v>
      </c>
      <c r="N166" s="136" t="s">
        <v>4876</v>
      </c>
      <c r="O166" s="130" t="s">
        <v>4436</v>
      </c>
      <c r="P166" s="130" t="s">
        <v>90</v>
      </c>
      <c r="Q166" s="130">
        <v>34021900</v>
      </c>
      <c r="R166" s="136">
        <v>16.8</v>
      </c>
      <c r="S166" s="130" t="s">
        <v>70</v>
      </c>
      <c r="T166" s="136" t="s">
        <v>67</v>
      </c>
      <c r="U166" s="136" t="s">
        <v>53</v>
      </c>
      <c r="V166" s="136">
        <v>2227</v>
      </c>
      <c r="W166" s="133">
        <f t="shared" si="8"/>
        <v>37413.599999999999</v>
      </c>
      <c r="X166" s="136">
        <v>0</v>
      </c>
      <c r="Y166" s="136">
        <v>0</v>
      </c>
      <c r="Z166" s="136">
        <v>0</v>
      </c>
      <c r="AA166" s="136">
        <v>0</v>
      </c>
      <c r="AB166" s="131">
        <v>42136</v>
      </c>
      <c r="AC166" s="134">
        <f t="shared" si="6"/>
        <v>37413.599999999999</v>
      </c>
      <c r="AD166" s="135">
        <v>63.3</v>
      </c>
      <c r="AE166" s="136">
        <f t="shared" si="7"/>
        <v>2368280.88</v>
      </c>
      <c r="AF166" s="137">
        <v>2368280.88</v>
      </c>
      <c r="AG166" s="138">
        <v>63.3</v>
      </c>
      <c r="AH166" s="136" t="s">
        <v>4931</v>
      </c>
      <c r="AI166" s="136">
        <v>37413.599999999999</v>
      </c>
      <c r="AJ166" s="132" t="s">
        <v>4627</v>
      </c>
      <c r="AK166" s="136" t="s">
        <v>4932</v>
      </c>
      <c r="AL166" s="132" t="s">
        <v>4629</v>
      </c>
      <c r="AM166" s="131" t="s">
        <v>49</v>
      </c>
      <c r="AN166" s="136" t="s">
        <v>4440</v>
      </c>
    </row>
    <row r="167" spans="1:40" s="129" customFormat="1" x14ac:dyDescent="0.25">
      <c r="A167" s="136">
        <v>166</v>
      </c>
      <c r="B167" s="130" t="s">
        <v>4428</v>
      </c>
      <c r="C167" s="130" t="s">
        <v>38</v>
      </c>
      <c r="D167" s="136" t="s">
        <v>4930</v>
      </c>
      <c r="E167" s="132">
        <v>42143</v>
      </c>
      <c r="F167" s="132" t="s">
        <v>4792</v>
      </c>
      <c r="G167" s="132" t="s">
        <v>250</v>
      </c>
      <c r="H167" s="130" t="s">
        <v>4456</v>
      </c>
      <c r="I167" s="132" t="s">
        <v>40</v>
      </c>
      <c r="J167" s="131" t="s">
        <v>4432</v>
      </c>
      <c r="K167" s="132" t="s">
        <v>4433</v>
      </c>
      <c r="L167" s="136">
        <v>9549001</v>
      </c>
      <c r="M167" s="132" t="s">
        <v>4450</v>
      </c>
      <c r="N167" s="136" t="s">
        <v>4876</v>
      </c>
      <c r="O167" s="130" t="s">
        <v>4436</v>
      </c>
      <c r="P167" s="130" t="s">
        <v>90</v>
      </c>
      <c r="Q167" s="130">
        <v>34021900</v>
      </c>
      <c r="R167" s="136">
        <v>16.8</v>
      </c>
      <c r="S167" s="130" t="s">
        <v>70</v>
      </c>
      <c r="T167" s="136" t="s">
        <v>67</v>
      </c>
      <c r="U167" s="136" t="s">
        <v>53</v>
      </c>
      <c r="V167" s="136">
        <v>2227</v>
      </c>
      <c r="W167" s="133">
        <f t="shared" si="8"/>
        <v>37413.599999999999</v>
      </c>
      <c r="X167" s="136">
        <v>0</v>
      </c>
      <c r="Y167" s="136">
        <v>0</v>
      </c>
      <c r="Z167" s="136">
        <v>0</v>
      </c>
      <c r="AA167" s="136">
        <v>0</v>
      </c>
      <c r="AB167" s="131">
        <v>42138</v>
      </c>
      <c r="AC167" s="134">
        <f t="shared" si="6"/>
        <v>37413.599999999999</v>
      </c>
      <c r="AD167" s="135">
        <v>63.3</v>
      </c>
      <c r="AE167" s="136">
        <f t="shared" si="7"/>
        <v>2368280.88</v>
      </c>
      <c r="AF167" s="145">
        <v>2368280.88</v>
      </c>
      <c r="AG167" s="138">
        <v>63.3</v>
      </c>
      <c r="AH167" s="136" t="s">
        <v>4931</v>
      </c>
      <c r="AI167" s="136">
        <v>37413.599999999999</v>
      </c>
      <c r="AJ167" s="132">
        <v>42228</v>
      </c>
      <c r="AK167" s="136" t="s">
        <v>4933</v>
      </c>
      <c r="AL167" s="132">
        <v>42229</v>
      </c>
      <c r="AM167" s="131" t="s">
        <v>49</v>
      </c>
      <c r="AN167" s="136" t="s">
        <v>4440</v>
      </c>
    </row>
    <row r="168" spans="1:40" s="129" customFormat="1" x14ac:dyDescent="0.25">
      <c r="A168" s="130">
        <v>167</v>
      </c>
      <c r="B168" s="130" t="s">
        <v>4428</v>
      </c>
      <c r="C168" s="130" t="s">
        <v>38</v>
      </c>
      <c r="D168" s="136" t="s">
        <v>4930</v>
      </c>
      <c r="E168" s="132">
        <v>42143</v>
      </c>
      <c r="F168" s="132" t="s">
        <v>4792</v>
      </c>
      <c r="G168" s="132" t="s">
        <v>273</v>
      </c>
      <c r="H168" s="130" t="s">
        <v>4456</v>
      </c>
      <c r="I168" s="132" t="s">
        <v>40</v>
      </c>
      <c r="J168" s="131" t="s">
        <v>4432</v>
      </c>
      <c r="K168" s="132" t="s">
        <v>4433</v>
      </c>
      <c r="L168" s="136">
        <v>9528826</v>
      </c>
      <c r="M168" s="132" t="s">
        <v>4450</v>
      </c>
      <c r="N168" s="136" t="s">
        <v>4876</v>
      </c>
      <c r="O168" s="130" t="s">
        <v>4436</v>
      </c>
      <c r="P168" s="130" t="s">
        <v>90</v>
      </c>
      <c r="Q168" s="130">
        <v>34021900</v>
      </c>
      <c r="R168" s="136">
        <v>16.8</v>
      </c>
      <c r="S168" s="130" t="s">
        <v>70</v>
      </c>
      <c r="T168" s="136" t="s">
        <v>67</v>
      </c>
      <c r="U168" s="136" t="s">
        <v>53</v>
      </c>
      <c r="V168" s="136">
        <v>2227</v>
      </c>
      <c r="W168" s="133">
        <f t="shared" si="8"/>
        <v>37413.599999999999</v>
      </c>
      <c r="X168" s="136">
        <v>0</v>
      </c>
      <c r="Y168" s="136">
        <v>0</v>
      </c>
      <c r="Z168" s="136">
        <v>0</v>
      </c>
      <c r="AA168" s="136">
        <v>0</v>
      </c>
      <c r="AB168" s="131">
        <v>42138</v>
      </c>
      <c r="AC168" s="134">
        <f t="shared" si="6"/>
        <v>37413.599999999999</v>
      </c>
      <c r="AD168" s="135">
        <v>63.3</v>
      </c>
      <c r="AE168" s="136">
        <f t="shared" si="7"/>
        <v>2368280.88</v>
      </c>
      <c r="AF168" s="137">
        <v>2368280.88</v>
      </c>
      <c r="AG168" s="138">
        <v>63.3</v>
      </c>
      <c r="AH168" s="136" t="s">
        <v>4931</v>
      </c>
      <c r="AI168" s="136">
        <v>37413.599999999999</v>
      </c>
      <c r="AJ168" s="132" t="s">
        <v>4627</v>
      </c>
      <c r="AK168" s="136" t="s">
        <v>4932</v>
      </c>
      <c r="AL168" s="132" t="s">
        <v>4629</v>
      </c>
      <c r="AM168" s="131" t="s">
        <v>49</v>
      </c>
      <c r="AN168" s="136" t="s">
        <v>4440</v>
      </c>
    </row>
    <row r="169" spans="1:40" s="129" customFormat="1" x14ac:dyDescent="0.25">
      <c r="A169" s="136">
        <v>168</v>
      </c>
      <c r="B169" s="130" t="s">
        <v>4428</v>
      </c>
      <c r="C169" s="130" t="s">
        <v>38</v>
      </c>
      <c r="D169" s="136">
        <v>9103650132</v>
      </c>
      <c r="E169" s="132">
        <v>42142</v>
      </c>
      <c r="F169" s="132" t="s">
        <v>4792</v>
      </c>
      <c r="G169" s="132" t="s">
        <v>275</v>
      </c>
      <c r="H169" s="130" t="s">
        <v>4446</v>
      </c>
      <c r="I169" s="132" t="s">
        <v>40</v>
      </c>
      <c r="J169" s="131" t="s">
        <v>4432</v>
      </c>
      <c r="K169" s="132" t="s">
        <v>4433</v>
      </c>
      <c r="L169" s="136">
        <v>9549361</v>
      </c>
      <c r="M169" s="132" t="s">
        <v>4925</v>
      </c>
      <c r="N169" s="136" t="s">
        <v>4592</v>
      </c>
      <c r="O169" s="130" t="s">
        <v>4436</v>
      </c>
      <c r="P169" s="130" t="s">
        <v>4492</v>
      </c>
      <c r="Q169" s="130">
        <v>38237090</v>
      </c>
      <c r="R169" s="136">
        <v>37.97</v>
      </c>
      <c r="S169" s="130" t="s">
        <v>70</v>
      </c>
      <c r="T169" s="136" t="s">
        <v>67</v>
      </c>
      <c r="U169" s="136" t="s">
        <v>53</v>
      </c>
      <c r="V169" s="136">
        <v>1390</v>
      </c>
      <c r="W169" s="133">
        <f t="shared" si="8"/>
        <v>52778.299999999996</v>
      </c>
      <c r="X169" s="136">
        <v>0</v>
      </c>
      <c r="Y169" s="136">
        <v>0</v>
      </c>
      <c r="Z169" s="136">
        <v>0</v>
      </c>
      <c r="AA169" s="136">
        <v>0</v>
      </c>
      <c r="AB169" s="131">
        <v>42138</v>
      </c>
      <c r="AC169" s="134">
        <f t="shared" si="6"/>
        <v>52778.3</v>
      </c>
      <c r="AD169" s="135">
        <v>63.3</v>
      </c>
      <c r="AE169" s="136">
        <f t="shared" si="7"/>
        <v>3340866.3899999997</v>
      </c>
      <c r="AF169" s="137">
        <v>3340866.39</v>
      </c>
      <c r="AG169" s="138">
        <v>63.3</v>
      </c>
      <c r="AH169" s="136" t="s">
        <v>4934</v>
      </c>
      <c r="AI169" s="133">
        <v>52738.3</v>
      </c>
      <c r="AJ169" s="132" t="s">
        <v>4577</v>
      </c>
      <c r="AK169" s="136" t="s">
        <v>4935</v>
      </c>
      <c r="AL169" s="132" t="s">
        <v>4936</v>
      </c>
      <c r="AM169" s="131" t="s">
        <v>49</v>
      </c>
      <c r="AN169" s="133" t="s">
        <v>4440</v>
      </c>
    </row>
    <row r="170" spans="1:40" s="129" customFormat="1" x14ac:dyDescent="0.25">
      <c r="A170" s="130">
        <v>169</v>
      </c>
      <c r="B170" s="130" t="s">
        <v>4428</v>
      </c>
      <c r="C170" s="130" t="s">
        <v>38</v>
      </c>
      <c r="D170" s="136">
        <v>9103650133</v>
      </c>
      <c r="E170" s="132">
        <v>42142</v>
      </c>
      <c r="F170" s="132" t="s">
        <v>4792</v>
      </c>
      <c r="G170" s="132" t="s">
        <v>249</v>
      </c>
      <c r="H170" s="130" t="s">
        <v>4491</v>
      </c>
      <c r="I170" s="132" t="s">
        <v>40</v>
      </c>
      <c r="J170" s="131" t="s">
        <v>4432</v>
      </c>
      <c r="K170" s="132" t="s">
        <v>4433</v>
      </c>
      <c r="L170" s="136">
        <v>9551776</v>
      </c>
      <c r="M170" s="132" t="s">
        <v>4925</v>
      </c>
      <c r="N170" s="136" t="s">
        <v>3741</v>
      </c>
      <c r="O170" s="130" t="s">
        <v>4436</v>
      </c>
      <c r="P170" s="130" t="s">
        <v>4492</v>
      </c>
      <c r="Q170" s="130">
        <v>38237090</v>
      </c>
      <c r="R170" s="136">
        <v>18.399999999999999</v>
      </c>
      <c r="S170" s="130" t="s">
        <v>70</v>
      </c>
      <c r="T170" s="136" t="s">
        <v>44</v>
      </c>
      <c r="U170" s="136" t="s">
        <v>53</v>
      </c>
      <c r="V170" s="136">
        <v>1563</v>
      </c>
      <c r="W170" s="133">
        <f t="shared" si="8"/>
        <v>28759.199999999997</v>
      </c>
      <c r="X170" s="136">
        <v>9.49</v>
      </c>
      <c r="Y170" s="136">
        <v>4300</v>
      </c>
      <c r="Z170" s="136">
        <v>0</v>
      </c>
      <c r="AA170" s="136">
        <v>0</v>
      </c>
      <c r="AB170" s="131">
        <v>42138</v>
      </c>
      <c r="AC170" s="134">
        <f t="shared" si="6"/>
        <v>24449.709952606634</v>
      </c>
      <c r="AD170" s="135">
        <v>63.3</v>
      </c>
      <c r="AE170" s="136">
        <f t="shared" si="7"/>
        <v>1820457.3599999996</v>
      </c>
      <c r="AF170" s="137">
        <v>1547666.64</v>
      </c>
      <c r="AG170" s="138">
        <v>63.3</v>
      </c>
      <c r="AH170" s="136" t="s">
        <v>4937</v>
      </c>
      <c r="AI170" s="133">
        <v>28759.200000000001</v>
      </c>
      <c r="AJ170" s="132" t="s">
        <v>4844</v>
      </c>
      <c r="AK170" s="136" t="s">
        <v>4938</v>
      </c>
      <c r="AL170" s="132" t="s">
        <v>4692</v>
      </c>
      <c r="AM170" s="131" t="s">
        <v>49</v>
      </c>
      <c r="AN170" s="133" t="s">
        <v>4440</v>
      </c>
    </row>
    <row r="171" spans="1:40" s="129" customFormat="1" x14ac:dyDescent="0.25">
      <c r="A171" s="136">
        <v>170</v>
      </c>
      <c r="B171" s="130" t="s">
        <v>4428</v>
      </c>
      <c r="C171" s="130" t="s">
        <v>38</v>
      </c>
      <c r="D171" s="136">
        <v>9103650134</v>
      </c>
      <c r="E171" s="132">
        <v>42140</v>
      </c>
      <c r="F171" s="132" t="s">
        <v>4792</v>
      </c>
      <c r="G171" s="132" t="s">
        <v>259</v>
      </c>
      <c r="H171" s="130" t="s">
        <v>4463</v>
      </c>
      <c r="I171" s="132" t="s">
        <v>40</v>
      </c>
      <c r="J171" s="131" t="s">
        <v>4432</v>
      </c>
      <c r="K171" s="132" t="s">
        <v>4433</v>
      </c>
      <c r="L171" s="136">
        <v>9553389</v>
      </c>
      <c r="M171" s="132">
        <v>42137</v>
      </c>
      <c r="N171" s="136" t="s">
        <v>4473</v>
      </c>
      <c r="O171" s="130" t="s">
        <v>4436</v>
      </c>
      <c r="P171" s="130" t="s">
        <v>2263</v>
      </c>
      <c r="Q171" s="130">
        <v>38237090</v>
      </c>
      <c r="R171" s="136">
        <v>93.88</v>
      </c>
      <c r="S171" s="130" t="s">
        <v>70</v>
      </c>
      <c r="T171" s="136" t="s">
        <v>67</v>
      </c>
      <c r="U171" s="136" t="s">
        <v>1117</v>
      </c>
      <c r="V171" s="136">
        <v>82189</v>
      </c>
      <c r="W171" s="133">
        <f t="shared" si="8"/>
        <v>7715903.3199999994</v>
      </c>
      <c r="X171" s="136">
        <v>0</v>
      </c>
      <c r="Y171" s="136">
        <v>0</v>
      </c>
      <c r="Z171" s="136">
        <v>0</v>
      </c>
      <c r="AA171" s="136">
        <v>128315.47</v>
      </c>
      <c r="AB171" s="131">
        <v>42138</v>
      </c>
      <c r="AC171" s="134">
        <f t="shared" si="6"/>
        <v>7715903.3200000003</v>
      </c>
      <c r="AD171" s="135">
        <v>1</v>
      </c>
      <c r="AE171" s="136">
        <f t="shared" si="7"/>
        <v>7715903.3199999994</v>
      </c>
      <c r="AF171" s="130">
        <v>7715903.3200000003</v>
      </c>
      <c r="AG171" s="138">
        <v>1</v>
      </c>
      <c r="AH171" s="136" t="s">
        <v>4939</v>
      </c>
      <c r="AI171" s="136">
        <v>7715903.3200000003</v>
      </c>
      <c r="AJ171" s="132">
        <v>42153</v>
      </c>
      <c r="AK171" s="136" t="s">
        <v>4940</v>
      </c>
      <c r="AL171" s="132">
        <v>42154</v>
      </c>
      <c r="AM171" s="131" t="s">
        <v>49</v>
      </c>
      <c r="AN171" s="136" t="s">
        <v>4440</v>
      </c>
    </row>
    <row r="172" spans="1:40" s="129" customFormat="1" x14ac:dyDescent="0.25">
      <c r="A172" s="130">
        <v>171</v>
      </c>
      <c r="B172" s="130" t="s">
        <v>4428</v>
      </c>
      <c r="C172" s="130" t="s">
        <v>38</v>
      </c>
      <c r="D172" s="136">
        <v>9103650135</v>
      </c>
      <c r="E172" s="132">
        <v>42141</v>
      </c>
      <c r="F172" s="132" t="s">
        <v>4792</v>
      </c>
      <c r="G172" s="132" t="s">
        <v>251</v>
      </c>
      <c r="H172" s="130" t="s">
        <v>4491</v>
      </c>
      <c r="I172" s="132" t="s">
        <v>40</v>
      </c>
      <c r="J172" s="131" t="s">
        <v>4432</v>
      </c>
      <c r="K172" s="132" t="s">
        <v>4433</v>
      </c>
      <c r="L172" s="136">
        <v>9546460</v>
      </c>
      <c r="M172" s="132" t="s">
        <v>4925</v>
      </c>
      <c r="N172" s="136" t="s">
        <v>3741</v>
      </c>
      <c r="O172" s="130" t="s">
        <v>4436</v>
      </c>
      <c r="P172" s="130" t="s">
        <v>4492</v>
      </c>
      <c r="Q172" s="130">
        <v>38237090</v>
      </c>
      <c r="R172" s="136">
        <v>18</v>
      </c>
      <c r="S172" s="130" t="s">
        <v>70</v>
      </c>
      <c r="T172" s="136" t="s">
        <v>44</v>
      </c>
      <c r="U172" s="136" t="s">
        <v>53</v>
      </c>
      <c r="V172" s="136">
        <v>1620</v>
      </c>
      <c r="W172" s="133">
        <f t="shared" si="8"/>
        <v>29160</v>
      </c>
      <c r="X172" s="136">
        <v>9.6199999999999992</v>
      </c>
      <c r="Y172" s="136">
        <v>3150</v>
      </c>
      <c r="Z172" s="136">
        <v>0</v>
      </c>
      <c r="AA172" s="136">
        <v>0</v>
      </c>
      <c r="AB172" s="131">
        <v>42138</v>
      </c>
      <c r="AC172" s="134">
        <f t="shared" si="6"/>
        <v>26000.379936808848</v>
      </c>
      <c r="AD172" s="135">
        <v>63.3</v>
      </c>
      <c r="AE172" s="136">
        <f t="shared" si="7"/>
        <v>1845828</v>
      </c>
      <c r="AF172" s="137">
        <v>1645824.05</v>
      </c>
      <c r="AG172" s="138">
        <v>63.3</v>
      </c>
      <c r="AH172" s="136" t="s">
        <v>4941</v>
      </c>
      <c r="AI172" s="133">
        <v>29160</v>
      </c>
      <c r="AJ172" s="132" t="s">
        <v>4844</v>
      </c>
      <c r="AK172" s="136" t="s">
        <v>4942</v>
      </c>
      <c r="AL172" s="132" t="s">
        <v>4692</v>
      </c>
      <c r="AM172" s="131" t="s">
        <v>49</v>
      </c>
      <c r="AN172" s="133" t="s">
        <v>4440</v>
      </c>
    </row>
    <row r="173" spans="1:40" s="129" customFormat="1" x14ac:dyDescent="0.25">
      <c r="A173" s="136">
        <v>172</v>
      </c>
      <c r="B173" s="130" t="s">
        <v>4428</v>
      </c>
      <c r="C173" s="130" t="s">
        <v>38</v>
      </c>
      <c r="D173" s="136">
        <v>9103650136</v>
      </c>
      <c r="E173" s="132">
        <v>42147</v>
      </c>
      <c r="F173" s="132" t="s">
        <v>4792</v>
      </c>
      <c r="G173" s="132" t="s">
        <v>255</v>
      </c>
      <c r="H173" s="130" t="s">
        <v>4491</v>
      </c>
      <c r="I173" s="132" t="s">
        <v>40</v>
      </c>
      <c r="J173" s="131" t="s">
        <v>4432</v>
      </c>
      <c r="K173" s="132" t="s">
        <v>4433</v>
      </c>
      <c r="L173" s="136">
        <v>9571022</v>
      </c>
      <c r="M173" s="132" t="s">
        <v>4450</v>
      </c>
      <c r="N173" s="136" t="s">
        <v>3741</v>
      </c>
      <c r="O173" s="130" t="s">
        <v>4436</v>
      </c>
      <c r="P173" s="130" t="s">
        <v>4492</v>
      </c>
      <c r="Q173" s="130">
        <v>38237090</v>
      </c>
      <c r="R173" s="136">
        <v>18</v>
      </c>
      <c r="S173" s="130" t="s">
        <v>70</v>
      </c>
      <c r="T173" s="136" t="s">
        <v>44</v>
      </c>
      <c r="U173" s="136" t="s">
        <v>53</v>
      </c>
      <c r="V173" s="136">
        <v>1620</v>
      </c>
      <c r="W173" s="133">
        <f t="shared" si="8"/>
        <v>29160</v>
      </c>
      <c r="X173" s="136">
        <v>9.82</v>
      </c>
      <c r="Y173" s="136">
        <v>3150</v>
      </c>
      <c r="Z173" s="136">
        <v>0</v>
      </c>
      <c r="AA173" s="136">
        <v>0</v>
      </c>
      <c r="AB173" s="131">
        <v>42140</v>
      </c>
      <c r="AC173" s="134">
        <f t="shared" si="6"/>
        <v>26000.379936808848</v>
      </c>
      <c r="AD173" s="135">
        <v>63.3</v>
      </c>
      <c r="AE173" s="136">
        <f t="shared" si="7"/>
        <v>1845828</v>
      </c>
      <c r="AF173" s="137">
        <v>1645824.05</v>
      </c>
      <c r="AG173" s="138">
        <v>63.3</v>
      </c>
      <c r="AH173" s="136" t="s">
        <v>4943</v>
      </c>
      <c r="AI173" s="133">
        <v>29160</v>
      </c>
      <c r="AJ173" s="132" t="s">
        <v>4844</v>
      </c>
      <c r="AK173" s="136" t="s">
        <v>4944</v>
      </c>
      <c r="AL173" s="132" t="s">
        <v>4692</v>
      </c>
      <c r="AM173" s="131" t="s">
        <v>49</v>
      </c>
      <c r="AN173" s="133" t="s">
        <v>4440</v>
      </c>
    </row>
    <row r="174" spans="1:40" s="129" customFormat="1" x14ac:dyDescent="0.25">
      <c r="A174" s="130">
        <v>173</v>
      </c>
      <c r="B174" s="130" t="s">
        <v>4428</v>
      </c>
      <c r="C174" s="130" t="s">
        <v>38</v>
      </c>
      <c r="D174" s="136">
        <v>9103650137</v>
      </c>
      <c r="E174" s="132">
        <v>42143</v>
      </c>
      <c r="F174" s="132" t="s">
        <v>4792</v>
      </c>
      <c r="G174" s="132" t="s">
        <v>258</v>
      </c>
      <c r="H174" s="130" t="s">
        <v>4456</v>
      </c>
      <c r="I174" s="132" t="s">
        <v>40</v>
      </c>
      <c r="J174" s="131" t="s">
        <v>4432</v>
      </c>
      <c r="K174" s="132" t="s">
        <v>4433</v>
      </c>
      <c r="L174" s="136">
        <v>9571040</v>
      </c>
      <c r="M174" s="132" t="s">
        <v>4450</v>
      </c>
      <c r="N174" s="136" t="s">
        <v>4945</v>
      </c>
      <c r="O174" s="130" t="s">
        <v>4436</v>
      </c>
      <c r="P174" s="130" t="s">
        <v>90</v>
      </c>
      <c r="Q174" s="130">
        <v>38237090</v>
      </c>
      <c r="R174" s="136">
        <v>24</v>
      </c>
      <c r="S174" s="130" t="s">
        <v>70</v>
      </c>
      <c r="T174" s="136" t="s">
        <v>44</v>
      </c>
      <c r="U174" s="136" t="s">
        <v>53</v>
      </c>
      <c r="V174" s="136">
        <v>1535</v>
      </c>
      <c r="W174" s="133">
        <f t="shared" si="8"/>
        <v>36840</v>
      </c>
      <c r="X174" s="136">
        <v>12.16</v>
      </c>
      <c r="Y174" s="136">
        <v>1150</v>
      </c>
      <c r="Z174" s="136">
        <v>0</v>
      </c>
      <c r="AA174" s="136">
        <v>673.44</v>
      </c>
      <c r="AB174" s="131">
        <v>42139</v>
      </c>
      <c r="AC174" s="134">
        <f t="shared" si="6"/>
        <v>35677.839968404427</v>
      </c>
      <c r="AD174" s="135">
        <v>63.3</v>
      </c>
      <c r="AE174" s="136">
        <f t="shared" si="7"/>
        <v>2331972</v>
      </c>
      <c r="AF174" s="137">
        <v>2258407.27</v>
      </c>
      <c r="AG174" s="138">
        <v>63.3</v>
      </c>
      <c r="AH174" s="136" t="s">
        <v>4946</v>
      </c>
      <c r="AI174" s="133">
        <v>36720</v>
      </c>
      <c r="AJ174" s="132" t="s">
        <v>4779</v>
      </c>
      <c r="AK174" s="136" t="s">
        <v>4947</v>
      </c>
      <c r="AL174" s="132" t="s">
        <v>4884</v>
      </c>
      <c r="AM174" s="131" t="s">
        <v>49</v>
      </c>
      <c r="AN174" s="133" t="s">
        <v>4440</v>
      </c>
    </row>
    <row r="175" spans="1:40" s="129" customFormat="1" x14ac:dyDescent="0.25">
      <c r="A175" s="136">
        <v>174</v>
      </c>
      <c r="B175" s="130" t="s">
        <v>4428</v>
      </c>
      <c r="C175" s="130" t="s">
        <v>38</v>
      </c>
      <c r="D175" s="136">
        <v>9103650138</v>
      </c>
      <c r="E175" s="132">
        <v>42149</v>
      </c>
      <c r="F175" s="132" t="s">
        <v>4792</v>
      </c>
      <c r="G175" s="132" t="s">
        <v>261</v>
      </c>
      <c r="H175" s="130" t="s">
        <v>4564</v>
      </c>
      <c r="I175" s="132" t="s">
        <v>40</v>
      </c>
      <c r="J175" s="131" t="s">
        <v>4432</v>
      </c>
      <c r="K175" s="132" t="s">
        <v>4433</v>
      </c>
      <c r="L175" s="136">
        <v>9574997</v>
      </c>
      <c r="M175" s="132" t="s">
        <v>4450</v>
      </c>
      <c r="N175" s="136" t="s">
        <v>4733</v>
      </c>
      <c r="O175" s="130" t="s">
        <v>4436</v>
      </c>
      <c r="P175" s="130" t="s">
        <v>492</v>
      </c>
      <c r="Q175" s="130">
        <v>29157010</v>
      </c>
      <c r="R175" s="136">
        <v>58.19</v>
      </c>
      <c r="S175" s="130" t="s">
        <v>70</v>
      </c>
      <c r="T175" s="136" t="s">
        <v>44</v>
      </c>
      <c r="U175" s="136" t="s">
        <v>53</v>
      </c>
      <c r="V175" s="136">
        <v>920</v>
      </c>
      <c r="W175" s="133">
        <f t="shared" si="8"/>
        <v>53534.799999999996</v>
      </c>
      <c r="X175" s="136">
        <v>17.670000000000002</v>
      </c>
      <c r="Y175" s="136">
        <v>1200</v>
      </c>
      <c r="Z175" s="136">
        <v>0</v>
      </c>
      <c r="AA175" s="136">
        <v>0</v>
      </c>
      <c r="AB175" s="131">
        <v>42142</v>
      </c>
      <c r="AC175" s="134">
        <f t="shared" si="6"/>
        <v>52317.130015797789</v>
      </c>
      <c r="AD175" s="135">
        <v>63.3</v>
      </c>
      <c r="AE175" s="136">
        <f t="shared" si="7"/>
        <v>3388752.8399999994</v>
      </c>
      <c r="AF175" s="137">
        <v>3311674.33</v>
      </c>
      <c r="AG175" s="138">
        <v>63.3</v>
      </c>
      <c r="AH175" s="136" t="s">
        <v>4948</v>
      </c>
      <c r="AI175" s="133">
        <v>53477.93</v>
      </c>
      <c r="AJ175" s="132" t="s">
        <v>4563</v>
      </c>
      <c r="AK175" s="136" t="s">
        <v>4949</v>
      </c>
      <c r="AL175" s="132" t="s">
        <v>4836</v>
      </c>
      <c r="AM175" s="131" t="s">
        <v>49</v>
      </c>
      <c r="AN175" s="133" t="s">
        <v>4440</v>
      </c>
    </row>
    <row r="176" spans="1:40" s="129" customFormat="1" x14ac:dyDescent="0.25">
      <c r="A176" s="130">
        <v>175</v>
      </c>
      <c r="B176" s="130" t="s">
        <v>4428</v>
      </c>
      <c r="C176" s="130" t="s">
        <v>38</v>
      </c>
      <c r="D176" s="136">
        <v>9103650139</v>
      </c>
      <c r="E176" s="132">
        <v>42146</v>
      </c>
      <c r="F176" s="132" t="s">
        <v>4792</v>
      </c>
      <c r="G176" s="132" t="s">
        <v>268</v>
      </c>
      <c r="H176" s="130" t="s">
        <v>4456</v>
      </c>
      <c r="I176" s="132" t="s">
        <v>40</v>
      </c>
      <c r="J176" s="131" t="s">
        <v>4432</v>
      </c>
      <c r="K176" s="132" t="s">
        <v>4433</v>
      </c>
      <c r="L176" s="136">
        <v>9631962</v>
      </c>
      <c r="M176" s="132" t="s">
        <v>4594</v>
      </c>
      <c r="N176" s="136" t="s">
        <v>4950</v>
      </c>
      <c r="O176" s="130" t="s">
        <v>4436</v>
      </c>
      <c r="P176" s="130" t="s">
        <v>143</v>
      </c>
      <c r="Q176" s="130" t="s">
        <v>4559</v>
      </c>
      <c r="R176" s="136">
        <v>12.6</v>
      </c>
      <c r="S176" s="130" t="s">
        <v>70</v>
      </c>
      <c r="T176" s="136" t="s">
        <v>52</v>
      </c>
      <c r="U176" s="136" t="s">
        <v>53</v>
      </c>
      <c r="V176" s="136">
        <v>0</v>
      </c>
      <c r="W176" s="133">
        <f>(12*1545+0.6*1775)</f>
        <v>19605</v>
      </c>
      <c r="X176" s="136">
        <v>0</v>
      </c>
      <c r="Y176" s="136">
        <v>656</v>
      </c>
      <c r="Z176" s="136">
        <v>0</v>
      </c>
      <c r="AA176" s="136">
        <v>0</v>
      </c>
      <c r="AB176" s="131">
        <v>42143</v>
      </c>
      <c r="AC176" s="134">
        <f t="shared" si="6"/>
        <v>18949</v>
      </c>
      <c r="AD176" s="135">
        <v>63.3</v>
      </c>
      <c r="AE176" s="136">
        <f t="shared" si="7"/>
        <v>1240996.5</v>
      </c>
      <c r="AF176" s="137">
        <v>1199471.7</v>
      </c>
      <c r="AG176" s="138">
        <v>63.3</v>
      </c>
      <c r="AH176" s="136" t="s">
        <v>4951</v>
      </c>
      <c r="AI176" s="133">
        <v>19605</v>
      </c>
      <c r="AJ176" s="132" t="s">
        <v>4952</v>
      </c>
      <c r="AK176" s="136" t="s">
        <v>4953</v>
      </c>
      <c r="AL176" s="132" t="s">
        <v>4954</v>
      </c>
      <c r="AM176" s="131" t="s">
        <v>49</v>
      </c>
      <c r="AN176" s="133" t="s">
        <v>4440</v>
      </c>
    </row>
    <row r="177" spans="1:40" s="129" customFormat="1" x14ac:dyDescent="0.25">
      <c r="A177" s="136">
        <v>176</v>
      </c>
      <c r="B177" s="130" t="s">
        <v>4428</v>
      </c>
      <c r="C177" s="130" t="s">
        <v>38</v>
      </c>
      <c r="D177" s="136">
        <v>9103650140</v>
      </c>
      <c r="E177" s="132">
        <v>42148</v>
      </c>
      <c r="F177" s="132" t="s">
        <v>4792</v>
      </c>
      <c r="G177" s="132" t="s">
        <v>263</v>
      </c>
      <c r="H177" s="130" t="s">
        <v>4564</v>
      </c>
      <c r="I177" s="132" t="s">
        <v>40</v>
      </c>
      <c r="J177" s="131" t="s">
        <v>4432</v>
      </c>
      <c r="K177" s="132" t="s">
        <v>4433</v>
      </c>
      <c r="L177" s="136">
        <v>9630960</v>
      </c>
      <c r="M177" s="132" t="s">
        <v>4594</v>
      </c>
      <c r="N177" s="136" t="s">
        <v>4565</v>
      </c>
      <c r="O177" s="130" t="s">
        <v>4436</v>
      </c>
      <c r="P177" s="130" t="s">
        <v>4566</v>
      </c>
      <c r="Q177" s="130" t="s">
        <v>4559</v>
      </c>
      <c r="R177" s="136">
        <v>16</v>
      </c>
      <c r="S177" s="130" t="s">
        <v>70</v>
      </c>
      <c r="T177" s="136" t="s">
        <v>44</v>
      </c>
      <c r="U177" s="136" t="s">
        <v>53</v>
      </c>
      <c r="V177" s="136">
        <v>1450</v>
      </c>
      <c r="W177" s="133">
        <f>V177*R177</f>
        <v>23200</v>
      </c>
      <c r="X177" s="136">
        <v>3.32</v>
      </c>
      <c r="Y177" s="136">
        <v>100</v>
      </c>
      <c r="Z177" s="136">
        <v>0</v>
      </c>
      <c r="AA177" s="136">
        <v>0</v>
      </c>
      <c r="AB177" s="131">
        <v>42143</v>
      </c>
      <c r="AC177" s="134">
        <f t="shared" si="6"/>
        <v>23096.67993680885</v>
      </c>
      <c r="AD177" s="135">
        <v>63.3</v>
      </c>
      <c r="AE177" s="136">
        <f t="shared" si="7"/>
        <v>1468560</v>
      </c>
      <c r="AF177" s="137">
        <v>1462019.84</v>
      </c>
      <c r="AG177" s="138">
        <v>63.3</v>
      </c>
      <c r="AH177" s="136" t="s">
        <v>4955</v>
      </c>
      <c r="AI177" s="133">
        <v>23139</v>
      </c>
      <c r="AJ177" s="132" t="s">
        <v>4649</v>
      </c>
      <c r="AK177" s="136" t="s">
        <v>4956</v>
      </c>
      <c r="AL177" s="132" t="s">
        <v>4844</v>
      </c>
      <c r="AM177" s="131" t="s">
        <v>49</v>
      </c>
      <c r="AN177" s="133" t="s">
        <v>4440</v>
      </c>
    </row>
    <row r="178" spans="1:40" s="129" customFormat="1" x14ac:dyDescent="0.25">
      <c r="A178" s="130">
        <v>177</v>
      </c>
      <c r="B178" s="130" t="s">
        <v>4428</v>
      </c>
      <c r="C178" s="130" t="s">
        <v>38</v>
      </c>
      <c r="D178" s="136">
        <v>9103650141</v>
      </c>
      <c r="E178" s="132">
        <v>42147</v>
      </c>
      <c r="F178" s="132" t="s">
        <v>4792</v>
      </c>
      <c r="G178" s="132" t="s">
        <v>276</v>
      </c>
      <c r="H178" s="130" t="s">
        <v>4463</v>
      </c>
      <c r="I178" s="132" t="s">
        <v>40</v>
      </c>
      <c r="J178" s="131" t="s">
        <v>4432</v>
      </c>
      <c r="K178" s="132" t="s">
        <v>4433</v>
      </c>
      <c r="L178" s="136">
        <v>9634155</v>
      </c>
      <c r="M178" s="132">
        <v>42142</v>
      </c>
      <c r="N178" s="136" t="s">
        <v>4715</v>
      </c>
      <c r="O178" s="130" t="s">
        <v>4436</v>
      </c>
      <c r="P178" s="130" t="s">
        <v>59</v>
      </c>
      <c r="Q178" s="130">
        <v>38237090</v>
      </c>
      <c r="R178" s="136">
        <v>16</v>
      </c>
      <c r="S178" s="130" t="s">
        <v>70</v>
      </c>
      <c r="T178" s="136" t="s">
        <v>52</v>
      </c>
      <c r="U178" s="136" t="s">
        <v>53</v>
      </c>
      <c r="V178" s="136">
        <v>1455</v>
      </c>
      <c r="W178" s="133">
        <f t="shared" si="8"/>
        <v>23280</v>
      </c>
      <c r="X178" s="136">
        <v>0</v>
      </c>
      <c r="Y178" s="136">
        <v>1450</v>
      </c>
      <c r="Z178" s="136">
        <v>0</v>
      </c>
      <c r="AA178" s="136">
        <v>0</v>
      </c>
      <c r="AB178" s="131">
        <v>42143</v>
      </c>
      <c r="AC178" s="134">
        <f t="shared" si="6"/>
        <v>21830</v>
      </c>
      <c r="AD178" s="135">
        <v>63.3</v>
      </c>
      <c r="AE178" s="136">
        <f t="shared" si="7"/>
        <v>1473624</v>
      </c>
      <c r="AF178" s="137">
        <v>1381839</v>
      </c>
      <c r="AG178" s="138">
        <v>63.3</v>
      </c>
      <c r="AH178" s="136" t="s">
        <v>4957</v>
      </c>
      <c r="AI178" s="133">
        <v>23270</v>
      </c>
      <c r="AJ178" s="132">
        <v>42152</v>
      </c>
      <c r="AK178" s="136" t="s">
        <v>4958</v>
      </c>
      <c r="AL178" s="132">
        <v>42168</v>
      </c>
      <c r="AM178" s="131" t="s">
        <v>49</v>
      </c>
      <c r="AN178" s="133" t="s">
        <v>4440</v>
      </c>
    </row>
    <row r="179" spans="1:40" s="129" customFormat="1" x14ac:dyDescent="0.25">
      <c r="A179" s="136">
        <v>178</v>
      </c>
      <c r="B179" s="130" t="s">
        <v>4428</v>
      </c>
      <c r="C179" s="130" t="s">
        <v>38</v>
      </c>
      <c r="D179" s="136">
        <v>9103650142</v>
      </c>
      <c r="E179" s="132">
        <v>42148</v>
      </c>
      <c r="F179" s="132" t="s">
        <v>4792</v>
      </c>
      <c r="G179" s="132" t="s">
        <v>270</v>
      </c>
      <c r="H179" s="130" t="s">
        <v>4564</v>
      </c>
      <c r="I179" s="132" t="s">
        <v>40</v>
      </c>
      <c r="J179" s="131" t="s">
        <v>4432</v>
      </c>
      <c r="K179" s="132" t="s">
        <v>4433</v>
      </c>
      <c r="L179" s="136">
        <v>9639552</v>
      </c>
      <c r="M179" s="132" t="s">
        <v>4594</v>
      </c>
      <c r="N179" s="136" t="s">
        <v>4532</v>
      </c>
      <c r="O179" s="130" t="s">
        <v>4436</v>
      </c>
      <c r="P179" s="130" t="s">
        <v>64</v>
      </c>
      <c r="Q179" s="130">
        <v>29161990</v>
      </c>
      <c r="R179" s="136">
        <v>78.42</v>
      </c>
      <c r="S179" s="130" t="s">
        <v>70</v>
      </c>
      <c r="T179" s="136" t="s">
        <v>44</v>
      </c>
      <c r="U179" s="136" t="s">
        <v>53</v>
      </c>
      <c r="V179" s="136">
        <v>2428</v>
      </c>
      <c r="W179" s="133">
        <f t="shared" si="8"/>
        <v>190403.76</v>
      </c>
      <c r="X179" s="136">
        <v>62.83</v>
      </c>
      <c r="Y179" s="136">
        <v>1440</v>
      </c>
      <c r="Z179" s="136">
        <v>0</v>
      </c>
      <c r="AA179" s="136">
        <v>0</v>
      </c>
      <c r="AB179" s="131">
        <v>42143</v>
      </c>
      <c r="AC179" s="134">
        <f t="shared" si="6"/>
        <v>188900.93001579779</v>
      </c>
      <c r="AD179" s="135">
        <v>63.3</v>
      </c>
      <c r="AE179" s="136">
        <f t="shared" si="7"/>
        <v>12052558.007999999</v>
      </c>
      <c r="AF179" s="137">
        <v>11957428.869999999</v>
      </c>
      <c r="AG179" s="138">
        <v>63.3</v>
      </c>
      <c r="AH179" s="136" t="s">
        <v>4959</v>
      </c>
      <c r="AI179" s="133">
        <v>190403.76</v>
      </c>
      <c r="AJ179" s="132" t="s">
        <v>4960</v>
      </c>
      <c r="AK179" s="136" t="s">
        <v>4961</v>
      </c>
      <c r="AL179" s="132" t="s">
        <v>4962</v>
      </c>
      <c r="AM179" s="131" t="s">
        <v>49</v>
      </c>
      <c r="AN179" s="133" t="s">
        <v>4440</v>
      </c>
    </row>
    <row r="180" spans="1:40" s="129" customFormat="1" x14ac:dyDescent="0.25">
      <c r="A180" s="130">
        <v>179</v>
      </c>
      <c r="B180" s="130" t="s">
        <v>4428</v>
      </c>
      <c r="C180" s="130" t="s">
        <v>38</v>
      </c>
      <c r="D180" s="136" t="s">
        <v>4963</v>
      </c>
      <c r="E180" s="132">
        <v>42146</v>
      </c>
      <c r="F180" s="132" t="s">
        <v>4792</v>
      </c>
      <c r="G180" s="132" t="s">
        <v>269</v>
      </c>
      <c r="H180" s="130" t="s">
        <v>4564</v>
      </c>
      <c r="I180" s="132" t="s">
        <v>40</v>
      </c>
      <c r="J180" s="131" t="s">
        <v>4432</v>
      </c>
      <c r="K180" s="132" t="s">
        <v>4433</v>
      </c>
      <c r="L180" s="136">
        <v>9635004</v>
      </c>
      <c r="M180" s="132">
        <v>42142</v>
      </c>
      <c r="N180" s="136" t="s">
        <v>4733</v>
      </c>
      <c r="O180" s="130" t="s">
        <v>4436</v>
      </c>
      <c r="P180" s="130" t="s">
        <v>492</v>
      </c>
      <c r="Q180" s="130">
        <v>29157010</v>
      </c>
      <c r="R180" s="136">
        <v>118.78</v>
      </c>
      <c r="S180" s="130" t="s">
        <v>70</v>
      </c>
      <c r="T180" s="136" t="s">
        <v>44</v>
      </c>
      <c r="U180" s="136" t="s">
        <v>53</v>
      </c>
      <c r="V180" s="136">
        <v>920</v>
      </c>
      <c r="W180" s="133">
        <f t="shared" si="8"/>
        <v>109277.6</v>
      </c>
      <c r="X180" s="136">
        <v>36.06</v>
      </c>
      <c r="Y180" s="136">
        <v>2136</v>
      </c>
      <c r="Z180" s="136">
        <v>0</v>
      </c>
      <c r="AA180" s="136">
        <v>0</v>
      </c>
      <c r="AB180" s="131" t="s">
        <v>4964</v>
      </c>
      <c r="AC180" s="134">
        <f t="shared" si="6"/>
        <v>107105.53996840442</v>
      </c>
      <c r="AD180" s="135">
        <v>63.3</v>
      </c>
      <c r="AE180" s="136">
        <f t="shared" si="7"/>
        <v>6917272.0800000001</v>
      </c>
      <c r="AF180" s="137">
        <v>6779780.6799999997</v>
      </c>
      <c r="AG180" s="138">
        <v>63.3</v>
      </c>
      <c r="AH180" s="136" t="s">
        <v>4965</v>
      </c>
      <c r="AI180" s="136">
        <v>109277.6</v>
      </c>
      <c r="AJ180" s="132" t="s">
        <v>4563</v>
      </c>
      <c r="AK180" s="136" t="s">
        <v>4966</v>
      </c>
      <c r="AL180" s="132" t="s">
        <v>4836</v>
      </c>
      <c r="AM180" s="131" t="s">
        <v>49</v>
      </c>
      <c r="AN180" s="136" t="s">
        <v>4440</v>
      </c>
    </row>
    <row r="181" spans="1:40" s="129" customFormat="1" x14ac:dyDescent="0.25">
      <c r="A181" s="136">
        <v>180</v>
      </c>
      <c r="B181" s="130" t="s">
        <v>4428</v>
      </c>
      <c r="C181" s="130" t="s">
        <v>38</v>
      </c>
      <c r="D181" s="136" t="s">
        <v>4963</v>
      </c>
      <c r="E181" s="132">
        <v>42146</v>
      </c>
      <c r="F181" s="132" t="s">
        <v>4792</v>
      </c>
      <c r="G181" s="132" t="s">
        <v>265</v>
      </c>
      <c r="H181" s="130" t="s">
        <v>4564</v>
      </c>
      <c r="I181" s="132" t="s">
        <v>40</v>
      </c>
      <c r="J181" s="131" t="s">
        <v>4432</v>
      </c>
      <c r="K181" s="132" t="s">
        <v>4433</v>
      </c>
      <c r="L181" s="136">
        <v>9647715</v>
      </c>
      <c r="M181" s="132">
        <v>42143</v>
      </c>
      <c r="N181" s="136" t="s">
        <v>4733</v>
      </c>
      <c r="O181" s="130" t="s">
        <v>4436</v>
      </c>
      <c r="P181" s="130" t="s">
        <v>492</v>
      </c>
      <c r="Q181" s="130">
        <v>29157010</v>
      </c>
      <c r="R181" s="136">
        <v>19.649999999999999</v>
      </c>
      <c r="S181" s="130" t="s">
        <v>70</v>
      </c>
      <c r="T181" s="136" t="s">
        <v>44</v>
      </c>
      <c r="U181" s="136" t="s">
        <v>53</v>
      </c>
      <c r="V181" s="136">
        <v>920</v>
      </c>
      <c r="W181" s="133">
        <f t="shared" si="8"/>
        <v>18078</v>
      </c>
      <c r="X181" s="136">
        <v>5.97</v>
      </c>
      <c r="Y181" s="136">
        <v>356</v>
      </c>
      <c r="Z181" s="136">
        <v>0</v>
      </c>
      <c r="AA181" s="136">
        <v>0</v>
      </c>
      <c r="AB181" s="131" t="s">
        <v>4967</v>
      </c>
      <c r="AC181" s="134">
        <f t="shared" si="6"/>
        <v>17716.030015797787</v>
      </c>
      <c r="AD181" s="135">
        <v>63.3</v>
      </c>
      <c r="AE181" s="136">
        <f t="shared" si="7"/>
        <v>1144337.3999999999</v>
      </c>
      <c r="AF181" s="137">
        <v>1121424.7</v>
      </c>
      <c r="AG181" s="138">
        <v>63.3</v>
      </c>
      <c r="AH181" s="136" t="s">
        <v>4965</v>
      </c>
      <c r="AI181" s="136">
        <v>18078</v>
      </c>
      <c r="AJ181" s="132" t="s">
        <v>4563</v>
      </c>
      <c r="AK181" s="136" t="s">
        <v>4968</v>
      </c>
      <c r="AL181" s="132" t="s">
        <v>4836</v>
      </c>
      <c r="AM181" s="131" t="s">
        <v>49</v>
      </c>
      <c r="AN181" s="136" t="s">
        <v>4440</v>
      </c>
    </row>
    <row r="182" spans="1:40" s="129" customFormat="1" x14ac:dyDescent="0.25">
      <c r="A182" s="130">
        <v>181</v>
      </c>
      <c r="B182" s="130" t="s">
        <v>4428</v>
      </c>
      <c r="C182" s="130" t="s">
        <v>38</v>
      </c>
      <c r="D182" s="136">
        <v>9103650145</v>
      </c>
      <c r="E182" s="132">
        <v>42147</v>
      </c>
      <c r="F182" s="132" t="s">
        <v>4792</v>
      </c>
      <c r="G182" s="132" t="s">
        <v>271</v>
      </c>
      <c r="H182" s="130" t="s">
        <v>4456</v>
      </c>
      <c r="I182" s="132" t="s">
        <v>40</v>
      </c>
      <c r="J182" s="131" t="s">
        <v>4432</v>
      </c>
      <c r="K182" s="132" t="s">
        <v>4433</v>
      </c>
      <c r="L182" s="136">
        <v>9656173</v>
      </c>
      <c r="M182" s="132">
        <v>42143</v>
      </c>
      <c r="N182" s="136" t="s">
        <v>4527</v>
      </c>
      <c r="O182" s="130" t="s">
        <v>4436</v>
      </c>
      <c r="P182" s="130" t="s">
        <v>59</v>
      </c>
      <c r="Q182" s="130">
        <v>38237090</v>
      </c>
      <c r="R182" s="136">
        <v>16</v>
      </c>
      <c r="S182" s="130" t="s">
        <v>70</v>
      </c>
      <c r="T182" s="136" t="s">
        <v>52</v>
      </c>
      <c r="U182" s="136" t="s">
        <v>53</v>
      </c>
      <c r="V182" s="136">
        <v>1337</v>
      </c>
      <c r="W182" s="133">
        <f t="shared" si="8"/>
        <v>21392</v>
      </c>
      <c r="X182" s="136">
        <v>0</v>
      </c>
      <c r="Y182" s="136">
        <v>550</v>
      </c>
      <c r="Z182" s="136">
        <v>0</v>
      </c>
      <c r="AA182" s="136">
        <v>0</v>
      </c>
      <c r="AB182" s="131">
        <v>42144</v>
      </c>
      <c r="AC182" s="134">
        <f t="shared" si="6"/>
        <v>20842.000000000004</v>
      </c>
      <c r="AD182" s="135">
        <v>63.3</v>
      </c>
      <c r="AE182" s="136">
        <f t="shared" si="7"/>
        <v>1354113.5999999999</v>
      </c>
      <c r="AF182" s="137">
        <v>1319298.6000000001</v>
      </c>
      <c r="AG182" s="138">
        <v>63.3</v>
      </c>
      <c r="AH182" s="136" t="s">
        <v>4969</v>
      </c>
      <c r="AI182" s="136">
        <v>21392</v>
      </c>
      <c r="AJ182" s="132">
        <v>42538</v>
      </c>
      <c r="AK182" s="136" t="s">
        <v>4970</v>
      </c>
      <c r="AL182" s="132">
        <v>42538</v>
      </c>
      <c r="AM182" s="131" t="s">
        <v>49</v>
      </c>
      <c r="AN182" s="136" t="s">
        <v>4440</v>
      </c>
    </row>
    <row r="183" spans="1:40" s="129" customFormat="1" x14ac:dyDescent="0.25">
      <c r="A183" s="136">
        <v>182</v>
      </c>
      <c r="B183" s="130" t="s">
        <v>4428</v>
      </c>
      <c r="C183" s="130" t="s">
        <v>38</v>
      </c>
      <c r="D183" s="136">
        <v>9103650146</v>
      </c>
      <c r="E183" s="132">
        <v>42150</v>
      </c>
      <c r="F183" s="132" t="s">
        <v>4792</v>
      </c>
      <c r="G183" s="132" t="s">
        <v>272</v>
      </c>
      <c r="H183" s="130" t="s">
        <v>4556</v>
      </c>
      <c r="I183" s="132" t="s">
        <v>40</v>
      </c>
      <c r="J183" s="131" t="s">
        <v>4432</v>
      </c>
      <c r="K183" s="132" t="s">
        <v>4433</v>
      </c>
      <c r="L183" s="136">
        <v>9660318</v>
      </c>
      <c r="M183" s="132" t="s">
        <v>4971</v>
      </c>
      <c r="N183" s="136" t="s">
        <v>4972</v>
      </c>
      <c r="O183" s="130" t="s">
        <v>4436</v>
      </c>
      <c r="P183" s="130" t="s">
        <v>90</v>
      </c>
      <c r="Q183" s="130" t="s">
        <v>4645</v>
      </c>
      <c r="R183" s="136">
        <v>15</v>
      </c>
      <c r="S183" s="130" t="s">
        <v>70</v>
      </c>
      <c r="T183" s="136" t="s">
        <v>44</v>
      </c>
      <c r="U183" s="136" t="s">
        <v>53</v>
      </c>
      <c r="V183" s="136">
        <v>0</v>
      </c>
      <c r="W183" s="133">
        <f>(10*1635+2*1640+3*1590)</f>
        <v>24400</v>
      </c>
      <c r="X183" s="136">
        <v>8.0500000000000007</v>
      </c>
      <c r="Y183" s="136">
        <v>850</v>
      </c>
      <c r="Z183" s="136">
        <v>0</v>
      </c>
      <c r="AA183" s="136">
        <v>459.6</v>
      </c>
      <c r="AB183" s="131">
        <v>42144</v>
      </c>
      <c r="AC183" s="134">
        <f t="shared" si="6"/>
        <v>23541.950078988943</v>
      </c>
      <c r="AD183" s="135">
        <v>63.3</v>
      </c>
      <c r="AE183" s="136">
        <f t="shared" si="7"/>
        <v>1544520</v>
      </c>
      <c r="AF183" s="137">
        <v>1490205.44</v>
      </c>
      <c r="AG183" s="138">
        <v>63.3</v>
      </c>
      <c r="AH183" s="136" t="s">
        <v>4973</v>
      </c>
      <c r="AI183" s="133">
        <v>24353</v>
      </c>
      <c r="AJ183" s="132" t="s">
        <v>4563</v>
      </c>
      <c r="AK183" s="136" t="s">
        <v>4974</v>
      </c>
      <c r="AL183" s="132" t="s">
        <v>4836</v>
      </c>
      <c r="AM183" s="131" t="s">
        <v>49</v>
      </c>
      <c r="AN183" s="133" t="s">
        <v>4440</v>
      </c>
    </row>
    <row r="184" spans="1:40" s="129" customFormat="1" x14ac:dyDescent="0.25">
      <c r="A184" s="130">
        <v>183</v>
      </c>
      <c r="B184" s="130" t="s">
        <v>4428</v>
      </c>
      <c r="C184" s="130" t="s">
        <v>38</v>
      </c>
      <c r="D184" s="136">
        <v>9103650147</v>
      </c>
      <c r="E184" s="132">
        <v>42147</v>
      </c>
      <c r="F184" s="132" t="s">
        <v>4792</v>
      </c>
      <c r="G184" s="132" t="s">
        <v>279</v>
      </c>
      <c r="H184" s="130" t="s">
        <v>4491</v>
      </c>
      <c r="I184" s="132" t="s">
        <v>40</v>
      </c>
      <c r="J184" s="131" t="s">
        <v>4432</v>
      </c>
      <c r="K184" s="132" t="s">
        <v>4433</v>
      </c>
      <c r="L184" s="136">
        <v>9661215</v>
      </c>
      <c r="M184" s="132" t="s">
        <v>4971</v>
      </c>
      <c r="N184" s="136" t="s">
        <v>3741</v>
      </c>
      <c r="O184" s="130" t="s">
        <v>4436</v>
      </c>
      <c r="P184" s="130" t="s">
        <v>4492</v>
      </c>
      <c r="Q184" s="130">
        <v>38237090</v>
      </c>
      <c r="R184" s="136">
        <v>36.28</v>
      </c>
      <c r="S184" s="130" t="s">
        <v>70</v>
      </c>
      <c r="T184" s="136" t="s">
        <v>44</v>
      </c>
      <c r="U184" s="136" t="s">
        <v>53</v>
      </c>
      <c r="V184" s="136">
        <v>1705</v>
      </c>
      <c r="W184" s="133">
        <f t="shared" si="8"/>
        <v>61857.4</v>
      </c>
      <c r="X184" s="136">
        <v>20.41</v>
      </c>
      <c r="Y184" s="136">
        <v>6300</v>
      </c>
      <c r="Z184" s="136">
        <v>0</v>
      </c>
      <c r="AA184" s="136">
        <v>0</v>
      </c>
      <c r="AB184" s="131">
        <v>42145</v>
      </c>
      <c r="AC184" s="134">
        <f t="shared" si="6"/>
        <v>55536.990047393374</v>
      </c>
      <c r="AD184" s="135">
        <v>63.3</v>
      </c>
      <c r="AE184" s="136">
        <f t="shared" si="7"/>
        <v>3915573.42</v>
      </c>
      <c r="AF184" s="137">
        <v>3515491.47</v>
      </c>
      <c r="AG184" s="138">
        <v>63.3</v>
      </c>
      <c r="AH184" s="136" t="s">
        <v>4975</v>
      </c>
      <c r="AI184" s="133">
        <v>61857.4</v>
      </c>
      <c r="AJ184" s="132" t="s">
        <v>4844</v>
      </c>
      <c r="AK184" s="136" t="s">
        <v>4976</v>
      </c>
      <c r="AL184" s="132" t="s">
        <v>4692</v>
      </c>
      <c r="AM184" s="131" t="s">
        <v>49</v>
      </c>
      <c r="AN184" s="133" t="s">
        <v>4440</v>
      </c>
    </row>
    <row r="185" spans="1:40" s="129" customFormat="1" x14ac:dyDescent="0.25">
      <c r="A185" s="136">
        <v>184</v>
      </c>
      <c r="B185" s="130" t="s">
        <v>4428</v>
      </c>
      <c r="C185" s="130" t="s">
        <v>38</v>
      </c>
      <c r="D185" s="136">
        <v>9103650148</v>
      </c>
      <c r="E185" s="132">
        <v>42150</v>
      </c>
      <c r="F185" s="132" t="s">
        <v>4792</v>
      </c>
      <c r="G185" s="132" t="s">
        <v>301</v>
      </c>
      <c r="H185" s="130" t="s">
        <v>4456</v>
      </c>
      <c r="I185" s="132" t="s">
        <v>40</v>
      </c>
      <c r="J185" s="131" t="s">
        <v>4432</v>
      </c>
      <c r="K185" s="132" t="s">
        <v>4433</v>
      </c>
      <c r="L185" s="136">
        <v>9663843</v>
      </c>
      <c r="M185" s="132" t="s">
        <v>4971</v>
      </c>
      <c r="N185" s="136" t="s">
        <v>4876</v>
      </c>
      <c r="O185" s="130" t="s">
        <v>4436</v>
      </c>
      <c r="P185" s="130" t="s">
        <v>90</v>
      </c>
      <c r="Q185" s="130">
        <v>34021900</v>
      </c>
      <c r="R185" s="136">
        <v>50.4</v>
      </c>
      <c r="S185" s="130" t="s">
        <v>70</v>
      </c>
      <c r="T185" s="136" t="s">
        <v>67</v>
      </c>
      <c r="U185" s="136" t="s">
        <v>53</v>
      </c>
      <c r="V185" s="136">
        <v>2227</v>
      </c>
      <c r="W185" s="133">
        <f t="shared" si="8"/>
        <v>112240.8</v>
      </c>
      <c r="X185" s="136">
        <v>0</v>
      </c>
      <c r="Y185" s="136">
        <v>0</v>
      </c>
      <c r="Z185" s="136">
        <v>0</v>
      </c>
      <c r="AA185" s="136">
        <v>0</v>
      </c>
      <c r="AB185" s="131">
        <v>42144</v>
      </c>
      <c r="AC185" s="134">
        <f t="shared" si="6"/>
        <v>112240.8</v>
      </c>
      <c r="AD185" s="135">
        <v>63.3</v>
      </c>
      <c r="AE185" s="136">
        <f t="shared" si="7"/>
        <v>7104842.6399999997</v>
      </c>
      <c r="AF185" s="137">
        <v>7104842.6399999997</v>
      </c>
      <c r="AG185" s="138">
        <v>63.3</v>
      </c>
      <c r="AH185" s="136" t="s">
        <v>4977</v>
      </c>
      <c r="AI185" s="133">
        <v>112180.8</v>
      </c>
      <c r="AJ185" s="132" t="s">
        <v>4860</v>
      </c>
      <c r="AK185" s="136" t="s">
        <v>4978</v>
      </c>
      <c r="AL185" s="132" t="s">
        <v>4627</v>
      </c>
      <c r="AM185" s="131" t="s">
        <v>49</v>
      </c>
      <c r="AN185" s="133" t="s">
        <v>4440</v>
      </c>
    </row>
    <row r="186" spans="1:40" s="129" customFormat="1" x14ac:dyDescent="0.25">
      <c r="A186" s="130">
        <v>185</v>
      </c>
      <c r="B186" s="130" t="s">
        <v>4428</v>
      </c>
      <c r="C186" s="130" t="s">
        <v>38</v>
      </c>
      <c r="D186" s="136">
        <v>9103650149</v>
      </c>
      <c r="E186" s="132">
        <v>42148</v>
      </c>
      <c r="F186" s="132" t="s">
        <v>4792</v>
      </c>
      <c r="G186" s="132" t="s">
        <v>277</v>
      </c>
      <c r="H186" s="130" t="s">
        <v>4564</v>
      </c>
      <c r="I186" s="132" t="s">
        <v>40</v>
      </c>
      <c r="J186" s="131" t="s">
        <v>4432</v>
      </c>
      <c r="K186" s="132" t="s">
        <v>4433</v>
      </c>
      <c r="L186" s="136">
        <v>9664108</v>
      </c>
      <c r="M186" s="132" t="s">
        <v>4971</v>
      </c>
      <c r="N186" s="136" t="s">
        <v>4733</v>
      </c>
      <c r="O186" s="130" t="s">
        <v>4436</v>
      </c>
      <c r="P186" s="130" t="s">
        <v>492</v>
      </c>
      <c r="Q186" s="130">
        <v>29157010</v>
      </c>
      <c r="R186" s="136">
        <v>97.48</v>
      </c>
      <c r="S186" s="130" t="s">
        <v>70</v>
      </c>
      <c r="T186" s="136" t="s">
        <v>44</v>
      </c>
      <c r="U186" s="136" t="s">
        <v>53</v>
      </c>
      <c r="V186" s="136">
        <v>920</v>
      </c>
      <c r="W186" s="133">
        <f t="shared" si="8"/>
        <v>89681.600000000006</v>
      </c>
      <c r="X186" s="136">
        <v>29.59</v>
      </c>
      <c r="Y186" s="136">
        <v>1750</v>
      </c>
      <c r="Z186" s="136">
        <v>0</v>
      </c>
      <c r="AA186" s="136">
        <v>0</v>
      </c>
      <c r="AB186" s="131">
        <v>42145</v>
      </c>
      <c r="AC186" s="134">
        <f t="shared" si="6"/>
        <v>87902.009952606648</v>
      </c>
      <c r="AD186" s="135">
        <v>63.3</v>
      </c>
      <c r="AE186" s="136">
        <f t="shared" si="7"/>
        <v>5676845.2800000003</v>
      </c>
      <c r="AF186" s="137">
        <v>5564197.2300000004</v>
      </c>
      <c r="AG186" s="138">
        <v>63.3</v>
      </c>
      <c r="AH186" s="136" t="s">
        <v>4979</v>
      </c>
      <c r="AI186" s="133">
        <v>89634.8</v>
      </c>
      <c r="AJ186" s="132" t="s">
        <v>4563</v>
      </c>
      <c r="AK186" s="136" t="s">
        <v>4980</v>
      </c>
      <c r="AL186" s="132" t="s">
        <v>4836</v>
      </c>
      <c r="AM186" s="131" t="s">
        <v>49</v>
      </c>
      <c r="AN186" s="133" t="s">
        <v>4440</v>
      </c>
    </row>
    <row r="187" spans="1:40" s="129" customFormat="1" x14ac:dyDescent="0.25">
      <c r="A187" s="136">
        <v>186</v>
      </c>
      <c r="B187" s="130" t="s">
        <v>4428</v>
      </c>
      <c r="C187" s="130" t="s">
        <v>38</v>
      </c>
      <c r="D187" s="136">
        <v>9103650150</v>
      </c>
      <c r="E187" s="132">
        <v>42150</v>
      </c>
      <c r="F187" s="132" t="s">
        <v>4792</v>
      </c>
      <c r="G187" s="132" t="s">
        <v>292</v>
      </c>
      <c r="H187" s="130" t="s">
        <v>4564</v>
      </c>
      <c r="I187" s="132" t="s">
        <v>40</v>
      </c>
      <c r="J187" s="131" t="s">
        <v>4432</v>
      </c>
      <c r="K187" s="132" t="s">
        <v>4433</v>
      </c>
      <c r="L187" s="136">
        <v>9679248</v>
      </c>
      <c r="M187" s="132" t="s">
        <v>4869</v>
      </c>
      <c r="N187" s="136" t="s">
        <v>4608</v>
      </c>
      <c r="O187" s="130" t="s">
        <v>4436</v>
      </c>
      <c r="P187" s="130" t="s">
        <v>205</v>
      </c>
      <c r="Q187" s="130">
        <v>38237090</v>
      </c>
      <c r="R187" s="136">
        <v>17.600000000000001</v>
      </c>
      <c r="S187" s="130" t="s">
        <v>70</v>
      </c>
      <c r="T187" s="136" t="s">
        <v>44</v>
      </c>
      <c r="U187" s="136" t="s">
        <v>53</v>
      </c>
      <c r="V187" s="136">
        <v>1620</v>
      </c>
      <c r="W187" s="133">
        <f t="shared" si="8"/>
        <v>28512.000000000004</v>
      </c>
      <c r="X187" s="136">
        <v>9.41</v>
      </c>
      <c r="Y187" s="136">
        <v>900</v>
      </c>
      <c r="Z187" s="136">
        <v>0</v>
      </c>
      <c r="AA187" s="136">
        <v>0</v>
      </c>
      <c r="AB187" s="131">
        <v>42145</v>
      </c>
      <c r="AC187" s="134">
        <f t="shared" si="6"/>
        <v>27602.590047393365</v>
      </c>
      <c r="AD187" s="135">
        <v>63.3</v>
      </c>
      <c r="AE187" s="136">
        <f t="shared" si="7"/>
        <v>1804809.6</v>
      </c>
      <c r="AF187" s="137">
        <v>1747243.95</v>
      </c>
      <c r="AG187" s="138">
        <v>63.3</v>
      </c>
      <c r="AH187" s="136" t="s">
        <v>4981</v>
      </c>
      <c r="AI187" s="133">
        <v>28497</v>
      </c>
      <c r="AJ187" s="132" t="s">
        <v>4982</v>
      </c>
      <c r="AK187" s="136" t="s">
        <v>4983</v>
      </c>
      <c r="AL187" s="132" t="s">
        <v>4690</v>
      </c>
      <c r="AM187" s="131" t="s">
        <v>49</v>
      </c>
      <c r="AN187" s="133" t="s">
        <v>4440</v>
      </c>
    </row>
    <row r="188" spans="1:40" s="129" customFormat="1" x14ac:dyDescent="0.25">
      <c r="A188" s="130">
        <v>187</v>
      </c>
      <c r="B188" s="130" t="s">
        <v>4428</v>
      </c>
      <c r="C188" s="130" t="s">
        <v>38</v>
      </c>
      <c r="D188" s="136">
        <v>9103650151</v>
      </c>
      <c r="E188" s="132">
        <v>42144</v>
      </c>
      <c r="F188" s="132" t="s">
        <v>4792</v>
      </c>
      <c r="G188" s="132" t="s">
        <v>4984</v>
      </c>
      <c r="H188" s="130"/>
      <c r="I188" s="132" t="s">
        <v>40</v>
      </c>
      <c r="J188" s="131" t="s">
        <v>4432</v>
      </c>
      <c r="K188" s="132" t="s">
        <v>4433</v>
      </c>
      <c r="L188" s="136"/>
      <c r="M188" s="132"/>
      <c r="N188" s="136" t="s">
        <v>4985</v>
      </c>
      <c r="O188" s="130" t="s">
        <v>4436</v>
      </c>
      <c r="P188" s="130"/>
      <c r="Q188" s="130"/>
      <c r="R188" s="136"/>
      <c r="S188" s="130"/>
      <c r="T188" s="136"/>
      <c r="U188" s="136" t="s">
        <v>53</v>
      </c>
      <c r="V188" s="136"/>
      <c r="W188" s="133">
        <v>194.5</v>
      </c>
      <c r="X188" s="136"/>
      <c r="Y188" s="136"/>
      <c r="Z188" s="136"/>
      <c r="AA188" s="136"/>
      <c r="AB188" s="131"/>
      <c r="AC188" s="134"/>
      <c r="AD188" s="135"/>
      <c r="AE188" s="136"/>
      <c r="AF188" s="130"/>
      <c r="AG188" s="138"/>
      <c r="AH188" s="136"/>
      <c r="AI188" s="136">
        <v>194.5</v>
      </c>
      <c r="AJ188" s="132">
        <v>42154</v>
      </c>
      <c r="AK188" s="136"/>
      <c r="AL188" s="132"/>
      <c r="AM188" s="131" t="s">
        <v>49</v>
      </c>
      <c r="AN188" s="132" t="s">
        <v>4321</v>
      </c>
    </row>
    <row r="189" spans="1:40" s="129" customFormat="1" x14ac:dyDescent="0.25">
      <c r="A189" s="136">
        <v>188</v>
      </c>
      <c r="B189" s="130" t="s">
        <v>4428</v>
      </c>
      <c r="C189" s="130" t="s">
        <v>38</v>
      </c>
      <c r="D189" s="136">
        <v>9103650152</v>
      </c>
      <c r="E189" s="132">
        <v>42150</v>
      </c>
      <c r="F189" s="132" t="s">
        <v>4792</v>
      </c>
      <c r="G189" s="132" t="s">
        <v>283</v>
      </c>
      <c r="H189" s="130" t="s">
        <v>4556</v>
      </c>
      <c r="I189" s="132" t="s">
        <v>40</v>
      </c>
      <c r="J189" s="131" t="s">
        <v>4432</v>
      </c>
      <c r="K189" s="132" t="s">
        <v>4433</v>
      </c>
      <c r="L189" s="136">
        <v>9702898</v>
      </c>
      <c r="M189" s="132" t="s">
        <v>4986</v>
      </c>
      <c r="N189" s="136" t="s">
        <v>4557</v>
      </c>
      <c r="O189" s="130" t="s">
        <v>4436</v>
      </c>
      <c r="P189" s="130" t="s">
        <v>137</v>
      </c>
      <c r="Q189" s="130">
        <v>38237090</v>
      </c>
      <c r="R189" s="136">
        <v>10</v>
      </c>
      <c r="S189" s="130" t="s">
        <v>70</v>
      </c>
      <c r="T189" s="136" t="s">
        <v>44</v>
      </c>
      <c r="U189" s="136" t="s">
        <v>53</v>
      </c>
      <c r="V189" s="136">
        <v>1670</v>
      </c>
      <c r="W189" s="133">
        <f t="shared" si="8"/>
        <v>16700</v>
      </c>
      <c r="X189" s="136">
        <v>5.51</v>
      </c>
      <c r="Y189" s="136">
        <v>600</v>
      </c>
      <c r="Z189" s="136">
        <v>0</v>
      </c>
      <c r="AA189" s="136">
        <v>0</v>
      </c>
      <c r="AB189" s="131">
        <v>42146</v>
      </c>
      <c r="AC189" s="134">
        <f t="shared" si="6"/>
        <v>16094.490047393365</v>
      </c>
      <c r="AD189" s="135">
        <v>63.3</v>
      </c>
      <c r="AE189" s="136">
        <f t="shared" si="7"/>
        <v>1057110</v>
      </c>
      <c r="AF189" s="137">
        <v>1018781.22</v>
      </c>
      <c r="AG189" s="138">
        <v>63.25</v>
      </c>
      <c r="AH189" s="136" t="s">
        <v>4987</v>
      </c>
      <c r="AI189" s="133">
        <v>16660</v>
      </c>
      <c r="AJ189" s="132" t="s">
        <v>4880</v>
      </c>
      <c r="AK189" s="136" t="s">
        <v>4988</v>
      </c>
      <c r="AL189" s="132" t="s">
        <v>4779</v>
      </c>
      <c r="AM189" s="131" t="s">
        <v>49</v>
      </c>
      <c r="AN189" s="133" t="s">
        <v>4440</v>
      </c>
    </row>
    <row r="190" spans="1:40" s="129" customFormat="1" x14ac:dyDescent="0.25">
      <c r="A190" s="130">
        <v>189</v>
      </c>
      <c r="B190" s="130" t="s">
        <v>4428</v>
      </c>
      <c r="C190" s="130" t="s">
        <v>38</v>
      </c>
      <c r="D190" s="136">
        <v>9103650153</v>
      </c>
      <c r="E190" s="132">
        <v>42151</v>
      </c>
      <c r="F190" s="132" t="s">
        <v>4792</v>
      </c>
      <c r="G190" s="132" t="s">
        <v>285</v>
      </c>
      <c r="H190" s="130" t="s">
        <v>4463</v>
      </c>
      <c r="I190" s="132" t="s">
        <v>40</v>
      </c>
      <c r="J190" s="131" t="s">
        <v>4432</v>
      </c>
      <c r="K190" s="132" t="s">
        <v>4433</v>
      </c>
      <c r="L190" s="136">
        <v>9705757</v>
      </c>
      <c r="M190" s="132">
        <v>42145</v>
      </c>
      <c r="N190" s="136" t="s">
        <v>4715</v>
      </c>
      <c r="O190" s="130" t="s">
        <v>4436</v>
      </c>
      <c r="P190" s="130" t="s">
        <v>59</v>
      </c>
      <c r="Q190" s="130">
        <v>29051700</v>
      </c>
      <c r="R190" s="136">
        <v>16</v>
      </c>
      <c r="S190" s="130" t="s">
        <v>70</v>
      </c>
      <c r="T190" s="136" t="s">
        <v>67</v>
      </c>
      <c r="U190" s="136" t="s">
        <v>53</v>
      </c>
      <c r="V190" s="136">
        <v>1485</v>
      </c>
      <c r="W190" s="133">
        <f t="shared" si="8"/>
        <v>23760</v>
      </c>
      <c r="X190" s="136">
        <v>0</v>
      </c>
      <c r="Y190" s="136">
        <v>0</v>
      </c>
      <c r="Z190" s="136">
        <v>0</v>
      </c>
      <c r="AA190" s="136">
        <v>0</v>
      </c>
      <c r="AB190" s="131">
        <v>42146</v>
      </c>
      <c r="AC190" s="134">
        <f t="shared" si="6"/>
        <v>23760</v>
      </c>
      <c r="AD190" s="135">
        <v>63.3</v>
      </c>
      <c r="AE190" s="136">
        <f t="shared" si="7"/>
        <v>1504008</v>
      </c>
      <c r="AF190" s="137">
        <v>1504008</v>
      </c>
      <c r="AG190" s="138">
        <v>63.25</v>
      </c>
      <c r="AH190" s="136" t="s">
        <v>4989</v>
      </c>
      <c r="AI190" s="136">
        <v>23750</v>
      </c>
      <c r="AJ190" s="132" t="s">
        <v>4990</v>
      </c>
      <c r="AK190" s="136" t="s">
        <v>4991</v>
      </c>
      <c r="AL190" s="132" t="s">
        <v>4992</v>
      </c>
      <c r="AM190" s="131" t="s">
        <v>49</v>
      </c>
      <c r="AN190" s="136" t="s">
        <v>4440</v>
      </c>
    </row>
    <row r="191" spans="1:40" s="129" customFormat="1" x14ac:dyDescent="0.25">
      <c r="A191" s="136">
        <v>190</v>
      </c>
      <c r="B191" s="130" t="s">
        <v>4428</v>
      </c>
      <c r="C191" s="130" t="s">
        <v>38</v>
      </c>
      <c r="D191" s="136">
        <v>9103650154</v>
      </c>
      <c r="E191" s="132">
        <v>42153</v>
      </c>
      <c r="F191" s="132" t="s">
        <v>4792</v>
      </c>
      <c r="G191" s="132" t="s">
        <v>290</v>
      </c>
      <c r="H191" s="130" t="s">
        <v>4564</v>
      </c>
      <c r="I191" s="132" t="s">
        <v>40</v>
      </c>
      <c r="J191" s="131" t="s">
        <v>4432</v>
      </c>
      <c r="K191" s="132" t="s">
        <v>4433</v>
      </c>
      <c r="L191" s="136">
        <v>9772684</v>
      </c>
      <c r="M191" s="132">
        <v>42149</v>
      </c>
      <c r="N191" s="136" t="s">
        <v>4807</v>
      </c>
      <c r="O191" s="130" t="s">
        <v>4436</v>
      </c>
      <c r="P191" s="130" t="s">
        <v>64</v>
      </c>
      <c r="Q191" s="130">
        <v>38237090</v>
      </c>
      <c r="R191" s="136">
        <v>23.4</v>
      </c>
      <c r="S191" s="130" t="s">
        <v>70</v>
      </c>
      <c r="T191" s="136" t="s">
        <v>44</v>
      </c>
      <c r="U191" s="136" t="s">
        <v>53</v>
      </c>
      <c r="V191" s="136">
        <v>2850</v>
      </c>
      <c r="W191" s="133">
        <f t="shared" si="8"/>
        <v>66690</v>
      </c>
      <c r="X191" s="136">
        <v>14.19</v>
      </c>
      <c r="Y191" s="136">
        <v>250</v>
      </c>
      <c r="Z191" s="136">
        <v>1404</v>
      </c>
      <c r="AA191" s="136">
        <v>0</v>
      </c>
      <c r="AB191" s="131">
        <v>42150</v>
      </c>
      <c r="AC191" s="134">
        <f t="shared" si="6"/>
        <v>66425.809960474318</v>
      </c>
      <c r="AD191" s="135">
        <v>63.25</v>
      </c>
      <c r="AE191" s="136">
        <f t="shared" si="7"/>
        <v>4218142.5</v>
      </c>
      <c r="AF191" s="137">
        <v>4201432.4800000004</v>
      </c>
      <c r="AG191" s="138">
        <v>63.25</v>
      </c>
      <c r="AH191" s="136" t="s">
        <v>4993</v>
      </c>
      <c r="AI191" s="133">
        <v>66655.5</v>
      </c>
      <c r="AJ191" s="132">
        <v>42179</v>
      </c>
      <c r="AK191" s="136" t="s">
        <v>4994</v>
      </c>
      <c r="AL191" s="132">
        <v>42206</v>
      </c>
      <c r="AM191" s="131" t="s">
        <v>49</v>
      </c>
      <c r="AN191" s="133" t="s">
        <v>4440</v>
      </c>
    </row>
    <row r="192" spans="1:40" s="129" customFormat="1" x14ac:dyDescent="0.25">
      <c r="A192" s="130">
        <v>191</v>
      </c>
      <c r="B192" s="130" t="s">
        <v>4428</v>
      </c>
      <c r="C192" s="130" t="s">
        <v>38</v>
      </c>
      <c r="D192" s="136" t="s">
        <v>4995</v>
      </c>
      <c r="E192" s="132">
        <v>42154</v>
      </c>
      <c r="F192" s="132" t="s">
        <v>4792</v>
      </c>
      <c r="G192" s="132" t="s">
        <v>289</v>
      </c>
      <c r="H192" s="130" t="s">
        <v>4446</v>
      </c>
      <c r="I192" s="132" t="s">
        <v>40</v>
      </c>
      <c r="J192" s="131" t="s">
        <v>4432</v>
      </c>
      <c r="K192" s="132" t="s">
        <v>4433</v>
      </c>
      <c r="L192" s="136">
        <v>9784119</v>
      </c>
      <c r="M192" s="132">
        <v>42150</v>
      </c>
      <c r="N192" s="136" t="s">
        <v>4532</v>
      </c>
      <c r="O192" s="130" t="s">
        <v>4436</v>
      </c>
      <c r="P192" s="130" t="s">
        <v>492</v>
      </c>
      <c r="Q192" s="130">
        <v>29157010</v>
      </c>
      <c r="R192" s="136">
        <v>58.91</v>
      </c>
      <c r="S192" s="130" t="s">
        <v>70</v>
      </c>
      <c r="T192" s="136" t="s">
        <v>44</v>
      </c>
      <c r="U192" s="136" t="s">
        <v>53</v>
      </c>
      <c r="V192" s="136">
        <v>925</v>
      </c>
      <c r="W192" s="133">
        <f t="shared" si="8"/>
        <v>54491.75</v>
      </c>
      <c r="X192" s="136">
        <v>17.98</v>
      </c>
      <c r="Y192" s="136">
        <v>1200</v>
      </c>
      <c r="Z192" s="136">
        <v>0</v>
      </c>
      <c r="AA192" s="136">
        <v>0</v>
      </c>
      <c r="AB192" s="131">
        <v>42149</v>
      </c>
      <c r="AC192" s="134">
        <f t="shared" si="6"/>
        <v>53273.770118577071</v>
      </c>
      <c r="AD192" s="135">
        <v>63.25</v>
      </c>
      <c r="AE192" s="136">
        <f t="shared" si="7"/>
        <v>3446603.1875</v>
      </c>
      <c r="AF192" s="137">
        <v>3369565.96</v>
      </c>
      <c r="AG192" s="138">
        <v>63.25</v>
      </c>
      <c r="AH192" s="136" t="s">
        <v>4996</v>
      </c>
      <c r="AI192" s="136">
        <v>54491.75</v>
      </c>
      <c r="AJ192" s="132">
        <v>42286</v>
      </c>
      <c r="AK192" s="136" t="s">
        <v>4997</v>
      </c>
      <c r="AL192" s="132">
        <v>42289</v>
      </c>
      <c r="AM192" s="131" t="s">
        <v>49</v>
      </c>
      <c r="AN192" s="136" t="s">
        <v>4440</v>
      </c>
    </row>
    <row r="193" spans="1:40" s="129" customFormat="1" x14ac:dyDescent="0.25">
      <c r="A193" s="136">
        <v>192</v>
      </c>
      <c r="B193" s="130" t="s">
        <v>4428</v>
      </c>
      <c r="C193" s="130" t="s">
        <v>38</v>
      </c>
      <c r="D193" s="136" t="s">
        <v>4995</v>
      </c>
      <c r="E193" s="132">
        <v>42154</v>
      </c>
      <c r="F193" s="132" t="s">
        <v>4792</v>
      </c>
      <c r="G193" s="132" t="s">
        <v>282</v>
      </c>
      <c r="H193" s="130" t="s">
        <v>4446</v>
      </c>
      <c r="I193" s="132" t="s">
        <v>40</v>
      </c>
      <c r="J193" s="131" t="s">
        <v>4432</v>
      </c>
      <c r="K193" s="132" t="s">
        <v>4433</v>
      </c>
      <c r="L193" s="136">
        <v>9749298</v>
      </c>
      <c r="M193" s="132">
        <v>42147</v>
      </c>
      <c r="N193" s="136" t="s">
        <v>4532</v>
      </c>
      <c r="O193" s="130" t="s">
        <v>4436</v>
      </c>
      <c r="P193" s="130" t="s">
        <v>492</v>
      </c>
      <c r="Q193" s="130">
        <v>29157010</v>
      </c>
      <c r="R193" s="136">
        <v>79.16</v>
      </c>
      <c r="S193" s="130" t="s">
        <v>70</v>
      </c>
      <c r="T193" s="136" t="s">
        <v>44</v>
      </c>
      <c r="U193" s="136" t="s">
        <v>53</v>
      </c>
      <c r="V193" s="136">
        <v>925</v>
      </c>
      <c r="W193" s="133">
        <f t="shared" si="8"/>
        <v>73223</v>
      </c>
      <c r="X193" s="136">
        <v>24.16</v>
      </c>
      <c r="Y193" s="136">
        <v>1600</v>
      </c>
      <c r="Z193" s="136">
        <v>0</v>
      </c>
      <c r="AA193" s="136">
        <v>0</v>
      </c>
      <c r="AB193" s="131">
        <v>42149</v>
      </c>
      <c r="AC193" s="134">
        <f t="shared" ref="AC193:AC256" si="9">AF193/AD193</f>
        <v>71598.84</v>
      </c>
      <c r="AD193" s="135">
        <v>63.25</v>
      </c>
      <c r="AE193" s="136">
        <f t="shared" ref="AE193:AE256" si="10">AD193*W193</f>
        <v>4631354.75</v>
      </c>
      <c r="AF193" s="137">
        <v>4528626.63</v>
      </c>
      <c r="AG193" s="138">
        <v>63.25</v>
      </c>
      <c r="AH193" s="136" t="s">
        <v>4996</v>
      </c>
      <c r="AI193" s="136">
        <v>73223</v>
      </c>
      <c r="AJ193" s="132">
        <v>42286</v>
      </c>
      <c r="AK193" s="136" t="s">
        <v>4998</v>
      </c>
      <c r="AL193" s="132">
        <v>42289</v>
      </c>
      <c r="AM193" s="131" t="s">
        <v>49</v>
      </c>
      <c r="AN193" s="136" t="s">
        <v>4440</v>
      </c>
    </row>
    <row r="194" spans="1:40" s="129" customFormat="1" x14ac:dyDescent="0.25">
      <c r="A194" s="130">
        <v>193</v>
      </c>
      <c r="B194" s="130" t="s">
        <v>4428</v>
      </c>
      <c r="C194" s="130" t="s">
        <v>38</v>
      </c>
      <c r="D194" s="136" t="s">
        <v>4995</v>
      </c>
      <c r="E194" s="132">
        <v>42154</v>
      </c>
      <c r="F194" s="132" t="s">
        <v>4792</v>
      </c>
      <c r="G194" s="132" t="s">
        <v>281</v>
      </c>
      <c r="H194" s="130" t="s">
        <v>4446</v>
      </c>
      <c r="I194" s="132" t="s">
        <v>40</v>
      </c>
      <c r="J194" s="131" t="s">
        <v>4432</v>
      </c>
      <c r="K194" s="132" t="s">
        <v>4433</v>
      </c>
      <c r="L194" s="136">
        <v>9733808</v>
      </c>
      <c r="M194" s="132">
        <v>42146</v>
      </c>
      <c r="N194" s="136" t="s">
        <v>4532</v>
      </c>
      <c r="O194" s="130" t="s">
        <v>4436</v>
      </c>
      <c r="P194" s="130" t="s">
        <v>492</v>
      </c>
      <c r="Q194" s="130">
        <v>29157010</v>
      </c>
      <c r="R194" s="136">
        <v>79.569999999999993</v>
      </c>
      <c r="S194" s="130" t="s">
        <v>70</v>
      </c>
      <c r="T194" s="136" t="s">
        <v>44</v>
      </c>
      <c r="U194" s="136" t="s">
        <v>53</v>
      </c>
      <c r="V194" s="136">
        <v>925</v>
      </c>
      <c r="W194" s="133">
        <f t="shared" si="8"/>
        <v>73602.25</v>
      </c>
      <c r="X194" s="136">
        <v>24.29</v>
      </c>
      <c r="Y194" s="136">
        <v>1600</v>
      </c>
      <c r="Z194" s="136">
        <v>0</v>
      </c>
      <c r="AA194" s="136">
        <v>0</v>
      </c>
      <c r="AB194" s="131">
        <v>42147</v>
      </c>
      <c r="AC194" s="134">
        <f t="shared" si="9"/>
        <v>71977.959999999992</v>
      </c>
      <c r="AD194" s="135">
        <v>63.25</v>
      </c>
      <c r="AE194" s="136">
        <f t="shared" si="10"/>
        <v>4655342.3125</v>
      </c>
      <c r="AF194" s="137">
        <v>4552605.97</v>
      </c>
      <c r="AG194" s="138">
        <v>63.25</v>
      </c>
      <c r="AH194" s="136" t="s">
        <v>4996</v>
      </c>
      <c r="AI194" s="133">
        <v>73602.25</v>
      </c>
      <c r="AJ194" s="132" t="s">
        <v>4999</v>
      </c>
      <c r="AK194" s="136" t="s">
        <v>5000</v>
      </c>
      <c r="AL194" s="132" t="s">
        <v>5001</v>
      </c>
      <c r="AM194" s="131" t="s">
        <v>49</v>
      </c>
      <c r="AN194" s="133" t="s">
        <v>4440</v>
      </c>
    </row>
    <row r="195" spans="1:40" s="129" customFormat="1" x14ac:dyDescent="0.25">
      <c r="A195" s="136">
        <v>194</v>
      </c>
      <c r="B195" s="130" t="s">
        <v>4428</v>
      </c>
      <c r="C195" s="130" t="s">
        <v>38</v>
      </c>
      <c r="D195" s="136">
        <v>9103650158</v>
      </c>
      <c r="E195" s="132">
        <v>42153</v>
      </c>
      <c r="F195" s="132" t="s">
        <v>4792</v>
      </c>
      <c r="G195" s="132" t="s">
        <v>291</v>
      </c>
      <c r="H195" s="130" t="s">
        <v>4556</v>
      </c>
      <c r="I195" s="132" t="s">
        <v>40</v>
      </c>
      <c r="J195" s="131" t="s">
        <v>4432</v>
      </c>
      <c r="K195" s="132" t="s">
        <v>4433</v>
      </c>
      <c r="L195" s="136">
        <v>9784129</v>
      </c>
      <c r="M195" s="132" t="s">
        <v>3921</v>
      </c>
      <c r="N195" s="136" t="s">
        <v>5002</v>
      </c>
      <c r="O195" s="130" t="s">
        <v>4436</v>
      </c>
      <c r="P195" s="130" t="s">
        <v>123</v>
      </c>
      <c r="Q195" s="130" t="s">
        <v>4559</v>
      </c>
      <c r="R195" s="136">
        <v>48</v>
      </c>
      <c r="S195" s="130" t="s">
        <v>70</v>
      </c>
      <c r="T195" s="136" t="s">
        <v>52</v>
      </c>
      <c r="U195" s="136" t="s">
        <v>53</v>
      </c>
      <c r="V195" s="136">
        <v>0</v>
      </c>
      <c r="W195" s="133">
        <f>(23*1550+1*1902+24*1550)</f>
        <v>74752</v>
      </c>
      <c r="X195" s="136">
        <v>0</v>
      </c>
      <c r="Y195" s="136">
        <v>2900</v>
      </c>
      <c r="Z195" s="136">
        <v>0</v>
      </c>
      <c r="AA195" s="136">
        <v>0</v>
      </c>
      <c r="AB195" s="131">
        <v>42150</v>
      </c>
      <c r="AC195" s="134">
        <f t="shared" si="9"/>
        <v>71852</v>
      </c>
      <c r="AD195" s="135">
        <v>63.25</v>
      </c>
      <c r="AE195" s="136">
        <f t="shared" si="10"/>
        <v>4728064</v>
      </c>
      <c r="AF195" s="137">
        <v>4544639</v>
      </c>
      <c r="AG195" s="138">
        <v>63.25</v>
      </c>
      <c r="AH195" s="136" t="s">
        <v>5003</v>
      </c>
      <c r="AI195" s="133">
        <v>74682.5</v>
      </c>
      <c r="AJ195" s="132" t="s">
        <v>4884</v>
      </c>
      <c r="AK195" s="136" t="s">
        <v>5004</v>
      </c>
      <c r="AL195" s="132" t="s">
        <v>4886</v>
      </c>
      <c r="AM195" s="131" t="s">
        <v>49</v>
      </c>
      <c r="AN195" s="133" t="s">
        <v>4440</v>
      </c>
    </row>
    <row r="196" spans="1:40" s="129" customFormat="1" ht="25.5" x14ac:dyDescent="0.25">
      <c r="A196" s="130">
        <v>195</v>
      </c>
      <c r="B196" s="130" t="s">
        <v>4428</v>
      </c>
      <c r="C196" s="130" t="s">
        <v>38</v>
      </c>
      <c r="D196" s="136">
        <v>9103650159</v>
      </c>
      <c r="E196" s="132">
        <v>42153</v>
      </c>
      <c r="F196" s="132" t="s">
        <v>4792</v>
      </c>
      <c r="G196" s="132" t="s">
        <v>299</v>
      </c>
      <c r="H196" s="130" t="s">
        <v>4564</v>
      </c>
      <c r="I196" s="132" t="s">
        <v>40</v>
      </c>
      <c r="J196" s="131" t="s">
        <v>4432</v>
      </c>
      <c r="K196" s="132" t="s">
        <v>4433</v>
      </c>
      <c r="L196" s="136">
        <v>9784131</v>
      </c>
      <c r="M196" s="132">
        <v>42150</v>
      </c>
      <c r="N196" s="136" t="s">
        <v>4532</v>
      </c>
      <c r="O196" s="130" t="s">
        <v>4436</v>
      </c>
      <c r="P196" s="130" t="s">
        <v>64</v>
      </c>
      <c r="Q196" s="130">
        <v>29161990</v>
      </c>
      <c r="R196" s="136">
        <v>78.5</v>
      </c>
      <c r="S196" s="130" t="s">
        <v>70</v>
      </c>
      <c r="T196" s="136" t="s">
        <v>44</v>
      </c>
      <c r="U196" s="136" t="s">
        <v>53</v>
      </c>
      <c r="V196" s="136">
        <v>2428</v>
      </c>
      <c r="W196" s="133">
        <f t="shared" ref="W196:W259" si="11">V196*R196</f>
        <v>190598</v>
      </c>
      <c r="X196" s="136">
        <v>62.9</v>
      </c>
      <c r="Y196" s="136">
        <v>1440</v>
      </c>
      <c r="Z196" s="136">
        <v>0</v>
      </c>
      <c r="AA196" s="136">
        <v>0</v>
      </c>
      <c r="AB196" s="131">
        <v>42150</v>
      </c>
      <c r="AC196" s="134">
        <f t="shared" si="9"/>
        <v>189095.10007905139</v>
      </c>
      <c r="AD196" s="135">
        <v>63.25</v>
      </c>
      <c r="AE196" s="136">
        <f t="shared" si="10"/>
        <v>12055323.5</v>
      </c>
      <c r="AF196" s="137">
        <v>11960265.08</v>
      </c>
      <c r="AG196" s="138">
        <v>63.25</v>
      </c>
      <c r="AH196" s="136" t="s">
        <v>5005</v>
      </c>
      <c r="AI196" s="133">
        <v>190558</v>
      </c>
      <c r="AJ196" s="132" t="s">
        <v>5006</v>
      </c>
      <c r="AK196" s="139" t="s">
        <v>5007</v>
      </c>
      <c r="AL196" s="132" t="s">
        <v>5008</v>
      </c>
      <c r="AM196" s="131" t="s">
        <v>49</v>
      </c>
      <c r="AN196" s="133" t="s">
        <v>4440</v>
      </c>
    </row>
    <row r="197" spans="1:40" s="129" customFormat="1" x14ac:dyDescent="0.25">
      <c r="A197" s="136">
        <v>196</v>
      </c>
      <c r="B197" s="130" t="s">
        <v>4428</v>
      </c>
      <c r="C197" s="130" t="s">
        <v>38</v>
      </c>
      <c r="D197" s="136">
        <v>9103650160</v>
      </c>
      <c r="E197" s="132">
        <v>42155</v>
      </c>
      <c r="F197" s="132" t="s">
        <v>4792</v>
      </c>
      <c r="G197" s="132" t="s">
        <v>262</v>
      </c>
      <c r="H197" s="130" t="s">
        <v>4456</v>
      </c>
      <c r="I197" s="132" t="s">
        <v>40</v>
      </c>
      <c r="J197" s="131" t="s">
        <v>4432</v>
      </c>
      <c r="K197" s="132" t="s">
        <v>4433</v>
      </c>
      <c r="L197" s="136">
        <v>9624279</v>
      </c>
      <c r="M197" s="132" t="s">
        <v>4594</v>
      </c>
      <c r="N197" s="136" t="s">
        <v>5009</v>
      </c>
      <c r="O197" s="130" t="s">
        <v>4436</v>
      </c>
      <c r="P197" s="130" t="s">
        <v>90</v>
      </c>
      <c r="Q197" s="130">
        <v>38237090</v>
      </c>
      <c r="R197" s="136">
        <v>375</v>
      </c>
      <c r="S197" s="130" t="s">
        <v>70</v>
      </c>
      <c r="T197" s="136" t="s">
        <v>44</v>
      </c>
      <c r="U197" s="136" t="s">
        <v>53</v>
      </c>
      <c r="V197" s="136">
        <v>1.6</v>
      </c>
      <c r="W197" s="133">
        <f t="shared" si="11"/>
        <v>600</v>
      </c>
      <c r="X197" s="136">
        <v>0.2</v>
      </c>
      <c r="Y197" s="136">
        <v>60</v>
      </c>
      <c r="Z197" s="136">
        <v>0</v>
      </c>
      <c r="AA197" s="136">
        <v>0</v>
      </c>
      <c r="AB197" s="131">
        <v>42149</v>
      </c>
      <c r="AC197" s="134">
        <f t="shared" si="9"/>
        <v>539.79999999999995</v>
      </c>
      <c r="AD197" s="135">
        <v>63.3</v>
      </c>
      <c r="AE197" s="136">
        <f t="shared" si="10"/>
        <v>37980</v>
      </c>
      <c r="AF197" s="137">
        <v>34169.339999999997</v>
      </c>
      <c r="AG197" s="138">
        <v>63.25</v>
      </c>
      <c r="AH197" s="136" t="s">
        <v>5010</v>
      </c>
      <c r="AI197" s="133">
        <v>557</v>
      </c>
      <c r="AJ197" s="132" t="s">
        <v>5011</v>
      </c>
      <c r="AK197" s="136" t="s">
        <v>5012</v>
      </c>
      <c r="AL197" s="132" t="s">
        <v>5013</v>
      </c>
      <c r="AM197" s="131" t="s">
        <v>49</v>
      </c>
      <c r="AN197" s="133" t="s">
        <v>4440</v>
      </c>
    </row>
    <row r="198" spans="1:40" s="129" customFormat="1" x14ac:dyDescent="0.25">
      <c r="A198" s="130">
        <v>197</v>
      </c>
      <c r="B198" s="130" t="s">
        <v>4428</v>
      </c>
      <c r="C198" s="130" t="s">
        <v>38</v>
      </c>
      <c r="D198" s="136">
        <v>9103650161</v>
      </c>
      <c r="E198" s="132">
        <v>42155</v>
      </c>
      <c r="F198" s="132" t="s">
        <v>4792</v>
      </c>
      <c r="G198" s="132" t="s">
        <v>286</v>
      </c>
      <c r="H198" s="130" t="s">
        <v>4456</v>
      </c>
      <c r="I198" s="132" t="s">
        <v>40</v>
      </c>
      <c r="J198" s="131" t="s">
        <v>4432</v>
      </c>
      <c r="K198" s="132" t="s">
        <v>4433</v>
      </c>
      <c r="L198" s="136">
        <v>9803554</v>
      </c>
      <c r="M198" s="132" t="s">
        <v>3921</v>
      </c>
      <c r="N198" s="136" t="s">
        <v>4876</v>
      </c>
      <c r="O198" s="130" t="s">
        <v>4436</v>
      </c>
      <c r="P198" s="130" t="s">
        <v>90</v>
      </c>
      <c r="Q198" s="130">
        <v>34021900</v>
      </c>
      <c r="R198" s="136">
        <v>50.4</v>
      </c>
      <c r="S198" s="130" t="s">
        <v>70</v>
      </c>
      <c r="T198" s="136" t="s">
        <v>67</v>
      </c>
      <c r="U198" s="136" t="s">
        <v>53</v>
      </c>
      <c r="V198" s="136">
        <v>2227</v>
      </c>
      <c r="W198" s="133">
        <f t="shared" si="11"/>
        <v>112240.8</v>
      </c>
      <c r="X198" s="136">
        <v>0</v>
      </c>
      <c r="Y198" s="136">
        <v>0</v>
      </c>
      <c r="Z198" s="136">
        <v>0</v>
      </c>
      <c r="AA198" s="136">
        <v>0</v>
      </c>
      <c r="AB198" s="131">
        <v>42151</v>
      </c>
      <c r="AC198" s="134">
        <f t="shared" si="9"/>
        <v>112240.79999999999</v>
      </c>
      <c r="AD198" s="135">
        <v>63.25</v>
      </c>
      <c r="AE198" s="136">
        <f t="shared" si="10"/>
        <v>7099230.6000000006</v>
      </c>
      <c r="AF198" s="137">
        <v>7099230.5999999996</v>
      </c>
      <c r="AG198" s="138">
        <v>63.25</v>
      </c>
      <c r="AH198" s="136" t="s">
        <v>5014</v>
      </c>
      <c r="AI198" s="133">
        <v>112180.8</v>
      </c>
      <c r="AJ198" s="132" t="s">
        <v>5015</v>
      </c>
      <c r="AK198" s="136" t="s">
        <v>5016</v>
      </c>
      <c r="AL198" s="132" t="s">
        <v>5017</v>
      </c>
      <c r="AM198" s="131" t="s">
        <v>49</v>
      </c>
      <c r="AN198" s="133" t="s">
        <v>4440</v>
      </c>
    </row>
    <row r="199" spans="1:40" s="129" customFormat="1" x14ac:dyDescent="0.25">
      <c r="A199" s="136">
        <v>198</v>
      </c>
      <c r="B199" s="130" t="s">
        <v>4428</v>
      </c>
      <c r="C199" s="130" t="s">
        <v>38</v>
      </c>
      <c r="D199" s="136">
        <v>9103650162</v>
      </c>
      <c r="E199" s="132">
        <v>42155</v>
      </c>
      <c r="F199" s="132" t="s">
        <v>4792</v>
      </c>
      <c r="G199" s="132" t="s">
        <v>287</v>
      </c>
      <c r="H199" s="130" t="s">
        <v>4491</v>
      </c>
      <c r="I199" s="132" t="s">
        <v>40</v>
      </c>
      <c r="J199" s="131" t="s">
        <v>4432</v>
      </c>
      <c r="K199" s="132" t="s">
        <v>4433</v>
      </c>
      <c r="L199" s="136">
        <v>9802938</v>
      </c>
      <c r="M199" s="132" t="s">
        <v>3921</v>
      </c>
      <c r="N199" s="136" t="s">
        <v>5018</v>
      </c>
      <c r="O199" s="130" t="s">
        <v>4436</v>
      </c>
      <c r="P199" s="130" t="s">
        <v>190</v>
      </c>
      <c r="Q199" s="130">
        <v>38231190</v>
      </c>
      <c r="R199" s="136">
        <v>15</v>
      </c>
      <c r="S199" s="130" t="s">
        <v>70</v>
      </c>
      <c r="T199" s="136" t="s">
        <v>44</v>
      </c>
      <c r="U199" s="136" t="s">
        <v>53</v>
      </c>
      <c r="V199" s="136">
        <v>910</v>
      </c>
      <c r="W199" s="133">
        <f t="shared" si="11"/>
        <v>13650</v>
      </c>
      <c r="X199" s="136">
        <v>4.5</v>
      </c>
      <c r="Y199" s="136">
        <v>1550</v>
      </c>
      <c r="Z199" s="136">
        <v>0</v>
      </c>
      <c r="AA199" s="136">
        <v>0</v>
      </c>
      <c r="AB199" s="131">
        <v>42152</v>
      </c>
      <c r="AC199" s="134">
        <f t="shared" si="9"/>
        <v>12095.500079051384</v>
      </c>
      <c r="AD199" s="135">
        <v>63.25</v>
      </c>
      <c r="AE199" s="136">
        <f t="shared" si="10"/>
        <v>863362.5</v>
      </c>
      <c r="AF199" s="137">
        <v>765040.38</v>
      </c>
      <c r="AG199" s="138">
        <v>63.25</v>
      </c>
      <c r="AH199" s="136" t="s">
        <v>5019</v>
      </c>
      <c r="AI199" s="133">
        <v>13515</v>
      </c>
      <c r="AJ199" s="132" t="s">
        <v>5013</v>
      </c>
      <c r="AK199" s="136" t="s">
        <v>5020</v>
      </c>
      <c r="AL199" s="132" t="s">
        <v>5021</v>
      </c>
      <c r="AM199" s="131" t="s">
        <v>49</v>
      </c>
      <c r="AN199" s="136" t="s">
        <v>4440</v>
      </c>
    </row>
    <row r="200" spans="1:40" s="129" customFormat="1" x14ac:dyDescent="0.25">
      <c r="A200" s="130">
        <v>199</v>
      </c>
      <c r="B200" s="130" t="s">
        <v>4428</v>
      </c>
      <c r="C200" s="130" t="s">
        <v>38</v>
      </c>
      <c r="D200" s="136">
        <v>9103650165</v>
      </c>
      <c r="E200" s="132">
        <v>42153</v>
      </c>
      <c r="F200" s="132" t="s">
        <v>4792</v>
      </c>
      <c r="G200" s="132" t="s">
        <v>293</v>
      </c>
      <c r="H200" s="130" t="s">
        <v>4491</v>
      </c>
      <c r="I200" s="132" t="s">
        <v>40</v>
      </c>
      <c r="J200" s="131" t="s">
        <v>4432</v>
      </c>
      <c r="K200" s="132" t="s">
        <v>4433</v>
      </c>
      <c r="L200" s="136">
        <v>9793399</v>
      </c>
      <c r="M200" s="132" t="s">
        <v>3921</v>
      </c>
      <c r="N200" s="136" t="s">
        <v>3741</v>
      </c>
      <c r="O200" s="130" t="s">
        <v>4436</v>
      </c>
      <c r="P200" s="130" t="s">
        <v>4492</v>
      </c>
      <c r="Q200" s="130">
        <v>38237090</v>
      </c>
      <c r="R200" s="136">
        <v>18.14</v>
      </c>
      <c r="S200" s="130" t="s">
        <v>70</v>
      </c>
      <c r="T200" s="136" t="s">
        <v>44</v>
      </c>
      <c r="U200" s="136" t="s">
        <v>53</v>
      </c>
      <c r="V200" s="136">
        <v>1603</v>
      </c>
      <c r="W200" s="133">
        <f t="shared" si="11"/>
        <v>29078.420000000002</v>
      </c>
      <c r="X200" s="136">
        <v>9.6</v>
      </c>
      <c r="Y200" s="136">
        <v>3552</v>
      </c>
      <c r="Z200" s="136">
        <v>0</v>
      </c>
      <c r="AA200" s="136">
        <v>0</v>
      </c>
      <c r="AB200" s="131">
        <v>42151</v>
      </c>
      <c r="AC200" s="134">
        <f t="shared" si="9"/>
        <v>25516.820079051384</v>
      </c>
      <c r="AD200" s="135">
        <v>63.25</v>
      </c>
      <c r="AE200" s="136">
        <f t="shared" si="10"/>
        <v>1839210.0650000002</v>
      </c>
      <c r="AF200" s="137">
        <v>1613938.87</v>
      </c>
      <c r="AG200" s="138">
        <v>63.25</v>
      </c>
      <c r="AH200" s="136" t="s">
        <v>5022</v>
      </c>
      <c r="AI200" s="133">
        <v>29078.42</v>
      </c>
      <c r="AJ200" s="132" t="s">
        <v>4844</v>
      </c>
      <c r="AK200" s="136" t="s">
        <v>5023</v>
      </c>
      <c r="AL200" s="132" t="s">
        <v>4692</v>
      </c>
      <c r="AM200" s="131" t="s">
        <v>49</v>
      </c>
      <c r="AN200" s="133" t="s">
        <v>4440</v>
      </c>
    </row>
    <row r="201" spans="1:40" s="129" customFormat="1" x14ac:dyDescent="0.25">
      <c r="A201" s="136">
        <v>200</v>
      </c>
      <c r="B201" s="130" t="s">
        <v>4428</v>
      </c>
      <c r="C201" s="130" t="s">
        <v>38</v>
      </c>
      <c r="D201" s="136">
        <v>9103650170</v>
      </c>
      <c r="E201" s="132">
        <v>42154</v>
      </c>
      <c r="F201" s="132" t="s">
        <v>4792</v>
      </c>
      <c r="G201" s="132" t="s">
        <v>296</v>
      </c>
      <c r="H201" s="130" t="s">
        <v>5024</v>
      </c>
      <c r="I201" s="132" t="s">
        <v>40</v>
      </c>
      <c r="J201" s="131" t="s">
        <v>4432</v>
      </c>
      <c r="K201" s="132" t="s">
        <v>4433</v>
      </c>
      <c r="L201" s="136">
        <v>9826406</v>
      </c>
      <c r="M201" s="132">
        <v>42151</v>
      </c>
      <c r="N201" s="136" t="s">
        <v>4473</v>
      </c>
      <c r="O201" s="130" t="s">
        <v>4436</v>
      </c>
      <c r="P201" s="130" t="s">
        <v>2263</v>
      </c>
      <c r="Q201" s="130">
        <v>38237090</v>
      </c>
      <c r="R201" s="136">
        <v>114.21</v>
      </c>
      <c r="S201" s="130" t="s">
        <v>70</v>
      </c>
      <c r="T201" s="136" t="s">
        <v>67</v>
      </c>
      <c r="U201" s="136" t="s">
        <v>1117</v>
      </c>
      <c r="V201" s="136">
        <v>87385</v>
      </c>
      <c r="W201" s="133">
        <f t="shared" si="11"/>
        <v>9980240.8499999996</v>
      </c>
      <c r="X201" s="136">
        <v>0</v>
      </c>
      <c r="Y201" s="136">
        <v>0</v>
      </c>
      <c r="Z201" s="136">
        <v>0</v>
      </c>
      <c r="AA201" s="136">
        <v>0</v>
      </c>
      <c r="AB201" s="131">
        <v>42152</v>
      </c>
      <c r="AC201" s="134">
        <f t="shared" si="9"/>
        <v>9980240.8499999996</v>
      </c>
      <c r="AD201" s="135">
        <v>1</v>
      </c>
      <c r="AE201" s="136">
        <f t="shared" si="10"/>
        <v>9980240.8499999996</v>
      </c>
      <c r="AF201" s="130">
        <v>9980240.8499999996</v>
      </c>
      <c r="AG201" s="138">
        <v>1</v>
      </c>
      <c r="AH201" s="136" t="s">
        <v>5025</v>
      </c>
      <c r="AI201" s="136">
        <v>9980240.8499999996</v>
      </c>
      <c r="AJ201" s="132">
        <v>42174</v>
      </c>
      <c r="AK201" s="136" t="s">
        <v>5026</v>
      </c>
      <c r="AL201" s="132">
        <v>42175</v>
      </c>
      <c r="AM201" s="131" t="s">
        <v>49</v>
      </c>
      <c r="AN201" s="136" t="s">
        <v>4440</v>
      </c>
    </row>
    <row r="202" spans="1:40" s="129" customFormat="1" x14ac:dyDescent="0.25">
      <c r="A202" s="130">
        <v>201</v>
      </c>
      <c r="B202" s="130" t="s">
        <v>4428</v>
      </c>
      <c r="C202" s="130" t="s">
        <v>38</v>
      </c>
      <c r="D202" s="136">
        <v>9103650173</v>
      </c>
      <c r="E202" s="132">
        <v>42153</v>
      </c>
      <c r="F202" s="132" t="s">
        <v>4792</v>
      </c>
      <c r="G202" s="132" t="s">
        <v>295</v>
      </c>
      <c r="H202" s="130" t="s">
        <v>4446</v>
      </c>
      <c r="I202" s="132" t="s">
        <v>40</v>
      </c>
      <c r="J202" s="131" t="s">
        <v>4432</v>
      </c>
      <c r="K202" s="132" t="s">
        <v>4433</v>
      </c>
      <c r="L202" s="136">
        <v>9817620</v>
      </c>
      <c r="M202" s="132" t="s">
        <v>4818</v>
      </c>
      <c r="N202" s="136" t="s">
        <v>4741</v>
      </c>
      <c r="O202" s="130" t="s">
        <v>4436</v>
      </c>
      <c r="P202" s="130" t="s">
        <v>47</v>
      </c>
      <c r="Q202" s="130" t="s">
        <v>4645</v>
      </c>
      <c r="R202" s="136">
        <v>12</v>
      </c>
      <c r="S202" s="130" t="s">
        <v>70</v>
      </c>
      <c r="T202" s="136" t="s">
        <v>44</v>
      </c>
      <c r="U202" s="136" t="s">
        <v>53</v>
      </c>
      <c r="V202" s="150">
        <v>1534</v>
      </c>
      <c r="W202" s="133">
        <f t="shared" si="11"/>
        <v>18408</v>
      </c>
      <c r="X202" s="136">
        <v>5.97</v>
      </c>
      <c r="Y202" s="136">
        <v>550</v>
      </c>
      <c r="Z202" s="136">
        <v>0</v>
      </c>
      <c r="AA202" s="136">
        <v>0</v>
      </c>
      <c r="AB202" s="131">
        <v>42152</v>
      </c>
      <c r="AC202" s="134">
        <f t="shared" si="9"/>
        <v>17522.030039525689</v>
      </c>
      <c r="AD202" s="135">
        <v>63.25</v>
      </c>
      <c r="AE202" s="136">
        <f t="shared" si="10"/>
        <v>1164306</v>
      </c>
      <c r="AF202" s="137">
        <v>1108268.3999999999</v>
      </c>
      <c r="AG202" s="138">
        <v>63.25</v>
      </c>
      <c r="AH202" s="136" t="s">
        <v>5027</v>
      </c>
      <c r="AI202" s="133">
        <v>18068</v>
      </c>
      <c r="AJ202" s="132" t="s">
        <v>4798</v>
      </c>
      <c r="AK202" s="136" t="s">
        <v>5028</v>
      </c>
      <c r="AL202" s="132" t="s">
        <v>4779</v>
      </c>
      <c r="AM202" s="131" t="s">
        <v>49</v>
      </c>
      <c r="AN202" s="133" t="s">
        <v>4440</v>
      </c>
    </row>
    <row r="203" spans="1:40" s="129" customFormat="1" x14ac:dyDescent="0.25">
      <c r="A203" s="136">
        <v>202</v>
      </c>
      <c r="B203" s="130" t="s">
        <v>4428</v>
      </c>
      <c r="C203" s="130" t="s">
        <v>38</v>
      </c>
      <c r="D203" s="136">
        <v>9103650177</v>
      </c>
      <c r="E203" s="132">
        <v>42154</v>
      </c>
      <c r="F203" s="132" t="s">
        <v>4792</v>
      </c>
      <c r="G203" s="132" t="s">
        <v>300</v>
      </c>
      <c r="H203" s="130" t="s">
        <v>4463</v>
      </c>
      <c r="I203" s="132" t="s">
        <v>40</v>
      </c>
      <c r="J203" s="131" t="s">
        <v>4432</v>
      </c>
      <c r="K203" s="132" t="s">
        <v>4433</v>
      </c>
      <c r="L203" s="136">
        <v>9797676</v>
      </c>
      <c r="M203" s="132">
        <v>42150</v>
      </c>
      <c r="N203" s="136" t="s">
        <v>5029</v>
      </c>
      <c r="O203" s="130" t="s">
        <v>4436</v>
      </c>
      <c r="P203" s="130" t="s">
        <v>1756</v>
      </c>
      <c r="Q203" s="130">
        <v>38231190</v>
      </c>
      <c r="R203" s="136">
        <v>25.5</v>
      </c>
      <c r="S203" s="130" t="s">
        <v>70</v>
      </c>
      <c r="T203" s="136" t="s">
        <v>67</v>
      </c>
      <c r="U203" s="136" t="s">
        <v>53</v>
      </c>
      <c r="V203" s="136">
        <v>1025</v>
      </c>
      <c r="W203" s="133">
        <f t="shared" si="11"/>
        <v>26137.5</v>
      </c>
      <c r="X203" s="136">
        <v>0</v>
      </c>
      <c r="Y203" s="136">
        <v>0</v>
      </c>
      <c r="Z203" s="136">
        <v>0</v>
      </c>
      <c r="AA203" s="136">
        <v>0</v>
      </c>
      <c r="AB203" s="131">
        <v>42151</v>
      </c>
      <c r="AC203" s="134">
        <f t="shared" si="9"/>
        <v>26137.50007905138</v>
      </c>
      <c r="AD203" s="135">
        <v>63.25</v>
      </c>
      <c r="AE203" s="136">
        <f t="shared" si="10"/>
        <v>1653196.875</v>
      </c>
      <c r="AF203" s="137">
        <v>1653196.88</v>
      </c>
      <c r="AG203" s="138">
        <v>63.25</v>
      </c>
      <c r="AH203" s="136" t="s">
        <v>5030</v>
      </c>
      <c r="AI203" s="133">
        <v>26112.5</v>
      </c>
      <c r="AJ203" s="132">
        <v>42118</v>
      </c>
      <c r="AK203" s="136" t="s">
        <v>5031</v>
      </c>
      <c r="AL203" s="132">
        <v>42168</v>
      </c>
      <c r="AM203" s="131" t="s">
        <v>49</v>
      </c>
      <c r="AN203" s="133" t="s">
        <v>4440</v>
      </c>
    </row>
    <row r="204" spans="1:40" s="129" customFormat="1" x14ac:dyDescent="0.25">
      <c r="A204" s="130">
        <v>203</v>
      </c>
      <c r="B204" s="130" t="s">
        <v>4428</v>
      </c>
      <c r="C204" s="130" t="s">
        <v>38</v>
      </c>
      <c r="D204" s="136">
        <v>9111650001</v>
      </c>
      <c r="E204" s="132">
        <v>42133</v>
      </c>
      <c r="F204" s="132" t="s">
        <v>4792</v>
      </c>
      <c r="G204" s="132" t="s">
        <v>5032</v>
      </c>
      <c r="H204" s="130" t="s">
        <v>5033</v>
      </c>
      <c r="I204" s="132" t="s">
        <v>40</v>
      </c>
      <c r="J204" s="131" t="s">
        <v>5034</v>
      </c>
      <c r="K204" s="132" t="s">
        <v>5035</v>
      </c>
      <c r="L204" s="136"/>
      <c r="M204" s="132"/>
      <c r="N204" s="136" t="s">
        <v>5036</v>
      </c>
      <c r="O204" s="130" t="s">
        <v>5037</v>
      </c>
      <c r="P204" s="130" t="s">
        <v>143</v>
      </c>
      <c r="Q204" s="130">
        <v>85143090</v>
      </c>
      <c r="R204" s="136">
        <v>1</v>
      </c>
      <c r="S204" s="130" t="s">
        <v>5038</v>
      </c>
      <c r="T204" s="136" t="s">
        <v>44</v>
      </c>
      <c r="U204" s="136" t="s">
        <v>53</v>
      </c>
      <c r="V204" s="136">
        <v>650.72</v>
      </c>
      <c r="W204" s="133">
        <f t="shared" si="11"/>
        <v>650.72</v>
      </c>
      <c r="X204" s="136">
        <v>0.01</v>
      </c>
      <c r="Y204" s="136">
        <v>570</v>
      </c>
      <c r="Z204" s="136">
        <v>0</v>
      </c>
      <c r="AA204" s="136">
        <v>0</v>
      </c>
      <c r="AB204" s="131"/>
      <c r="AC204" s="134"/>
      <c r="AD204" s="135"/>
      <c r="AE204" s="136"/>
      <c r="AF204" s="130"/>
      <c r="AG204" s="138"/>
      <c r="AH204" s="136"/>
      <c r="AI204" s="136"/>
      <c r="AJ204" s="132"/>
      <c r="AK204" s="136"/>
      <c r="AL204" s="132"/>
      <c r="AM204" s="131" t="s">
        <v>49</v>
      </c>
      <c r="AN204" s="136" t="s">
        <v>5039</v>
      </c>
    </row>
    <row r="205" spans="1:40" s="129" customFormat="1" x14ac:dyDescent="0.25">
      <c r="A205" s="136">
        <v>204</v>
      </c>
      <c r="B205" s="130" t="s">
        <v>4428</v>
      </c>
      <c r="C205" s="130" t="s">
        <v>38</v>
      </c>
      <c r="D205" s="136" t="s">
        <v>5040</v>
      </c>
      <c r="E205" s="132">
        <v>42126</v>
      </c>
      <c r="F205" s="132" t="s">
        <v>4792</v>
      </c>
      <c r="G205" s="132" t="s">
        <v>5041</v>
      </c>
      <c r="H205" s="130" t="s">
        <v>4491</v>
      </c>
      <c r="I205" s="132" t="s">
        <v>40</v>
      </c>
      <c r="J205" s="131" t="s">
        <v>4766</v>
      </c>
      <c r="K205" s="132" t="s">
        <v>4433</v>
      </c>
      <c r="L205" s="136">
        <v>9067271</v>
      </c>
      <c r="M205" s="132">
        <v>42111</v>
      </c>
      <c r="N205" s="136" t="s">
        <v>4775</v>
      </c>
      <c r="O205" s="130" t="s">
        <v>4436</v>
      </c>
      <c r="P205" s="130" t="s">
        <v>4492</v>
      </c>
      <c r="Q205" s="130">
        <v>34011190</v>
      </c>
      <c r="R205" s="136">
        <v>2500</v>
      </c>
      <c r="S205" s="130" t="s">
        <v>5042</v>
      </c>
      <c r="T205" s="136" t="s">
        <v>5043</v>
      </c>
      <c r="U205" s="136" t="s">
        <v>5044</v>
      </c>
      <c r="V205" s="136">
        <v>0</v>
      </c>
      <c r="W205" s="133">
        <v>36770.400000000001</v>
      </c>
      <c r="X205" s="136">
        <v>0</v>
      </c>
      <c r="Y205" s="136">
        <v>0</v>
      </c>
      <c r="Z205" s="136">
        <v>0</v>
      </c>
      <c r="AA205" s="136">
        <v>0</v>
      </c>
      <c r="AB205" s="131">
        <v>42114</v>
      </c>
      <c r="AC205" s="134">
        <f t="shared" si="9"/>
        <v>36770.399999999994</v>
      </c>
      <c r="AD205" s="135">
        <v>61.95</v>
      </c>
      <c r="AE205" s="136">
        <f t="shared" si="10"/>
        <v>2277926.2800000003</v>
      </c>
      <c r="AF205" s="130">
        <v>2277926.2799999998</v>
      </c>
      <c r="AG205" s="138">
        <v>61.95</v>
      </c>
      <c r="AH205" s="136" t="s">
        <v>5045</v>
      </c>
      <c r="AI205" s="136">
        <v>36735.4</v>
      </c>
      <c r="AJ205" s="132">
        <v>42201</v>
      </c>
      <c r="AK205" s="136" t="s">
        <v>5046</v>
      </c>
      <c r="AL205" s="132" t="s">
        <v>4779</v>
      </c>
      <c r="AM205" s="131" t="s">
        <v>49</v>
      </c>
      <c r="AN205" s="136" t="s">
        <v>4440</v>
      </c>
    </row>
    <row r="206" spans="1:40" s="129" customFormat="1" ht="15" x14ac:dyDescent="0.25">
      <c r="A206" s="130">
        <v>205</v>
      </c>
      <c r="B206" s="130" t="s">
        <v>4428</v>
      </c>
      <c r="C206" s="130" t="s">
        <v>38</v>
      </c>
      <c r="D206" s="136" t="s">
        <v>5047</v>
      </c>
      <c r="E206" s="132">
        <v>42149</v>
      </c>
      <c r="F206" s="132" t="s">
        <v>4792</v>
      </c>
      <c r="G206" s="132" t="s">
        <v>5048</v>
      </c>
      <c r="H206" s="130" t="s">
        <v>4446</v>
      </c>
      <c r="I206" s="132" t="s">
        <v>40</v>
      </c>
      <c r="J206" s="131" t="s">
        <v>4766</v>
      </c>
      <c r="K206" s="132" t="s">
        <v>4433</v>
      </c>
      <c r="L206" s="136">
        <v>9472415</v>
      </c>
      <c r="M206" s="132">
        <v>42133</v>
      </c>
      <c r="N206" s="136" t="s">
        <v>5049</v>
      </c>
      <c r="O206" s="130" t="s">
        <v>4436</v>
      </c>
      <c r="P206" s="130" t="s">
        <v>81</v>
      </c>
      <c r="Q206" s="130">
        <v>34011190</v>
      </c>
      <c r="R206" s="136">
        <v>3240</v>
      </c>
      <c r="S206" s="130" t="s">
        <v>5042</v>
      </c>
      <c r="T206" s="136" t="s">
        <v>5043</v>
      </c>
      <c r="U206" s="136" t="s">
        <v>5044</v>
      </c>
      <c r="V206" s="136">
        <v>8.58</v>
      </c>
      <c r="W206" s="133">
        <f>V206*R206</f>
        <v>27799.200000000001</v>
      </c>
      <c r="X206" s="136">
        <v>0</v>
      </c>
      <c r="Y206" s="136">
        <v>0</v>
      </c>
      <c r="Z206" s="136">
        <v>0</v>
      </c>
      <c r="AA206" s="136">
        <v>0</v>
      </c>
      <c r="AB206" s="131">
        <v>42136</v>
      </c>
      <c r="AC206" s="134">
        <f t="shared" si="9"/>
        <v>27799.200000000004</v>
      </c>
      <c r="AD206" s="135">
        <v>63.3</v>
      </c>
      <c r="AE206" s="136">
        <f t="shared" si="10"/>
        <v>1759689.3599999999</v>
      </c>
      <c r="AF206" s="130">
        <v>1759689.36</v>
      </c>
      <c r="AG206" s="138">
        <v>63.3</v>
      </c>
      <c r="AH206" s="151" t="s">
        <v>5050</v>
      </c>
      <c r="AI206" s="136">
        <v>27774.2</v>
      </c>
      <c r="AJ206" s="132">
        <v>42284</v>
      </c>
      <c r="AK206" s="136" t="s">
        <v>5051</v>
      </c>
      <c r="AL206" s="132">
        <v>42467</v>
      </c>
      <c r="AM206" s="131" t="s">
        <v>49</v>
      </c>
      <c r="AN206" s="136" t="s">
        <v>4440</v>
      </c>
    </row>
    <row r="207" spans="1:40" s="129" customFormat="1" x14ac:dyDescent="0.25">
      <c r="A207" s="136">
        <v>206</v>
      </c>
      <c r="B207" s="130" t="s">
        <v>4428</v>
      </c>
      <c r="C207" s="130" t="s">
        <v>38</v>
      </c>
      <c r="D207" s="136">
        <v>9103650163</v>
      </c>
      <c r="E207" s="132">
        <v>42158</v>
      </c>
      <c r="F207" s="132" t="s">
        <v>5052</v>
      </c>
      <c r="G207" s="132" t="s">
        <v>288</v>
      </c>
      <c r="H207" s="130" t="s">
        <v>4491</v>
      </c>
      <c r="I207" s="132" t="s">
        <v>40</v>
      </c>
      <c r="J207" s="131" t="s">
        <v>4432</v>
      </c>
      <c r="K207" s="132" t="s">
        <v>4433</v>
      </c>
      <c r="L207" s="136">
        <v>9798503</v>
      </c>
      <c r="M207" s="132" t="s">
        <v>3921</v>
      </c>
      <c r="N207" s="136" t="s">
        <v>3741</v>
      </c>
      <c r="O207" s="130" t="s">
        <v>4436</v>
      </c>
      <c r="P207" s="130" t="s">
        <v>4492</v>
      </c>
      <c r="Q207" s="130">
        <v>38237090</v>
      </c>
      <c r="R207" s="136">
        <v>36</v>
      </c>
      <c r="S207" s="130" t="s">
        <v>70</v>
      </c>
      <c r="T207" s="136" t="s">
        <v>44</v>
      </c>
      <c r="U207" s="136" t="s">
        <v>53</v>
      </c>
      <c r="V207" s="136">
        <v>1690</v>
      </c>
      <c r="W207" s="133">
        <f t="shared" si="11"/>
        <v>60840</v>
      </c>
      <c r="X207" s="136">
        <v>20.079999999999998</v>
      </c>
      <c r="Y207" s="136">
        <v>8500</v>
      </c>
      <c r="Z207" s="136">
        <v>0</v>
      </c>
      <c r="AA207" s="136">
        <v>0</v>
      </c>
      <c r="AB207" s="131">
        <v>42151</v>
      </c>
      <c r="AC207" s="134">
        <f t="shared" si="9"/>
        <v>52319.92</v>
      </c>
      <c r="AD207" s="135">
        <v>63.25</v>
      </c>
      <c r="AE207" s="136">
        <f t="shared" si="10"/>
        <v>3848130</v>
      </c>
      <c r="AF207" s="137">
        <v>3309234.94</v>
      </c>
      <c r="AG207" s="138">
        <v>63.25</v>
      </c>
      <c r="AH207" s="136" t="s">
        <v>5053</v>
      </c>
      <c r="AI207" s="133">
        <v>60840</v>
      </c>
      <c r="AJ207" s="132" t="s">
        <v>4844</v>
      </c>
      <c r="AK207" s="136" t="s">
        <v>5054</v>
      </c>
      <c r="AL207" s="132" t="s">
        <v>4692</v>
      </c>
      <c r="AM207" s="131" t="s">
        <v>49</v>
      </c>
      <c r="AN207" s="133" t="s">
        <v>4440</v>
      </c>
    </row>
    <row r="208" spans="1:40" s="129" customFormat="1" x14ac:dyDescent="0.25">
      <c r="A208" s="130">
        <v>207</v>
      </c>
      <c r="B208" s="130" t="s">
        <v>4428</v>
      </c>
      <c r="C208" s="130" t="s">
        <v>38</v>
      </c>
      <c r="D208" s="136">
        <v>9103650164</v>
      </c>
      <c r="E208" s="132">
        <v>42158</v>
      </c>
      <c r="F208" s="132" t="s">
        <v>5052</v>
      </c>
      <c r="G208" s="132" t="s">
        <v>298</v>
      </c>
      <c r="H208" s="130" t="s">
        <v>4446</v>
      </c>
      <c r="I208" s="132" t="s">
        <v>40</v>
      </c>
      <c r="J208" s="131" t="s">
        <v>4432</v>
      </c>
      <c r="K208" s="132" t="s">
        <v>4433</v>
      </c>
      <c r="L208" s="136">
        <v>9803665</v>
      </c>
      <c r="M208" s="132" t="s">
        <v>3921</v>
      </c>
      <c r="N208" s="136" t="s">
        <v>4452</v>
      </c>
      <c r="O208" s="130" t="s">
        <v>4436</v>
      </c>
      <c r="P208" s="130" t="s">
        <v>81</v>
      </c>
      <c r="Q208" s="130">
        <v>38237090</v>
      </c>
      <c r="R208" s="136">
        <v>24</v>
      </c>
      <c r="S208" s="130" t="s">
        <v>70</v>
      </c>
      <c r="T208" s="136" t="s">
        <v>52</v>
      </c>
      <c r="U208" s="136" t="s">
        <v>53</v>
      </c>
      <c r="V208" s="136">
        <v>1310</v>
      </c>
      <c r="W208" s="133">
        <f t="shared" si="11"/>
        <v>31440</v>
      </c>
      <c r="X208" s="136">
        <v>0</v>
      </c>
      <c r="Y208" s="136">
        <v>100</v>
      </c>
      <c r="Z208" s="136">
        <v>0</v>
      </c>
      <c r="AA208" s="136">
        <v>0</v>
      </c>
      <c r="AB208" s="131">
        <v>42152</v>
      </c>
      <c r="AC208" s="134">
        <f t="shared" si="9"/>
        <v>31340</v>
      </c>
      <c r="AD208" s="135">
        <v>63.25</v>
      </c>
      <c r="AE208" s="136">
        <f t="shared" si="10"/>
        <v>1988580</v>
      </c>
      <c r="AF208" s="137">
        <v>1982255</v>
      </c>
      <c r="AG208" s="138">
        <v>63.25</v>
      </c>
      <c r="AH208" s="136" t="s">
        <v>5055</v>
      </c>
      <c r="AI208" s="133">
        <v>31440</v>
      </c>
      <c r="AJ208" s="132" t="s">
        <v>4830</v>
      </c>
      <c r="AK208" s="136" t="s">
        <v>5056</v>
      </c>
      <c r="AL208" s="132" t="s">
        <v>5057</v>
      </c>
      <c r="AM208" s="131" t="s">
        <v>49</v>
      </c>
      <c r="AN208" s="133" t="s">
        <v>4440</v>
      </c>
    </row>
    <row r="209" spans="1:40" s="129" customFormat="1" x14ac:dyDescent="0.25">
      <c r="A209" s="136">
        <v>208</v>
      </c>
      <c r="B209" s="130" t="s">
        <v>4428</v>
      </c>
      <c r="C209" s="130" t="s">
        <v>38</v>
      </c>
      <c r="D209" s="136">
        <v>9103650166</v>
      </c>
      <c r="E209" s="132">
        <v>42157</v>
      </c>
      <c r="F209" s="132" t="s">
        <v>5052</v>
      </c>
      <c r="G209" s="132" t="s">
        <v>304</v>
      </c>
      <c r="H209" s="130" t="s">
        <v>4564</v>
      </c>
      <c r="I209" s="132" t="s">
        <v>40</v>
      </c>
      <c r="J209" s="131" t="s">
        <v>4432</v>
      </c>
      <c r="K209" s="132" t="s">
        <v>4433</v>
      </c>
      <c r="L209" s="136">
        <v>9836734</v>
      </c>
      <c r="M209" s="132" t="s">
        <v>4677</v>
      </c>
      <c r="N209" s="136" t="s">
        <v>4867</v>
      </c>
      <c r="O209" s="130" t="s">
        <v>4436</v>
      </c>
      <c r="P209" s="130" t="s">
        <v>90</v>
      </c>
      <c r="Q209" s="130">
        <v>38231190</v>
      </c>
      <c r="R209" s="136">
        <v>10</v>
      </c>
      <c r="S209" s="130" t="s">
        <v>70</v>
      </c>
      <c r="T209" s="136" t="s">
        <v>67</v>
      </c>
      <c r="U209" s="136" t="s">
        <v>53</v>
      </c>
      <c r="V209" s="136">
        <v>835</v>
      </c>
      <c r="W209" s="133">
        <f t="shared" si="11"/>
        <v>8350</v>
      </c>
      <c r="X209" s="136">
        <v>0</v>
      </c>
      <c r="Y209" s="136">
        <v>0</v>
      </c>
      <c r="Z209" s="136">
        <v>0</v>
      </c>
      <c r="AA209" s="136">
        <v>0</v>
      </c>
      <c r="AB209" s="131">
        <v>42153</v>
      </c>
      <c r="AC209" s="134">
        <f t="shared" si="9"/>
        <v>8350</v>
      </c>
      <c r="AD209" s="135">
        <v>63.25</v>
      </c>
      <c r="AE209" s="136">
        <f t="shared" si="10"/>
        <v>528137.5</v>
      </c>
      <c r="AF209" s="137">
        <v>528137.5</v>
      </c>
      <c r="AG209" s="138">
        <v>63.25</v>
      </c>
      <c r="AH209" s="136" t="s">
        <v>5058</v>
      </c>
      <c r="AI209" s="133">
        <v>8340</v>
      </c>
      <c r="AJ209" s="132" t="s">
        <v>5059</v>
      </c>
      <c r="AK209" s="136" t="s">
        <v>5060</v>
      </c>
      <c r="AL209" s="132" t="s">
        <v>5061</v>
      </c>
      <c r="AM209" s="131" t="s">
        <v>49</v>
      </c>
      <c r="AN209" s="133" t="s">
        <v>4440</v>
      </c>
    </row>
    <row r="210" spans="1:40" s="129" customFormat="1" x14ac:dyDescent="0.25">
      <c r="A210" s="130">
        <v>209</v>
      </c>
      <c r="B210" s="130" t="s">
        <v>4428</v>
      </c>
      <c r="C210" s="130" t="s">
        <v>38</v>
      </c>
      <c r="D210" s="136">
        <v>9103650167</v>
      </c>
      <c r="E210" s="132">
        <v>42156</v>
      </c>
      <c r="F210" s="132" t="s">
        <v>5052</v>
      </c>
      <c r="G210" s="132" t="s">
        <v>318</v>
      </c>
      <c r="H210" s="130" t="s">
        <v>4491</v>
      </c>
      <c r="I210" s="132" t="s">
        <v>40</v>
      </c>
      <c r="J210" s="131" t="s">
        <v>4432</v>
      </c>
      <c r="K210" s="132" t="s">
        <v>4433</v>
      </c>
      <c r="L210" s="136">
        <v>9841664</v>
      </c>
      <c r="M210" s="132" t="s">
        <v>4677</v>
      </c>
      <c r="N210" s="136" t="s">
        <v>4858</v>
      </c>
      <c r="O210" s="130" t="s">
        <v>4436</v>
      </c>
      <c r="P210" s="130" t="s">
        <v>54</v>
      </c>
      <c r="Q210" s="130">
        <v>38237090</v>
      </c>
      <c r="R210" s="136">
        <v>24</v>
      </c>
      <c r="S210" s="130" t="s">
        <v>70</v>
      </c>
      <c r="T210" s="136" t="s">
        <v>44</v>
      </c>
      <c r="U210" s="136" t="s">
        <v>53</v>
      </c>
      <c r="V210" s="136">
        <v>3500</v>
      </c>
      <c r="W210" s="133">
        <f t="shared" si="11"/>
        <v>84000</v>
      </c>
      <c r="X210" s="136">
        <v>27.72</v>
      </c>
      <c r="Y210" s="136">
        <v>100</v>
      </c>
      <c r="Z210" s="136">
        <v>0</v>
      </c>
      <c r="AA210" s="136">
        <v>0</v>
      </c>
      <c r="AB210" s="131">
        <v>42153</v>
      </c>
      <c r="AC210" s="134">
        <f t="shared" si="9"/>
        <v>83872.28</v>
      </c>
      <c r="AD210" s="135">
        <v>63.25</v>
      </c>
      <c r="AE210" s="136">
        <f t="shared" si="10"/>
        <v>5313000</v>
      </c>
      <c r="AF210" s="137">
        <v>5304921.71</v>
      </c>
      <c r="AG210" s="138">
        <v>63.25</v>
      </c>
      <c r="AH210" s="136" t="s">
        <v>5062</v>
      </c>
      <c r="AI210" s="133">
        <v>83850</v>
      </c>
      <c r="AJ210" s="132" t="s">
        <v>5013</v>
      </c>
      <c r="AK210" s="136" t="s">
        <v>5063</v>
      </c>
      <c r="AL210" s="132" t="s">
        <v>5021</v>
      </c>
      <c r="AM210" s="131" t="s">
        <v>49</v>
      </c>
      <c r="AN210" s="136" t="s">
        <v>4440</v>
      </c>
    </row>
    <row r="211" spans="1:40" s="129" customFormat="1" x14ac:dyDescent="0.25">
      <c r="A211" s="136">
        <v>210</v>
      </c>
      <c r="B211" s="130" t="s">
        <v>4428</v>
      </c>
      <c r="C211" s="130" t="s">
        <v>38</v>
      </c>
      <c r="D211" s="136">
        <v>9103650168</v>
      </c>
      <c r="E211" s="132">
        <v>42156</v>
      </c>
      <c r="F211" s="132" t="s">
        <v>5052</v>
      </c>
      <c r="G211" s="132" t="s">
        <v>303</v>
      </c>
      <c r="H211" s="130" t="s">
        <v>4491</v>
      </c>
      <c r="I211" s="132" t="s">
        <v>40</v>
      </c>
      <c r="J211" s="131" t="s">
        <v>4432</v>
      </c>
      <c r="K211" s="132" t="s">
        <v>4433</v>
      </c>
      <c r="L211" s="136">
        <v>9842251</v>
      </c>
      <c r="M211" s="132" t="s">
        <v>4677</v>
      </c>
      <c r="N211" s="136" t="s">
        <v>4858</v>
      </c>
      <c r="O211" s="130" t="s">
        <v>4436</v>
      </c>
      <c r="P211" s="130" t="s">
        <v>54</v>
      </c>
      <c r="Q211" s="130">
        <v>38237090</v>
      </c>
      <c r="R211" s="136">
        <v>24</v>
      </c>
      <c r="S211" s="130" t="s">
        <v>70</v>
      </c>
      <c r="T211" s="136" t="s">
        <v>44</v>
      </c>
      <c r="U211" s="136" t="s">
        <v>53</v>
      </c>
      <c r="V211" s="136">
        <v>3500</v>
      </c>
      <c r="W211" s="133">
        <f t="shared" si="11"/>
        <v>84000</v>
      </c>
      <c r="X211" s="136">
        <v>27.72</v>
      </c>
      <c r="Y211" s="136">
        <v>100</v>
      </c>
      <c r="Z211" s="136">
        <v>0</v>
      </c>
      <c r="AA211" s="136">
        <v>0</v>
      </c>
      <c r="AB211" s="131">
        <v>42153</v>
      </c>
      <c r="AC211" s="134">
        <f t="shared" si="9"/>
        <v>83872.28</v>
      </c>
      <c r="AD211" s="135">
        <v>63.25</v>
      </c>
      <c r="AE211" s="136">
        <f t="shared" si="10"/>
        <v>5313000</v>
      </c>
      <c r="AF211" s="137">
        <v>5304921.71</v>
      </c>
      <c r="AG211" s="138">
        <v>63.25</v>
      </c>
      <c r="AH211" s="136" t="s">
        <v>5064</v>
      </c>
      <c r="AI211" s="133">
        <v>83850</v>
      </c>
      <c r="AJ211" s="132" t="s">
        <v>5013</v>
      </c>
      <c r="AK211" s="136" t="s">
        <v>5065</v>
      </c>
      <c r="AL211" s="132" t="s">
        <v>5021</v>
      </c>
      <c r="AM211" s="131" t="s">
        <v>49</v>
      </c>
      <c r="AN211" s="136" t="s">
        <v>4440</v>
      </c>
    </row>
    <row r="212" spans="1:40" s="129" customFormat="1" x14ac:dyDescent="0.25">
      <c r="A212" s="130">
        <v>211</v>
      </c>
      <c r="B212" s="130" t="s">
        <v>4428</v>
      </c>
      <c r="C212" s="130" t="s">
        <v>38</v>
      </c>
      <c r="D212" s="136">
        <v>9103650169</v>
      </c>
      <c r="E212" s="132">
        <v>42156</v>
      </c>
      <c r="F212" s="132" t="s">
        <v>5052</v>
      </c>
      <c r="G212" s="132" t="s">
        <v>305</v>
      </c>
      <c r="H212" s="130" t="s">
        <v>4491</v>
      </c>
      <c r="I212" s="132" t="s">
        <v>40</v>
      </c>
      <c r="J212" s="131" t="s">
        <v>4432</v>
      </c>
      <c r="K212" s="132" t="s">
        <v>4433</v>
      </c>
      <c r="L212" s="136">
        <v>9846114</v>
      </c>
      <c r="M212" s="132" t="s">
        <v>4677</v>
      </c>
      <c r="N212" s="136" t="s">
        <v>3741</v>
      </c>
      <c r="O212" s="130" t="s">
        <v>4436</v>
      </c>
      <c r="P212" s="130" t="s">
        <v>4492</v>
      </c>
      <c r="Q212" s="130">
        <v>38237090</v>
      </c>
      <c r="R212" s="136">
        <v>19.02</v>
      </c>
      <c r="S212" s="130" t="s">
        <v>70</v>
      </c>
      <c r="T212" s="136" t="s">
        <v>44</v>
      </c>
      <c r="U212" s="136" t="s">
        <v>53</v>
      </c>
      <c r="V212" s="136">
        <v>1564</v>
      </c>
      <c r="W212" s="133">
        <f t="shared" si="11"/>
        <v>29747.279999999999</v>
      </c>
      <c r="X212" s="136">
        <v>9.82</v>
      </c>
      <c r="Y212" s="136">
        <v>4300</v>
      </c>
      <c r="Z212" s="136">
        <v>0</v>
      </c>
      <c r="AA212" s="136">
        <v>0</v>
      </c>
      <c r="AB212" s="131">
        <v>42153</v>
      </c>
      <c r="AC212" s="134">
        <f t="shared" si="9"/>
        <v>25437.460079051383</v>
      </c>
      <c r="AD212" s="135">
        <v>63.25</v>
      </c>
      <c r="AE212" s="136">
        <f t="shared" si="10"/>
        <v>1881515.46</v>
      </c>
      <c r="AF212" s="137">
        <v>1608919.35</v>
      </c>
      <c r="AG212" s="138">
        <v>63.25</v>
      </c>
      <c r="AH212" s="136" t="s">
        <v>5066</v>
      </c>
      <c r="AI212" s="133">
        <v>29747.279999999999</v>
      </c>
      <c r="AJ212" s="132" t="s">
        <v>4844</v>
      </c>
      <c r="AK212" s="136" t="s">
        <v>5067</v>
      </c>
      <c r="AL212" s="132" t="s">
        <v>4692</v>
      </c>
      <c r="AM212" s="131" t="s">
        <v>49</v>
      </c>
      <c r="AN212" s="133" t="s">
        <v>4440</v>
      </c>
    </row>
    <row r="213" spans="1:40" s="129" customFormat="1" x14ac:dyDescent="0.25">
      <c r="A213" s="136">
        <v>212</v>
      </c>
      <c r="B213" s="130" t="s">
        <v>4428</v>
      </c>
      <c r="C213" s="130" t="s">
        <v>38</v>
      </c>
      <c r="D213" s="136">
        <v>9103650171</v>
      </c>
      <c r="E213" s="132">
        <v>42156</v>
      </c>
      <c r="F213" s="132" t="s">
        <v>5052</v>
      </c>
      <c r="G213" s="132" t="s">
        <v>297</v>
      </c>
      <c r="H213" s="130" t="s">
        <v>4863</v>
      </c>
      <c r="I213" s="132" t="s">
        <v>40</v>
      </c>
      <c r="J213" s="131" t="s">
        <v>4432</v>
      </c>
      <c r="K213" s="132" t="s">
        <v>4433</v>
      </c>
      <c r="L213" s="136">
        <v>9825709</v>
      </c>
      <c r="M213" s="132" t="s">
        <v>4818</v>
      </c>
      <c r="N213" s="136" t="s">
        <v>4670</v>
      </c>
      <c r="O213" s="130" t="s">
        <v>4436</v>
      </c>
      <c r="P213" s="130" t="s">
        <v>4671</v>
      </c>
      <c r="Q213" s="130">
        <v>38237090</v>
      </c>
      <c r="R213" s="136">
        <v>52</v>
      </c>
      <c r="S213" s="130" t="s">
        <v>70</v>
      </c>
      <c r="T213" s="136" t="s">
        <v>52</v>
      </c>
      <c r="U213" s="136" t="s">
        <v>53</v>
      </c>
      <c r="V213" s="136">
        <v>1430</v>
      </c>
      <c r="W213" s="133">
        <f t="shared" si="11"/>
        <v>74360</v>
      </c>
      <c r="X213" s="136">
        <v>0</v>
      </c>
      <c r="Y213" s="136">
        <v>3126</v>
      </c>
      <c r="Z213" s="136">
        <v>0</v>
      </c>
      <c r="AA213" s="136">
        <v>0</v>
      </c>
      <c r="AB213" s="131">
        <v>42518</v>
      </c>
      <c r="AC213" s="134">
        <f t="shared" si="9"/>
        <v>71233.992094861664</v>
      </c>
      <c r="AD213" s="135">
        <v>63.25</v>
      </c>
      <c r="AE213" s="136">
        <f t="shared" si="10"/>
        <v>4703270</v>
      </c>
      <c r="AF213" s="130">
        <v>4505550</v>
      </c>
      <c r="AG213" s="138">
        <v>63.25</v>
      </c>
      <c r="AH213" s="136" t="s">
        <v>5068</v>
      </c>
      <c r="AI213" s="133">
        <v>37165</v>
      </c>
      <c r="AJ213" s="132" t="s">
        <v>5069</v>
      </c>
      <c r="AK213" s="136" t="s">
        <v>5070</v>
      </c>
      <c r="AL213" s="132" t="s">
        <v>4878</v>
      </c>
      <c r="AM213" s="131" t="s">
        <v>49</v>
      </c>
      <c r="AN213" s="133" t="s">
        <v>5071</v>
      </c>
    </row>
    <row r="214" spans="1:40" s="129" customFormat="1" x14ac:dyDescent="0.25">
      <c r="A214" s="130">
        <v>213</v>
      </c>
      <c r="B214" s="130" t="s">
        <v>4428</v>
      </c>
      <c r="C214" s="130" t="s">
        <v>38</v>
      </c>
      <c r="D214" s="136">
        <v>9103650172</v>
      </c>
      <c r="E214" s="132">
        <v>42159</v>
      </c>
      <c r="F214" s="132" t="s">
        <v>5052</v>
      </c>
      <c r="G214" s="132" t="s">
        <v>306</v>
      </c>
      <c r="H214" s="130" t="s">
        <v>4446</v>
      </c>
      <c r="I214" s="132" t="s">
        <v>40</v>
      </c>
      <c r="J214" s="131" t="s">
        <v>4432</v>
      </c>
      <c r="K214" s="132" t="s">
        <v>4433</v>
      </c>
      <c r="L214" s="136">
        <v>9881951</v>
      </c>
      <c r="M214" s="132" t="s">
        <v>5072</v>
      </c>
      <c r="N214" s="136" t="s">
        <v>5073</v>
      </c>
      <c r="O214" s="130" t="s">
        <v>4436</v>
      </c>
      <c r="P214" s="130" t="s">
        <v>59</v>
      </c>
      <c r="Q214" s="130">
        <v>29159020</v>
      </c>
      <c r="R214" s="136">
        <v>39.6</v>
      </c>
      <c r="S214" s="130" t="s">
        <v>70</v>
      </c>
      <c r="T214" s="136" t="s">
        <v>44</v>
      </c>
      <c r="U214" s="136" t="s">
        <v>53</v>
      </c>
      <c r="V214" s="136">
        <v>4780</v>
      </c>
      <c r="W214" s="133">
        <f t="shared" si="11"/>
        <v>189288</v>
      </c>
      <c r="X214" s="136">
        <v>62.47</v>
      </c>
      <c r="Y214" s="136">
        <v>1600</v>
      </c>
      <c r="Z214" s="136">
        <v>0</v>
      </c>
      <c r="AA214" s="136">
        <v>0</v>
      </c>
      <c r="AB214" s="131">
        <v>42154</v>
      </c>
      <c r="AC214" s="134">
        <f t="shared" si="9"/>
        <v>187625.52996047429</v>
      </c>
      <c r="AD214" s="135">
        <v>63.25</v>
      </c>
      <c r="AE214" s="136">
        <f t="shared" si="10"/>
        <v>11972466</v>
      </c>
      <c r="AF214" s="137">
        <v>11867314.77</v>
      </c>
      <c r="AG214" s="138">
        <v>63.25</v>
      </c>
      <c r="AH214" s="136" t="s">
        <v>5074</v>
      </c>
      <c r="AI214" s="133">
        <v>189267</v>
      </c>
      <c r="AJ214" s="132" t="s">
        <v>5075</v>
      </c>
      <c r="AK214" s="136" t="s">
        <v>5076</v>
      </c>
      <c r="AL214" s="132" t="s">
        <v>5077</v>
      </c>
      <c r="AM214" s="131" t="s">
        <v>49</v>
      </c>
      <c r="AN214" s="133" t="s">
        <v>4440</v>
      </c>
    </row>
    <row r="215" spans="1:40" s="129" customFormat="1" x14ac:dyDescent="0.25">
      <c r="A215" s="136">
        <v>214</v>
      </c>
      <c r="B215" s="130" t="s">
        <v>4428</v>
      </c>
      <c r="C215" s="130" t="s">
        <v>38</v>
      </c>
      <c r="D215" s="136" t="s">
        <v>5078</v>
      </c>
      <c r="E215" s="132">
        <v>42158</v>
      </c>
      <c r="F215" s="132" t="s">
        <v>5052</v>
      </c>
      <c r="G215" s="132" t="s">
        <v>309</v>
      </c>
      <c r="H215" s="130" t="s">
        <v>4431</v>
      </c>
      <c r="I215" s="132" t="s">
        <v>40</v>
      </c>
      <c r="J215" s="131" t="s">
        <v>4432</v>
      </c>
      <c r="K215" s="132" t="s">
        <v>4433</v>
      </c>
      <c r="L215" s="136">
        <v>9885996</v>
      </c>
      <c r="M215" s="132" t="s">
        <v>5072</v>
      </c>
      <c r="N215" s="136" t="s">
        <v>5079</v>
      </c>
      <c r="O215" s="130" t="s">
        <v>4436</v>
      </c>
      <c r="P215" s="130" t="s">
        <v>54</v>
      </c>
      <c r="Q215" s="130">
        <v>38231900</v>
      </c>
      <c r="R215" s="136">
        <v>43.2</v>
      </c>
      <c r="S215" s="130" t="s">
        <v>70</v>
      </c>
      <c r="T215" s="136" t="s">
        <v>44</v>
      </c>
      <c r="U215" s="136" t="s">
        <v>53</v>
      </c>
      <c r="V215" s="136">
        <v>1200</v>
      </c>
      <c r="W215" s="133">
        <f t="shared" si="11"/>
        <v>51840</v>
      </c>
      <c r="X215" s="136">
        <v>17.11</v>
      </c>
      <c r="Y215" s="136">
        <v>750</v>
      </c>
      <c r="Z215" s="136">
        <v>0</v>
      </c>
      <c r="AA215" s="136">
        <v>0</v>
      </c>
      <c r="AB215" s="131">
        <v>42155</v>
      </c>
      <c r="AC215" s="134">
        <f t="shared" si="9"/>
        <v>51072.889960474306</v>
      </c>
      <c r="AD215" s="135">
        <v>63.25</v>
      </c>
      <c r="AE215" s="136">
        <f t="shared" si="10"/>
        <v>3278880</v>
      </c>
      <c r="AF215" s="137">
        <v>3230360.29</v>
      </c>
      <c r="AG215" s="138">
        <v>63.25</v>
      </c>
      <c r="AH215" s="136" t="s">
        <v>5080</v>
      </c>
      <c r="AI215" s="136">
        <v>51840</v>
      </c>
      <c r="AJ215" s="132" t="s">
        <v>4982</v>
      </c>
      <c r="AK215" s="136" t="s">
        <v>5081</v>
      </c>
      <c r="AL215" s="132" t="s">
        <v>4690</v>
      </c>
      <c r="AM215" s="131" t="s">
        <v>49</v>
      </c>
      <c r="AN215" s="136" t="s">
        <v>4440</v>
      </c>
    </row>
    <row r="216" spans="1:40" s="129" customFormat="1" x14ac:dyDescent="0.25">
      <c r="A216" s="130">
        <v>215</v>
      </c>
      <c r="B216" s="130" t="s">
        <v>4428</v>
      </c>
      <c r="C216" s="130" t="s">
        <v>38</v>
      </c>
      <c r="D216" s="136" t="s">
        <v>5078</v>
      </c>
      <c r="E216" s="132">
        <v>42158</v>
      </c>
      <c r="F216" s="132" t="s">
        <v>5052</v>
      </c>
      <c r="G216" s="132" t="s">
        <v>309</v>
      </c>
      <c r="H216" s="130" t="s">
        <v>4431</v>
      </c>
      <c r="I216" s="132" t="s">
        <v>40</v>
      </c>
      <c r="J216" s="131" t="s">
        <v>4432</v>
      </c>
      <c r="K216" s="132" t="s">
        <v>4433</v>
      </c>
      <c r="L216" s="136">
        <v>9881954</v>
      </c>
      <c r="M216" s="132" t="s">
        <v>5072</v>
      </c>
      <c r="N216" s="136" t="s">
        <v>5079</v>
      </c>
      <c r="O216" s="130" t="s">
        <v>4436</v>
      </c>
      <c r="P216" s="130" t="s">
        <v>54</v>
      </c>
      <c r="Q216" s="130">
        <v>38231900</v>
      </c>
      <c r="R216" s="136">
        <v>14.4</v>
      </c>
      <c r="S216" s="130" t="s">
        <v>70</v>
      </c>
      <c r="T216" s="136" t="s">
        <v>44</v>
      </c>
      <c r="U216" s="136" t="s">
        <v>53</v>
      </c>
      <c r="V216" s="136">
        <v>1200</v>
      </c>
      <c r="W216" s="133">
        <f t="shared" si="11"/>
        <v>17280</v>
      </c>
      <c r="X216" s="136">
        <v>5.7</v>
      </c>
      <c r="Y216" s="136">
        <v>250</v>
      </c>
      <c r="Z216" s="136">
        <v>0</v>
      </c>
      <c r="AA216" s="136">
        <v>0</v>
      </c>
      <c r="AB216" s="131">
        <v>42154</v>
      </c>
      <c r="AC216" s="134">
        <f t="shared" si="9"/>
        <v>17024.300079051383</v>
      </c>
      <c r="AD216" s="135">
        <v>63.25</v>
      </c>
      <c r="AE216" s="136">
        <f t="shared" si="10"/>
        <v>1092960</v>
      </c>
      <c r="AF216" s="137">
        <v>1076786.98</v>
      </c>
      <c r="AG216" s="138">
        <v>63.25</v>
      </c>
      <c r="AH216" s="136" t="s">
        <v>5080</v>
      </c>
      <c r="AI216" s="136">
        <v>17280</v>
      </c>
      <c r="AJ216" s="132" t="s">
        <v>4982</v>
      </c>
      <c r="AK216" s="136" t="s">
        <v>5082</v>
      </c>
      <c r="AL216" s="132" t="s">
        <v>4690</v>
      </c>
      <c r="AM216" s="131" t="s">
        <v>49</v>
      </c>
      <c r="AN216" s="136" t="s">
        <v>4440</v>
      </c>
    </row>
    <row r="217" spans="1:40" s="129" customFormat="1" x14ac:dyDescent="0.25">
      <c r="A217" s="136">
        <v>216</v>
      </c>
      <c r="B217" s="130" t="s">
        <v>4428</v>
      </c>
      <c r="C217" s="130" t="s">
        <v>38</v>
      </c>
      <c r="D217" s="136">
        <v>9103650176</v>
      </c>
      <c r="E217" s="132">
        <v>42166</v>
      </c>
      <c r="F217" s="132" t="s">
        <v>5052</v>
      </c>
      <c r="G217" s="132" t="s">
        <v>280</v>
      </c>
      <c r="H217" s="130" t="s">
        <v>4456</v>
      </c>
      <c r="I217" s="132" t="s">
        <v>40</v>
      </c>
      <c r="J217" s="131" t="s">
        <v>4432</v>
      </c>
      <c r="K217" s="132" t="s">
        <v>4433</v>
      </c>
      <c r="L217" s="136">
        <v>9701720</v>
      </c>
      <c r="M217" s="132" t="s">
        <v>4986</v>
      </c>
      <c r="N217" s="136" t="s">
        <v>5009</v>
      </c>
      <c r="O217" s="130" t="s">
        <v>4436</v>
      </c>
      <c r="P217" s="130" t="s">
        <v>90</v>
      </c>
      <c r="Q217" s="130" t="s">
        <v>4559</v>
      </c>
      <c r="R217" s="136">
        <v>1.2749999999999999</v>
      </c>
      <c r="S217" s="130" t="s">
        <v>70</v>
      </c>
      <c r="T217" s="136" t="s">
        <v>44</v>
      </c>
      <c r="U217" s="136" t="s">
        <v>53</v>
      </c>
      <c r="V217" s="136">
        <v>1.7666666666666666</v>
      </c>
      <c r="W217" s="133">
        <f>V217*R217</f>
        <v>2.2524999999999999</v>
      </c>
      <c r="X217" s="136">
        <v>0.72</v>
      </c>
      <c r="Y217" s="136">
        <v>130</v>
      </c>
      <c r="Z217" s="136">
        <v>0</v>
      </c>
      <c r="AA217" s="136">
        <v>0</v>
      </c>
      <c r="AB217" s="131">
        <v>42149</v>
      </c>
      <c r="AC217" s="134">
        <f t="shared" si="9"/>
        <v>2064.2799368088467</v>
      </c>
      <c r="AD217" s="135">
        <v>63.3</v>
      </c>
      <c r="AE217" s="136">
        <f t="shared" si="10"/>
        <v>142.58324999999999</v>
      </c>
      <c r="AF217" s="137">
        <v>130668.92</v>
      </c>
      <c r="AG217" s="138">
        <v>63.25</v>
      </c>
      <c r="AH217" s="136" t="s">
        <v>5083</v>
      </c>
      <c r="AI217" s="133">
        <v>2152</v>
      </c>
      <c r="AJ217" s="132" t="s">
        <v>4722</v>
      </c>
      <c r="AK217" s="136" t="s">
        <v>5084</v>
      </c>
      <c r="AL217" s="132" t="s">
        <v>4724</v>
      </c>
      <c r="AM217" s="131" t="s">
        <v>49</v>
      </c>
      <c r="AN217" s="133" t="s">
        <v>4440</v>
      </c>
    </row>
    <row r="218" spans="1:40" s="129" customFormat="1" x14ac:dyDescent="0.25">
      <c r="A218" s="130">
        <v>217</v>
      </c>
      <c r="B218" s="130" t="s">
        <v>4428</v>
      </c>
      <c r="C218" s="130" t="s">
        <v>38</v>
      </c>
      <c r="D218" s="136">
        <v>9103650178</v>
      </c>
      <c r="E218" s="132">
        <v>42159</v>
      </c>
      <c r="F218" s="132" t="s">
        <v>5052</v>
      </c>
      <c r="G218" s="132" t="s">
        <v>311</v>
      </c>
      <c r="H218" s="130" t="s">
        <v>4556</v>
      </c>
      <c r="I218" s="132" t="s">
        <v>40</v>
      </c>
      <c r="J218" s="131" t="s">
        <v>4432</v>
      </c>
      <c r="K218" s="132" t="s">
        <v>4433</v>
      </c>
      <c r="L218" s="136">
        <v>9915312</v>
      </c>
      <c r="M218" s="132" t="s">
        <v>4561</v>
      </c>
      <c r="N218" s="136" t="s">
        <v>5002</v>
      </c>
      <c r="O218" s="130" t="s">
        <v>4436</v>
      </c>
      <c r="P218" s="130" t="s">
        <v>123</v>
      </c>
      <c r="Q218" s="130">
        <v>38237090</v>
      </c>
      <c r="R218" s="136">
        <v>24</v>
      </c>
      <c r="S218" s="130" t="s">
        <v>70</v>
      </c>
      <c r="T218" s="136" t="s">
        <v>52</v>
      </c>
      <c r="U218" s="136" t="s">
        <v>53</v>
      </c>
      <c r="V218" s="136">
        <v>1550</v>
      </c>
      <c r="W218" s="133">
        <f t="shared" si="11"/>
        <v>37200</v>
      </c>
      <c r="X218" s="136">
        <v>0</v>
      </c>
      <c r="Y218" s="136">
        <v>1550</v>
      </c>
      <c r="Z218" s="136">
        <v>0</v>
      </c>
      <c r="AA218" s="136">
        <v>0</v>
      </c>
      <c r="AB218" s="131">
        <v>42157</v>
      </c>
      <c r="AC218" s="134">
        <f t="shared" si="9"/>
        <v>35650</v>
      </c>
      <c r="AD218" s="135">
        <v>63.25</v>
      </c>
      <c r="AE218" s="136">
        <f t="shared" si="10"/>
        <v>2352900</v>
      </c>
      <c r="AF218" s="137">
        <v>2254862.5</v>
      </c>
      <c r="AG218" s="138">
        <v>63.25</v>
      </c>
      <c r="AH218" s="136" t="s">
        <v>5085</v>
      </c>
      <c r="AI218" s="133">
        <v>37200</v>
      </c>
      <c r="AJ218" s="132" t="s">
        <v>4884</v>
      </c>
      <c r="AK218" s="136" t="s">
        <v>5086</v>
      </c>
      <c r="AL218" s="132" t="s">
        <v>4886</v>
      </c>
      <c r="AM218" s="131" t="s">
        <v>49</v>
      </c>
      <c r="AN218" s="133" t="s">
        <v>4440</v>
      </c>
    </row>
    <row r="219" spans="1:40" s="129" customFormat="1" x14ac:dyDescent="0.25">
      <c r="A219" s="136">
        <v>218</v>
      </c>
      <c r="B219" s="130" t="s">
        <v>4428</v>
      </c>
      <c r="C219" s="130" t="s">
        <v>38</v>
      </c>
      <c r="D219" s="136">
        <v>9103650179</v>
      </c>
      <c r="E219" s="132">
        <v>42160</v>
      </c>
      <c r="F219" s="132" t="s">
        <v>5052</v>
      </c>
      <c r="G219" s="132" t="s">
        <v>312</v>
      </c>
      <c r="H219" s="130" t="s">
        <v>4491</v>
      </c>
      <c r="I219" s="132" t="s">
        <v>40</v>
      </c>
      <c r="J219" s="131" t="s">
        <v>4432</v>
      </c>
      <c r="K219" s="132" t="s">
        <v>4433</v>
      </c>
      <c r="L219" s="136">
        <v>9953948</v>
      </c>
      <c r="M219" s="132" t="s">
        <v>5087</v>
      </c>
      <c r="N219" s="136" t="s">
        <v>3741</v>
      </c>
      <c r="O219" s="130" t="s">
        <v>4436</v>
      </c>
      <c r="P219" s="130" t="s">
        <v>4492</v>
      </c>
      <c r="Q219" s="130">
        <v>29051700</v>
      </c>
      <c r="R219" s="136">
        <v>18.14</v>
      </c>
      <c r="S219" s="130" t="s">
        <v>70</v>
      </c>
      <c r="T219" s="136" t="s">
        <v>44</v>
      </c>
      <c r="U219" s="136" t="s">
        <v>53</v>
      </c>
      <c r="V219" s="136">
        <v>1743</v>
      </c>
      <c r="W219" s="133">
        <f t="shared" si="11"/>
        <v>31618.02</v>
      </c>
      <c r="X219" s="136">
        <v>10.43</v>
      </c>
      <c r="Y219" s="136">
        <v>2800</v>
      </c>
      <c r="Z219" s="136">
        <v>0</v>
      </c>
      <c r="AA219" s="136">
        <v>0</v>
      </c>
      <c r="AB219" s="131">
        <v>42158</v>
      </c>
      <c r="AC219" s="134">
        <f t="shared" si="9"/>
        <v>28807.590039525694</v>
      </c>
      <c r="AD219" s="135">
        <v>63.25</v>
      </c>
      <c r="AE219" s="136">
        <f t="shared" si="10"/>
        <v>1999839.7650000001</v>
      </c>
      <c r="AF219" s="137">
        <v>1822080.07</v>
      </c>
      <c r="AG219" s="138">
        <v>63.25</v>
      </c>
      <c r="AH219" s="136" t="s">
        <v>5088</v>
      </c>
      <c r="AI219" s="133">
        <v>31583.02</v>
      </c>
      <c r="AJ219" s="132" t="s">
        <v>4844</v>
      </c>
      <c r="AK219" s="136" t="s">
        <v>5089</v>
      </c>
      <c r="AL219" s="132" t="s">
        <v>4692</v>
      </c>
      <c r="AM219" s="131" t="s">
        <v>49</v>
      </c>
      <c r="AN219" s="133" t="s">
        <v>4440</v>
      </c>
    </row>
    <row r="220" spans="1:40" s="129" customFormat="1" x14ac:dyDescent="0.25">
      <c r="A220" s="130">
        <v>219</v>
      </c>
      <c r="B220" s="130" t="s">
        <v>4428</v>
      </c>
      <c r="C220" s="130" t="s">
        <v>38</v>
      </c>
      <c r="D220" s="136">
        <v>9103650180</v>
      </c>
      <c r="E220" s="132">
        <v>42160</v>
      </c>
      <c r="F220" s="132" t="s">
        <v>5052</v>
      </c>
      <c r="G220" s="132" t="s">
        <v>314</v>
      </c>
      <c r="H220" s="130" t="s">
        <v>4491</v>
      </c>
      <c r="I220" s="132" t="s">
        <v>40</v>
      </c>
      <c r="J220" s="131" t="s">
        <v>4432</v>
      </c>
      <c r="K220" s="132" t="s">
        <v>4433</v>
      </c>
      <c r="L220" s="136">
        <v>9954982</v>
      </c>
      <c r="M220" s="132" t="s">
        <v>5087</v>
      </c>
      <c r="N220" s="136" t="s">
        <v>3741</v>
      </c>
      <c r="O220" s="130" t="s">
        <v>4436</v>
      </c>
      <c r="P220" s="130" t="s">
        <v>4492</v>
      </c>
      <c r="Q220" s="130">
        <v>38237090</v>
      </c>
      <c r="R220" s="136">
        <v>18.14</v>
      </c>
      <c r="S220" s="130" t="s">
        <v>70</v>
      </c>
      <c r="T220" s="136" t="s">
        <v>44</v>
      </c>
      <c r="U220" s="136" t="s">
        <v>53</v>
      </c>
      <c r="V220" s="136">
        <v>1673</v>
      </c>
      <c r="W220" s="133">
        <f t="shared" si="11"/>
        <v>30348.22</v>
      </c>
      <c r="X220" s="136">
        <v>10.01</v>
      </c>
      <c r="Y220" s="136">
        <v>3552</v>
      </c>
      <c r="Z220" s="136">
        <v>0</v>
      </c>
      <c r="AA220" s="136">
        <v>0</v>
      </c>
      <c r="AB220" s="131">
        <v>42158</v>
      </c>
      <c r="AC220" s="134">
        <f t="shared" si="9"/>
        <v>26786.210118577077</v>
      </c>
      <c r="AD220" s="135">
        <v>63.25</v>
      </c>
      <c r="AE220" s="136">
        <f t="shared" si="10"/>
        <v>1919524.915</v>
      </c>
      <c r="AF220" s="137">
        <v>1694227.79</v>
      </c>
      <c r="AG220" s="138">
        <v>63.25</v>
      </c>
      <c r="AH220" s="136" t="s">
        <v>5090</v>
      </c>
      <c r="AI220" s="133">
        <v>30348.22</v>
      </c>
      <c r="AJ220" s="132" t="s">
        <v>4844</v>
      </c>
      <c r="AK220" s="136" t="s">
        <v>5091</v>
      </c>
      <c r="AL220" s="132" t="s">
        <v>4692</v>
      </c>
      <c r="AM220" s="131" t="s">
        <v>49</v>
      </c>
      <c r="AN220" s="133" t="s">
        <v>4440</v>
      </c>
    </row>
    <row r="221" spans="1:40" s="129" customFormat="1" x14ac:dyDescent="0.25">
      <c r="A221" s="136">
        <v>220</v>
      </c>
      <c r="B221" s="130" t="s">
        <v>4428</v>
      </c>
      <c r="C221" s="130" t="s">
        <v>38</v>
      </c>
      <c r="D221" s="136">
        <v>9103650181</v>
      </c>
      <c r="E221" s="132">
        <v>42161</v>
      </c>
      <c r="F221" s="132" t="s">
        <v>5052</v>
      </c>
      <c r="G221" s="132" t="s">
        <v>313</v>
      </c>
      <c r="H221" s="130" t="s">
        <v>4456</v>
      </c>
      <c r="I221" s="132" t="s">
        <v>40</v>
      </c>
      <c r="J221" s="131" t="s">
        <v>4432</v>
      </c>
      <c r="K221" s="132" t="s">
        <v>4433</v>
      </c>
      <c r="L221" s="136">
        <v>9960632</v>
      </c>
      <c r="M221" s="132" t="s">
        <v>5087</v>
      </c>
      <c r="N221" s="136" t="s">
        <v>4876</v>
      </c>
      <c r="O221" s="130" t="s">
        <v>4436</v>
      </c>
      <c r="P221" s="130" t="s">
        <v>90</v>
      </c>
      <c r="Q221" s="130">
        <v>34021900</v>
      </c>
      <c r="R221" s="136">
        <v>33.6</v>
      </c>
      <c r="S221" s="130" t="s">
        <v>70</v>
      </c>
      <c r="T221" s="136" t="s">
        <v>67</v>
      </c>
      <c r="U221" s="136" t="s">
        <v>53</v>
      </c>
      <c r="V221" s="136">
        <v>2227</v>
      </c>
      <c r="W221" s="133">
        <f t="shared" si="11"/>
        <v>74827.199999999997</v>
      </c>
      <c r="X221" s="136">
        <v>0</v>
      </c>
      <c r="Y221" s="136">
        <v>0</v>
      </c>
      <c r="Z221" s="136">
        <v>0</v>
      </c>
      <c r="AA221" s="136">
        <v>0</v>
      </c>
      <c r="AB221" s="131">
        <v>42158</v>
      </c>
      <c r="AC221" s="134">
        <f t="shared" si="9"/>
        <v>74827.200000000012</v>
      </c>
      <c r="AD221" s="135">
        <v>63.25</v>
      </c>
      <c r="AE221" s="136">
        <f t="shared" si="10"/>
        <v>4732820.3999999994</v>
      </c>
      <c r="AF221" s="137">
        <v>4732820.4000000004</v>
      </c>
      <c r="AG221" s="138">
        <v>63.25</v>
      </c>
      <c r="AH221" s="136" t="s">
        <v>5092</v>
      </c>
      <c r="AI221" s="133">
        <v>74772.2</v>
      </c>
      <c r="AJ221" s="132" t="s">
        <v>5015</v>
      </c>
      <c r="AK221" s="136" t="s">
        <v>5093</v>
      </c>
      <c r="AL221" s="132" t="s">
        <v>5017</v>
      </c>
      <c r="AM221" s="131" t="s">
        <v>49</v>
      </c>
      <c r="AN221" s="133" t="s">
        <v>4440</v>
      </c>
    </row>
    <row r="222" spans="1:40" s="129" customFormat="1" x14ac:dyDescent="0.25">
      <c r="A222" s="130">
        <v>221</v>
      </c>
      <c r="B222" s="130" t="s">
        <v>4428</v>
      </c>
      <c r="C222" s="130" t="s">
        <v>38</v>
      </c>
      <c r="D222" s="136">
        <v>9103650182</v>
      </c>
      <c r="E222" s="132">
        <v>42162</v>
      </c>
      <c r="F222" s="132" t="s">
        <v>5052</v>
      </c>
      <c r="G222" s="132" t="s">
        <v>425</v>
      </c>
      <c r="H222" s="130" t="s">
        <v>4491</v>
      </c>
      <c r="I222" s="132" t="s">
        <v>40</v>
      </c>
      <c r="J222" s="131" t="s">
        <v>4432</v>
      </c>
      <c r="K222" s="132" t="s">
        <v>4433</v>
      </c>
      <c r="L222" s="136">
        <v>9955317</v>
      </c>
      <c r="M222" s="132" t="s">
        <v>5087</v>
      </c>
      <c r="N222" s="136" t="s">
        <v>3741</v>
      </c>
      <c r="O222" s="130" t="s">
        <v>4436</v>
      </c>
      <c r="P222" s="130" t="s">
        <v>4492</v>
      </c>
      <c r="Q222" s="130">
        <v>38237090</v>
      </c>
      <c r="R222" s="136">
        <v>18</v>
      </c>
      <c r="S222" s="130" t="s">
        <v>70</v>
      </c>
      <c r="T222" s="136" t="s">
        <v>44</v>
      </c>
      <c r="U222" s="136" t="s">
        <v>53</v>
      </c>
      <c r="V222" s="136">
        <v>1705</v>
      </c>
      <c r="W222" s="133">
        <f t="shared" si="11"/>
        <v>30690</v>
      </c>
      <c r="X222" s="136">
        <v>10.130000000000001</v>
      </c>
      <c r="Y222" s="136">
        <v>3200</v>
      </c>
      <c r="Z222" s="136">
        <v>0</v>
      </c>
      <c r="AA222" s="136">
        <v>0</v>
      </c>
      <c r="AB222" s="131">
        <v>42158</v>
      </c>
      <c r="AC222" s="134">
        <f t="shared" si="9"/>
        <v>27479.870039525693</v>
      </c>
      <c r="AD222" s="135">
        <v>63.25</v>
      </c>
      <c r="AE222" s="136">
        <f t="shared" si="10"/>
        <v>1941142.5</v>
      </c>
      <c r="AF222" s="137">
        <v>1738101.78</v>
      </c>
      <c r="AG222" s="138">
        <v>63.25</v>
      </c>
      <c r="AH222" s="136" t="s">
        <v>5094</v>
      </c>
      <c r="AI222" s="133">
        <v>30690</v>
      </c>
      <c r="AJ222" s="132" t="s">
        <v>5059</v>
      </c>
      <c r="AK222" s="136" t="s">
        <v>5095</v>
      </c>
      <c r="AL222" s="132" t="s">
        <v>5061</v>
      </c>
      <c r="AM222" s="131" t="s">
        <v>49</v>
      </c>
      <c r="AN222" s="133" t="s">
        <v>4440</v>
      </c>
    </row>
    <row r="223" spans="1:40" s="129" customFormat="1" x14ac:dyDescent="0.25">
      <c r="A223" s="136">
        <v>222</v>
      </c>
      <c r="B223" s="130" t="s">
        <v>4428</v>
      </c>
      <c r="C223" s="130" t="s">
        <v>38</v>
      </c>
      <c r="D223" s="136">
        <v>9103650183</v>
      </c>
      <c r="E223" s="132">
        <v>42164</v>
      </c>
      <c r="F223" s="132" t="s">
        <v>5052</v>
      </c>
      <c r="G223" s="132" t="s">
        <v>426</v>
      </c>
      <c r="H223" s="130" t="s">
        <v>4491</v>
      </c>
      <c r="I223" s="132" t="s">
        <v>40</v>
      </c>
      <c r="J223" s="131" t="s">
        <v>4432</v>
      </c>
      <c r="K223" s="132" t="s">
        <v>4433</v>
      </c>
      <c r="L223" s="136">
        <v>9976691</v>
      </c>
      <c r="M223" s="132" t="s">
        <v>4563</v>
      </c>
      <c r="N223" s="136" t="s">
        <v>3741</v>
      </c>
      <c r="O223" s="130" t="s">
        <v>4436</v>
      </c>
      <c r="P223" s="130" t="s">
        <v>4492</v>
      </c>
      <c r="Q223" s="130">
        <v>29051700</v>
      </c>
      <c r="R223" s="136">
        <v>18.489999999999998</v>
      </c>
      <c r="S223" s="130" t="s">
        <v>70</v>
      </c>
      <c r="T223" s="136" t="s">
        <v>44</v>
      </c>
      <c r="U223" s="136" t="s">
        <v>53</v>
      </c>
      <c r="V223" s="136">
        <v>2043</v>
      </c>
      <c r="W223" s="133">
        <f t="shared" si="11"/>
        <v>37775.07</v>
      </c>
      <c r="X223" s="136">
        <v>12.47</v>
      </c>
      <c r="Y223" s="136">
        <v>4300</v>
      </c>
      <c r="Z223" s="136">
        <v>0</v>
      </c>
      <c r="AA223" s="136">
        <v>0</v>
      </c>
      <c r="AB223" s="131">
        <v>42159</v>
      </c>
      <c r="AC223" s="134">
        <f t="shared" si="9"/>
        <v>33462.600000000006</v>
      </c>
      <c r="AD223" s="135">
        <v>63.25</v>
      </c>
      <c r="AE223" s="136">
        <f t="shared" si="10"/>
        <v>2389273.1774999998</v>
      </c>
      <c r="AF223" s="137">
        <v>2116509.4500000002</v>
      </c>
      <c r="AG223" s="138">
        <v>63.25</v>
      </c>
      <c r="AH223" s="136" t="s">
        <v>5096</v>
      </c>
      <c r="AI223" s="133">
        <v>37775.07</v>
      </c>
      <c r="AJ223" s="132" t="s">
        <v>5059</v>
      </c>
      <c r="AK223" s="136" t="s">
        <v>5097</v>
      </c>
      <c r="AL223" s="132" t="s">
        <v>5061</v>
      </c>
      <c r="AM223" s="131" t="s">
        <v>49</v>
      </c>
      <c r="AN223" s="133" t="s">
        <v>4440</v>
      </c>
    </row>
    <row r="224" spans="1:40" s="129" customFormat="1" x14ac:dyDescent="0.25">
      <c r="A224" s="130">
        <v>223</v>
      </c>
      <c r="B224" s="130" t="s">
        <v>4428</v>
      </c>
      <c r="C224" s="130" t="s">
        <v>38</v>
      </c>
      <c r="D224" s="136">
        <v>9103650184</v>
      </c>
      <c r="E224" s="132">
        <v>42165</v>
      </c>
      <c r="F224" s="132" t="s">
        <v>5052</v>
      </c>
      <c r="G224" s="132" t="s">
        <v>319</v>
      </c>
      <c r="H224" s="130" t="s">
        <v>4463</v>
      </c>
      <c r="I224" s="132" t="s">
        <v>40</v>
      </c>
      <c r="J224" s="131" t="s">
        <v>4432</v>
      </c>
      <c r="K224" s="132" t="s">
        <v>4433</v>
      </c>
      <c r="L224" s="136">
        <v>9986249</v>
      </c>
      <c r="M224" s="132">
        <v>42158</v>
      </c>
      <c r="N224" s="136" t="s">
        <v>5098</v>
      </c>
      <c r="O224" s="130" t="s">
        <v>4436</v>
      </c>
      <c r="P224" s="130" t="s">
        <v>81</v>
      </c>
      <c r="Q224" s="130">
        <v>38237090</v>
      </c>
      <c r="R224" s="136">
        <v>16</v>
      </c>
      <c r="S224" s="130" t="s">
        <v>70</v>
      </c>
      <c r="T224" s="136" t="s">
        <v>44</v>
      </c>
      <c r="U224" s="136" t="s">
        <v>53</v>
      </c>
      <c r="V224" s="136">
        <v>1300</v>
      </c>
      <c r="W224" s="133">
        <f t="shared" si="11"/>
        <v>20800</v>
      </c>
      <c r="X224" s="136">
        <v>6.86</v>
      </c>
      <c r="Y224" s="136">
        <v>200</v>
      </c>
      <c r="Z224" s="136">
        <v>0</v>
      </c>
      <c r="AA224" s="136">
        <v>0</v>
      </c>
      <c r="AB224" s="131">
        <v>42160</v>
      </c>
      <c r="AC224" s="134">
        <f t="shared" si="9"/>
        <v>20593.140079051384</v>
      </c>
      <c r="AD224" s="135">
        <v>63.25</v>
      </c>
      <c r="AE224" s="136">
        <f t="shared" si="10"/>
        <v>1315600</v>
      </c>
      <c r="AF224" s="137">
        <v>1302516.1100000001</v>
      </c>
      <c r="AG224" s="138">
        <v>63.7</v>
      </c>
      <c r="AH224" s="136" t="s">
        <v>5099</v>
      </c>
      <c r="AI224" s="133">
        <v>20760</v>
      </c>
      <c r="AJ224" s="132">
        <v>42152</v>
      </c>
      <c r="AK224" s="136" t="s">
        <v>5100</v>
      </c>
      <c r="AL224" s="132">
        <v>42209</v>
      </c>
      <c r="AM224" s="131" t="s">
        <v>49</v>
      </c>
      <c r="AN224" s="133" t="s">
        <v>4440</v>
      </c>
    </row>
    <row r="225" spans="1:40" s="129" customFormat="1" x14ac:dyDescent="0.25">
      <c r="A225" s="136">
        <v>224</v>
      </c>
      <c r="B225" s="130" t="s">
        <v>4428</v>
      </c>
      <c r="C225" s="130" t="s">
        <v>38</v>
      </c>
      <c r="D225" s="136">
        <v>9103650185</v>
      </c>
      <c r="E225" s="132">
        <v>42163</v>
      </c>
      <c r="F225" s="132" t="s">
        <v>5052</v>
      </c>
      <c r="G225" s="132" t="s">
        <v>315</v>
      </c>
      <c r="H225" s="130" t="s">
        <v>4669</v>
      </c>
      <c r="I225" s="132" t="s">
        <v>40</v>
      </c>
      <c r="J225" s="131" t="s">
        <v>4432</v>
      </c>
      <c r="K225" s="132" t="s">
        <v>4433</v>
      </c>
      <c r="L225" s="136">
        <v>9986397</v>
      </c>
      <c r="M225" s="132" t="s">
        <v>4563</v>
      </c>
      <c r="N225" s="136" t="s">
        <v>5101</v>
      </c>
      <c r="O225" s="130" t="s">
        <v>4436</v>
      </c>
      <c r="P225" s="130" t="s">
        <v>4566</v>
      </c>
      <c r="Q225" s="130">
        <v>38237090</v>
      </c>
      <c r="R225" s="136">
        <v>22</v>
      </c>
      <c r="S225" s="130" t="s">
        <v>70</v>
      </c>
      <c r="T225" s="136" t="s">
        <v>44</v>
      </c>
      <c r="U225" s="136" t="s">
        <v>53</v>
      </c>
      <c r="V225" s="136">
        <v>0</v>
      </c>
      <c r="W225" s="133">
        <f>(1445*12+1545*10)</f>
        <v>32790</v>
      </c>
      <c r="X225" s="136">
        <v>10.82</v>
      </c>
      <c r="Y225" s="136">
        <v>175</v>
      </c>
      <c r="Z225" s="136">
        <v>0</v>
      </c>
      <c r="AA225" s="136">
        <v>0</v>
      </c>
      <c r="AB225" s="131">
        <v>42159</v>
      </c>
      <c r="AC225" s="134">
        <f t="shared" si="9"/>
        <v>32604.180079051381</v>
      </c>
      <c r="AD225" s="135">
        <v>63.25</v>
      </c>
      <c r="AE225" s="136">
        <f t="shared" si="10"/>
        <v>2073967.5</v>
      </c>
      <c r="AF225" s="137">
        <v>2062214.39</v>
      </c>
      <c r="AG225" s="138">
        <v>63.25</v>
      </c>
      <c r="AH225" s="136" t="s">
        <v>5102</v>
      </c>
      <c r="AI225" s="133">
        <v>32747</v>
      </c>
      <c r="AJ225" s="132" t="s">
        <v>4649</v>
      </c>
      <c r="AK225" s="136" t="s">
        <v>5103</v>
      </c>
      <c r="AL225" s="132" t="s">
        <v>4844</v>
      </c>
      <c r="AM225" s="131" t="s">
        <v>49</v>
      </c>
      <c r="AN225" s="133" t="s">
        <v>4440</v>
      </c>
    </row>
    <row r="226" spans="1:40" s="129" customFormat="1" x14ac:dyDescent="0.25">
      <c r="A226" s="130">
        <v>225</v>
      </c>
      <c r="B226" s="130" t="s">
        <v>4428</v>
      </c>
      <c r="C226" s="130" t="s">
        <v>38</v>
      </c>
      <c r="D226" s="136">
        <v>9103650186</v>
      </c>
      <c r="E226" s="132">
        <v>42165</v>
      </c>
      <c r="F226" s="132" t="s">
        <v>5052</v>
      </c>
      <c r="G226" s="132" t="s">
        <v>317</v>
      </c>
      <c r="H226" s="130" t="s">
        <v>4491</v>
      </c>
      <c r="I226" s="132" t="s">
        <v>40</v>
      </c>
      <c r="J226" s="131" t="s">
        <v>4432</v>
      </c>
      <c r="K226" s="132" t="s">
        <v>4433</v>
      </c>
      <c r="L226" s="136">
        <v>1005271</v>
      </c>
      <c r="M226" s="132" t="s">
        <v>4836</v>
      </c>
      <c r="N226" s="136" t="s">
        <v>3741</v>
      </c>
      <c r="O226" s="130" t="s">
        <v>4436</v>
      </c>
      <c r="P226" s="130" t="s">
        <v>4492</v>
      </c>
      <c r="Q226" s="130">
        <v>29051700</v>
      </c>
      <c r="R226" s="136">
        <v>18.14</v>
      </c>
      <c r="S226" s="130" t="s">
        <v>70</v>
      </c>
      <c r="T226" s="136" t="s">
        <v>44</v>
      </c>
      <c r="U226" s="136" t="s">
        <v>53</v>
      </c>
      <c r="V226" s="136">
        <v>2333</v>
      </c>
      <c r="W226" s="133">
        <f t="shared" si="11"/>
        <v>42320.62</v>
      </c>
      <c r="X226" s="136">
        <v>13.97</v>
      </c>
      <c r="Y226" s="136">
        <v>3552</v>
      </c>
      <c r="Z226" s="136">
        <v>0</v>
      </c>
      <c r="AA226" s="136">
        <v>0</v>
      </c>
      <c r="AB226" s="131">
        <v>42160</v>
      </c>
      <c r="AC226" s="134">
        <f t="shared" si="9"/>
        <v>38754.650118577076</v>
      </c>
      <c r="AD226" s="135">
        <v>63.25</v>
      </c>
      <c r="AE226" s="136">
        <f t="shared" si="10"/>
        <v>2676779.2150000003</v>
      </c>
      <c r="AF226" s="137">
        <v>2451231.62</v>
      </c>
      <c r="AG226" s="138">
        <v>63.7</v>
      </c>
      <c r="AH226" s="136" t="s">
        <v>5104</v>
      </c>
      <c r="AI226" s="133">
        <v>42320.62</v>
      </c>
      <c r="AJ226" s="132" t="s">
        <v>5059</v>
      </c>
      <c r="AK226" s="136" t="s">
        <v>5105</v>
      </c>
      <c r="AL226" s="132" t="s">
        <v>5061</v>
      </c>
      <c r="AM226" s="131" t="s">
        <v>49</v>
      </c>
      <c r="AN226" s="133" t="s">
        <v>4440</v>
      </c>
    </row>
    <row r="227" spans="1:40" s="129" customFormat="1" x14ac:dyDescent="0.25">
      <c r="A227" s="136">
        <v>226</v>
      </c>
      <c r="B227" s="130" t="s">
        <v>4428</v>
      </c>
      <c r="C227" s="130" t="s">
        <v>38</v>
      </c>
      <c r="D227" s="136">
        <v>9103650187</v>
      </c>
      <c r="E227" s="132">
        <v>42165</v>
      </c>
      <c r="F227" s="132" t="s">
        <v>5052</v>
      </c>
      <c r="G227" s="132" t="s">
        <v>322</v>
      </c>
      <c r="H227" s="130" t="s">
        <v>4456</v>
      </c>
      <c r="I227" s="132" t="s">
        <v>40</v>
      </c>
      <c r="J227" s="131" t="s">
        <v>4432</v>
      </c>
      <c r="K227" s="132" t="s">
        <v>4433</v>
      </c>
      <c r="L227" s="136">
        <v>1005888</v>
      </c>
      <c r="M227" s="132" t="s">
        <v>4836</v>
      </c>
      <c r="N227" s="136" t="s">
        <v>5106</v>
      </c>
      <c r="O227" s="130" t="s">
        <v>4436</v>
      </c>
      <c r="P227" s="130" t="s">
        <v>127</v>
      </c>
      <c r="Q227" s="130">
        <v>38237090</v>
      </c>
      <c r="R227" s="136">
        <v>14</v>
      </c>
      <c r="S227" s="130" t="s">
        <v>70</v>
      </c>
      <c r="T227" s="136" t="s">
        <v>44</v>
      </c>
      <c r="U227" s="136" t="s">
        <v>53</v>
      </c>
      <c r="V227" s="136">
        <v>3517</v>
      </c>
      <c r="W227" s="133">
        <f t="shared" si="11"/>
        <v>49238</v>
      </c>
      <c r="X227" s="136">
        <v>16.25</v>
      </c>
      <c r="Y227" s="136">
        <v>100</v>
      </c>
      <c r="Z227" s="136">
        <v>0</v>
      </c>
      <c r="AA227" s="136">
        <v>0</v>
      </c>
      <c r="AB227" s="131">
        <v>42161</v>
      </c>
      <c r="AC227" s="134">
        <f t="shared" si="9"/>
        <v>49121.750039525694</v>
      </c>
      <c r="AD227" s="135">
        <v>63.25</v>
      </c>
      <c r="AE227" s="136">
        <f t="shared" si="10"/>
        <v>3114303.5</v>
      </c>
      <c r="AF227" s="137">
        <v>3106950.69</v>
      </c>
      <c r="AG227" s="138">
        <v>63.7</v>
      </c>
      <c r="AH227" s="136" t="s">
        <v>5107</v>
      </c>
      <c r="AI227" s="133">
        <v>49191</v>
      </c>
      <c r="AJ227" s="132" t="s">
        <v>4722</v>
      </c>
      <c r="AK227" s="136" t="s">
        <v>5108</v>
      </c>
      <c r="AL227" s="132" t="s">
        <v>4724</v>
      </c>
      <c r="AM227" s="131" t="s">
        <v>49</v>
      </c>
      <c r="AN227" s="133" t="s">
        <v>4440</v>
      </c>
    </row>
    <row r="228" spans="1:40" s="129" customFormat="1" x14ac:dyDescent="0.25">
      <c r="A228" s="130">
        <v>227</v>
      </c>
      <c r="B228" s="130" t="s">
        <v>4428</v>
      </c>
      <c r="C228" s="130" t="s">
        <v>38</v>
      </c>
      <c r="D228" s="136">
        <v>9103650188</v>
      </c>
      <c r="E228" s="132">
        <v>42164</v>
      </c>
      <c r="F228" s="132" t="s">
        <v>5052</v>
      </c>
      <c r="G228" s="132" t="s">
        <v>316</v>
      </c>
      <c r="H228" s="130" t="s">
        <v>4456</v>
      </c>
      <c r="I228" s="132" t="s">
        <v>40</v>
      </c>
      <c r="J228" s="131" t="s">
        <v>4432</v>
      </c>
      <c r="K228" s="132" t="s">
        <v>4433</v>
      </c>
      <c r="L228" s="136">
        <v>1005275</v>
      </c>
      <c r="M228" s="132" t="s">
        <v>4836</v>
      </c>
      <c r="N228" s="136" t="s">
        <v>5109</v>
      </c>
      <c r="O228" s="130" t="s">
        <v>4436</v>
      </c>
      <c r="P228" s="130" t="s">
        <v>236</v>
      </c>
      <c r="Q228" s="130">
        <v>38237090</v>
      </c>
      <c r="R228" s="136">
        <v>2</v>
      </c>
      <c r="S228" s="130" t="s">
        <v>70</v>
      </c>
      <c r="T228" s="136" t="s">
        <v>44</v>
      </c>
      <c r="U228" s="136" t="s">
        <v>53</v>
      </c>
      <c r="V228" s="136">
        <v>3596</v>
      </c>
      <c r="W228" s="133">
        <f t="shared" si="11"/>
        <v>7192</v>
      </c>
      <c r="X228" s="136">
        <v>2.37</v>
      </c>
      <c r="Y228" s="136">
        <v>75</v>
      </c>
      <c r="Z228" s="136">
        <v>0</v>
      </c>
      <c r="AA228" s="136">
        <v>0</v>
      </c>
      <c r="AB228" s="131">
        <v>42160</v>
      </c>
      <c r="AC228" s="134">
        <f t="shared" si="9"/>
        <v>7114.6300395256912</v>
      </c>
      <c r="AD228" s="135">
        <v>63.25</v>
      </c>
      <c r="AE228" s="136">
        <f t="shared" si="10"/>
        <v>454894</v>
      </c>
      <c r="AF228" s="137">
        <v>450000.35</v>
      </c>
      <c r="AG228" s="138">
        <v>63.25</v>
      </c>
      <c r="AH228" s="136" t="s">
        <v>5110</v>
      </c>
      <c r="AI228" s="133">
        <v>7160</v>
      </c>
      <c r="AJ228" s="132" t="s">
        <v>4805</v>
      </c>
      <c r="AK228" s="136" t="s">
        <v>5111</v>
      </c>
      <c r="AL228" s="132" t="s">
        <v>5112</v>
      </c>
      <c r="AM228" s="131" t="s">
        <v>49</v>
      </c>
      <c r="AN228" s="136" t="s">
        <v>4440</v>
      </c>
    </row>
    <row r="229" spans="1:40" s="129" customFormat="1" x14ac:dyDescent="0.25">
      <c r="A229" s="136">
        <v>228</v>
      </c>
      <c r="B229" s="130" t="s">
        <v>4428</v>
      </c>
      <c r="C229" s="130" t="s">
        <v>38</v>
      </c>
      <c r="D229" s="136">
        <v>9103650189</v>
      </c>
      <c r="E229" s="132">
        <v>42163</v>
      </c>
      <c r="F229" s="132" t="s">
        <v>5052</v>
      </c>
      <c r="G229" s="132" t="s">
        <v>320</v>
      </c>
      <c r="H229" s="130" t="s">
        <v>4564</v>
      </c>
      <c r="I229" s="132" t="s">
        <v>40</v>
      </c>
      <c r="J229" s="131" t="s">
        <v>4432</v>
      </c>
      <c r="K229" s="132" t="s">
        <v>4433</v>
      </c>
      <c r="L229" s="136">
        <v>1020710</v>
      </c>
      <c r="M229" s="132" t="s">
        <v>4838</v>
      </c>
      <c r="N229" s="136" t="s">
        <v>4579</v>
      </c>
      <c r="O229" s="130" t="s">
        <v>4436</v>
      </c>
      <c r="P229" s="130" t="s">
        <v>4566</v>
      </c>
      <c r="Q229" s="130">
        <v>38231200</v>
      </c>
      <c r="R229" s="136">
        <v>19.45</v>
      </c>
      <c r="S229" s="130" t="s">
        <v>70</v>
      </c>
      <c r="T229" s="136" t="s">
        <v>44</v>
      </c>
      <c r="U229" s="136" t="s">
        <v>53</v>
      </c>
      <c r="V229" s="136">
        <v>1145</v>
      </c>
      <c r="W229" s="133">
        <f t="shared" si="11"/>
        <v>22270.25</v>
      </c>
      <c r="X229" s="136">
        <v>7.35</v>
      </c>
      <c r="Y229" s="136">
        <v>150</v>
      </c>
      <c r="Z229" s="136">
        <v>0</v>
      </c>
      <c r="AA229" s="136">
        <v>0</v>
      </c>
      <c r="AB229" s="131">
        <v>42161</v>
      </c>
      <c r="AC229" s="134">
        <f t="shared" si="9"/>
        <v>22112.90015698587</v>
      </c>
      <c r="AD229" s="135">
        <v>63.7</v>
      </c>
      <c r="AE229" s="136">
        <f t="shared" si="10"/>
        <v>1418614.925</v>
      </c>
      <c r="AF229" s="137">
        <v>1408591.74</v>
      </c>
      <c r="AG229" s="138">
        <v>63.7</v>
      </c>
      <c r="AH229" s="136" t="s">
        <v>5113</v>
      </c>
      <c r="AI229" s="133">
        <v>22150.25</v>
      </c>
      <c r="AJ229" s="132" t="s">
        <v>4575</v>
      </c>
      <c r="AK229" s="136" t="s">
        <v>5114</v>
      </c>
      <c r="AL229" s="132" t="s">
        <v>4577</v>
      </c>
      <c r="AM229" s="131" t="s">
        <v>49</v>
      </c>
      <c r="AN229" s="133" t="s">
        <v>4440</v>
      </c>
    </row>
    <row r="230" spans="1:40" s="129" customFormat="1" x14ac:dyDescent="0.25">
      <c r="A230" s="130">
        <v>229</v>
      </c>
      <c r="B230" s="130" t="s">
        <v>4428</v>
      </c>
      <c r="C230" s="130" t="s">
        <v>38</v>
      </c>
      <c r="D230" s="136">
        <v>9103650190</v>
      </c>
      <c r="E230" s="132">
        <v>42166</v>
      </c>
      <c r="F230" s="132" t="s">
        <v>5052</v>
      </c>
      <c r="G230" s="132" t="s">
        <v>321</v>
      </c>
      <c r="H230" s="130" t="s">
        <v>4564</v>
      </c>
      <c r="I230" s="132" t="s">
        <v>40</v>
      </c>
      <c r="J230" s="131" t="s">
        <v>4432</v>
      </c>
      <c r="K230" s="132" t="s">
        <v>4433</v>
      </c>
      <c r="L230" s="136">
        <v>1032462</v>
      </c>
      <c r="M230" s="132" t="s">
        <v>4838</v>
      </c>
      <c r="N230" s="136" t="s">
        <v>4616</v>
      </c>
      <c r="O230" s="130" t="s">
        <v>4436</v>
      </c>
      <c r="P230" s="130" t="s">
        <v>137</v>
      </c>
      <c r="Q230" s="130" t="s">
        <v>4559</v>
      </c>
      <c r="R230" s="136">
        <v>15</v>
      </c>
      <c r="S230" s="130" t="s">
        <v>70</v>
      </c>
      <c r="T230" s="136" t="s">
        <v>44</v>
      </c>
      <c r="U230" s="136" t="s">
        <v>53</v>
      </c>
      <c r="V230" s="136">
        <v>1490</v>
      </c>
      <c r="W230" s="133">
        <f t="shared" si="11"/>
        <v>22350</v>
      </c>
      <c r="X230" s="136">
        <v>7.16</v>
      </c>
      <c r="Y230" s="136">
        <v>525</v>
      </c>
      <c r="Z230" s="136">
        <v>0</v>
      </c>
      <c r="AA230" s="136">
        <v>0</v>
      </c>
      <c r="AB230" s="131">
        <v>42161</v>
      </c>
      <c r="AC230" s="134">
        <f t="shared" si="9"/>
        <v>21167.840031397172</v>
      </c>
      <c r="AD230" s="135">
        <v>63.7</v>
      </c>
      <c r="AE230" s="136">
        <f t="shared" si="10"/>
        <v>1423695</v>
      </c>
      <c r="AF230" s="137">
        <v>1348391.41</v>
      </c>
      <c r="AG230" s="138">
        <v>63.7</v>
      </c>
      <c r="AH230" s="136" t="s">
        <v>5115</v>
      </c>
      <c r="AI230" s="133">
        <v>21685</v>
      </c>
      <c r="AJ230" s="132" t="s">
        <v>5116</v>
      </c>
      <c r="AK230" s="136" t="s">
        <v>5117</v>
      </c>
      <c r="AL230" s="132" t="s">
        <v>4779</v>
      </c>
      <c r="AM230" s="131" t="s">
        <v>49</v>
      </c>
      <c r="AN230" s="133" t="s">
        <v>4440</v>
      </c>
    </row>
    <row r="231" spans="1:40" s="129" customFormat="1" x14ac:dyDescent="0.25">
      <c r="A231" s="136">
        <v>230</v>
      </c>
      <c r="B231" s="130" t="s">
        <v>4428</v>
      </c>
      <c r="C231" s="130" t="s">
        <v>38</v>
      </c>
      <c r="D231" s="136">
        <v>9103650191</v>
      </c>
      <c r="E231" s="132">
        <v>42166</v>
      </c>
      <c r="F231" s="132" t="s">
        <v>5052</v>
      </c>
      <c r="G231" s="132" t="s">
        <v>323</v>
      </c>
      <c r="H231" s="130" t="s">
        <v>4456</v>
      </c>
      <c r="I231" s="132" t="s">
        <v>40</v>
      </c>
      <c r="J231" s="131" t="s">
        <v>4432</v>
      </c>
      <c r="K231" s="132" t="s">
        <v>4433</v>
      </c>
      <c r="L231" s="136">
        <v>1066092</v>
      </c>
      <c r="M231" s="132">
        <v>42163</v>
      </c>
      <c r="N231" s="136" t="s">
        <v>4527</v>
      </c>
      <c r="O231" s="130" t="s">
        <v>4436</v>
      </c>
      <c r="P231" s="130" t="s">
        <v>2657</v>
      </c>
      <c r="Q231" s="130">
        <v>38237090</v>
      </c>
      <c r="R231" s="136">
        <v>16</v>
      </c>
      <c r="S231" s="130" t="s">
        <v>70</v>
      </c>
      <c r="T231" s="136" t="s">
        <v>52</v>
      </c>
      <c r="U231" s="136" t="s">
        <v>53</v>
      </c>
      <c r="V231" s="136">
        <v>1325</v>
      </c>
      <c r="W231" s="133">
        <f t="shared" si="11"/>
        <v>21200</v>
      </c>
      <c r="X231" s="136">
        <v>0</v>
      </c>
      <c r="Y231" s="136">
        <v>550</v>
      </c>
      <c r="Z231" s="136">
        <v>0</v>
      </c>
      <c r="AA231" s="136">
        <v>0</v>
      </c>
      <c r="AB231" s="131">
        <v>42164</v>
      </c>
      <c r="AC231" s="134">
        <f t="shared" si="9"/>
        <v>20650</v>
      </c>
      <c r="AD231" s="135">
        <v>63.7</v>
      </c>
      <c r="AE231" s="136">
        <f t="shared" si="10"/>
        <v>1350440</v>
      </c>
      <c r="AF231" s="137">
        <v>1315405</v>
      </c>
      <c r="AG231" s="138">
        <v>63.7</v>
      </c>
      <c r="AH231" s="136" t="s">
        <v>5118</v>
      </c>
      <c r="AI231" s="133">
        <v>21190</v>
      </c>
      <c r="AJ231" s="132">
        <v>42235</v>
      </c>
      <c r="AK231" s="136" t="s">
        <v>5119</v>
      </c>
      <c r="AL231" s="132">
        <v>42235</v>
      </c>
      <c r="AM231" s="131" t="s">
        <v>49</v>
      </c>
      <c r="AN231" s="133" t="s">
        <v>4440</v>
      </c>
    </row>
    <row r="232" spans="1:40" s="129" customFormat="1" x14ac:dyDescent="0.25">
      <c r="A232" s="130">
        <v>231</v>
      </c>
      <c r="B232" s="130" t="s">
        <v>4428</v>
      </c>
      <c r="C232" s="130" t="s">
        <v>38</v>
      </c>
      <c r="D232" s="136">
        <v>9103650192</v>
      </c>
      <c r="E232" s="132">
        <v>42169</v>
      </c>
      <c r="F232" s="132" t="s">
        <v>5052</v>
      </c>
      <c r="G232" s="132" t="s">
        <v>324</v>
      </c>
      <c r="H232" s="130" t="s">
        <v>4491</v>
      </c>
      <c r="I232" s="132" t="s">
        <v>40</v>
      </c>
      <c r="J232" s="131" t="s">
        <v>4432</v>
      </c>
      <c r="K232" s="132" t="s">
        <v>4433</v>
      </c>
      <c r="L232" s="136">
        <v>1066081</v>
      </c>
      <c r="M232" s="132" t="s">
        <v>5120</v>
      </c>
      <c r="N232" s="136" t="s">
        <v>3741</v>
      </c>
      <c r="O232" s="130" t="s">
        <v>4436</v>
      </c>
      <c r="P232" s="130" t="s">
        <v>4492</v>
      </c>
      <c r="Q232" s="130">
        <v>29051700</v>
      </c>
      <c r="R232" s="136">
        <v>18.14</v>
      </c>
      <c r="S232" s="130" t="s">
        <v>70</v>
      </c>
      <c r="T232" s="136" t="s">
        <v>44</v>
      </c>
      <c r="U232" s="136" t="s">
        <v>53</v>
      </c>
      <c r="V232" s="136">
        <v>1726</v>
      </c>
      <c r="W232" s="133">
        <f t="shared" si="11"/>
        <v>31309.64</v>
      </c>
      <c r="X232" s="136">
        <v>10.33</v>
      </c>
      <c r="Y232" s="136">
        <v>1606</v>
      </c>
      <c r="Z232" s="136">
        <v>0</v>
      </c>
      <c r="AA232" s="136">
        <v>0</v>
      </c>
      <c r="AB232" s="131">
        <v>42164</v>
      </c>
      <c r="AC232" s="134">
        <f t="shared" si="9"/>
        <v>29693.310047095762</v>
      </c>
      <c r="AD232" s="135">
        <v>63.7</v>
      </c>
      <c r="AE232" s="136">
        <f t="shared" si="10"/>
        <v>1994424.068</v>
      </c>
      <c r="AF232" s="137">
        <v>1891463.85</v>
      </c>
      <c r="AG232" s="138">
        <v>63.7</v>
      </c>
      <c r="AH232" s="136" t="s">
        <v>5121</v>
      </c>
      <c r="AI232" s="133">
        <v>31309.64</v>
      </c>
      <c r="AJ232" s="132" t="s">
        <v>5059</v>
      </c>
      <c r="AK232" s="136" t="s">
        <v>5122</v>
      </c>
      <c r="AL232" s="132" t="s">
        <v>5061</v>
      </c>
      <c r="AM232" s="131" t="s">
        <v>49</v>
      </c>
      <c r="AN232" s="133" t="s">
        <v>4440</v>
      </c>
    </row>
    <row r="233" spans="1:40" s="129" customFormat="1" x14ac:dyDescent="0.25">
      <c r="A233" s="136">
        <v>232</v>
      </c>
      <c r="B233" s="130" t="s">
        <v>4428</v>
      </c>
      <c r="C233" s="130" t="s">
        <v>38</v>
      </c>
      <c r="D233" s="136">
        <v>9103650193</v>
      </c>
      <c r="E233" s="132">
        <v>42169</v>
      </c>
      <c r="F233" s="132" t="s">
        <v>5052</v>
      </c>
      <c r="G233" s="132" t="s">
        <v>326</v>
      </c>
      <c r="H233" s="130" t="s">
        <v>4491</v>
      </c>
      <c r="I233" s="132" t="s">
        <v>40</v>
      </c>
      <c r="J233" s="131" t="s">
        <v>4432</v>
      </c>
      <c r="K233" s="132" t="s">
        <v>4433</v>
      </c>
      <c r="L233" s="136">
        <v>1068481</v>
      </c>
      <c r="M233" s="132" t="s">
        <v>5120</v>
      </c>
      <c r="N233" s="136" t="s">
        <v>3741</v>
      </c>
      <c r="O233" s="130" t="s">
        <v>4436</v>
      </c>
      <c r="P233" s="130" t="s">
        <v>4492</v>
      </c>
      <c r="Q233" s="130">
        <v>29051700</v>
      </c>
      <c r="R233" s="136">
        <v>18.14</v>
      </c>
      <c r="S233" s="130" t="s">
        <v>70</v>
      </c>
      <c r="T233" s="136" t="s">
        <v>44</v>
      </c>
      <c r="U233" s="136" t="s">
        <v>53</v>
      </c>
      <c r="V233" s="136">
        <v>1872</v>
      </c>
      <c r="W233" s="133">
        <f t="shared" si="11"/>
        <v>33958.080000000002</v>
      </c>
      <c r="X233" s="136">
        <v>11.21</v>
      </c>
      <c r="Y233" s="136">
        <v>2750</v>
      </c>
      <c r="Z233" s="136">
        <v>0</v>
      </c>
      <c r="AA233" s="136">
        <v>0</v>
      </c>
      <c r="AB233" s="131">
        <v>42164</v>
      </c>
      <c r="AC233" s="134">
        <f t="shared" si="9"/>
        <v>31196.870015698587</v>
      </c>
      <c r="AD233" s="135">
        <v>63.7</v>
      </c>
      <c r="AE233" s="136">
        <f t="shared" si="10"/>
        <v>2163129.696</v>
      </c>
      <c r="AF233" s="137">
        <v>1987240.62</v>
      </c>
      <c r="AG233" s="138">
        <v>63.7</v>
      </c>
      <c r="AH233" s="136" t="s">
        <v>5123</v>
      </c>
      <c r="AI233" s="133">
        <v>33958.080000000002</v>
      </c>
      <c r="AJ233" s="132" t="s">
        <v>5059</v>
      </c>
      <c r="AK233" s="136" t="s">
        <v>5124</v>
      </c>
      <c r="AL233" s="132" t="s">
        <v>5061</v>
      </c>
      <c r="AM233" s="131" t="s">
        <v>49</v>
      </c>
      <c r="AN233" s="133" t="s">
        <v>4440</v>
      </c>
    </row>
    <row r="234" spans="1:40" s="129" customFormat="1" x14ac:dyDescent="0.25">
      <c r="A234" s="130">
        <v>233</v>
      </c>
      <c r="B234" s="130" t="s">
        <v>4428</v>
      </c>
      <c r="C234" s="130" t="s">
        <v>38</v>
      </c>
      <c r="D234" s="136">
        <v>9103650194</v>
      </c>
      <c r="E234" s="132">
        <v>42168</v>
      </c>
      <c r="F234" s="132" t="s">
        <v>5052</v>
      </c>
      <c r="G234" s="132" t="s">
        <v>328</v>
      </c>
      <c r="H234" s="130" t="s">
        <v>4463</v>
      </c>
      <c r="I234" s="132" t="s">
        <v>40</v>
      </c>
      <c r="J234" s="131" t="s">
        <v>4432</v>
      </c>
      <c r="K234" s="132" t="s">
        <v>4433</v>
      </c>
      <c r="L234" s="136">
        <v>1070773</v>
      </c>
      <c r="M234" s="132">
        <v>42163</v>
      </c>
      <c r="N234" s="136" t="s">
        <v>4473</v>
      </c>
      <c r="O234" s="130" t="s">
        <v>4436</v>
      </c>
      <c r="P234" s="130" t="s">
        <v>4474</v>
      </c>
      <c r="Q234" s="130">
        <v>38237090</v>
      </c>
      <c r="R234" s="136">
        <v>89.05</v>
      </c>
      <c r="S234" s="130" t="s">
        <v>70</v>
      </c>
      <c r="T234" s="136" t="s">
        <v>44</v>
      </c>
      <c r="U234" s="136" t="s">
        <v>1117</v>
      </c>
      <c r="V234" s="136">
        <v>87385</v>
      </c>
      <c r="W234" s="133">
        <f t="shared" si="11"/>
        <v>7781634.25</v>
      </c>
      <c r="X234" s="136">
        <v>0</v>
      </c>
      <c r="Y234" s="136">
        <v>0</v>
      </c>
      <c r="Z234" s="136">
        <v>0</v>
      </c>
      <c r="AA234" s="136">
        <v>0</v>
      </c>
      <c r="AB234" s="131">
        <v>42164</v>
      </c>
      <c r="AC234" s="134">
        <f t="shared" si="9"/>
        <v>7781634.25</v>
      </c>
      <c r="AD234" s="135">
        <v>1</v>
      </c>
      <c r="AE234" s="136">
        <f t="shared" si="10"/>
        <v>7781634.25</v>
      </c>
      <c r="AF234" s="130">
        <v>7781634.25</v>
      </c>
      <c r="AG234" s="138">
        <v>1</v>
      </c>
      <c r="AH234" s="136" t="s">
        <v>5125</v>
      </c>
      <c r="AI234" s="136">
        <v>7781634.25</v>
      </c>
      <c r="AJ234" s="132">
        <v>42192</v>
      </c>
      <c r="AK234" s="136" t="s">
        <v>5126</v>
      </c>
      <c r="AL234" s="132">
        <v>42193</v>
      </c>
      <c r="AM234" s="131" t="s">
        <v>49</v>
      </c>
      <c r="AN234" s="136" t="s">
        <v>4440</v>
      </c>
    </row>
    <row r="235" spans="1:40" s="129" customFormat="1" x14ac:dyDescent="0.25">
      <c r="A235" s="136">
        <v>234</v>
      </c>
      <c r="B235" s="130" t="s">
        <v>4428</v>
      </c>
      <c r="C235" s="130" t="s">
        <v>38</v>
      </c>
      <c r="D235" s="136">
        <v>9103650195</v>
      </c>
      <c r="E235" s="132">
        <v>42167</v>
      </c>
      <c r="F235" s="132" t="s">
        <v>5052</v>
      </c>
      <c r="G235" s="132" t="s">
        <v>330</v>
      </c>
      <c r="H235" s="130" t="s">
        <v>4456</v>
      </c>
      <c r="I235" s="132" t="s">
        <v>40</v>
      </c>
      <c r="J235" s="131" t="s">
        <v>4432</v>
      </c>
      <c r="K235" s="132" t="s">
        <v>4433</v>
      </c>
      <c r="L235" s="136">
        <v>1085775</v>
      </c>
      <c r="M235" s="132" t="s">
        <v>4480</v>
      </c>
      <c r="N235" s="136" t="s">
        <v>4950</v>
      </c>
      <c r="O235" s="130" t="s">
        <v>4436</v>
      </c>
      <c r="P235" s="130" t="s">
        <v>143</v>
      </c>
      <c r="Q235" s="130">
        <v>38237090</v>
      </c>
      <c r="R235" s="136">
        <v>12</v>
      </c>
      <c r="S235" s="130" t="s">
        <v>70</v>
      </c>
      <c r="T235" s="136" t="s">
        <v>52</v>
      </c>
      <c r="U235" s="136" t="s">
        <v>53</v>
      </c>
      <c r="V235" s="136">
        <v>1545</v>
      </c>
      <c r="W235" s="133">
        <f t="shared" si="11"/>
        <v>18540</v>
      </c>
      <c r="X235" s="136">
        <v>0</v>
      </c>
      <c r="Y235" s="136">
        <v>656</v>
      </c>
      <c r="Z235" s="136">
        <v>0</v>
      </c>
      <c r="AA235" s="136">
        <v>0</v>
      </c>
      <c r="AB235" s="131">
        <v>42165</v>
      </c>
      <c r="AC235" s="134">
        <f t="shared" si="9"/>
        <v>17884</v>
      </c>
      <c r="AD235" s="135">
        <v>63.7</v>
      </c>
      <c r="AE235" s="136">
        <f t="shared" si="10"/>
        <v>1180998</v>
      </c>
      <c r="AF235" s="137">
        <v>1139210.8</v>
      </c>
      <c r="AG235" s="138">
        <v>63.7</v>
      </c>
      <c r="AH235" s="136" t="s">
        <v>5127</v>
      </c>
      <c r="AI235" s="133">
        <v>18520</v>
      </c>
      <c r="AJ235" s="132" t="s">
        <v>4952</v>
      </c>
      <c r="AK235" s="136" t="s">
        <v>5128</v>
      </c>
      <c r="AL235" s="132" t="s">
        <v>4954</v>
      </c>
      <c r="AM235" s="131" t="s">
        <v>49</v>
      </c>
      <c r="AN235" s="133" t="s">
        <v>4440</v>
      </c>
    </row>
    <row r="236" spans="1:40" s="129" customFormat="1" x14ac:dyDescent="0.25">
      <c r="A236" s="130">
        <v>235</v>
      </c>
      <c r="B236" s="130" t="s">
        <v>4428</v>
      </c>
      <c r="C236" s="130" t="s">
        <v>38</v>
      </c>
      <c r="D236" s="136">
        <v>9103650196</v>
      </c>
      <c r="E236" s="132">
        <v>42168</v>
      </c>
      <c r="F236" s="132" t="s">
        <v>5052</v>
      </c>
      <c r="G236" s="132" t="s">
        <v>327</v>
      </c>
      <c r="H236" s="130" t="s">
        <v>4456</v>
      </c>
      <c r="I236" s="132" t="s">
        <v>40</v>
      </c>
      <c r="J236" s="131" t="s">
        <v>4432</v>
      </c>
      <c r="K236" s="132" t="s">
        <v>4433</v>
      </c>
      <c r="L236" s="136">
        <v>1085344</v>
      </c>
      <c r="M236" s="132" t="s">
        <v>4480</v>
      </c>
      <c r="N236" s="136" t="s">
        <v>5129</v>
      </c>
      <c r="O236" s="130" t="s">
        <v>4436</v>
      </c>
      <c r="P236" s="130" t="s">
        <v>3038</v>
      </c>
      <c r="Q236" s="130">
        <v>29051700</v>
      </c>
      <c r="R236" s="136">
        <v>30</v>
      </c>
      <c r="S236" s="130" t="s">
        <v>70</v>
      </c>
      <c r="T236" s="136" t="s">
        <v>44</v>
      </c>
      <c r="U236" s="136" t="s">
        <v>53</v>
      </c>
      <c r="V236" s="136">
        <v>1754</v>
      </c>
      <c r="W236" s="133">
        <f t="shared" si="11"/>
        <v>52620</v>
      </c>
      <c r="X236" s="136">
        <v>17.36</v>
      </c>
      <c r="Y236" s="136">
        <v>1600</v>
      </c>
      <c r="Z236" s="136">
        <v>0</v>
      </c>
      <c r="AA236" s="136">
        <v>0</v>
      </c>
      <c r="AB236" s="131">
        <v>42165</v>
      </c>
      <c r="AC236" s="134">
        <f t="shared" si="9"/>
        <v>51002.640031397168</v>
      </c>
      <c r="AD236" s="135">
        <v>63.7</v>
      </c>
      <c r="AE236" s="136">
        <f t="shared" si="10"/>
        <v>3351894</v>
      </c>
      <c r="AF236" s="137">
        <v>3248868.17</v>
      </c>
      <c r="AG236" s="138">
        <v>63.7</v>
      </c>
      <c r="AH236" s="136" t="s">
        <v>5130</v>
      </c>
      <c r="AI236" s="133">
        <v>52605</v>
      </c>
      <c r="AJ236" s="132" t="s">
        <v>5017</v>
      </c>
      <c r="AK236" s="136" t="s">
        <v>5131</v>
      </c>
      <c r="AL236" s="132" t="s">
        <v>5132</v>
      </c>
      <c r="AM236" s="131" t="s">
        <v>49</v>
      </c>
      <c r="AN236" s="133" t="s">
        <v>4440</v>
      </c>
    </row>
    <row r="237" spans="1:40" s="129" customFormat="1" x14ac:dyDescent="0.25">
      <c r="A237" s="136">
        <v>236</v>
      </c>
      <c r="B237" s="130" t="s">
        <v>4428</v>
      </c>
      <c r="C237" s="130" t="s">
        <v>38</v>
      </c>
      <c r="D237" s="136">
        <v>9103650197</v>
      </c>
      <c r="E237" s="132">
        <v>42168</v>
      </c>
      <c r="F237" s="132" t="s">
        <v>5052</v>
      </c>
      <c r="G237" s="132" t="s">
        <v>357</v>
      </c>
      <c r="H237" s="130" t="s">
        <v>4556</v>
      </c>
      <c r="I237" s="132" t="s">
        <v>40</v>
      </c>
      <c r="J237" s="131" t="s">
        <v>4432</v>
      </c>
      <c r="K237" s="132" t="s">
        <v>4433</v>
      </c>
      <c r="L237" s="136">
        <v>1086826</v>
      </c>
      <c r="M237" s="132" t="s">
        <v>4480</v>
      </c>
      <c r="N237" s="136" t="s">
        <v>5002</v>
      </c>
      <c r="O237" s="130" t="s">
        <v>4436</v>
      </c>
      <c r="P237" s="130" t="s">
        <v>123</v>
      </c>
      <c r="Q237" s="130">
        <v>38237090</v>
      </c>
      <c r="R237" s="136">
        <v>24</v>
      </c>
      <c r="S237" s="130" t="s">
        <v>70</v>
      </c>
      <c r="T237" s="136" t="s">
        <v>52</v>
      </c>
      <c r="U237" s="136" t="s">
        <v>53</v>
      </c>
      <c r="V237" s="136">
        <v>1550</v>
      </c>
      <c r="W237" s="133">
        <f t="shared" si="11"/>
        <v>37200</v>
      </c>
      <c r="X237" s="136">
        <v>0</v>
      </c>
      <c r="Y237" s="136">
        <v>1250</v>
      </c>
      <c r="Z237" s="136">
        <v>0</v>
      </c>
      <c r="AA237" s="136">
        <v>0</v>
      </c>
      <c r="AB237" s="131">
        <v>42165</v>
      </c>
      <c r="AC237" s="134">
        <f t="shared" si="9"/>
        <v>35950</v>
      </c>
      <c r="AD237" s="135">
        <v>63.7</v>
      </c>
      <c r="AE237" s="136">
        <f t="shared" si="10"/>
        <v>2369640</v>
      </c>
      <c r="AF237" s="137">
        <v>2290015</v>
      </c>
      <c r="AG237" s="138">
        <v>63.7</v>
      </c>
      <c r="AH237" s="136" t="s">
        <v>5133</v>
      </c>
      <c r="AI237" s="133">
        <v>37140.5</v>
      </c>
      <c r="AJ237" s="132" t="s">
        <v>4954</v>
      </c>
      <c r="AK237" s="136" t="s">
        <v>5134</v>
      </c>
      <c r="AL237" s="132" t="s">
        <v>5135</v>
      </c>
      <c r="AM237" s="131" t="s">
        <v>49</v>
      </c>
      <c r="AN237" s="133" t="s">
        <v>4440</v>
      </c>
    </row>
    <row r="238" spans="1:40" s="129" customFormat="1" x14ac:dyDescent="0.25">
      <c r="A238" s="130">
        <v>237</v>
      </c>
      <c r="B238" s="130" t="s">
        <v>4428</v>
      </c>
      <c r="C238" s="130" t="s">
        <v>38</v>
      </c>
      <c r="D238" s="136">
        <v>9103650198</v>
      </c>
      <c r="E238" s="132">
        <v>42169</v>
      </c>
      <c r="F238" s="132" t="s">
        <v>5052</v>
      </c>
      <c r="G238" s="132" t="s">
        <v>331</v>
      </c>
      <c r="H238" s="130" t="s">
        <v>4491</v>
      </c>
      <c r="I238" s="132" t="s">
        <v>40</v>
      </c>
      <c r="J238" s="131" t="s">
        <v>4432</v>
      </c>
      <c r="K238" s="132" t="s">
        <v>4433</v>
      </c>
      <c r="L238" s="136">
        <v>1092981</v>
      </c>
      <c r="M238" s="132" t="s">
        <v>4480</v>
      </c>
      <c r="N238" s="136" t="s">
        <v>3741</v>
      </c>
      <c r="O238" s="130" t="s">
        <v>4436</v>
      </c>
      <c r="P238" s="130" t="s">
        <v>4492</v>
      </c>
      <c r="Q238" s="130">
        <v>29161990</v>
      </c>
      <c r="R238" s="136">
        <v>16</v>
      </c>
      <c r="S238" s="130" t="s">
        <v>70</v>
      </c>
      <c r="T238" s="136" t="s">
        <v>44</v>
      </c>
      <c r="U238" s="136" t="s">
        <v>53</v>
      </c>
      <c r="V238" s="136">
        <v>3044</v>
      </c>
      <c r="W238" s="133">
        <f t="shared" si="11"/>
        <v>48704</v>
      </c>
      <c r="X238" s="136">
        <v>16.07</v>
      </c>
      <c r="Y238" s="136">
        <v>3700</v>
      </c>
      <c r="Z238" s="136">
        <v>0</v>
      </c>
      <c r="AA238" s="136">
        <v>0</v>
      </c>
      <c r="AB238" s="131">
        <v>42165</v>
      </c>
      <c r="AC238" s="134">
        <f t="shared" si="9"/>
        <v>44987.929984301416</v>
      </c>
      <c r="AD238" s="135">
        <v>63.7</v>
      </c>
      <c r="AE238" s="136">
        <f t="shared" si="10"/>
        <v>3102444.8000000003</v>
      </c>
      <c r="AF238" s="137">
        <v>2865731.14</v>
      </c>
      <c r="AG238" s="138">
        <v>63.7</v>
      </c>
      <c r="AH238" s="136" t="s">
        <v>5136</v>
      </c>
      <c r="AI238" s="133">
        <v>48704</v>
      </c>
      <c r="AJ238" s="132" t="s">
        <v>5059</v>
      </c>
      <c r="AK238" s="136" t="s">
        <v>5137</v>
      </c>
      <c r="AL238" s="132" t="s">
        <v>5061</v>
      </c>
      <c r="AM238" s="131" t="s">
        <v>49</v>
      </c>
      <c r="AN238" s="133" t="s">
        <v>4440</v>
      </c>
    </row>
    <row r="239" spans="1:40" s="129" customFormat="1" x14ac:dyDescent="0.25">
      <c r="A239" s="136">
        <v>238</v>
      </c>
      <c r="B239" s="130" t="s">
        <v>4428</v>
      </c>
      <c r="C239" s="130" t="s">
        <v>38</v>
      </c>
      <c r="D239" s="136">
        <v>9103650199</v>
      </c>
      <c r="E239" s="132">
        <v>42177</v>
      </c>
      <c r="F239" s="132" t="s">
        <v>5052</v>
      </c>
      <c r="G239" s="132" t="s">
        <v>358</v>
      </c>
      <c r="H239" s="130" t="s">
        <v>4446</v>
      </c>
      <c r="I239" s="132" t="s">
        <v>40</v>
      </c>
      <c r="J239" s="131" t="s">
        <v>4432</v>
      </c>
      <c r="K239" s="132" t="s">
        <v>4433</v>
      </c>
      <c r="L239" s="136">
        <v>1092982</v>
      </c>
      <c r="M239" s="132" t="s">
        <v>4480</v>
      </c>
      <c r="N239" s="136" t="s">
        <v>4452</v>
      </c>
      <c r="O239" s="130" t="s">
        <v>4436</v>
      </c>
      <c r="P239" s="130" t="s">
        <v>75</v>
      </c>
      <c r="Q239" s="130">
        <v>29161990</v>
      </c>
      <c r="R239" s="136">
        <v>14.4</v>
      </c>
      <c r="S239" s="130" t="s">
        <v>70</v>
      </c>
      <c r="T239" s="136" t="s">
        <v>52</v>
      </c>
      <c r="U239" s="136" t="s">
        <v>53</v>
      </c>
      <c r="V239" s="136">
        <v>2945</v>
      </c>
      <c r="W239" s="133">
        <f t="shared" si="11"/>
        <v>42408</v>
      </c>
      <c r="X239" s="136">
        <v>0</v>
      </c>
      <c r="Y239" s="136">
        <v>100</v>
      </c>
      <c r="Z239" s="136">
        <v>0</v>
      </c>
      <c r="AA239" s="136">
        <v>0</v>
      </c>
      <c r="AB239" s="131">
        <v>42165</v>
      </c>
      <c r="AC239" s="134">
        <f t="shared" si="9"/>
        <v>42308</v>
      </c>
      <c r="AD239" s="135">
        <v>63.7</v>
      </c>
      <c r="AE239" s="136">
        <f t="shared" si="10"/>
        <v>2701389.6</v>
      </c>
      <c r="AF239" s="137">
        <v>2695019.6</v>
      </c>
      <c r="AG239" s="138">
        <v>63.7</v>
      </c>
      <c r="AH239" s="136" t="s">
        <v>5138</v>
      </c>
      <c r="AI239" s="133">
        <v>42408</v>
      </c>
      <c r="AJ239" s="132" t="s">
        <v>5059</v>
      </c>
      <c r="AK239" s="136" t="s">
        <v>5139</v>
      </c>
      <c r="AL239" s="132" t="s">
        <v>5061</v>
      </c>
      <c r="AM239" s="131" t="s">
        <v>49</v>
      </c>
      <c r="AN239" s="133" t="s">
        <v>4440</v>
      </c>
    </row>
    <row r="240" spans="1:40" s="129" customFormat="1" x14ac:dyDescent="0.25">
      <c r="A240" s="130">
        <v>239</v>
      </c>
      <c r="B240" s="130" t="s">
        <v>4428</v>
      </c>
      <c r="C240" s="130" t="s">
        <v>38</v>
      </c>
      <c r="D240" s="136">
        <v>9103650200</v>
      </c>
      <c r="E240" s="132">
        <v>42169</v>
      </c>
      <c r="F240" s="132" t="s">
        <v>5052</v>
      </c>
      <c r="G240" s="132" t="s">
        <v>335</v>
      </c>
      <c r="H240" s="130" t="s">
        <v>4491</v>
      </c>
      <c r="I240" s="132" t="s">
        <v>40</v>
      </c>
      <c r="J240" s="131" t="s">
        <v>4432</v>
      </c>
      <c r="K240" s="132" t="s">
        <v>4433</v>
      </c>
      <c r="L240" s="136">
        <v>1114950</v>
      </c>
      <c r="M240" s="132" t="s">
        <v>4482</v>
      </c>
      <c r="N240" s="136" t="s">
        <v>3741</v>
      </c>
      <c r="O240" s="130" t="s">
        <v>4436</v>
      </c>
      <c r="P240" s="130" t="s">
        <v>4492</v>
      </c>
      <c r="Q240" s="130">
        <v>38237090</v>
      </c>
      <c r="R240" s="136">
        <v>18.87</v>
      </c>
      <c r="S240" s="130" t="s">
        <v>70</v>
      </c>
      <c r="T240" s="136" t="s">
        <v>44</v>
      </c>
      <c r="U240" s="136" t="s">
        <v>53</v>
      </c>
      <c r="V240" s="136">
        <v>1564</v>
      </c>
      <c r="W240" s="133">
        <f t="shared" si="11"/>
        <v>29512.68</v>
      </c>
      <c r="X240" s="136">
        <v>9.74</v>
      </c>
      <c r="Y240" s="136">
        <v>4250</v>
      </c>
      <c r="Z240" s="136">
        <v>0</v>
      </c>
      <c r="AA240" s="136">
        <v>0</v>
      </c>
      <c r="AB240" s="131">
        <v>42166</v>
      </c>
      <c r="AC240" s="134">
        <f t="shared" si="9"/>
        <v>25252.940031397175</v>
      </c>
      <c r="AD240" s="135">
        <v>63.7</v>
      </c>
      <c r="AE240" s="136">
        <f t="shared" si="10"/>
        <v>1879957.716</v>
      </c>
      <c r="AF240" s="137">
        <v>1608612.28</v>
      </c>
      <c r="AG240" s="138">
        <v>63.7</v>
      </c>
      <c r="AH240" s="136" t="s">
        <v>5140</v>
      </c>
      <c r="AI240" s="133">
        <v>29512.68</v>
      </c>
      <c r="AJ240" s="132" t="s">
        <v>5059</v>
      </c>
      <c r="AK240" s="136" t="s">
        <v>5141</v>
      </c>
      <c r="AL240" s="132" t="s">
        <v>5061</v>
      </c>
      <c r="AM240" s="131" t="s">
        <v>49</v>
      </c>
      <c r="AN240" s="133" t="s">
        <v>4440</v>
      </c>
    </row>
    <row r="241" spans="1:40" s="129" customFormat="1" x14ac:dyDescent="0.25">
      <c r="A241" s="136">
        <v>240</v>
      </c>
      <c r="B241" s="130" t="s">
        <v>4428</v>
      </c>
      <c r="C241" s="130" t="s">
        <v>38</v>
      </c>
      <c r="D241" s="136">
        <v>9103650201</v>
      </c>
      <c r="E241" s="132">
        <v>42172</v>
      </c>
      <c r="F241" s="132" t="s">
        <v>5052</v>
      </c>
      <c r="G241" s="132" t="s">
        <v>336</v>
      </c>
      <c r="H241" s="130" t="s">
        <v>4491</v>
      </c>
      <c r="I241" s="132" t="s">
        <v>40</v>
      </c>
      <c r="J241" s="131" t="s">
        <v>4432</v>
      </c>
      <c r="K241" s="132" t="s">
        <v>4433</v>
      </c>
      <c r="L241" s="136">
        <v>1116736</v>
      </c>
      <c r="M241" s="132" t="s">
        <v>4482</v>
      </c>
      <c r="N241" s="136" t="s">
        <v>3741</v>
      </c>
      <c r="O241" s="130" t="s">
        <v>4436</v>
      </c>
      <c r="P241" s="130" t="s">
        <v>4492</v>
      </c>
      <c r="Q241" s="130">
        <v>29051700</v>
      </c>
      <c r="R241" s="136">
        <v>18.14</v>
      </c>
      <c r="S241" s="130" t="s">
        <v>70</v>
      </c>
      <c r="T241" s="136" t="s">
        <v>44</v>
      </c>
      <c r="U241" s="136" t="s">
        <v>53</v>
      </c>
      <c r="V241" s="136">
        <v>1743</v>
      </c>
      <c r="W241" s="133">
        <f t="shared" si="11"/>
        <v>31618.02</v>
      </c>
      <c r="X241" s="136">
        <v>10.43</v>
      </c>
      <c r="Y241" s="136">
        <v>2750</v>
      </c>
      <c r="Z241" s="136">
        <v>0</v>
      </c>
      <c r="AA241" s="136">
        <v>0</v>
      </c>
      <c r="AB241" s="131">
        <v>42166</v>
      </c>
      <c r="AC241" s="134">
        <f t="shared" si="9"/>
        <v>28857.589952904236</v>
      </c>
      <c r="AD241" s="135">
        <v>63.7</v>
      </c>
      <c r="AE241" s="136">
        <f t="shared" si="10"/>
        <v>2014067.8740000001</v>
      </c>
      <c r="AF241" s="137">
        <v>1838228.48</v>
      </c>
      <c r="AG241" s="138">
        <v>63.7</v>
      </c>
      <c r="AH241" s="136" t="s">
        <v>5142</v>
      </c>
      <c r="AI241" s="133">
        <v>31618.02</v>
      </c>
      <c r="AJ241" s="132" t="s">
        <v>5059</v>
      </c>
      <c r="AK241" s="136" t="s">
        <v>5143</v>
      </c>
      <c r="AL241" s="132" t="s">
        <v>5061</v>
      </c>
      <c r="AM241" s="131" t="s">
        <v>49</v>
      </c>
      <c r="AN241" s="133" t="s">
        <v>4440</v>
      </c>
    </row>
    <row r="242" spans="1:40" s="129" customFormat="1" x14ac:dyDescent="0.25">
      <c r="A242" s="130">
        <v>241</v>
      </c>
      <c r="B242" s="130" t="s">
        <v>4428</v>
      </c>
      <c r="C242" s="130" t="s">
        <v>38</v>
      </c>
      <c r="D242" s="136">
        <v>9103650202</v>
      </c>
      <c r="E242" s="132">
        <v>42171</v>
      </c>
      <c r="F242" s="132" t="s">
        <v>5052</v>
      </c>
      <c r="G242" s="132" t="s">
        <v>337</v>
      </c>
      <c r="H242" s="130" t="s">
        <v>4456</v>
      </c>
      <c r="I242" s="132" t="s">
        <v>40</v>
      </c>
      <c r="J242" s="131" t="s">
        <v>4432</v>
      </c>
      <c r="K242" s="132" t="s">
        <v>4433</v>
      </c>
      <c r="L242" s="136">
        <v>1119471</v>
      </c>
      <c r="M242" s="132" t="s">
        <v>4482</v>
      </c>
      <c r="N242" s="136" t="s">
        <v>4644</v>
      </c>
      <c r="O242" s="130" t="s">
        <v>4436</v>
      </c>
      <c r="P242" s="130" t="s">
        <v>294</v>
      </c>
      <c r="Q242" s="130" t="s">
        <v>4645</v>
      </c>
      <c r="R242" s="136">
        <v>12</v>
      </c>
      <c r="S242" s="130" t="s">
        <v>70</v>
      </c>
      <c r="T242" s="136" t="s">
        <v>44</v>
      </c>
      <c r="U242" s="136" t="s">
        <v>53</v>
      </c>
      <c r="V242" s="136">
        <v>1685</v>
      </c>
      <c r="W242" s="133">
        <f t="shared" si="11"/>
        <v>20220</v>
      </c>
      <c r="X242" s="136">
        <v>6.67</v>
      </c>
      <c r="Y242" s="136">
        <v>1100</v>
      </c>
      <c r="Z242" s="136">
        <v>0</v>
      </c>
      <c r="AA242" s="136">
        <v>0</v>
      </c>
      <c r="AB242" s="131">
        <v>42167</v>
      </c>
      <c r="AC242" s="134">
        <f t="shared" si="9"/>
        <v>19113.329984301414</v>
      </c>
      <c r="AD242" s="135">
        <v>63.7</v>
      </c>
      <c r="AE242" s="136">
        <f t="shared" si="10"/>
        <v>1288014</v>
      </c>
      <c r="AF242" s="137">
        <v>1217519.1200000001</v>
      </c>
      <c r="AG242" s="138">
        <v>63.7</v>
      </c>
      <c r="AH242" s="136" t="s">
        <v>5144</v>
      </c>
      <c r="AI242" s="133">
        <v>20205</v>
      </c>
      <c r="AJ242" s="132" t="s">
        <v>5017</v>
      </c>
      <c r="AK242" s="136" t="s">
        <v>5145</v>
      </c>
      <c r="AL242" s="132" t="s">
        <v>5132</v>
      </c>
      <c r="AM242" s="131" t="s">
        <v>49</v>
      </c>
      <c r="AN242" s="133" t="s">
        <v>4440</v>
      </c>
    </row>
    <row r="243" spans="1:40" s="129" customFormat="1" x14ac:dyDescent="0.25">
      <c r="A243" s="136">
        <v>242</v>
      </c>
      <c r="B243" s="130" t="s">
        <v>4428</v>
      </c>
      <c r="C243" s="130" t="s">
        <v>38</v>
      </c>
      <c r="D243" s="136">
        <v>9103650203</v>
      </c>
      <c r="E243" s="132">
        <v>42171</v>
      </c>
      <c r="F243" s="132" t="s">
        <v>5052</v>
      </c>
      <c r="G243" s="132" t="s">
        <v>344</v>
      </c>
      <c r="H243" s="130" t="s">
        <v>4491</v>
      </c>
      <c r="I243" s="132" t="s">
        <v>40</v>
      </c>
      <c r="J243" s="131" t="s">
        <v>4432</v>
      </c>
      <c r="K243" s="132" t="s">
        <v>4433</v>
      </c>
      <c r="L243" s="136">
        <v>1119310</v>
      </c>
      <c r="M243" s="132" t="s">
        <v>4482</v>
      </c>
      <c r="N243" s="136" t="s">
        <v>5018</v>
      </c>
      <c r="O243" s="130" t="s">
        <v>4436</v>
      </c>
      <c r="P243" s="130" t="s">
        <v>190</v>
      </c>
      <c r="Q243" s="130">
        <v>38231190</v>
      </c>
      <c r="R243" s="136">
        <v>14</v>
      </c>
      <c r="S243" s="130" t="s">
        <v>70</v>
      </c>
      <c r="T243" s="136" t="s">
        <v>44</v>
      </c>
      <c r="U243" s="136" t="s">
        <v>53</v>
      </c>
      <c r="V243" s="136">
        <v>910</v>
      </c>
      <c r="W243" s="133">
        <f t="shared" si="11"/>
        <v>12740</v>
      </c>
      <c r="X243" s="136">
        <v>4.2</v>
      </c>
      <c r="Y243" s="136">
        <v>1100</v>
      </c>
      <c r="Z243" s="136">
        <v>0</v>
      </c>
      <c r="AA243" s="136">
        <v>0</v>
      </c>
      <c r="AB243" s="131">
        <v>42227</v>
      </c>
      <c r="AC243" s="134">
        <f t="shared" si="9"/>
        <v>11635.8</v>
      </c>
      <c r="AD243" s="135">
        <v>63.7</v>
      </c>
      <c r="AE243" s="136">
        <f t="shared" si="10"/>
        <v>811538</v>
      </c>
      <c r="AF243" s="137">
        <v>741200.46</v>
      </c>
      <c r="AG243" s="138">
        <v>63.7</v>
      </c>
      <c r="AH243" s="136" t="s">
        <v>5146</v>
      </c>
      <c r="AI243" s="133">
        <v>12605</v>
      </c>
      <c r="AJ243" s="132" t="s">
        <v>5112</v>
      </c>
      <c r="AK243" s="136" t="s">
        <v>5147</v>
      </c>
      <c r="AL243" s="132" t="s">
        <v>5148</v>
      </c>
      <c r="AM243" s="131" t="s">
        <v>49</v>
      </c>
      <c r="AN243" s="136" t="s">
        <v>4440</v>
      </c>
    </row>
    <row r="244" spans="1:40" s="129" customFormat="1" x14ac:dyDescent="0.25">
      <c r="A244" s="130">
        <v>243</v>
      </c>
      <c r="B244" s="130" t="s">
        <v>4428</v>
      </c>
      <c r="C244" s="130" t="s">
        <v>38</v>
      </c>
      <c r="D244" s="136">
        <v>9103650204</v>
      </c>
      <c r="E244" s="132">
        <v>42173</v>
      </c>
      <c r="F244" s="132" t="s">
        <v>5052</v>
      </c>
      <c r="G244" s="132" t="s">
        <v>338</v>
      </c>
      <c r="H244" s="130" t="s">
        <v>4564</v>
      </c>
      <c r="I244" s="132" t="s">
        <v>40</v>
      </c>
      <c r="J244" s="131" t="s">
        <v>4432</v>
      </c>
      <c r="K244" s="132" t="s">
        <v>4433</v>
      </c>
      <c r="L244" s="136">
        <v>1132851</v>
      </c>
      <c r="M244" s="132">
        <v>42166</v>
      </c>
      <c r="N244" s="136" t="s">
        <v>4807</v>
      </c>
      <c r="O244" s="130" t="s">
        <v>4436</v>
      </c>
      <c r="P244" s="130" t="s">
        <v>4465</v>
      </c>
      <c r="Q244" s="130">
        <v>38237090</v>
      </c>
      <c r="R244" s="136">
        <v>23.4</v>
      </c>
      <c r="S244" s="130" t="s">
        <v>70</v>
      </c>
      <c r="T244" s="136" t="s">
        <v>44</v>
      </c>
      <c r="U244" s="136" t="s">
        <v>53</v>
      </c>
      <c r="V244" s="136">
        <v>2850</v>
      </c>
      <c r="W244" s="133">
        <f t="shared" si="11"/>
        <v>66690</v>
      </c>
      <c r="X244" s="136">
        <v>22.01</v>
      </c>
      <c r="Y244" s="136">
        <v>200</v>
      </c>
      <c r="Z244" s="136">
        <v>0</v>
      </c>
      <c r="AA244" s="136">
        <v>1404</v>
      </c>
      <c r="AB244" s="131">
        <v>42167</v>
      </c>
      <c r="AC244" s="134">
        <f t="shared" si="9"/>
        <v>66467.98995290423</v>
      </c>
      <c r="AD244" s="135">
        <v>63.7</v>
      </c>
      <c r="AE244" s="136">
        <f t="shared" si="10"/>
        <v>4248153</v>
      </c>
      <c r="AF244" s="137">
        <v>4234010.96</v>
      </c>
      <c r="AG244" s="138">
        <v>63.3</v>
      </c>
      <c r="AH244" s="136" t="s">
        <v>5149</v>
      </c>
      <c r="AI244" s="133">
        <v>66655.5</v>
      </c>
      <c r="AJ244" s="132">
        <v>42205</v>
      </c>
      <c r="AK244" s="136" t="s">
        <v>5150</v>
      </c>
      <c r="AL244" s="132">
        <v>42252</v>
      </c>
      <c r="AM244" s="131" t="s">
        <v>49</v>
      </c>
      <c r="AN244" s="133" t="s">
        <v>4440</v>
      </c>
    </row>
    <row r="245" spans="1:40" s="129" customFormat="1" x14ac:dyDescent="0.25">
      <c r="A245" s="136">
        <v>244</v>
      </c>
      <c r="B245" s="130" t="s">
        <v>4428</v>
      </c>
      <c r="C245" s="130" t="s">
        <v>38</v>
      </c>
      <c r="D245" s="136">
        <v>9103650205</v>
      </c>
      <c r="E245" s="132">
        <v>42172</v>
      </c>
      <c r="F245" s="132" t="s">
        <v>5052</v>
      </c>
      <c r="G245" s="132" t="s">
        <v>339</v>
      </c>
      <c r="H245" s="130" t="s">
        <v>4491</v>
      </c>
      <c r="I245" s="132" t="s">
        <v>40</v>
      </c>
      <c r="J245" s="131" t="s">
        <v>4432</v>
      </c>
      <c r="K245" s="132" t="s">
        <v>4433</v>
      </c>
      <c r="L245" s="136">
        <v>1140282</v>
      </c>
      <c r="M245" s="132" t="s">
        <v>5151</v>
      </c>
      <c r="N245" s="136" t="s">
        <v>3741</v>
      </c>
      <c r="O245" s="130" t="s">
        <v>4436</v>
      </c>
      <c r="P245" s="130" t="s">
        <v>4492</v>
      </c>
      <c r="Q245" s="130">
        <v>38237090</v>
      </c>
      <c r="R245" s="136">
        <v>18.14</v>
      </c>
      <c r="S245" s="130" t="s">
        <v>70</v>
      </c>
      <c r="T245" s="136" t="s">
        <v>44</v>
      </c>
      <c r="U245" s="136" t="s">
        <v>53</v>
      </c>
      <c r="V245" s="136">
        <v>1614</v>
      </c>
      <c r="W245" s="133">
        <f t="shared" si="11"/>
        <v>29277.96</v>
      </c>
      <c r="X245" s="136">
        <v>9.66</v>
      </c>
      <c r="Y245" s="136">
        <v>3650</v>
      </c>
      <c r="Z245" s="136">
        <v>0</v>
      </c>
      <c r="AA245" s="136">
        <v>0</v>
      </c>
      <c r="AB245" s="131">
        <v>42167</v>
      </c>
      <c r="AC245" s="134">
        <f t="shared" si="9"/>
        <v>25618.3</v>
      </c>
      <c r="AD245" s="135">
        <v>63.7</v>
      </c>
      <c r="AE245" s="136">
        <f t="shared" si="10"/>
        <v>1865006.0520000001</v>
      </c>
      <c r="AF245" s="137">
        <v>1631885.71</v>
      </c>
      <c r="AG245" s="138">
        <v>63.7</v>
      </c>
      <c r="AH245" s="136" t="s">
        <v>5152</v>
      </c>
      <c r="AI245" s="133">
        <v>29277.96</v>
      </c>
      <c r="AJ245" s="132" t="s">
        <v>5059</v>
      </c>
      <c r="AK245" s="136" t="s">
        <v>5153</v>
      </c>
      <c r="AL245" s="132" t="s">
        <v>5061</v>
      </c>
      <c r="AM245" s="131" t="s">
        <v>49</v>
      </c>
      <c r="AN245" s="133" t="s">
        <v>4440</v>
      </c>
    </row>
    <row r="246" spans="1:40" s="129" customFormat="1" x14ac:dyDescent="0.25">
      <c r="A246" s="130">
        <v>245</v>
      </c>
      <c r="B246" s="130" t="s">
        <v>4428</v>
      </c>
      <c r="C246" s="130" t="s">
        <v>38</v>
      </c>
      <c r="D246" s="136">
        <v>9103650206</v>
      </c>
      <c r="E246" s="132">
        <v>42173</v>
      </c>
      <c r="F246" s="132" t="s">
        <v>5052</v>
      </c>
      <c r="G246" s="132" t="s">
        <v>325</v>
      </c>
      <c r="H246" s="130" t="s">
        <v>4446</v>
      </c>
      <c r="I246" s="132" t="s">
        <v>40</v>
      </c>
      <c r="J246" s="131" t="s">
        <v>4432</v>
      </c>
      <c r="K246" s="132" t="s">
        <v>4433</v>
      </c>
      <c r="L246" s="136">
        <v>1084027</v>
      </c>
      <c r="M246" s="132">
        <v>42164</v>
      </c>
      <c r="N246" s="136" t="s">
        <v>4532</v>
      </c>
      <c r="O246" s="130" t="s">
        <v>4436</v>
      </c>
      <c r="P246" s="130" t="s">
        <v>127</v>
      </c>
      <c r="Q246" s="130">
        <v>29157020</v>
      </c>
      <c r="R246" s="136">
        <v>1</v>
      </c>
      <c r="S246" s="130" t="s">
        <v>70</v>
      </c>
      <c r="T246" s="136" t="s">
        <v>44</v>
      </c>
      <c r="U246" s="136" t="s">
        <v>53</v>
      </c>
      <c r="V246" s="136">
        <v>1545</v>
      </c>
      <c r="W246" s="133">
        <f t="shared" si="11"/>
        <v>1545</v>
      </c>
      <c r="X246" s="136">
        <v>0.51</v>
      </c>
      <c r="Y246" s="136">
        <v>50</v>
      </c>
      <c r="Z246" s="136">
        <v>0</v>
      </c>
      <c r="AA246" s="136">
        <v>0</v>
      </c>
      <c r="AB246" s="131">
        <v>42166</v>
      </c>
      <c r="AC246" s="134">
        <f t="shared" si="9"/>
        <v>1494.4899529042384</v>
      </c>
      <c r="AD246" s="135">
        <v>63.7</v>
      </c>
      <c r="AE246" s="136">
        <f t="shared" si="10"/>
        <v>98416.5</v>
      </c>
      <c r="AF246" s="137">
        <v>95199.01</v>
      </c>
      <c r="AG246" s="138">
        <v>63.7</v>
      </c>
      <c r="AH246" s="136" t="s">
        <v>5154</v>
      </c>
      <c r="AI246" s="133">
        <v>1545</v>
      </c>
      <c r="AJ246" s="132">
        <v>42268</v>
      </c>
      <c r="AK246" s="136" t="s">
        <v>5155</v>
      </c>
      <c r="AL246" s="132">
        <v>42269</v>
      </c>
      <c r="AM246" s="131" t="s">
        <v>49</v>
      </c>
      <c r="AN246" s="136" t="s">
        <v>4440</v>
      </c>
    </row>
    <row r="247" spans="1:40" s="129" customFormat="1" x14ac:dyDescent="0.25">
      <c r="A247" s="136">
        <v>246</v>
      </c>
      <c r="B247" s="130" t="s">
        <v>4428</v>
      </c>
      <c r="C247" s="130" t="s">
        <v>38</v>
      </c>
      <c r="D247" s="136" t="s">
        <v>5156</v>
      </c>
      <c r="E247" s="132">
        <v>42173</v>
      </c>
      <c r="F247" s="132" t="s">
        <v>5052</v>
      </c>
      <c r="G247" s="132" t="s">
        <v>332</v>
      </c>
      <c r="H247" s="130" t="s">
        <v>4491</v>
      </c>
      <c r="I247" s="132" t="s">
        <v>40</v>
      </c>
      <c r="J247" s="131" t="s">
        <v>4432</v>
      </c>
      <c r="K247" s="132" t="s">
        <v>4433</v>
      </c>
      <c r="L247" s="136">
        <v>1112690</v>
      </c>
      <c r="M247" s="132">
        <v>42165</v>
      </c>
      <c r="N247" s="136" t="s">
        <v>3741</v>
      </c>
      <c r="O247" s="130" t="s">
        <v>4436</v>
      </c>
      <c r="P247" s="130" t="s">
        <v>4492</v>
      </c>
      <c r="Q247" s="130">
        <v>38237090</v>
      </c>
      <c r="R247" s="136">
        <v>18</v>
      </c>
      <c r="S247" s="130" t="s">
        <v>70</v>
      </c>
      <c r="T247" s="136" t="s">
        <v>44</v>
      </c>
      <c r="U247" s="136" t="s">
        <v>53</v>
      </c>
      <c r="V247" s="136">
        <v>1744</v>
      </c>
      <c r="W247" s="133">
        <f t="shared" si="11"/>
        <v>31392</v>
      </c>
      <c r="X247" s="136">
        <v>10.36</v>
      </c>
      <c r="Y247" s="136">
        <v>4050</v>
      </c>
      <c r="Z247" s="136">
        <v>0</v>
      </c>
      <c r="AA247" s="136">
        <v>0</v>
      </c>
      <c r="AB247" s="131">
        <v>42166</v>
      </c>
      <c r="AC247" s="134">
        <f t="shared" si="9"/>
        <v>27331.640031397172</v>
      </c>
      <c r="AD247" s="135">
        <v>63.7</v>
      </c>
      <c r="AE247" s="136">
        <f t="shared" si="10"/>
        <v>1999670.4000000001</v>
      </c>
      <c r="AF247" s="137">
        <v>1741025.47</v>
      </c>
      <c r="AG247" s="138">
        <v>63.7</v>
      </c>
      <c r="AH247" s="136" t="s">
        <v>5157</v>
      </c>
      <c r="AI247" s="136">
        <v>31392</v>
      </c>
      <c r="AJ247" s="132">
        <v>42221</v>
      </c>
      <c r="AK247" s="136" t="s">
        <v>5158</v>
      </c>
      <c r="AL247" s="132">
        <v>42222</v>
      </c>
      <c r="AM247" s="131" t="s">
        <v>49</v>
      </c>
      <c r="AN247" s="136" t="s">
        <v>4440</v>
      </c>
    </row>
    <row r="248" spans="1:40" s="129" customFormat="1" x14ac:dyDescent="0.25">
      <c r="A248" s="130">
        <v>247</v>
      </c>
      <c r="B248" s="130" t="s">
        <v>4428</v>
      </c>
      <c r="C248" s="130" t="s">
        <v>38</v>
      </c>
      <c r="D248" s="136" t="s">
        <v>5156</v>
      </c>
      <c r="E248" s="132">
        <v>42173</v>
      </c>
      <c r="F248" s="132" t="s">
        <v>5052</v>
      </c>
      <c r="G248" s="132" t="s">
        <v>343</v>
      </c>
      <c r="H248" s="130" t="s">
        <v>4491</v>
      </c>
      <c r="I248" s="132" t="s">
        <v>40</v>
      </c>
      <c r="J248" s="131" t="s">
        <v>4432</v>
      </c>
      <c r="K248" s="132" t="s">
        <v>4433</v>
      </c>
      <c r="L248" s="136">
        <v>1161677</v>
      </c>
      <c r="M248" s="132">
        <v>42167</v>
      </c>
      <c r="N248" s="136" t="s">
        <v>3741</v>
      </c>
      <c r="O248" s="130" t="s">
        <v>4436</v>
      </c>
      <c r="P248" s="130" t="s">
        <v>4492</v>
      </c>
      <c r="Q248" s="130">
        <v>38237090</v>
      </c>
      <c r="R248" s="136">
        <v>36</v>
      </c>
      <c r="S248" s="130" t="s">
        <v>70</v>
      </c>
      <c r="T248" s="136" t="s">
        <v>44</v>
      </c>
      <c r="U248" s="136" t="s">
        <v>53</v>
      </c>
      <c r="V248" s="136">
        <v>1744</v>
      </c>
      <c r="W248" s="133">
        <f t="shared" si="11"/>
        <v>62784</v>
      </c>
      <c r="X248" s="136">
        <v>20.72</v>
      </c>
      <c r="Y248" s="136">
        <v>8100</v>
      </c>
      <c r="Z248" s="136">
        <v>0</v>
      </c>
      <c r="AA248" s="136">
        <v>0</v>
      </c>
      <c r="AB248" s="131">
        <v>42168</v>
      </c>
      <c r="AC248" s="134">
        <f t="shared" si="9"/>
        <v>54663.280062794343</v>
      </c>
      <c r="AD248" s="135">
        <v>63.7</v>
      </c>
      <c r="AE248" s="136">
        <f t="shared" si="10"/>
        <v>3999340.8000000003</v>
      </c>
      <c r="AF248" s="137">
        <v>3482050.94</v>
      </c>
      <c r="AG248" s="138">
        <v>63.7</v>
      </c>
      <c r="AH248" s="136" t="s">
        <v>5157</v>
      </c>
      <c r="AI248" s="136">
        <v>62784</v>
      </c>
      <c r="AJ248" s="132">
        <v>42221</v>
      </c>
      <c r="AK248" s="136" t="s">
        <v>5159</v>
      </c>
      <c r="AL248" s="132">
        <v>42222</v>
      </c>
      <c r="AM248" s="131" t="s">
        <v>49</v>
      </c>
      <c r="AN248" s="136" t="s">
        <v>4440</v>
      </c>
    </row>
    <row r="249" spans="1:40" s="129" customFormat="1" x14ac:dyDescent="0.25">
      <c r="A249" s="136">
        <v>248</v>
      </c>
      <c r="B249" s="130" t="s">
        <v>4428</v>
      </c>
      <c r="C249" s="130" t="s">
        <v>38</v>
      </c>
      <c r="D249" s="136">
        <v>9103650209</v>
      </c>
      <c r="E249" s="132">
        <v>42173</v>
      </c>
      <c r="F249" s="132" t="s">
        <v>5052</v>
      </c>
      <c r="G249" s="132" t="s">
        <v>345</v>
      </c>
      <c r="H249" s="130" t="s">
        <v>4564</v>
      </c>
      <c r="I249" s="132" t="s">
        <v>40</v>
      </c>
      <c r="J249" s="131" t="s">
        <v>4432</v>
      </c>
      <c r="K249" s="132" t="s">
        <v>4433</v>
      </c>
      <c r="L249" s="136">
        <v>1174589</v>
      </c>
      <c r="M249" s="132">
        <v>42168</v>
      </c>
      <c r="N249" s="136" t="s">
        <v>4807</v>
      </c>
      <c r="O249" s="130" t="s">
        <v>4436</v>
      </c>
      <c r="P249" s="130" t="s">
        <v>4465</v>
      </c>
      <c r="Q249" s="130">
        <v>38237090</v>
      </c>
      <c r="R249" s="136">
        <v>23.4</v>
      </c>
      <c r="S249" s="130" t="s">
        <v>70</v>
      </c>
      <c r="T249" s="136" t="s">
        <v>44</v>
      </c>
      <c r="U249" s="136" t="s">
        <v>53</v>
      </c>
      <c r="V249" s="136">
        <v>3000</v>
      </c>
      <c r="W249" s="133">
        <f t="shared" si="11"/>
        <v>70200</v>
      </c>
      <c r="X249" s="136">
        <v>23.17</v>
      </c>
      <c r="Y249" s="136">
        <v>200</v>
      </c>
      <c r="Z249" s="136">
        <v>0</v>
      </c>
      <c r="AA249" s="136">
        <v>1170</v>
      </c>
      <c r="AB249" s="131">
        <v>42170</v>
      </c>
      <c r="AC249" s="134">
        <f t="shared" si="9"/>
        <v>69976.82998430141</v>
      </c>
      <c r="AD249" s="135">
        <v>63.7</v>
      </c>
      <c r="AE249" s="136">
        <f t="shared" si="10"/>
        <v>4471740</v>
      </c>
      <c r="AF249" s="137">
        <v>4457524.07</v>
      </c>
      <c r="AG249" s="138">
        <v>63.7</v>
      </c>
      <c r="AH249" s="136" t="s">
        <v>5160</v>
      </c>
      <c r="AI249" s="133">
        <v>70165.5</v>
      </c>
      <c r="AJ249" s="132">
        <v>42205</v>
      </c>
      <c r="AK249" s="136" t="s">
        <v>5161</v>
      </c>
      <c r="AL249" s="132">
        <v>42252</v>
      </c>
      <c r="AM249" s="131" t="s">
        <v>49</v>
      </c>
      <c r="AN249" s="133" t="s">
        <v>4440</v>
      </c>
    </row>
    <row r="250" spans="1:40" s="129" customFormat="1" x14ac:dyDescent="0.25">
      <c r="A250" s="130">
        <v>249</v>
      </c>
      <c r="B250" s="130" t="s">
        <v>4428</v>
      </c>
      <c r="C250" s="130" t="s">
        <v>38</v>
      </c>
      <c r="D250" s="136">
        <v>9103650210</v>
      </c>
      <c r="E250" s="132">
        <v>42173</v>
      </c>
      <c r="F250" s="132" t="s">
        <v>5052</v>
      </c>
      <c r="G250" s="132" t="s">
        <v>347</v>
      </c>
      <c r="H250" s="130" t="s">
        <v>4463</v>
      </c>
      <c r="I250" s="132" t="s">
        <v>40</v>
      </c>
      <c r="J250" s="131" t="s">
        <v>4432</v>
      </c>
      <c r="K250" s="132" t="s">
        <v>4433</v>
      </c>
      <c r="L250" s="136">
        <v>1176091</v>
      </c>
      <c r="M250" s="132">
        <v>42168</v>
      </c>
      <c r="N250" s="136" t="s">
        <v>5162</v>
      </c>
      <c r="O250" s="130" t="s">
        <v>4436</v>
      </c>
      <c r="P250" s="130" t="s">
        <v>4566</v>
      </c>
      <c r="Q250" s="130" t="s">
        <v>4559</v>
      </c>
      <c r="R250" s="136">
        <v>15</v>
      </c>
      <c r="S250" s="130" t="s">
        <v>70</v>
      </c>
      <c r="T250" s="136" t="s">
        <v>44</v>
      </c>
      <c r="U250" s="136" t="s">
        <v>53</v>
      </c>
      <c r="V250" s="136">
        <v>1454</v>
      </c>
      <c r="W250" s="133">
        <f t="shared" si="11"/>
        <v>21810</v>
      </c>
      <c r="X250" s="136">
        <v>7.11</v>
      </c>
      <c r="Y250" s="136">
        <v>75</v>
      </c>
      <c r="Z250" s="136">
        <v>0</v>
      </c>
      <c r="AA250" s="136">
        <v>0</v>
      </c>
      <c r="AB250" s="131">
        <v>42170</v>
      </c>
      <c r="AC250" s="134">
        <f t="shared" si="9"/>
        <v>21472.889952904239</v>
      </c>
      <c r="AD250" s="135">
        <v>63.7</v>
      </c>
      <c r="AE250" s="136">
        <f t="shared" si="10"/>
        <v>1389297</v>
      </c>
      <c r="AF250" s="137">
        <v>1367823.09</v>
      </c>
      <c r="AG250" s="138">
        <v>63.7</v>
      </c>
      <c r="AH250" s="136" t="s">
        <v>5163</v>
      </c>
      <c r="AI250" s="133">
        <v>21508</v>
      </c>
      <c r="AJ250" s="132">
        <v>42193</v>
      </c>
      <c r="AK250" s="136" t="s">
        <v>5164</v>
      </c>
      <c r="AL250" s="132">
        <v>42194</v>
      </c>
      <c r="AM250" s="131" t="s">
        <v>49</v>
      </c>
      <c r="AN250" s="133" t="s">
        <v>4440</v>
      </c>
    </row>
    <row r="251" spans="1:40" s="129" customFormat="1" x14ac:dyDescent="0.25">
      <c r="A251" s="136">
        <v>250</v>
      </c>
      <c r="B251" s="130" t="s">
        <v>4428</v>
      </c>
      <c r="C251" s="130" t="s">
        <v>38</v>
      </c>
      <c r="D251" s="136">
        <v>9103650211</v>
      </c>
      <c r="E251" s="132">
        <v>42175</v>
      </c>
      <c r="F251" s="132" t="s">
        <v>5052</v>
      </c>
      <c r="G251" s="132" t="s">
        <v>346</v>
      </c>
      <c r="H251" s="130" t="s">
        <v>4491</v>
      </c>
      <c r="I251" s="132" t="s">
        <v>40</v>
      </c>
      <c r="J251" s="131" t="s">
        <v>4432</v>
      </c>
      <c r="K251" s="132" t="s">
        <v>4433</v>
      </c>
      <c r="L251" s="136">
        <v>1175945</v>
      </c>
      <c r="M251" s="132" t="s">
        <v>5165</v>
      </c>
      <c r="N251" s="136" t="s">
        <v>3741</v>
      </c>
      <c r="O251" s="130" t="s">
        <v>4436</v>
      </c>
      <c r="P251" s="130" t="s">
        <v>4492</v>
      </c>
      <c r="Q251" s="130">
        <v>38237090</v>
      </c>
      <c r="R251" s="136">
        <v>18.14</v>
      </c>
      <c r="S251" s="130" t="s">
        <v>70</v>
      </c>
      <c r="T251" s="136" t="s">
        <v>44</v>
      </c>
      <c r="U251" s="136" t="s">
        <v>53</v>
      </c>
      <c r="V251" s="136">
        <v>2618.5</v>
      </c>
      <c r="W251" s="133">
        <f>V251*R251</f>
        <v>47499.590000000004</v>
      </c>
      <c r="X251" s="136">
        <v>15.68</v>
      </c>
      <c r="Y251" s="136">
        <v>3552</v>
      </c>
      <c r="Z251" s="136">
        <v>0</v>
      </c>
      <c r="AA251" s="136">
        <v>0</v>
      </c>
      <c r="AB251" s="131">
        <v>42170</v>
      </c>
      <c r="AC251" s="134">
        <f t="shared" si="9"/>
        <v>43952.219937205649</v>
      </c>
      <c r="AD251" s="135">
        <v>63.7</v>
      </c>
      <c r="AE251" s="136">
        <f t="shared" si="10"/>
        <v>3025723.8830000004</v>
      </c>
      <c r="AF251" s="137">
        <v>2799756.41</v>
      </c>
      <c r="AG251" s="138">
        <v>63.7</v>
      </c>
      <c r="AH251" s="136" t="s">
        <v>5166</v>
      </c>
      <c r="AI251" s="133">
        <v>47519.9</v>
      </c>
      <c r="AJ251" s="132" t="s">
        <v>5059</v>
      </c>
      <c r="AK251" s="136" t="s">
        <v>5167</v>
      </c>
      <c r="AL251" s="132" t="s">
        <v>5061</v>
      </c>
      <c r="AM251" s="131" t="s">
        <v>49</v>
      </c>
      <c r="AN251" s="133" t="s">
        <v>4440</v>
      </c>
    </row>
    <row r="252" spans="1:40" s="129" customFormat="1" x14ac:dyDescent="0.25">
      <c r="A252" s="130">
        <v>251</v>
      </c>
      <c r="B252" s="130" t="s">
        <v>4428</v>
      </c>
      <c r="C252" s="130" t="s">
        <v>38</v>
      </c>
      <c r="D252" s="136">
        <v>9103650212</v>
      </c>
      <c r="E252" s="132">
        <v>42173</v>
      </c>
      <c r="F252" s="132" t="s">
        <v>5052</v>
      </c>
      <c r="G252" s="132" t="s">
        <v>350</v>
      </c>
      <c r="H252" s="130" t="s">
        <v>4556</v>
      </c>
      <c r="I252" s="132" t="s">
        <v>40</v>
      </c>
      <c r="J252" s="131" t="s">
        <v>4432</v>
      </c>
      <c r="K252" s="132" t="s">
        <v>4433</v>
      </c>
      <c r="L252" s="136">
        <v>1193541</v>
      </c>
      <c r="M252" s="132" t="s">
        <v>4743</v>
      </c>
      <c r="N252" s="136" t="s">
        <v>4557</v>
      </c>
      <c r="O252" s="130" t="s">
        <v>4436</v>
      </c>
      <c r="P252" s="130" t="s">
        <v>137</v>
      </c>
      <c r="Q252" s="130">
        <v>38237090</v>
      </c>
      <c r="R252" s="136">
        <v>33</v>
      </c>
      <c r="S252" s="130" t="s">
        <v>70</v>
      </c>
      <c r="T252" s="136" t="s">
        <v>44</v>
      </c>
      <c r="U252" s="136" t="s">
        <v>53</v>
      </c>
      <c r="V252" s="136">
        <v>1720</v>
      </c>
      <c r="W252" s="133">
        <f t="shared" si="11"/>
        <v>56760</v>
      </c>
      <c r="X252" s="136">
        <v>18.73</v>
      </c>
      <c r="Y252" s="136">
        <v>1600</v>
      </c>
      <c r="Z252" s="136">
        <v>0</v>
      </c>
      <c r="AA252" s="136">
        <v>0</v>
      </c>
      <c r="AB252" s="131">
        <v>42171</v>
      </c>
      <c r="AC252" s="134">
        <f t="shared" si="9"/>
        <v>55141.270015698581</v>
      </c>
      <c r="AD252" s="135">
        <v>63.7</v>
      </c>
      <c r="AE252" s="136">
        <f t="shared" si="10"/>
        <v>3615612</v>
      </c>
      <c r="AF252" s="137">
        <v>3512498.9</v>
      </c>
      <c r="AG252" s="138">
        <v>63.7</v>
      </c>
      <c r="AH252" s="136" t="s">
        <v>5168</v>
      </c>
      <c r="AI252" s="133">
        <v>56715</v>
      </c>
      <c r="AJ252" s="132" t="s">
        <v>5015</v>
      </c>
      <c r="AK252" s="136" t="s">
        <v>5169</v>
      </c>
      <c r="AL252" s="132" t="s">
        <v>5017</v>
      </c>
      <c r="AM252" s="131" t="s">
        <v>49</v>
      </c>
      <c r="AN252" s="133" t="s">
        <v>4440</v>
      </c>
    </row>
    <row r="253" spans="1:40" s="129" customFormat="1" x14ac:dyDescent="0.25">
      <c r="A253" s="136">
        <v>252</v>
      </c>
      <c r="B253" s="130" t="s">
        <v>4428</v>
      </c>
      <c r="C253" s="130" t="s">
        <v>38</v>
      </c>
      <c r="D253" s="136" t="s">
        <v>5170</v>
      </c>
      <c r="E253" s="132">
        <v>42174</v>
      </c>
      <c r="F253" s="132" t="s">
        <v>5052</v>
      </c>
      <c r="G253" s="132" t="s">
        <v>342</v>
      </c>
      <c r="H253" s="130" t="s">
        <v>4456</v>
      </c>
      <c r="I253" s="132" t="s">
        <v>40</v>
      </c>
      <c r="J253" s="131" t="s">
        <v>4432</v>
      </c>
      <c r="K253" s="132" t="s">
        <v>4433</v>
      </c>
      <c r="L253" s="136">
        <v>1155904</v>
      </c>
      <c r="M253" s="132" t="s">
        <v>5171</v>
      </c>
      <c r="N253" s="136" t="s">
        <v>4876</v>
      </c>
      <c r="O253" s="130" t="s">
        <v>4436</v>
      </c>
      <c r="P253" s="130" t="s">
        <v>90</v>
      </c>
      <c r="Q253" s="130">
        <v>34021900</v>
      </c>
      <c r="R253" s="136">
        <v>16.8</v>
      </c>
      <c r="S253" s="130" t="s">
        <v>70</v>
      </c>
      <c r="T253" s="136" t="s">
        <v>67</v>
      </c>
      <c r="U253" s="136" t="s">
        <v>53</v>
      </c>
      <c r="V253" s="136">
        <v>2227</v>
      </c>
      <c r="W253" s="133">
        <f t="shared" si="11"/>
        <v>37413.599999999999</v>
      </c>
      <c r="X253" s="136">
        <v>0</v>
      </c>
      <c r="Y253" s="136">
        <v>0</v>
      </c>
      <c r="Z253" s="136">
        <v>0</v>
      </c>
      <c r="AA253" s="136">
        <v>0</v>
      </c>
      <c r="AB253" s="131">
        <v>42168</v>
      </c>
      <c r="AC253" s="134">
        <f t="shared" si="9"/>
        <v>37413.599999999999</v>
      </c>
      <c r="AD253" s="135">
        <v>63.7</v>
      </c>
      <c r="AE253" s="136">
        <f t="shared" si="10"/>
        <v>2383246.3199999998</v>
      </c>
      <c r="AF253" s="137">
        <v>2383246.3199999998</v>
      </c>
      <c r="AG253" s="138">
        <v>63.7</v>
      </c>
      <c r="AH253" s="136" t="s">
        <v>5172</v>
      </c>
      <c r="AI253" s="136">
        <v>37413.599999999999</v>
      </c>
      <c r="AJ253" s="132" t="s">
        <v>5021</v>
      </c>
      <c r="AK253" s="136" t="s">
        <v>5173</v>
      </c>
      <c r="AL253" s="132" t="s">
        <v>5174</v>
      </c>
      <c r="AM253" s="131" t="s">
        <v>49</v>
      </c>
      <c r="AN253" s="136" t="s">
        <v>4440</v>
      </c>
    </row>
    <row r="254" spans="1:40" s="129" customFormat="1" x14ac:dyDescent="0.25">
      <c r="A254" s="130">
        <v>253</v>
      </c>
      <c r="B254" s="130" t="s">
        <v>4428</v>
      </c>
      <c r="C254" s="130" t="s">
        <v>38</v>
      </c>
      <c r="D254" s="136" t="s">
        <v>5170</v>
      </c>
      <c r="E254" s="132">
        <v>42174</v>
      </c>
      <c r="F254" s="132" t="s">
        <v>5052</v>
      </c>
      <c r="G254" s="132" t="s">
        <v>342</v>
      </c>
      <c r="H254" s="130" t="s">
        <v>4456</v>
      </c>
      <c r="I254" s="132" t="s">
        <v>40</v>
      </c>
      <c r="J254" s="131" t="s">
        <v>4432</v>
      </c>
      <c r="K254" s="132" t="s">
        <v>4433</v>
      </c>
      <c r="L254" s="136">
        <v>1176516</v>
      </c>
      <c r="M254" s="132" t="s">
        <v>5165</v>
      </c>
      <c r="N254" s="136" t="s">
        <v>4876</v>
      </c>
      <c r="O254" s="130" t="s">
        <v>4436</v>
      </c>
      <c r="P254" s="130" t="s">
        <v>90</v>
      </c>
      <c r="Q254" s="130">
        <v>34021900</v>
      </c>
      <c r="R254" s="136">
        <v>16.8</v>
      </c>
      <c r="S254" s="130" t="s">
        <v>70</v>
      </c>
      <c r="T254" s="136" t="s">
        <v>67</v>
      </c>
      <c r="U254" s="136" t="s">
        <v>53</v>
      </c>
      <c r="V254" s="136">
        <v>2227</v>
      </c>
      <c r="W254" s="133">
        <f t="shared" si="11"/>
        <v>37413.599999999999</v>
      </c>
      <c r="X254" s="136">
        <v>0</v>
      </c>
      <c r="Y254" s="136">
        <v>0</v>
      </c>
      <c r="Z254" s="136">
        <v>0</v>
      </c>
      <c r="AA254" s="136">
        <v>0</v>
      </c>
      <c r="AB254" s="131">
        <v>42170</v>
      </c>
      <c r="AC254" s="134">
        <f t="shared" si="9"/>
        <v>37413.599999999999</v>
      </c>
      <c r="AD254" s="135">
        <v>63.7</v>
      </c>
      <c r="AE254" s="136">
        <f t="shared" si="10"/>
        <v>2383246.3199999998</v>
      </c>
      <c r="AF254" s="137">
        <v>2383246.3199999998</v>
      </c>
      <c r="AG254" s="138">
        <v>63.7</v>
      </c>
      <c r="AH254" s="136" t="s">
        <v>5172</v>
      </c>
      <c r="AI254" s="136">
        <v>37413.599999999999</v>
      </c>
      <c r="AJ254" s="132" t="s">
        <v>5021</v>
      </c>
      <c r="AK254" s="136" t="s">
        <v>5175</v>
      </c>
      <c r="AL254" s="132" t="s">
        <v>5174</v>
      </c>
      <c r="AM254" s="131" t="s">
        <v>49</v>
      </c>
      <c r="AN254" s="136" t="s">
        <v>4440</v>
      </c>
    </row>
    <row r="255" spans="1:40" s="129" customFormat="1" x14ac:dyDescent="0.25">
      <c r="A255" s="136">
        <v>254</v>
      </c>
      <c r="B255" s="130" t="s">
        <v>4428</v>
      </c>
      <c r="C255" s="130" t="s">
        <v>38</v>
      </c>
      <c r="D255" s="136" t="s">
        <v>5170</v>
      </c>
      <c r="E255" s="132">
        <v>42174</v>
      </c>
      <c r="F255" s="132" t="s">
        <v>5052</v>
      </c>
      <c r="G255" s="132" t="s">
        <v>342</v>
      </c>
      <c r="H255" s="130" t="s">
        <v>4456</v>
      </c>
      <c r="I255" s="132" t="s">
        <v>40</v>
      </c>
      <c r="J255" s="131" t="s">
        <v>4432</v>
      </c>
      <c r="K255" s="132" t="s">
        <v>4433</v>
      </c>
      <c r="L255" s="136">
        <v>1200806</v>
      </c>
      <c r="M255" s="132" t="s">
        <v>4743</v>
      </c>
      <c r="N255" s="136" t="s">
        <v>4876</v>
      </c>
      <c r="O255" s="130" t="s">
        <v>4436</v>
      </c>
      <c r="P255" s="130" t="s">
        <v>90</v>
      </c>
      <c r="Q255" s="130">
        <v>34021900</v>
      </c>
      <c r="R255" s="136">
        <v>16.8</v>
      </c>
      <c r="S255" s="130" t="s">
        <v>70</v>
      </c>
      <c r="T255" s="136" t="s">
        <v>67</v>
      </c>
      <c r="U255" s="136" t="s">
        <v>53</v>
      </c>
      <c r="V255" s="136">
        <v>2227</v>
      </c>
      <c r="W255" s="133">
        <f t="shared" si="11"/>
        <v>37413.599999999999</v>
      </c>
      <c r="X255" s="136">
        <v>0</v>
      </c>
      <c r="Y255" s="136">
        <v>0</v>
      </c>
      <c r="Z255" s="136">
        <v>0</v>
      </c>
      <c r="AA255" s="136">
        <v>0</v>
      </c>
      <c r="AB255" s="131">
        <v>42172</v>
      </c>
      <c r="AC255" s="134">
        <f t="shared" si="9"/>
        <v>37413.599999999999</v>
      </c>
      <c r="AD255" s="135">
        <v>63.7</v>
      </c>
      <c r="AE255" s="136">
        <f t="shared" si="10"/>
        <v>2383246.3199999998</v>
      </c>
      <c r="AF255" s="137">
        <v>2383246.3199999998</v>
      </c>
      <c r="AG255" s="138">
        <v>63.7</v>
      </c>
      <c r="AH255" s="136" t="s">
        <v>5172</v>
      </c>
      <c r="AI255" s="136">
        <v>37413.599999999999</v>
      </c>
      <c r="AJ255" s="132" t="s">
        <v>5021</v>
      </c>
      <c r="AK255" s="136" t="s">
        <v>5173</v>
      </c>
      <c r="AL255" s="132" t="s">
        <v>5174</v>
      </c>
      <c r="AM255" s="131" t="s">
        <v>49</v>
      </c>
      <c r="AN255" s="136" t="s">
        <v>4440</v>
      </c>
    </row>
    <row r="256" spans="1:40" s="129" customFormat="1" x14ac:dyDescent="0.25">
      <c r="A256" s="130">
        <v>255</v>
      </c>
      <c r="B256" s="130" t="s">
        <v>4428</v>
      </c>
      <c r="C256" s="130" t="s">
        <v>38</v>
      </c>
      <c r="D256" s="136" t="s">
        <v>5176</v>
      </c>
      <c r="E256" s="132">
        <v>42170</v>
      </c>
      <c r="F256" s="132" t="s">
        <v>5052</v>
      </c>
      <c r="G256" s="132" t="s">
        <v>340</v>
      </c>
      <c r="H256" s="130" t="s">
        <v>5024</v>
      </c>
      <c r="I256" s="132" t="s">
        <v>40</v>
      </c>
      <c r="J256" s="131" t="s">
        <v>4432</v>
      </c>
      <c r="K256" s="132" t="s">
        <v>4433</v>
      </c>
      <c r="L256" s="136">
        <v>1147146</v>
      </c>
      <c r="M256" s="132">
        <v>42167</v>
      </c>
      <c r="N256" s="136" t="s">
        <v>4473</v>
      </c>
      <c r="O256" s="130" t="s">
        <v>4436</v>
      </c>
      <c r="P256" s="130" t="s">
        <v>2263</v>
      </c>
      <c r="Q256" s="130">
        <v>38237090</v>
      </c>
      <c r="R256" s="136">
        <v>48</v>
      </c>
      <c r="S256" s="130" t="s">
        <v>70</v>
      </c>
      <c r="T256" s="136" t="s">
        <v>67</v>
      </c>
      <c r="U256" s="136" t="s">
        <v>1117</v>
      </c>
      <c r="V256" s="136">
        <v>94000</v>
      </c>
      <c r="W256" s="133">
        <f t="shared" si="11"/>
        <v>4512000</v>
      </c>
      <c r="X256" s="136">
        <v>0</v>
      </c>
      <c r="Y256" s="136">
        <v>0</v>
      </c>
      <c r="Z256" s="136">
        <v>0</v>
      </c>
      <c r="AA256" s="136">
        <v>120019.2</v>
      </c>
      <c r="AB256" s="131"/>
      <c r="AC256" s="134">
        <f t="shared" si="9"/>
        <v>4512000</v>
      </c>
      <c r="AD256" s="135">
        <v>1</v>
      </c>
      <c r="AE256" s="136">
        <f t="shared" si="10"/>
        <v>4512000</v>
      </c>
      <c r="AF256" s="130">
        <v>4512000</v>
      </c>
      <c r="AG256" s="138">
        <v>1</v>
      </c>
      <c r="AH256" s="136" t="s">
        <v>5177</v>
      </c>
      <c r="AI256" s="136">
        <v>4512000</v>
      </c>
      <c r="AJ256" s="132">
        <v>42192</v>
      </c>
      <c r="AK256" s="136" t="s">
        <v>5178</v>
      </c>
      <c r="AL256" s="132">
        <v>42193</v>
      </c>
      <c r="AM256" s="132" t="s">
        <v>49</v>
      </c>
      <c r="AN256" s="136" t="s">
        <v>4440</v>
      </c>
    </row>
    <row r="257" spans="1:40" s="129" customFormat="1" x14ac:dyDescent="0.25">
      <c r="A257" s="136">
        <v>256</v>
      </c>
      <c r="B257" s="130" t="s">
        <v>4428</v>
      </c>
      <c r="C257" s="130" t="s">
        <v>38</v>
      </c>
      <c r="D257" s="136" t="s">
        <v>5176</v>
      </c>
      <c r="E257" s="132">
        <v>42170</v>
      </c>
      <c r="F257" s="132" t="s">
        <v>5052</v>
      </c>
      <c r="G257" s="132" t="s">
        <v>341</v>
      </c>
      <c r="H257" s="130" t="s">
        <v>5024</v>
      </c>
      <c r="I257" s="132" t="s">
        <v>40</v>
      </c>
      <c r="J257" s="131" t="s">
        <v>4432</v>
      </c>
      <c r="K257" s="132" t="s">
        <v>4433</v>
      </c>
      <c r="L257" s="136">
        <v>1157077</v>
      </c>
      <c r="M257" s="132">
        <v>42167</v>
      </c>
      <c r="N257" s="136" t="s">
        <v>4473</v>
      </c>
      <c r="O257" s="130" t="s">
        <v>4436</v>
      </c>
      <c r="P257" s="130" t="s">
        <v>2263</v>
      </c>
      <c r="Q257" s="130">
        <v>38237090</v>
      </c>
      <c r="R257" s="136">
        <v>16</v>
      </c>
      <c r="S257" s="130" t="s">
        <v>70</v>
      </c>
      <c r="T257" s="136" t="s">
        <v>67</v>
      </c>
      <c r="U257" s="136" t="s">
        <v>1117</v>
      </c>
      <c r="V257" s="136">
        <v>94000</v>
      </c>
      <c r="W257" s="133">
        <f t="shared" si="11"/>
        <v>1504000</v>
      </c>
      <c r="X257" s="136">
        <v>0</v>
      </c>
      <c r="Y257" s="136">
        <v>0</v>
      </c>
      <c r="Z257" s="136">
        <v>0</v>
      </c>
      <c r="AA257" s="136">
        <v>40006.400000000001</v>
      </c>
      <c r="AB257" s="131"/>
      <c r="AC257" s="134">
        <f t="shared" ref="AC257:AC320" si="12">AF257/AD257</f>
        <v>1504000</v>
      </c>
      <c r="AD257" s="135">
        <v>1</v>
      </c>
      <c r="AE257" s="136">
        <f t="shared" ref="AE257:AE320" si="13">AD257*W257</f>
        <v>1504000</v>
      </c>
      <c r="AF257" s="130">
        <v>1504000</v>
      </c>
      <c r="AG257" s="138">
        <v>1</v>
      </c>
      <c r="AH257" s="136" t="s">
        <v>5177</v>
      </c>
      <c r="AI257" s="136">
        <v>1504000</v>
      </c>
      <c r="AJ257" s="132">
        <v>42167</v>
      </c>
      <c r="AK257" s="136" t="s">
        <v>5179</v>
      </c>
      <c r="AL257" s="132">
        <v>42193</v>
      </c>
      <c r="AM257" s="132" t="s">
        <v>49</v>
      </c>
      <c r="AN257" s="136" t="s">
        <v>4440</v>
      </c>
    </row>
    <row r="258" spans="1:40" s="129" customFormat="1" x14ac:dyDescent="0.25">
      <c r="A258" s="130">
        <v>257</v>
      </c>
      <c r="B258" s="130" t="s">
        <v>4428</v>
      </c>
      <c r="C258" s="130" t="s">
        <v>38</v>
      </c>
      <c r="D258" s="136">
        <v>9103650218</v>
      </c>
      <c r="E258" s="132">
        <v>42175</v>
      </c>
      <c r="F258" s="132" t="s">
        <v>5052</v>
      </c>
      <c r="G258" s="132" t="s">
        <v>352</v>
      </c>
      <c r="H258" s="130" t="s">
        <v>4556</v>
      </c>
      <c r="I258" s="132" t="s">
        <v>40</v>
      </c>
      <c r="J258" s="131" t="s">
        <v>4432</v>
      </c>
      <c r="K258" s="132" t="s">
        <v>4433</v>
      </c>
      <c r="L258" s="136">
        <v>1221907</v>
      </c>
      <c r="M258" s="132" t="s">
        <v>4575</v>
      </c>
      <c r="N258" s="136" t="s">
        <v>5002</v>
      </c>
      <c r="O258" s="130" t="s">
        <v>4436</v>
      </c>
      <c r="P258" s="130" t="s">
        <v>123</v>
      </c>
      <c r="Q258" s="130" t="s">
        <v>5180</v>
      </c>
      <c r="R258" s="136">
        <v>24</v>
      </c>
      <c r="S258" s="130" t="s">
        <v>70</v>
      </c>
      <c r="T258" s="136" t="s">
        <v>52</v>
      </c>
      <c r="U258" s="136" t="s">
        <v>53</v>
      </c>
      <c r="V258" s="141">
        <v>1667.3333333333333</v>
      </c>
      <c r="W258" s="133">
        <f t="shared" si="11"/>
        <v>40016</v>
      </c>
      <c r="X258" s="136">
        <v>0</v>
      </c>
      <c r="Y258" s="136">
        <v>1250</v>
      </c>
      <c r="Z258" s="136">
        <v>0</v>
      </c>
      <c r="AA258" s="136">
        <v>0</v>
      </c>
      <c r="AB258" s="131">
        <v>42172</v>
      </c>
      <c r="AC258" s="134">
        <f t="shared" si="12"/>
        <v>36653.999999999993</v>
      </c>
      <c r="AD258" s="135">
        <v>63.7</v>
      </c>
      <c r="AE258" s="136">
        <f t="shared" si="13"/>
        <v>2549019.2000000002</v>
      </c>
      <c r="AF258" s="137">
        <v>2334859.7999999998</v>
      </c>
      <c r="AG258" s="138">
        <v>63.7</v>
      </c>
      <c r="AH258" s="136" t="s">
        <v>5181</v>
      </c>
      <c r="AI258" s="133">
        <v>37844.5</v>
      </c>
      <c r="AJ258" s="132" t="s">
        <v>4722</v>
      </c>
      <c r="AK258" s="136" t="s">
        <v>5182</v>
      </c>
      <c r="AL258" s="132" t="s">
        <v>4724</v>
      </c>
      <c r="AM258" s="131" t="s">
        <v>49</v>
      </c>
      <c r="AN258" s="133" t="s">
        <v>4440</v>
      </c>
    </row>
    <row r="259" spans="1:40" s="129" customFormat="1" x14ac:dyDescent="0.25">
      <c r="A259" s="136">
        <v>258</v>
      </c>
      <c r="B259" s="130" t="s">
        <v>4428</v>
      </c>
      <c r="C259" s="130" t="s">
        <v>38</v>
      </c>
      <c r="D259" s="136" t="s">
        <v>5183</v>
      </c>
      <c r="E259" s="132">
        <v>42175</v>
      </c>
      <c r="F259" s="132" t="s">
        <v>5052</v>
      </c>
      <c r="G259" s="132" t="s">
        <v>379</v>
      </c>
      <c r="H259" s="130" t="s">
        <v>4491</v>
      </c>
      <c r="I259" s="132" t="s">
        <v>40</v>
      </c>
      <c r="J259" s="131" t="s">
        <v>4432</v>
      </c>
      <c r="K259" s="132" t="s">
        <v>4433</v>
      </c>
      <c r="L259" s="136">
        <v>1195261</v>
      </c>
      <c r="M259" s="132" t="s">
        <v>4743</v>
      </c>
      <c r="N259" s="136" t="s">
        <v>3741</v>
      </c>
      <c r="O259" s="130" t="s">
        <v>4436</v>
      </c>
      <c r="P259" s="130" t="s">
        <v>4492</v>
      </c>
      <c r="Q259" s="130">
        <v>29051700</v>
      </c>
      <c r="R259" s="136">
        <v>36.28</v>
      </c>
      <c r="S259" s="130" t="s">
        <v>70</v>
      </c>
      <c r="T259" s="136" t="s">
        <v>44</v>
      </c>
      <c r="U259" s="136" t="s">
        <v>53</v>
      </c>
      <c r="V259" s="136">
        <v>1779</v>
      </c>
      <c r="W259" s="133">
        <f t="shared" si="11"/>
        <v>64542.12</v>
      </c>
      <c r="X259" s="136">
        <v>21.3</v>
      </c>
      <c r="Y259" s="136">
        <v>6700</v>
      </c>
      <c r="Z259" s="136">
        <v>0</v>
      </c>
      <c r="AA259" s="136">
        <v>0</v>
      </c>
      <c r="AB259" s="131">
        <v>42172</v>
      </c>
      <c r="AC259" s="134">
        <f t="shared" si="12"/>
        <v>57820.819937205648</v>
      </c>
      <c r="AD259" s="135">
        <v>63.7</v>
      </c>
      <c r="AE259" s="136">
        <f t="shared" si="13"/>
        <v>4111333.0440000002</v>
      </c>
      <c r="AF259" s="137">
        <v>3683186.23</v>
      </c>
      <c r="AG259" s="138">
        <v>63.7</v>
      </c>
      <c r="AH259" s="136" t="s">
        <v>5184</v>
      </c>
      <c r="AI259" s="136">
        <v>64542.12</v>
      </c>
      <c r="AJ259" s="132" t="s">
        <v>5059</v>
      </c>
      <c r="AK259" s="136" t="s">
        <v>5185</v>
      </c>
      <c r="AL259" s="132" t="s">
        <v>5061</v>
      </c>
      <c r="AM259" s="131" t="s">
        <v>49</v>
      </c>
      <c r="AN259" s="136" t="s">
        <v>4440</v>
      </c>
    </row>
    <row r="260" spans="1:40" s="129" customFormat="1" x14ac:dyDescent="0.25">
      <c r="A260" s="130">
        <v>259</v>
      </c>
      <c r="B260" s="130" t="s">
        <v>4428</v>
      </c>
      <c r="C260" s="130" t="s">
        <v>38</v>
      </c>
      <c r="D260" s="136" t="s">
        <v>5183</v>
      </c>
      <c r="E260" s="132">
        <v>42175</v>
      </c>
      <c r="F260" s="132" t="s">
        <v>5052</v>
      </c>
      <c r="G260" s="132" t="s">
        <v>380</v>
      </c>
      <c r="H260" s="130" t="s">
        <v>4491</v>
      </c>
      <c r="I260" s="132" t="s">
        <v>40</v>
      </c>
      <c r="J260" s="131" t="s">
        <v>4432</v>
      </c>
      <c r="K260" s="132" t="s">
        <v>4433</v>
      </c>
      <c r="L260" s="136">
        <v>1221908</v>
      </c>
      <c r="M260" s="132">
        <v>42171</v>
      </c>
      <c r="N260" s="136" t="s">
        <v>3741</v>
      </c>
      <c r="O260" s="130" t="s">
        <v>4436</v>
      </c>
      <c r="P260" s="130" t="s">
        <v>4492</v>
      </c>
      <c r="Q260" s="130">
        <v>29051700</v>
      </c>
      <c r="R260" s="136">
        <v>18.14</v>
      </c>
      <c r="S260" s="130" t="s">
        <v>70</v>
      </c>
      <c r="T260" s="136" t="s">
        <v>44</v>
      </c>
      <c r="U260" s="136" t="s">
        <v>53</v>
      </c>
      <c r="V260" s="136">
        <v>1779</v>
      </c>
      <c r="W260" s="133">
        <f t="shared" ref="W260:W323" si="14">V260*R260</f>
        <v>32271.06</v>
      </c>
      <c r="X260" s="136">
        <v>10.65</v>
      </c>
      <c r="Y260" s="136">
        <v>3350</v>
      </c>
      <c r="Z260" s="136">
        <v>0</v>
      </c>
      <c r="AA260" s="136">
        <v>0</v>
      </c>
      <c r="AB260" s="131">
        <v>42173</v>
      </c>
      <c r="AC260" s="134">
        <f t="shared" si="12"/>
        <v>28910.41004709576</v>
      </c>
      <c r="AD260" s="135">
        <v>63.7</v>
      </c>
      <c r="AE260" s="136">
        <f t="shared" si="13"/>
        <v>2055666.5220000001</v>
      </c>
      <c r="AF260" s="137">
        <v>1841593.12</v>
      </c>
      <c r="AG260" s="138">
        <v>63.7</v>
      </c>
      <c r="AH260" s="136" t="s">
        <v>5184</v>
      </c>
      <c r="AI260" s="136">
        <v>32271.06</v>
      </c>
      <c r="AJ260" s="132" t="s">
        <v>5059</v>
      </c>
      <c r="AK260" s="136" t="s">
        <v>5185</v>
      </c>
      <c r="AL260" s="132" t="s">
        <v>5061</v>
      </c>
      <c r="AM260" s="131" t="s">
        <v>49</v>
      </c>
      <c r="AN260" s="136" t="s">
        <v>4440</v>
      </c>
    </row>
    <row r="261" spans="1:40" s="129" customFormat="1" x14ac:dyDescent="0.25">
      <c r="A261" s="136">
        <v>260</v>
      </c>
      <c r="B261" s="130" t="s">
        <v>4428</v>
      </c>
      <c r="C261" s="130" t="s">
        <v>38</v>
      </c>
      <c r="D261" s="136" t="s">
        <v>5186</v>
      </c>
      <c r="E261" s="132">
        <v>42177</v>
      </c>
      <c r="F261" s="132" t="s">
        <v>5052</v>
      </c>
      <c r="G261" s="132" t="s">
        <v>364</v>
      </c>
      <c r="H261" s="130" t="s">
        <v>4491</v>
      </c>
      <c r="I261" s="132" t="s">
        <v>40</v>
      </c>
      <c r="J261" s="131" t="s">
        <v>4432</v>
      </c>
      <c r="K261" s="132" t="s">
        <v>4433</v>
      </c>
      <c r="L261" s="136">
        <v>1301876</v>
      </c>
      <c r="M261" s="132" t="s">
        <v>5187</v>
      </c>
      <c r="N261" s="136" t="s">
        <v>3741</v>
      </c>
      <c r="O261" s="130" t="s">
        <v>4436</v>
      </c>
      <c r="P261" s="130" t="s">
        <v>4492</v>
      </c>
      <c r="Q261" s="130">
        <v>29051700</v>
      </c>
      <c r="R261" s="136">
        <v>18.14</v>
      </c>
      <c r="S261" s="130" t="s">
        <v>70</v>
      </c>
      <c r="T261" s="136" t="s">
        <v>44</v>
      </c>
      <c r="U261" s="136" t="s">
        <v>53</v>
      </c>
      <c r="V261" s="136">
        <v>1679</v>
      </c>
      <c r="W261" s="133">
        <f t="shared" si="14"/>
        <v>30457.06</v>
      </c>
      <c r="X261" s="136">
        <v>10.050000000000001</v>
      </c>
      <c r="Y261" s="136">
        <v>3450</v>
      </c>
      <c r="Z261" s="136">
        <v>0</v>
      </c>
      <c r="AA261" s="136">
        <v>0</v>
      </c>
      <c r="AB261" s="131">
        <v>42175</v>
      </c>
      <c r="AC261" s="134">
        <f t="shared" si="12"/>
        <v>26997.010078740157</v>
      </c>
      <c r="AD261" s="135">
        <v>63.5</v>
      </c>
      <c r="AE261" s="136">
        <f t="shared" si="13"/>
        <v>1934023.31</v>
      </c>
      <c r="AF261" s="137">
        <v>1714310.14</v>
      </c>
      <c r="AG261" s="138">
        <v>63.5</v>
      </c>
      <c r="AH261" s="136" t="s">
        <v>5188</v>
      </c>
      <c r="AI261" s="136">
        <v>30457.06</v>
      </c>
      <c r="AJ261" s="132" t="s">
        <v>5059</v>
      </c>
      <c r="AK261" s="136" t="s">
        <v>5189</v>
      </c>
      <c r="AL261" s="132" t="s">
        <v>5061</v>
      </c>
      <c r="AM261" s="131" t="s">
        <v>49</v>
      </c>
      <c r="AN261" s="136" t="s">
        <v>4440</v>
      </c>
    </row>
    <row r="262" spans="1:40" s="129" customFormat="1" x14ac:dyDescent="0.25">
      <c r="A262" s="130">
        <v>261</v>
      </c>
      <c r="B262" s="130" t="s">
        <v>4428</v>
      </c>
      <c r="C262" s="130" t="s">
        <v>38</v>
      </c>
      <c r="D262" s="136" t="s">
        <v>5186</v>
      </c>
      <c r="E262" s="132">
        <v>42177</v>
      </c>
      <c r="F262" s="132" t="s">
        <v>5052</v>
      </c>
      <c r="G262" s="132" t="s">
        <v>364</v>
      </c>
      <c r="H262" s="130" t="s">
        <v>4491</v>
      </c>
      <c r="I262" s="132" t="s">
        <v>40</v>
      </c>
      <c r="J262" s="131" t="s">
        <v>4432</v>
      </c>
      <c r="K262" s="132" t="s">
        <v>4433</v>
      </c>
      <c r="L262" s="136">
        <v>1244423</v>
      </c>
      <c r="M262" s="132">
        <v>42172</v>
      </c>
      <c r="N262" s="136" t="s">
        <v>3741</v>
      </c>
      <c r="O262" s="130" t="s">
        <v>4436</v>
      </c>
      <c r="P262" s="130" t="s">
        <v>4492</v>
      </c>
      <c r="Q262" s="130">
        <v>29051700</v>
      </c>
      <c r="R262" s="136">
        <v>54.42</v>
      </c>
      <c r="S262" s="130" t="s">
        <v>70</v>
      </c>
      <c r="T262" s="136" t="s">
        <v>44</v>
      </c>
      <c r="U262" s="136" t="s">
        <v>53</v>
      </c>
      <c r="V262" s="136">
        <v>1779</v>
      </c>
      <c r="W262" s="133">
        <f t="shared" si="14"/>
        <v>96813.180000000008</v>
      </c>
      <c r="X262" s="136">
        <v>31.95</v>
      </c>
      <c r="Y262" s="136">
        <v>10350</v>
      </c>
      <c r="Z262" s="136">
        <v>0</v>
      </c>
      <c r="AA262" s="136">
        <v>0</v>
      </c>
      <c r="AB262" s="131">
        <v>42173</v>
      </c>
      <c r="AC262" s="134">
        <f t="shared" si="12"/>
        <v>26997.010078740157</v>
      </c>
      <c r="AD262" s="135">
        <v>63.5</v>
      </c>
      <c r="AE262" s="136">
        <f t="shared" si="13"/>
        <v>6147636.9300000006</v>
      </c>
      <c r="AF262" s="137">
        <v>1714310.14</v>
      </c>
      <c r="AG262" s="138">
        <v>63.5</v>
      </c>
      <c r="AH262" s="136" t="s">
        <v>5188</v>
      </c>
      <c r="AI262" s="136">
        <v>96813.18</v>
      </c>
      <c r="AJ262" s="132" t="s">
        <v>5059</v>
      </c>
      <c r="AK262" s="136" t="s">
        <v>5190</v>
      </c>
      <c r="AL262" s="132" t="s">
        <v>5061</v>
      </c>
      <c r="AM262" s="131" t="s">
        <v>49</v>
      </c>
      <c r="AN262" s="136" t="s">
        <v>4440</v>
      </c>
    </row>
    <row r="263" spans="1:40" s="129" customFormat="1" x14ac:dyDescent="0.25">
      <c r="A263" s="136">
        <v>262</v>
      </c>
      <c r="B263" s="130" t="s">
        <v>4428</v>
      </c>
      <c r="C263" s="130" t="s">
        <v>38</v>
      </c>
      <c r="D263" s="136">
        <v>9103650223</v>
      </c>
      <c r="E263" s="132">
        <v>42180</v>
      </c>
      <c r="F263" s="132" t="s">
        <v>5052</v>
      </c>
      <c r="G263" s="132" t="s">
        <v>356</v>
      </c>
      <c r="H263" s="130" t="s">
        <v>4863</v>
      </c>
      <c r="I263" s="132" t="s">
        <v>40</v>
      </c>
      <c r="J263" s="131" t="s">
        <v>4432</v>
      </c>
      <c r="K263" s="132" t="s">
        <v>4433</v>
      </c>
      <c r="L263" s="136">
        <v>1300679</v>
      </c>
      <c r="M263" s="132">
        <v>42175</v>
      </c>
      <c r="N263" s="136" t="s">
        <v>4670</v>
      </c>
      <c r="O263" s="130" t="s">
        <v>4436</v>
      </c>
      <c r="P263" s="130" t="s">
        <v>4671</v>
      </c>
      <c r="Q263" s="130">
        <v>38237090</v>
      </c>
      <c r="R263" s="136">
        <v>52</v>
      </c>
      <c r="S263" s="130" t="s">
        <v>70</v>
      </c>
      <c r="T263" s="136" t="s">
        <v>52</v>
      </c>
      <c r="U263" s="136" t="s">
        <v>53</v>
      </c>
      <c r="V263" s="136">
        <v>1430</v>
      </c>
      <c r="W263" s="133">
        <f t="shared" si="14"/>
        <v>74360</v>
      </c>
      <c r="X263" s="136">
        <v>0</v>
      </c>
      <c r="Y263" s="136">
        <v>2700</v>
      </c>
      <c r="Z263" s="136">
        <v>0</v>
      </c>
      <c r="AA263" s="136">
        <v>0</v>
      </c>
      <c r="AB263" s="131">
        <v>42175</v>
      </c>
      <c r="AC263" s="134">
        <f t="shared" si="12"/>
        <v>71660</v>
      </c>
      <c r="AD263" s="135">
        <v>63.5</v>
      </c>
      <c r="AE263" s="136">
        <f t="shared" si="13"/>
        <v>4721860</v>
      </c>
      <c r="AF263" s="137">
        <v>4550410</v>
      </c>
      <c r="AG263" s="138">
        <v>63.5</v>
      </c>
      <c r="AH263" s="136" t="s">
        <v>5191</v>
      </c>
      <c r="AI263" s="133">
        <v>74290</v>
      </c>
      <c r="AJ263" s="132">
        <v>42275</v>
      </c>
      <c r="AK263" s="136" t="s">
        <v>5192</v>
      </c>
      <c r="AL263" s="132">
        <v>42275</v>
      </c>
      <c r="AM263" s="131" t="s">
        <v>49</v>
      </c>
      <c r="AN263" s="136" t="s">
        <v>4440</v>
      </c>
    </row>
    <row r="264" spans="1:40" s="129" customFormat="1" x14ac:dyDescent="0.25">
      <c r="A264" s="130">
        <v>263</v>
      </c>
      <c r="B264" s="130" t="s">
        <v>4428</v>
      </c>
      <c r="C264" s="130" t="s">
        <v>38</v>
      </c>
      <c r="D264" s="136">
        <v>9103650224</v>
      </c>
      <c r="E264" s="132">
        <v>42177</v>
      </c>
      <c r="F264" s="132" t="s">
        <v>5052</v>
      </c>
      <c r="G264" s="132" t="s">
        <v>365</v>
      </c>
      <c r="H264" s="130" t="s">
        <v>4564</v>
      </c>
      <c r="I264" s="132" t="s">
        <v>40</v>
      </c>
      <c r="J264" s="131" t="s">
        <v>4432</v>
      </c>
      <c r="K264" s="132" t="s">
        <v>4433</v>
      </c>
      <c r="L264" s="136">
        <v>1292842</v>
      </c>
      <c r="M264" s="132">
        <v>42174</v>
      </c>
      <c r="N264" s="136" t="s">
        <v>5193</v>
      </c>
      <c r="O264" s="130" t="s">
        <v>4436</v>
      </c>
      <c r="P264" s="130" t="s">
        <v>4465</v>
      </c>
      <c r="Q264" s="130">
        <v>38237090</v>
      </c>
      <c r="R264" s="136">
        <v>12</v>
      </c>
      <c r="S264" s="130" t="s">
        <v>70</v>
      </c>
      <c r="T264" s="136" t="s">
        <v>44</v>
      </c>
      <c r="U264" s="136" t="s">
        <v>53</v>
      </c>
      <c r="V264" s="136">
        <v>1340</v>
      </c>
      <c r="W264" s="133">
        <f t="shared" si="14"/>
        <v>16080</v>
      </c>
      <c r="X264" s="136">
        <v>5.31</v>
      </c>
      <c r="Y264" s="136">
        <v>50</v>
      </c>
      <c r="Z264" s="136">
        <v>0</v>
      </c>
      <c r="AA264" s="136">
        <v>0</v>
      </c>
      <c r="AB264" s="131">
        <v>42175</v>
      </c>
      <c r="AC264" s="134">
        <f t="shared" si="12"/>
        <v>16024.690551181102</v>
      </c>
      <c r="AD264" s="135">
        <v>63.5</v>
      </c>
      <c r="AE264" s="136">
        <f t="shared" si="13"/>
        <v>1021080</v>
      </c>
      <c r="AF264" s="137">
        <v>1017567.85</v>
      </c>
      <c r="AG264" s="138">
        <v>63.5</v>
      </c>
      <c r="AH264" s="136" t="s">
        <v>5194</v>
      </c>
      <c r="AI264" s="133">
        <v>16050.5</v>
      </c>
      <c r="AJ264" s="132">
        <v>42187</v>
      </c>
      <c r="AK264" s="136" t="s">
        <v>5195</v>
      </c>
      <c r="AL264" s="132">
        <v>42210</v>
      </c>
      <c r="AM264" s="131" t="s">
        <v>49</v>
      </c>
      <c r="AN264" s="133" t="s">
        <v>4440</v>
      </c>
    </row>
    <row r="265" spans="1:40" s="129" customFormat="1" x14ac:dyDescent="0.25">
      <c r="A265" s="136">
        <v>264</v>
      </c>
      <c r="B265" s="130" t="s">
        <v>4428</v>
      </c>
      <c r="C265" s="130" t="s">
        <v>38</v>
      </c>
      <c r="D265" s="136">
        <v>9103650225</v>
      </c>
      <c r="E265" s="132">
        <v>42184</v>
      </c>
      <c r="F265" s="132" t="s">
        <v>5052</v>
      </c>
      <c r="G265" s="132" t="s">
        <v>362</v>
      </c>
      <c r="H265" s="130" t="s">
        <v>4491</v>
      </c>
      <c r="I265" s="132" t="s">
        <v>40</v>
      </c>
      <c r="J265" s="131" t="s">
        <v>4432</v>
      </c>
      <c r="K265" s="132" t="s">
        <v>4433</v>
      </c>
      <c r="L265" s="136">
        <v>1303321</v>
      </c>
      <c r="M265" s="132" t="s">
        <v>5187</v>
      </c>
      <c r="N265" s="136" t="s">
        <v>3741</v>
      </c>
      <c r="O265" s="130" t="s">
        <v>4436</v>
      </c>
      <c r="P265" s="130" t="s">
        <v>4492</v>
      </c>
      <c r="Q265" s="130">
        <v>38237090</v>
      </c>
      <c r="R265" s="136">
        <v>19.329999999999998</v>
      </c>
      <c r="S265" s="130" t="s">
        <v>70</v>
      </c>
      <c r="T265" s="136" t="s">
        <v>44</v>
      </c>
      <c r="U265" s="136" t="s">
        <v>53</v>
      </c>
      <c r="V265" s="136">
        <v>1564</v>
      </c>
      <c r="W265" s="133">
        <f t="shared" si="14"/>
        <v>30232.12</v>
      </c>
      <c r="X265" s="136">
        <v>9.98</v>
      </c>
      <c r="Y265" s="136">
        <v>4300</v>
      </c>
      <c r="Z265" s="136">
        <v>0</v>
      </c>
      <c r="AA265" s="136">
        <v>0</v>
      </c>
      <c r="AB265" s="131">
        <v>42177</v>
      </c>
      <c r="AC265" s="134">
        <f t="shared" si="12"/>
        <v>25922.14</v>
      </c>
      <c r="AD265" s="135">
        <v>63.5</v>
      </c>
      <c r="AE265" s="136">
        <f t="shared" si="13"/>
        <v>1919739.6199999999</v>
      </c>
      <c r="AF265" s="137">
        <v>1646055.89</v>
      </c>
      <c r="AG265" s="138">
        <v>63.5</v>
      </c>
      <c r="AH265" s="136" t="s">
        <v>5196</v>
      </c>
      <c r="AI265" s="133">
        <v>30232.12</v>
      </c>
      <c r="AJ265" s="132" t="s">
        <v>5059</v>
      </c>
      <c r="AK265" s="136" t="s">
        <v>5197</v>
      </c>
      <c r="AL265" s="132" t="s">
        <v>5061</v>
      </c>
      <c r="AM265" s="131" t="s">
        <v>49</v>
      </c>
      <c r="AN265" s="133" t="s">
        <v>4440</v>
      </c>
    </row>
    <row r="266" spans="1:40" s="129" customFormat="1" x14ac:dyDescent="0.25">
      <c r="A266" s="130">
        <v>265</v>
      </c>
      <c r="B266" s="130" t="s">
        <v>4428</v>
      </c>
      <c r="C266" s="130" t="s">
        <v>38</v>
      </c>
      <c r="D266" s="136">
        <v>9103650226</v>
      </c>
      <c r="E266" s="132">
        <v>42183</v>
      </c>
      <c r="F266" s="132" t="s">
        <v>5052</v>
      </c>
      <c r="G266" s="132" t="s">
        <v>353</v>
      </c>
      <c r="H266" s="130" t="s">
        <v>4564</v>
      </c>
      <c r="I266" s="132" t="s">
        <v>40</v>
      </c>
      <c r="J266" s="131" t="s">
        <v>4432</v>
      </c>
      <c r="K266" s="132" t="s">
        <v>4433</v>
      </c>
      <c r="L266" s="136">
        <v>1272990</v>
      </c>
      <c r="M266" s="132">
        <v>42173</v>
      </c>
      <c r="N266" s="136" t="s">
        <v>4715</v>
      </c>
      <c r="O266" s="130" t="s">
        <v>4436</v>
      </c>
      <c r="P266" s="130" t="s">
        <v>4716</v>
      </c>
      <c r="Q266" s="130">
        <v>29051700</v>
      </c>
      <c r="R266" s="136">
        <v>16</v>
      </c>
      <c r="S266" s="130" t="s">
        <v>70</v>
      </c>
      <c r="T266" s="136" t="s">
        <v>67</v>
      </c>
      <c r="U266" s="136" t="s">
        <v>53</v>
      </c>
      <c r="V266" s="136">
        <v>1530</v>
      </c>
      <c r="W266" s="133">
        <f t="shared" si="14"/>
        <v>24480</v>
      </c>
      <c r="X266" s="136">
        <v>0</v>
      </c>
      <c r="Y266" s="136">
        <v>0</v>
      </c>
      <c r="Z266" s="136">
        <v>0</v>
      </c>
      <c r="AA266" s="136">
        <v>320</v>
      </c>
      <c r="AB266" s="131">
        <v>42174</v>
      </c>
      <c r="AC266" s="134">
        <f t="shared" si="12"/>
        <v>24480</v>
      </c>
      <c r="AD266" s="135">
        <v>63.7</v>
      </c>
      <c r="AE266" s="136">
        <f t="shared" si="13"/>
        <v>1559376</v>
      </c>
      <c r="AF266" s="137">
        <v>1559376</v>
      </c>
      <c r="AG266" s="138">
        <v>63.5</v>
      </c>
      <c r="AH266" s="136" t="s">
        <v>5198</v>
      </c>
      <c r="AI266" s="136">
        <v>24455</v>
      </c>
      <c r="AJ266" s="132" t="s">
        <v>5199</v>
      </c>
      <c r="AK266" s="136" t="s">
        <v>5200</v>
      </c>
      <c r="AL266" s="132" t="s">
        <v>4915</v>
      </c>
      <c r="AM266" s="131" t="s">
        <v>49</v>
      </c>
      <c r="AN266" s="136" t="s">
        <v>4440</v>
      </c>
    </row>
    <row r="267" spans="1:40" s="129" customFormat="1" x14ac:dyDescent="0.25">
      <c r="A267" s="136">
        <v>266</v>
      </c>
      <c r="B267" s="130" t="s">
        <v>4428</v>
      </c>
      <c r="C267" s="130" t="s">
        <v>38</v>
      </c>
      <c r="D267" s="136">
        <v>9103650227</v>
      </c>
      <c r="E267" s="132">
        <v>42179</v>
      </c>
      <c r="F267" s="132" t="s">
        <v>5052</v>
      </c>
      <c r="G267" s="132" t="s">
        <v>355</v>
      </c>
      <c r="H267" s="130" t="s">
        <v>5201</v>
      </c>
      <c r="I267" s="132" t="s">
        <v>40</v>
      </c>
      <c r="J267" s="131" t="s">
        <v>4432</v>
      </c>
      <c r="K267" s="132" t="s">
        <v>4433</v>
      </c>
      <c r="L267" s="136">
        <v>1272748</v>
      </c>
      <c r="M267" s="132" t="s">
        <v>4577</v>
      </c>
      <c r="N267" s="136" t="s">
        <v>5018</v>
      </c>
      <c r="O267" s="130" t="s">
        <v>4436</v>
      </c>
      <c r="P267" s="130" t="s">
        <v>190</v>
      </c>
      <c r="Q267" s="130">
        <v>38231190</v>
      </c>
      <c r="R267" s="136">
        <v>14</v>
      </c>
      <c r="S267" s="130" t="s">
        <v>70</v>
      </c>
      <c r="T267" s="136" t="s">
        <v>44</v>
      </c>
      <c r="U267" s="136" t="s">
        <v>53</v>
      </c>
      <c r="V267" s="136">
        <v>910</v>
      </c>
      <c r="W267" s="133">
        <f t="shared" si="14"/>
        <v>12740</v>
      </c>
      <c r="X267" s="136">
        <v>4.2</v>
      </c>
      <c r="Y267" s="136">
        <v>1050</v>
      </c>
      <c r="Z267" s="136">
        <v>0</v>
      </c>
      <c r="AA267" s="136">
        <v>0</v>
      </c>
      <c r="AB267" s="131">
        <v>42174</v>
      </c>
      <c r="AC267" s="134">
        <f t="shared" si="12"/>
        <v>11685.8</v>
      </c>
      <c r="AD267" s="135">
        <v>63.7</v>
      </c>
      <c r="AE267" s="136">
        <f t="shared" si="13"/>
        <v>811538</v>
      </c>
      <c r="AF267" s="137">
        <v>744385.46</v>
      </c>
      <c r="AG267" s="138">
        <v>63.5</v>
      </c>
      <c r="AH267" s="136" t="s">
        <v>5202</v>
      </c>
      <c r="AI267" s="133">
        <v>12605</v>
      </c>
      <c r="AJ267" s="132" t="s">
        <v>5203</v>
      </c>
      <c r="AK267" s="136" t="s">
        <v>5204</v>
      </c>
      <c r="AL267" s="132" t="s">
        <v>5205</v>
      </c>
      <c r="AM267" s="131" t="s">
        <v>49</v>
      </c>
      <c r="AN267" s="136" t="s">
        <v>4440</v>
      </c>
    </row>
    <row r="268" spans="1:40" s="129" customFormat="1" x14ac:dyDescent="0.25">
      <c r="A268" s="130">
        <v>267</v>
      </c>
      <c r="B268" s="130" t="s">
        <v>4428</v>
      </c>
      <c r="C268" s="130" t="s">
        <v>38</v>
      </c>
      <c r="D268" s="136">
        <v>9103650228</v>
      </c>
      <c r="E268" s="132">
        <v>42181</v>
      </c>
      <c r="F268" s="132" t="s">
        <v>5052</v>
      </c>
      <c r="G268" s="132" t="s">
        <v>359</v>
      </c>
      <c r="H268" s="130" t="s">
        <v>4564</v>
      </c>
      <c r="I268" s="132" t="s">
        <v>40</v>
      </c>
      <c r="J268" s="131" t="s">
        <v>4432</v>
      </c>
      <c r="K268" s="132" t="s">
        <v>4433</v>
      </c>
      <c r="L268" s="136">
        <v>1308175</v>
      </c>
      <c r="M268" s="132">
        <v>42175</v>
      </c>
      <c r="N268" s="136" t="s">
        <v>4604</v>
      </c>
      <c r="O268" s="130" t="s">
        <v>4436</v>
      </c>
      <c r="P268" s="130" t="s">
        <v>205</v>
      </c>
      <c r="Q268" s="130">
        <v>38237090</v>
      </c>
      <c r="R268" s="136">
        <v>12</v>
      </c>
      <c r="S268" s="130" t="s">
        <v>70</v>
      </c>
      <c r="T268" s="136" t="s">
        <v>44</v>
      </c>
      <c r="U268" s="136" t="s">
        <v>53</v>
      </c>
      <c r="V268" s="136">
        <v>1405</v>
      </c>
      <c r="W268" s="133">
        <f t="shared" si="14"/>
        <v>16860</v>
      </c>
      <c r="X268" s="136">
        <v>5.56</v>
      </c>
      <c r="Y268" s="136">
        <v>500</v>
      </c>
      <c r="Z268" s="136">
        <v>0</v>
      </c>
      <c r="AA268" s="136">
        <v>0</v>
      </c>
      <c r="AB268" s="131">
        <v>42177</v>
      </c>
      <c r="AC268" s="134">
        <f t="shared" si="12"/>
        <v>16354.439999999999</v>
      </c>
      <c r="AD268" s="135">
        <v>63.5</v>
      </c>
      <c r="AE268" s="136">
        <f t="shared" si="13"/>
        <v>1070610</v>
      </c>
      <c r="AF268" s="137">
        <v>1038506.94</v>
      </c>
      <c r="AG268" s="138">
        <v>63.5</v>
      </c>
      <c r="AH268" s="136" t="s">
        <v>5206</v>
      </c>
      <c r="AI268" s="133">
        <v>16847</v>
      </c>
      <c r="AJ268" s="132">
        <v>42201</v>
      </c>
      <c r="AK268" s="136" t="s">
        <v>5207</v>
      </c>
      <c r="AL268" s="132">
        <v>42201</v>
      </c>
      <c r="AM268" s="131" t="s">
        <v>49</v>
      </c>
      <c r="AN268" s="133" t="s">
        <v>4440</v>
      </c>
    </row>
    <row r="269" spans="1:40" s="129" customFormat="1" x14ac:dyDescent="0.25">
      <c r="A269" s="136">
        <v>268</v>
      </c>
      <c r="B269" s="130" t="s">
        <v>4428</v>
      </c>
      <c r="C269" s="130" t="s">
        <v>38</v>
      </c>
      <c r="D269" s="136">
        <v>9103650229</v>
      </c>
      <c r="E269" s="132">
        <v>42182</v>
      </c>
      <c r="F269" s="132" t="s">
        <v>5052</v>
      </c>
      <c r="G269" s="132" t="s">
        <v>370</v>
      </c>
      <c r="H269" s="130" t="s">
        <v>4491</v>
      </c>
      <c r="I269" s="132" t="s">
        <v>40</v>
      </c>
      <c r="J269" s="131" t="s">
        <v>4432</v>
      </c>
      <c r="K269" s="132" t="s">
        <v>4433</v>
      </c>
      <c r="L269" s="136">
        <v>1309763</v>
      </c>
      <c r="M269" s="132" t="s">
        <v>5187</v>
      </c>
      <c r="N269" s="136" t="s">
        <v>3741</v>
      </c>
      <c r="O269" s="130" t="s">
        <v>4436</v>
      </c>
      <c r="P269" s="130" t="s">
        <v>4492</v>
      </c>
      <c r="Q269" s="130">
        <v>38237090</v>
      </c>
      <c r="R269" s="136">
        <v>18.14</v>
      </c>
      <c r="S269" s="130" t="s">
        <v>70</v>
      </c>
      <c r="T269" s="136" t="s">
        <v>44</v>
      </c>
      <c r="U269" s="136" t="s">
        <v>53</v>
      </c>
      <c r="V269" s="136">
        <v>1637</v>
      </c>
      <c r="W269" s="133">
        <f t="shared" si="14"/>
        <v>29695.18</v>
      </c>
      <c r="X269" s="136">
        <v>9.8000000000000007</v>
      </c>
      <c r="Y269" s="136">
        <v>2450</v>
      </c>
      <c r="Z269" s="136">
        <v>0</v>
      </c>
      <c r="AA269" s="136">
        <v>0</v>
      </c>
      <c r="AB269" s="131">
        <v>42177</v>
      </c>
      <c r="AC269" s="134">
        <f t="shared" si="12"/>
        <v>27235.379999999997</v>
      </c>
      <c r="AD269" s="135">
        <v>63.5</v>
      </c>
      <c r="AE269" s="136">
        <f t="shared" si="13"/>
        <v>1885643.93</v>
      </c>
      <c r="AF269" s="137">
        <v>1729446.63</v>
      </c>
      <c r="AG269" s="138">
        <v>63.5</v>
      </c>
      <c r="AH269" s="136" t="s">
        <v>5208</v>
      </c>
      <c r="AI269" s="133">
        <v>29695.18</v>
      </c>
      <c r="AJ269" s="132" t="s">
        <v>5059</v>
      </c>
      <c r="AK269" s="136" t="s">
        <v>5209</v>
      </c>
      <c r="AL269" s="132" t="s">
        <v>5061</v>
      </c>
      <c r="AM269" s="131" t="s">
        <v>49</v>
      </c>
      <c r="AN269" s="133" t="s">
        <v>4440</v>
      </c>
    </row>
    <row r="270" spans="1:40" s="129" customFormat="1" x14ac:dyDescent="0.25">
      <c r="A270" s="130">
        <v>269</v>
      </c>
      <c r="B270" s="130" t="s">
        <v>4428</v>
      </c>
      <c r="C270" s="130" t="s">
        <v>38</v>
      </c>
      <c r="D270" s="136">
        <v>9103650230</v>
      </c>
      <c r="E270" s="132">
        <v>42180</v>
      </c>
      <c r="F270" s="132" t="s">
        <v>5052</v>
      </c>
      <c r="G270" s="132" t="s">
        <v>367</v>
      </c>
      <c r="H270" s="130" t="s">
        <v>4564</v>
      </c>
      <c r="I270" s="132" t="s">
        <v>40</v>
      </c>
      <c r="J270" s="131" t="s">
        <v>4432</v>
      </c>
      <c r="K270" s="132" t="s">
        <v>4433</v>
      </c>
      <c r="L270" s="136">
        <v>1312824</v>
      </c>
      <c r="M270" s="132">
        <v>42175</v>
      </c>
      <c r="N270" s="136" t="s">
        <v>4807</v>
      </c>
      <c r="O270" s="130" t="s">
        <v>4436</v>
      </c>
      <c r="P270" s="130" t="s">
        <v>4465</v>
      </c>
      <c r="Q270" s="130">
        <v>38237090</v>
      </c>
      <c r="R270" s="136">
        <v>23.4</v>
      </c>
      <c r="S270" s="130" t="s">
        <v>70</v>
      </c>
      <c r="T270" s="136" t="s">
        <v>44</v>
      </c>
      <c r="U270" s="136" t="s">
        <v>53</v>
      </c>
      <c r="V270" s="136">
        <v>3000</v>
      </c>
      <c r="W270" s="133">
        <f t="shared" si="14"/>
        <v>70200</v>
      </c>
      <c r="X270" s="136">
        <v>23.17</v>
      </c>
      <c r="Y270" s="136">
        <v>200</v>
      </c>
      <c r="Z270" s="136">
        <v>0</v>
      </c>
      <c r="AA270" s="136">
        <v>1170</v>
      </c>
      <c r="AB270" s="131">
        <v>42177</v>
      </c>
      <c r="AC270" s="134">
        <f t="shared" si="12"/>
        <v>69976.830078740153</v>
      </c>
      <c r="AD270" s="135">
        <v>63.5</v>
      </c>
      <c r="AE270" s="136">
        <f t="shared" si="13"/>
        <v>4457700</v>
      </c>
      <c r="AF270" s="137">
        <v>4443528.71</v>
      </c>
      <c r="AG270" s="138">
        <v>63.5</v>
      </c>
      <c r="AH270" s="136" t="s">
        <v>5210</v>
      </c>
      <c r="AI270" s="136">
        <v>70165.5</v>
      </c>
      <c r="AJ270" s="132" t="s">
        <v>5211</v>
      </c>
      <c r="AK270" s="136" t="s">
        <v>5212</v>
      </c>
      <c r="AL270" s="132" t="s">
        <v>4960</v>
      </c>
      <c r="AM270" s="131" t="s">
        <v>49</v>
      </c>
      <c r="AN270" s="136" t="s">
        <v>4440</v>
      </c>
    </row>
    <row r="271" spans="1:40" s="129" customFormat="1" x14ac:dyDescent="0.25">
      <c r="A271" s="136">
        <v>270</v>
      </c>
      <c r="B271" s="130" t="s">
        <v>4428</v>
      </c>
      <c r="C271" s="130" t="s">
        <v>38</v>
      </c>
      <c r="D271" s="136">
        <v>9103650231</v>
      </c>
      <c r="E271" s="132">
        <v>42184</v>
      </c>
      <c r="F271" s="132" t="s">
        <v>5052</v>
      </c>
      <c r="G271" s="132" t="s">
        <v>363</v>
      </c>
      <c r="H271" s="130" t="s">
        <v>4491</v>
      </c>
      <c r="I271" s="132" t="s">
        <v>40</v>
      </c>
      <c r="J271" s="131" t="s">
        <v>4432</v>
      </c>
      <c r="K271" s="132" t="s">
        <v>4433</v>
      </c>
      <c r="L271" s="136">
        <v>1331662</v>
      </c>
      <c r="M271" s="132" t="s">
        <v>4673</v>
      </c>
      <c r="N271" s="136" t="s">
        <v>3741</v>
      </c>
      <c r="O271" s="130" t="s">
        <v>4436</v>
      </c>
      <c r="P271" s="130" t="s">
        <v>4492</v>
      </c>
      <c r="Q271" s="130">
        <v>38237090</v>
      </c>
      <c r="R271" s="136">
        <v>54</v>
      </c>
      <c r="S271" s="130" t="s">
        <v>70</v>
      </c>
      <c r="T271" s="136" t="s">
        <v>44</v>
      </c>
      <c r="U271" s="136" t="s">
        <v>53</v>
      </c>
      <c r="V271" s="136">
        <v>1744</v>
      </c>
      <c r="W271" s="133">
        <f t="shared" si="14"/>
        <v>94176</v>
      </c>
      <c r="X271" s="136">
        <v>31.08</v>
      </c>
      <c r="Y271" s="136">
        <v>12150</v>
      </c>
      <c r="Z271" s="136">
        <v>0</v>
      </c>
      <c r="AA271" s="136">
        <v>0</v>
      </c>
      <c r="AB271" s="131">
        <v>42179</v>
      </c>
      <c r="AC271" s="134">
        <f t="shared" si="12"/>
        <v>81994.92</v>
      </c>
      <c r="AD271" s="135">
        <v>63.5</v>
      </c>
      <c r="AE271" s="136">
        <f t="shared" si="13"/>
        <v>5980176</v>
      </c>
      <c r="AF271" s="137">
        <v>5206677.42</v>
      </c>
      <c r="AG271" s="138">
        <v>63.5</v>
      </c>
      <c r="AH271" s="136" t="s">
        <v>5213</v>
      </c>
      <c r="AI271" s="133">
        <v>94176</v>
      </c>
      <c r="AJ271" s="132" t="s">
        <v>5059</v>
      </c>
      <c r="AK271" s="136" t="s">
        <v>5214</v>
      </c>
      <c r="AL271" s="132" t="s">
        <v>5061</v>
      </c>
      <c r="AM271" s="131" t="s">
        <v>49</v>
      </c>
      <c r="AN271" s="133" t="s">
        <v>4440</v>
      </c>
    </row>
    <row r="272" spans="1:40" s="129" customFormat="1" x14ac:dyDescent="0.25">
      <c r="A272" s="130">
        <v>271</v>
      </c>
      <c r="B272" s="130" t="s">
        <v>4428</v>
      </c>
      <c r="C272" s="130" t="s">
        <v>38</v>
      </c>
      <c r="D272" s="136">
        <v>9103650232</v>
      </c>
      <c r="E272" s="132">
        <v>42181</v>
      </c>
      <c r="F272" s="132" t="s">
        <v>5052</v>
      </c>
      <c r="G272" s="132" t="s">
        <v>371</v>
      </c>
      <c r="H272" s="130" t="s">
        <v>4564</v>
      </c>
      <c r="I272" s="132" t="s">
        <v>40</v>
      </c>
      <c r="J272" s="131" t="s">
        <v>4432</v>
      </c>
      <c r="K272" s="132" t="s">
        <v>4433</v>
      </c>
      <c r="L272" s="136">
        <v>1341211</v>
      </c>
      <c r="M272" s="132" t="s">
        <v>4673</v>
      </c>
      <c r="N272" s="136" t="s">
        <v>5215</v>
      </c>
      <c r="O272" s="130" t="s">
        <v>4436</v>
      </c>
      <c r="P272" s="130" t="s">
        <v>205</v>
      </c>
      <c r="Q272" s="130" t="s">
        <v>4645</v>
      </c>
      <c r="R272" s="136">
        <v>26</v>
      </c>
      <c r="S272" s="130" t="s">
        <v>70</v>
      </c>
      <c r="T272" s="136" t="s">
        <v>44</v>
      </c>
      <c r="U272" s="136" t="s">
        <v>53</v>
      </c>
      <c r="V272" s="136">
        <v>0</v>
      </c>
      <c r="W272" s="133">
        <f>(1582*5+1433*21)</f>
        <v>38003</v>
      </c>
      <c r="X272" s="136">
        <v>12.54</v>
      </c>
      <c r="Y272" s="136">
        <v>800</v>
      </c>
      <c r="Z272" s="136">
        <v>0</v>
      </c>
      <c r="AA272" s="136">
        <v>0</v>
      </c>
      <c r="AB272" s="131">
        <v>42179</v>
      </c>
      <c r="AC272" s="134">
        <f t="shared" si="12"/>
        <v>37190.46</v>
      </c>
      <c r="AD272" s="135">
        <v>63.5</v>
      </c>
      <c r="AE272" s="136">
        <f t="shared" si="13"/>
        <v>2413190.5</v>
      </c>
      <c r="AF272" s="137">
        <v>2361594.21</v>
      </c>
      <c r="AG272" s="138">
        <v>63.5</v>
      </c>
      <c r="AH272" s="136" t="s">
        <v>5216</v>
      </c>
      <c r="AI272" s="133">
        <v>37988</v>
      </c>
      <c r="AJ272" s="132" t="s">
        <v>4884</v>
      </c>
      <c r="AK272" s="136" t="s">
        <v>5217</v>
      </c>
      <c r="AL272" s="132" t="s">
        <v>4886</v>
      </c>
      <c r="AM272" s="131" t="s">
        <v>49</v>
      </c>
      <c r="AN272" s="133" t="s">
        <v>4440</v>
      </c>
    </row>
    <row r="273" spans="1:40" s="129" customFormat="1" x14ac:dyDescent="0.25">
      <c r="A273" s="136">
        <v>272</v>
      </c>
      <c r="B273" s="130" t="s">
        <v>4428</v>
      </c>
      <c r="C273" s="130" t="s">
        <v>38</v>
      </c>
      <c r="D273" s="136">
        <v>9103650233</v>
      </c>
      <c r="E273" s="132">
        <v>42182</v>
      </c>
      <c r="F273" s="132" t="s">
        <v>5052</v>
      </c>
      <c r="G273" s="132" t="s">
        <v>368</v>
      </c>
      <c r="H273" s="130" t="s">
        <v>5218</v>
      </c>
      <c r="I273" s="132" t="s">
        <v>40</v>
      </c>
      <c r="J273" s="131" t="s">
        <v>4432</v>
      </c>
      <c r="K273" s="132" t="s">
        <v>4433</v>
      </c>
      <c r="L273" s="136">
        <v>1358442</v>
      </c>
      <c r="M273" s="132">
        <v>42178</v>
      </c>
      <c r="N273" s="136" t="s">
        <v>4630</v>
      </c>
      <c r="O273" s="130" t="s">
        <v>4436</v>
      </c>
      <c r="P273" s="130" t="s">
        <v>61</v>
      </c>
      <c r="Q273" s="130" t="s">
        <v>4631</v>
      </c>
      <c r="R273" s="136">
        <v>14</v>
      </c>
      <c r="S273" s="130" t="s">
        <v>70</v>
      </c>
      <c r="T273" s="136" t="s">
        <v>44</v>
      </c>
      <c r="U273" s="136" t="s">
        <v>53</v>
      </c>
      <c r="V273" s="136">
        <v>1160</v>
      </c>
      <c r="W273" s="133">
        <f t="shared" si="14"/>
        <v>16240</v>
      </c>
      <c r="X273" s="136">
        <v>5.36</v>
      </c>
      <c r="Y273" s="136">
        <v>75</v>
      </c>
      <c r="Z273" s="136">
        <v>0</v>
      </c>
      <c r="AA273" s="136">
        <v>0</v>
      </c>
      <c r="AB273" s="131">
        <v>42179</v>
      </c>
      <c r="AC273" s="134">
        <f t="shared" si="12"/>
        <v>16159.64</v>
      </c>
      <c r="AD273" s="135">
        <v>63.5</v>
      </c>
      <c r="AE273" s="136">
        <f t="shared" si="13"/>
        <v>1031240</v>
      </c>
      <c r="AF273" s="137">
        <v>1026137.14</v>
      </c>
      <c r="AG273" s="138">
        <v>63.5</v>
      </c>
      <c r="AH273" s="136" t="s">
        <v>5219</v>
      </c>
      <c r="AI273" s="133">
        <v>16240</v>
      </c>
      <c r="AJ273" s="132">
        <v>42191</v>
      </c>
      <c r="AK273" s="136" t="s">
        <v>5220</v>
      </c>
      <c r="AL273" s="132">
        <v>42206</v>
      </c>
      <c r="AM273" s="131" t="s">
        <v>49</v>
      </c>
      <c r="AN273" s="133" t="s">
        <v>4440</v>
      </c>
    </row>
    <row r="274" spans="1:40" s="129" customFormat="1" x14ac:dyDescent="0.25">
      <c r="A274" s="130">
        <v>273</v>
      </c>
      <c r="B274" s="130" t="s">
        <v>4428</v>
      </c>
      <c r="C274" s="130" t="s">
        <v>38</v>
      </c>
      <c r="D274" s="136">
        <v>9103650234</v>
      </c>
      <c r="E274" s="132">
        <v>42182</v>
      </c>
      <c r="F274" s="132" t="s">
        <v>5052</v>
      </c>
      <c r="G274" s="132" t="s">
        <v>369</v>
      </c>
      <c r="H274" s="130" t="s">
        <v>4491</v>
      </c>
      <c r="I274" s="132" t="s">
        <v>40</v>
      </c>
      <c r="J274" s="131" t="s">
        <v>4432</v>
      </c>
      <c r="K274" s="132" t="s">
        <v>4433</v>
      </c>
      <c r="L274" s="136">
        <v>1358291</v>
      </c>
      <c r="M274" s="132" t="s">
        <v>4647</v>
      </c>
      <c r="N274" s="136" t="s">
        <v>3741</v>
      </c>
      <c r="O274" s="130" t="s">
        <v>4436</v>
      </c>
      <c r="P274" s="130" t="s">
        <v>4492</v>
      </c>
      <c r="Q274" s="130">
        <v>29051700</v>
      </c>
      <c r="R274" s="136">
        <v>18.14</v>
      </c>
      <c r="S274" s="130" t="s">
        <v>70</v>
      </c>
      <c r="T274" s="136" t="s">
        <v>44</v>
      </c>
      <c r="U274" s="136" t="s">
        <v>53</v>
      </c>
      <c r="V274" s="136">
        <v>1790</v>
      </c>
      <c r="W274" s="133">
        <f t="shared" si="14"/>
        <v>32470.600000000002</v>
      </c>
      <c r="X274" s="136">
        <v>10.72</v>
      </c>
      <c r="Y274" s="136">
        <v>3550</v>
      </c>
      <c r="Z274" s="136">
        <v>0</v>
      </c>
      <c r="AA274" s="136">
        <v>0</v>
      </c>
      <c r="AB274" s="131">
        <v>42179</v>
      </c>
      <c r="AC274" s="134">
        <f t="shared" si="12"/>
        <v>28909.879999999997</v>
      </c>
      <c r="AD274" s="135">
        <v>63.5</v>
      </c>
      <c r="AE274" s="136">
        <f t="shared" si="13"/>
        <v>2061883.1</v>
      </c>
      <c r="AF274" s="137">
        <v>1835777.38</v>
      </c>
      <c r="AG274" s="138">
        <v>63.5</v>
      </c>
      <c r="AH274" s="136" t="s">
        <v>5221</v>
      </c>
      <c r="AI274" s="133">
        <v>32470.6</v>
      </c>
      <c r="AJ274" s="132" t="s">
        <v>5059</v>
      </c>
      <c r="AK274" s="136" t="s">
        <v>5222</v>
      </c>
      <c r="AL274" s="132" t="s">
        <v>5061</v>
      </c>
      <c r="AM274" s="131" t="s">
        <v>49</v>
      </c>
      <c r="AN274" s="133" t="s">
        <v>4440</v>
      </c>
    </row>
    <row r="275" spans="1:40" s="129" customFormat="1" x14ac:dyDescent="0.25">
      <c r="A275" s="136">
        <v>274</v>
      </c>
      <c r="B275" s="130" t="s">
        <v>4428</v>
      </c>
      <c r="C275" s="130" t="s">
        <v>38</v>
      </c>
      <c r="D275" s="136">
        <v>9103650235</v>
      </c>
      <c r="E275" s="132">
        <v>42183</v>
      </c>
      <c r="F275" s="132" t="s">
        <v>5052</v>
      </c>
      <c r="G275" s="132" t="s">
        <v>375</v>
      </c>
      <c r="H275" s="130" t="s">
        <v>4491</v>
      </c>
      <c r="I275" s="132" t="s">
        <v>40</v>
      </c>
      <c r="J275" s="131" t="s">
        <v>4432</v>
      </c>
      <c r="K275" s="132" t="s">
        <v>4433</v>
      </c>
      <c r="L275" s="136">
        <v>1379165</v>
      </c>
      <c r="M275" s="132" t="s">
        <v>4649</v>
      </c>
      <c r="N275" s="136" t="s">
        <v>3741</v>
      </c>
      <c r="O275" s="130" t="s">
        <v>4436</v>
      </c>
      <c r="P275" s="130" t="s">
        <v>4492</v>
      </c>
      <c r="Q275" s="130">
        <v>38237090</v>
      </c>
      <c r="R275" s="136">
        <v>18.14</v>
      </c>
      <c r="S275" s="130" t="s">
        <v>70</v>
      </c>
      <c r="T275" s="136" t="s">
        <v>44</v>
      </c>
      <c r="U275" s="136" t="s">
        <v>53</v>
      </c>
      <c r="V275" s="136">
        <v>1453</v>
      </c>
      <c r="W275" s="133">
        <f t="shared" si="14"/>
        <v>26357.420000000002</v>
      </c>
      <c r="X275" s="136">
        <v>8.6999999999999993</v>
      </c>
      <c r="Y275" s="136">
        <v>1650</v>
      </c>
      <c r="Z275" s="136">
        <v>0</v>
      </c>
      <c r="AA275" s="136">
        <v>0</v>
      </c>
      <c r="AB275" s="131">
        <v>42180</v>
      </c>
      <c r="AC275" s="134">
        <f t="shared" si="12"/>
        <v>24698.720000000001</v>
      </c>
      <c r="AD275" s="135">
        <v>63.5</v>
      </c>
      <c r="AE275" s="136">
        <f t="shared" si="13"/>
        <v>1673696.1700000002</v>
      </c>
      <c r="AF275" s="137">
        <v>1568368.72</v>
      </c>
      <c r="AG275" s="138">
        <v>63.5</v>
      </c>
      <c r="AH275" s="136" t="s">
        <v>5223</v>
      </c>
      <c r="AI275" s="133">
        <v>26357.42</v>
      </c>
      <c r="AJ275" s="132" t="s">
        <v>5059</v>
      </c>
      <c r="AK275" s="136" t="s">
        <v>5224</v>
      </c>
      <c r="AL275" s="132" t="s">
        <v>5061</v>
      </c>
      <c r="AM275" s="131" t="s">
        <v>49</v>
      </c>
      <c r="AN275" s="133" t="s">
        <v>4440</v>
      </c>
    </row>
    <row r="276" spans="1:40" s="129" customFormat="1" x14ac:dyDescent="0.25">
      <c r="A276" s="130">
        <v>275</v>
      </c>
      <c r="B276" s="130" t="s">
        <v>4428</v>
      </c>
      <c r="C276" s="130" t="s">
        <v>38</v>
      </c>
      <c r="D276" s="136">
        <v>9103650236</v>
      </c>
      <c r="E276" s="132">
        <v>42183</v>
      </c>
      <c r="F276" s="132" t="s">
        <v>5052</v>
      </c>
      <c r="G276" s="132" t="s">
        <v>376</v>
      </c>
      <c r="H276" s="130" t="s">
        <v>4456</v>
      </c>
      <c r="I276" s="132" t="s">
        <v>40</v>
      </c>
      <c r="J276" s="131" t="s">
        <v>4432</v>
      </c>
      <c r="K276" s="132" t="s">
        <v>4433</v>
      </c>
      <c r="L276" s="136">
        <v>1381807</v>
      </c>
      <c r="M276" s="132" t="s">
        <v>4649</v>
      </c>
      <c r="N276" s="136" t="s">
        <v>5106</v>
      </c>
      <c r="O276" s="130" t="s">
        <v>4436</v>
      </c>
      <c r="P276" s="130" t="s">
        <v>127</v>
      </c>
      <c r="Q276" s="130">
        <v>38237090</v>
      </c>
      <c r="R276" s="136">
        <v>7</v>
      </c>
      <c r="S276" s="130" t="s">
        <v>70</v>
      </c>
      <c r="T276" s="136" t="s">
        <v>44</v>
      </c>
      <c r="U276" s="136" t="s">
        <v>53</v>
      </c>
      <c r="V276" s="136">
        <v>3517</v>
      </c>
      <c r="W276" s="133">
        <f t="shared" si="14"/>
        <v>24619</v>
      </c>
      <c r="X276" s="136">
        <v>8.1199999999999992</v>
      </c>
      <c r="Y276" s="136">
        <v>75</v>
      </c>
      <c r="Z276" s="136">
        <v>0</v>
      </c>
      <c r="AA276" s="136">
        <v>0</v>
      </c>
      <c r="AB276" s="131">
        <v>42180</v>
      </c>
      <c r="AC276" s="134">
        <f t="shared" si="12"/>
        <v>24535.879999999997</v>
      </c>
      <c r="AD276" s="135">
        <v>63.5</v>
      </c>
      <c r="AE276" s="136">
        <f t="shared" si="13"/>
        <v>1563306.5</v>
      </c>
      <c r="AF276" s="137">
        <v>1558028.38</v>
      </c>
      <c r="AG276" s="138">
        <v>63.5</v>
      </c>
      <c r="AH276" s="136" t="s">
        <v>5225</v>
      </c>
      <c r="AI276" s="133">
        <v>24572</v>
      </c>
      <c r="AJ276" s="132" t="s">
        <v>4654</v>
      </c>
      <c r="AK276" s="136" t="s">
        <v>5226</v>
      </c>
      <c r="AL276" s="132" t="s">
        <v>5227</v>
      </c>
      <c r="AM276" s="131" t="s">
        <v>49</v>
      </c>
      <c r="AN276" s="133" t="s">
        <v>4440</v>
      </c>
    </row>
    <row r="277" spans="1:40" s="129" customFormat="1" x14ac:dyDescent="0.25">
      <c r="A277" s="136">
        <v>276</v>
      </c>
      <c r="B277" s="130" t="s">
        <v>4428</v>
      </c>
      <c r="C277" s="130" t="s">
        <v>38</v>
      </c>
      <c r="D277" s="136">
        <v>9103650237</v>
      </c>
      <c r="E277" s="132">
        <v>42183</v>
      </c>
      <c r="F277" s="132" t="s">
        <v>5052</v>
      </c>
      <c r="G277" s="132" t="s">
        <v>378</v>
      </c>
      <c r="H277" s="130" t="s">
        <v>4456</v>
      </c>
      <c r="I277" s="132" t="s">
        <v>40</v>
      </c>
      <c r="J277" s="131" t="s">
        <v>4432</v>
      </c>
      <c r="K277" s="132" t="s">
        <v>4433</v>
      </c>
      <c r="L277" s="136">
        <v>1385323</v>
      </c>
      <c r="M277" s="132">
        <v>42179</v>
      </c>
      <c r="N277" s="136" t="s">
        <v>4527</v>
      </c>
      <c r="O277" s="130" t="s">
        <v>4436</v>
      </c>
      <c r="P277" s="130" t="s">
        <v>59</v>
      </c>
      <c r="Q277" s="130">
        <v>38237090</v>
      </c>
      <c r="R277" s="136">
        <v>10</v>
      </c>
      <c r="S277" s="130" t="s">
        <v>70</v>
      </c>
      <c r="T277" s="136" t="s">
        <v>52</v>
      </c>
      <c r="U277" s="136" t="s">
        <v>53</v>
      </c>
      <c r="V277" s="136">
        <v>1390</v>
      </c>
      <c r="W277" s="133">
        <f t="shared" si="14"/>
        <v>13900</v>
      </c>
      <c r="X277" s="136">
        <v>0</v>
      </c>
      <c r="Y277" s="136">
        <v>600</v>
      </c>
      <c r="Z277" s="136">
        <v>0</v>
      </c>
      <c r="AA277" s="136">
        <v>0</v>
      </c>
      <c r="AB277" s="131">
        <v>42181</v>
      </c>
      <c r="AC277" s="134">
        <f t="shared" si="12"/>
        <v>13300</v>
      </c>
      <c r="AD277" s="135">
        <v>63.5</v>
      </c>
      <c r="AE277" s="136">
        <f t="shared" si="13"/>
        <v>882650</v>
      </c>
      <c r="AF277" s="137">
        <v>844550</v>
      </c>
      <c r="AG277" s="138">
        <v>63.5</v>
      </c>
      <c r="AH277" s="136" t="s">
        <v>5228</v>
      </c>
      <c r="AI277" s="133">
        <v>13890</v>
      </c>
      <c r="AJ277" s="132">
        <v>42255</v>
      </c>
      <c r="AK277" s="136" t="s">
        <v>5229</v>
      </c>
      <c r="AL277" s="132">
        <v>42255</v>
      </c>
      <c r="AM277" s="131" t="s">
        <v>49</v>
      </c>
      <c r="AN277" s="136" t="s">
        <v>4440</v>
      </c>
    </row>
    <row r="278" spans="1:40" s="129" customFormat="1" x14ac:dyDescent="0.25">
      <c r="A278" s="130">
        <v>277</v>
      </c>
      <c r="B278" s="130" t="s">
        <v>4428</v>
      </c>
      <c r="C278" s="130" t="s">
        <v>38</v>
      </c>
      <c r="D278" s="136">
        <v>9103650238</v>
      </c>
      <c r="E278" s="132">
        <v>42181</v>
      </c>
      <c r="F278" s="132" t="s">
        <v>5052</v>
      </c>
      <c r="G278" s="132" t="s">
        <v>381</v>
      </c>
      <c r="H278" s="130" t="s">
        <v>5024</v>
      </c>
      <c r="I278" s="132" t="s">
        <v>40</v>
      </c>
      <c r="J278" s="131" t="s">
        <v>4432</v>
      </c>
      <c r="K278" s="132" t="s">
        <v>4433</v>
      </c>
      <c r="L278" s="136">
        <v>1389981</v>
      </c>
      <c r="M278" s="132">
        <v>42179</v>
      </c>
      <c r="N278" s="136" t="s">
        <v>4473</v>
      </c>
      <c r="O278" s="130" t="s">
        <v>4436</v>
      </c>
      <c r="P278" s="130" t="s">
        <v>2263</v>
      </c>
      <c r="Q278" s="130">
        <v>38237090</v>
      </c>
      <c r="R278" s="136">
        <v>37.65</v>
      </c>
      <c r="S278" s="130" t="s">
        <v>70</v>
      </c>
      <c r="T278" s="136" t="s">
        <v>67</v>
      </c>
      <c r="U278" s="136" t="s">
        <v>1117</v>
      </c>
      <c r="V278" s="136">
        <v>92550</v>
      </c>
      <c r="W278" s="133">
        <f t="shared" si="14"/>
        <v>3484507.5</v>
      </c>
      <c r="X278" s="136">
        <v>0</v>
      </c>
      <c r="Y278" s="136">
        <v>0</v>
      </c>
      <c r="Z278" s="136">
        <v>0</v>
      </c>
      <c r="AA278" s="136">
        <v>48957.33</v>
      </c>
      <c r="AB278" s="131"/>
      <c r="AC278" s="134">
        <f t="shared" si="12"/>
        <v>3484507.5</v>
      </c>
      <c r="AD278" s="135">
        <v>1</v>
      </c>
      <c r="AE278" s="136">
        <f t="shared" si="13"/>
        <v>3484507.5</v>
      </c>
      <c r="AF278" s="130">
        <v>3484507.5</v>
      </c>
      <c r="AG278" s="138">
        <v>1</v>
      </c>
      <c r="AH278" s="136" t="s">
        <v>5230</v>
      </c>
      <c r="AI278" s="136">
        <v>3484507.5</v>
      </c>
      <c r="AJ278" s="132">
        <v>42198</v>
      </c>
      <c r="AK278" s="136" t="s">
        <v>5231</v>
      </c>
      <c r="AL278" s="132">
        <v>42199</v>
      </c>
      <c r="AM278" s="132" t="s">
        <v>49</v>
      </c>
      <c r="AN278" s="136" t="s">
        <v>4440</v>
      </c>
    </row>
    <row r="279" spans="1:40" s="129" customFormat="1" x14ac:dyDescent="0.25">
      <c r="A279" s="136">
        <v>278</v>
      </c>
      <c r="B279" s="130" t="s">
        <v>4428</v>
      </c>
      <c r="C279" s="130" t="s">
        <v>38</v>
      </c>
      <c r="D279" s="136" t="s">
        <v>5232</v>
      </c>
      <c r="E279" s="132">
        <v>42181</v>
      </c>
      <c r="F279" s="132" t="s">
        <v>5052</v>
      </c>
      <c r="G279" s="132" t="s">
        <v>374</v>
      </c>
      <c r="H279" s="130" t="s">
        <v>5024</v>
      </c>
      <c r="I279" s="132" t="s">
        <v>40</v>
      </c>
      <c r="J279" s="131" t="s">
        <v>4432</v>
      </c>
      <c r="K279" s="132" t="s">
        <v>4433</v>
      </c>
      <c r="L279" s="136">
        <v>1363923</v>
      </c>
      <c r="M279" s="132">
        <v>42178</v>
      </c>
      <c r="N279" s="136" t="s">
        <v>4473</v>
      </c>
      <c r="O279" s="130" t="s">
        <v>4436</v>
      </c>
      <c r="P279" s="130" t="s">
        <v>2263</v>
      </c>
      <c r="Q279" s="130">
        <v>38237090</v>
      </c>
      <c r="R279" s="136">
        <v>94.54</v>
      </c>
      <c r="S279" s="130" t="s">
        <v>70</v>
      </c>
      <c r="T279" s="136" t="s">
        <v>67</v>
      </c>
      <c r="U279" s="136" t="s">
        <v>1117</v>
      </c>
      <c r="V279" s="136">
        <v>92385</v>
      </c>
      <c r="W279" s="133">
        <f t="shared" si="14"/>
        <v>8734077.9000000004</v>
      </c>
      <c r="X279" s="136">
        <v>0</v>
      </c>
      <c r="Y279" s="136">
        <v>0</v>
      </c>
      <c r="Z279" s="136">
        <v>0</v>
      </c>
      <c r="AA279" s="136">
        <v>472775.64</v>
      </c>
      <c r="AB279" s="131"/>
      <c r="AC279" s="134">
        <f t="shared" si="12"/>
        <v>8734077.9000000004</v>
      </c>
      <c r="AD279" s="135">
        <v>1</v>
      </c>
      <c r="AE279" s="136">
        <f t="shared" si="13"/>
        <v>8734077.9000000004</v>
      </c>
      <c r="AF279" s="130">
        <v>8734077.9000000004</v>
      </c>
      <c r="AG279" s="138">
        <v>1</v>
      </c>
      <c r="AH279" s="136" t="s">
        <v>5233</v>
      </c>
      <c r="AI279" s="136">
        <v>8734077.9000000004</v>
      </c>
      <c r="AJ279" s="132">
        <v>42198</v>
      </c>
      <c r="AK279" s="136" t="s">
        <v>5234</v>
      </c>
      <c r="AL279" s="132">
        <v>42199</v>
      </c>
      <c r="AM279" s="132" t="s">
        <v>49</v>
      </c>
      <c r="AN279" s="136" t="s">
        <v>4440</v>
      </c>
    </row>
    <row r="280" spans="1:40" s="129" customFormat="1" x14ac:dyDescent="0.25">
      <c r="A280" s="130">
        <v>279</v>
      </c>
      <c r="B280" s="130" t="s">
        <v>4428</v>
      </c>
      <c r="C280" s="130" t="s">
        <v>38</v>
      </c>
      <c r="D280" s="136" t="s">
        <v>5232</v>
      </c>
      <c r="E280" s="132">
        <v>42181</v>
      </c>
      <c r="F280" s="132" t="s">
        <v>5052</v>
      </c>
      <c r="G280" s="132" t="s">
        <v>377</v>
      </c>
      <c r="H280" s="130" t="s">
        <v>5024</v>
      </c>
      <c r="I280" s="132" t="s">
        <v>40</v>
      </c>
      <c r="J280" s="131" t="s">
        <v>4432</v>
      </c>
      <c r="K280" s="132" t="s">
        <v>4433</v>
      </c>
      <c r="L280" s="136">
        <v>1387076</v>
      </c>
      <c r="M280" s="132">
        <v>42240</v>
      </c>
      <c r="N280" s="136" t="s">
        <v>4473</v>
      </c>
      <c r="O280" s="130" t="s">
        <v>4436</v>
      </c>
      <c r="P280" s="130" t="s">
        <v>2263</v>
      </c>
      <c r="Q280" s="130">
        <v>38237090</v>
      </c>
      <c r="R280" s="136">
        <v>112.53</v>
      </c>
      <c r="S280" s="130" t="s">
        <v>70</v>
      </c>
      <c r="T280" s="136" t="s">
        <v>67</v>
      </c>
      <c r="U280" s="136" t="s">
        <v>1117</v>
      </c>
      <c r="V280" s="136">
        <v>92385</v>
      </c>
      <c r="W280" s="133">
        <f t="shared" si="14"/>
        <v>10396084.050000001</v>
      </c>
      <c r="X280" s="136">
        <v>0</v>
      </c>
      <c r="Y280" s="136">
        <v>0</v>
      </c>
      <c r="Z280" s="136">
        <v>0</v>
      </c>
      <c r="AA280" s="136">
        <v>562740.03</v>
      </c>
      <c r="AB280" s="131"/>
      <c r="AC280" s="134">
        <f t="shared" si="12"/>
        <v>10396084.050000001</v>
      </c>
      <c r="AD280" s="135">
        <v>1</v>
      </c>
      <c r="AE280" s="136">
        <f t="shared" si="13"/>
        <v>10396084.050000001</v>
      </c>
      <c r="AF280" s="130">
        <v>10396084.050000001</v>
      </c>
      <c r="AG280" s="138">
        <v>1</v>
      </c>
      <c r="AH280" s="136" t="s">
        <v>5233</v>
      </c>
      <c r="AI280" s="136">
        <v>10396084.050000001</v>
      </c>
      <c r="AJ280" s="132">
        <v>42198</v>
      </c>
      <c r="AK280" s="136" t="s">
        <v>5235</v>
      </c>
      <c r="AL280" s="132">
        <v>42199</v>
      </c>
      <c r="AM280" s="132" t="s">
        <v>49</v>
      </c>
      <c r="AN280" s="136" t="s">
        <v>4440</v>
      </c>
    </row>
    <row r="281" spans="1:40" s="129" customFormat="1" x14ac:dyDescent="0.25">
      <c r="A281" s="136">
        <v>280</v>
      </c>
      <c r="B281" s="130" t="s">
        <v>4428</v>
      </c>
      <c r="C281" s="130" t="s">
        <v>38</v>
      </c>
      <c r="D281" s="136">
        <v>9103650242</v>
      </c>
      <c r="E281" s="132">
        <v>42183</v>
      </c>
      <c r="F281" s="132" t="s">
        <v>5052</v>
      </c>
      <c r="G281" s="132" t="s">
        <v>382</v>
      </c>
      <c r="H281" s="130" t="s">
        <v>4491</v>
      </c>
      <c r="I281" s="132" t="s">
        <v>40</v>
      </c>
      <c r="J281" s="131" t="s">
        <v>4432</v>
      </c>
      <c r="K281" s="132" t="s">
        <v>4433</v>
      </c>
      <c r="L281" s="136">
        <v>1410457</v>
      </c>
      <c r="M281" s="132" t="s">
        <v>4844</v>
      </c>
      <c r="N281" s="136" t="s">
        <v>3741</v>
      </c>
      <c r="O281" s="130" t="s">
        <v>4436</v>
      </c>
      <c r="P281" s="130" t="s">
        <v>4492</v>
      </c>
      <c r="Q281" s="130">
        <v>29051700</v>
      </c>
      <c r="R281" s="136">
        <v>54.42</v>
      </c>
      <c r="S281" s="130" t="s">
        <v>70</v>
      </c>
      <c r="T281" s="136" t="s">
        <v>44</v>
      </c>
      <c r="U281" s="136" t="s">
        <v>53</v>
      </c>
      <c r="V281" s="136">
        <v>1690</v>
      </c>
      <c r="W281" s="133">
        <f t="shared" si="14"/>
        <v>91969.8</v>
      </c>
      <c r="X281" s="136">
        <v>30.35</v>
      </c>
      <c r="Y281" s="136">
        <v>9300</v>
      </c>
      <c r="Z281" s="136">
        <v>0</v>
      </c>
      <c r="AA281" s="136">
        <v>0</v>
      </c>
      <c r="AB281" s="131">
        <v>42181</v>
      </c>
      <c r="AC281" s="134">
        <f t="shared" si="12"/>
        <v>82639.450078740163</v>
      </c>
      <c r="AD281" s="135">
        <v>63.5</v>
      </c>
      <c r="AE281" s="136">
        <f t="shared" si="13"/>
        <v>5840082.2999999998</v>
      </c>
      <c r="AF281" s="137">
        <v>5247605.08</v>
      </c>
      <c r="AG281" s="138">
        <v>63.5</v>
      </c>
      <c r="AH281" s="136" t="s">
        <v>5236</v>
      </c>
      <c r="AI281" s="133">
        <v>91969.8</v>
      </c>
      <c r="AJ281" s="132" t="s">
        <v>5059</v>
      </c>
      <c r="AK281" s="136" t="s">
        <v>5237</v>
      </c>
      <c r="AL281" s="132" t="s">
        <v>5061</v>
      </c>
      <c r="AM281" s="131" t="s">
        <v>49</v>
      </c>
      <c r="AN281" s="133" t="s">
        <v>4440</v>
      </c>
    </row>
    <row r="282" spans="1:40" s="129" customFormat="1" x14ac:dyDescent="0.25">
      <c r="A282" s="130">
        <v>281</v>
      </c>
      <c r="B282" s="130" t="s">
        <v>4428</v>
      </c>
      <c r="C282" s="130" t="s">
        <v>38</v>
      </c>
      <c r="D282" s="136" t="s">
        <v>5238</v>
      </c>
      <c r="E282" s="132">
        <v>42184</v>
      </c>
      <c r="F282" s="132" t="s">
        <v>5052</v>
      </c>
      <c r="G282" s="132" t="s">
        <v>1763</v>
      </c>
      <c r="H282" s="130" t="s">
        <v>4446</v>
      </c>
      <c r="I282" s="132" t="s">
        <v>40</v>
      </c>
      <c r="J282" s="131" t="s">
        <v>4432</v>
      </c>
      <c r="K282" s="132" t="s">
        <v>4433</v>
      </c>
      <c r="L282" s="136">
        <v>1410588</v>
      </c>
      <c r="M282" s="132" t="s">
        <v>4844</v>
      </c>
      <c r="N282" s="136" t="s">
        <v>4733</v>
      </c>
      <c r="O282" s="130" t="s">
        <v>4436</v>
      </c>
      <c r="P282" s="130" t="s">
        <v>492</v>
      </c>
      <c r="Q282" s="130">
        <v>29157010</v>
      </c>
      <c r="R282" s="136">
        <v>39.31</v>
      </c>
      <c r="S282" s="130" t="s">
        <v>70</v>
      </c>
      <c r="T282" s="136" t="s">
        <v>44</v>
      </c>
      <c r="U282" s="136" t="s">
        <v>53</v>
      </c>
      <c r="V282" s="136">
        <v>860</v>
      </c>
      <c r="W282" s="133">
        <f t="shared" si="14"/>
        <v>33806.6</v>
      </c>
      <c r="X282" s="136">
        <v>11.16</v>
      </c>
      <c r="Y282" s="136">
        <v>700</v>
      </c>
      <c r="Z282" s="136">
        <v>0</v>
      </c>
      <c r="AA282" s="136">
        <v>0</v>
      </c>
      <c r="AB282" s="131">
        <v>42181</v>
      </c>
      <c r="AC282" s="134">
        <f t="shared" si="12"/>
        <v>33095.440000000002</v>
      </c>
      <c r="AD282" s="135">
        <v>63.5</v>
      </c>
      <c r="AE282" s="136">
        <f t="shared" si="13"/>
        <v>2146719.1</v>
      </c>
      <c r="AF282" s="137">
        <v>2101560.44</v>
      </c>
      <c r="AG282" s="138">
        <v>63.5</v>
      </c>
      <c r="AH282" s="136" t="s">
        <v>5239</v>
      </c>
      <c r="AI282" s="136">
        <v>33806.6</v>
      </c>
      <c r="AJ282" s="132" t="s">
        <v>4952</v>
      </c>
      <c r="AK282" s="136" t="s">
        <v>5240</v>
      </c>
      <c r="AL282" s="132" t="s">
        <v>4954</v>
      </c>
      <c r="AM282" s="131" t="s">
        <v>49</v>
      </c>
      <c r="AN282" s="136" t="s">
        <v>4440</v>
      </c>
    </row>
    <row r="283" spans="1:40" s="129" customFormat="1" x14ac:dyDescent="0.25">
      <c r="A283" s="136">
        <v>282</v>
      </c>
      <c r="B283" s="130" t="s">
        <v>4428</v>
      </c>
      <c r="C283" s="130" t="s">
        <v>38</v>
      </c>
      <c r="D283" s="136" t="s">
        <v>5238</v>
      </c>
      <c r="E283" s="132">
        <v>42184</v>
      </c>
      <c r="F283" s="132" t="s">
        <v>5052</v>
      </c>
      <c r="G283" s="132" t="s">
        <v>383</v>
      </c>
      <c r="H283" s="130" t="s">
        <v>4446</v>
      </c>
      <c r="I283" s="132" t="s">
        <v>40</v>
      </c>
      <c r="J283" s="131" t="s">
        <v>4432</v>
      </c>
      <c r="K283" s="132" t="s">
        <v>4433</v>
      </c>
      <c r="L283" s="136">
        <v>1423450</v>
      </c>
      <c r="M283" s="132" t="s">
        <v>5241</v>
      </c>
      <c r="N283" s="136" t="s">
        <v>4733</v>
      </c>
      <c r="O283" s="130" t="s">
        <v>4436</v>
      </c>
      <c r="P283" s="130" t="s">
        <v>492</v>
      </c>
      <c r="Q283" s="130">
        <v>29157010</v>
      </c>
      <c r="R283" s="136">
        <v>19.46</v>
      </c>
      <c r="S283" s="130" t="s">
        <v>70</v>
      </c>
      <c r="T283" s="136" t="s">
        <v>44</v>
      </c>
      <c r="U283" s="136" t="s">
        <v>53</v>
      </c>
      <c r="V283" s="136">
        <v>860</v>
      </c>
      <c r="W283" s="133">
        <f t="shared" si="14"/>
        <v>16735.600000000002</v>
      </c>
      <c r="X283" s="136">
        <v>5.52</v>
      </c>
      <c r="Y283" s="136">
        <v>350</v>
      </c>
      <c r="Z283" s="136">
        <v>0</v>
      </c>
      <c r="AA283" s="136">
        <v>0</v>
      </c>
      <c r="AB283" s="131">
        <v>42182</v>
      </c>
      <c r="AC283" s="134">
        <f t="shared" si="12"/>
        <v>16380.08</v>
      </c>
      <c r="AD283" s="135">
        <v>63.5</v>
      </c>
      <c r="AE283" s="136">
        <f t="shared" si="13"/>
        <v>1062710.6000000001</v>
      </c>
      <c r="AF283" s="137">
        <v>1040135.08</v>
      </c>
      <c r="AG283" s="138">
        <v>63.5</v>
      </c>
      <c r="AH283" s="136" t="s">
        <v>5239</v>
      </c>
      <c r="AI283" s="136">
        <v>16735.599999999999</v>
      </c>
      <c r="AJ283" s="132" t="s">
        <v>4952</v>
      </c>
      <c r="AK283" s="136" t="s">
        <v>5242</v>
      </c>
      <c r="AL283" s="132" t="s">
        <v>4954</v>
      </c>
      <c r="AM283" s="131" t="s">
        <v>49</v>
      </c>
      <c r="AN283" s="136" t="s">
        <v>4440</v>
      </c>
    </row>
    <row r="284" spans="1:40" s="129" customFormat="1" x14ac:dyDescent="0.25">
      <c r="A284" s="130">
        <v>283</v>
      </c>
      <c r="B284" s="130" t="s">
        <v>4428</v>
      </c>
      <c r="C284" s="130" t="s">
        <v>38</v>
      </c>
      <c r="D284" s="136" t="s">
        <v>5238</v>
      </c>
      <c r="E284" s="132">
        <v>42184</v>
      </c>
      <c r="F284" s="132" t="s">
        <v>5052</v>
      </c>
      <c r="G284" s="132" t="s">
        <v>392</v>
      </c>
      <c r="H284" s="130" t="s">
        <v>4446</v>
      </c>
      <c r="I284" s="132" t="s">
        <v>40</v>
      </c>
      <c r="J284" s="131" t="s">
        <v>4432</v>
      </c>
      <c r="K284" s="132" t="s">
        <v>4433</v>
      </c>
      <c r="L284" s="136">
        <v>1432295</v>
      </c>
      <c r="M284" s="132" t="s">
        <v>5241</v>
      </c>
      <c r="N284" s="136" t="s">
        <v>4733</v>
      </c>
      <c r="O284" s="130" t="s">
        <v>4436</v>
      </c>
      <c r="P284" s="130" t="s">
        <v>492</v>
      </c>
      <c r="Q284" s="130">
        <v>29157010</v>
      </c>
      <c r="R284" s="136">
        <v>19.45</v>
      </c>
      <c r="S284" s="130" t="s">
        <v>70</v>
      </c>
      <c r="T284" s="136" t="s">
        <v>44</v>
      </c>
      <c r="U284" s="136" t="s">
        <v>53</v>
      </c>
      <c r="V284" s="136">
        <v>860</v>
      </c>
      <c r="W284" s="133">
        <f t="shared" si="14"/>
        <v>16727</v>
      </c>
      <c r="X284" s="136">
        <v>5.52</v>
      </c>
      <c r="Y284" s="136">
        <v>350</v>
      </c>
      <c r="Z284" s="136">
        <v>0</v>
      </c>
      <c r="AA284" s="136">
        <v>0</v>
      </c>
      <c r="AB284" s="131">
        <v>42182</v>
      </c>
      <c r="AC284" s="134">
        <f t="shared" si="12"/>
        <v>16371.48</v>
      </c>
      <c r="AD284" s="135">
        <v>63.5</v>
      </c>
      <c r="AE284" s="136">
        <f t="shared" si="13"/>
        <v>1062164.5</v>
      </c>
      <c r="AF284" s="137">
        <v>1039588.98</v>
      </c>
      <c r="AG284" s="138">
        <v>63.5</v>
      </c>
      <c r="AH284" s="136" t="s">
        <v>5239</v>
      </c>
      <c r="AI284" s="136">
        <v>16727</v>
      </c>
      <c r="AJ284" s="132" t="s">
        <v>4952</v>
      </c>
      <c r="AK284" s="136" t="s">
        <v>5243</v>
      </c>
      <c r="AL284" s="132" t="s">
        <v>4954</v>
      </c>
      <c r="AM284" s="131" t="s">
        <v>49</v>
      </c>
      <c r="AN284" s="136" t="s">
        <v>4440</v>
      </c>
    </row>
    <row r="285" spans="1:40" s="129" customFormat="1" x14ac:dyDescent="0.25">
      <c r="A285" s="136">
        <v>284</v>
      </c>
      <c r="B285" s="130" t="s">
        <v>4428</v>
      </c>
      <c r="C285" s="130" t="s">
        <v>38</v>
      </c>
      <c r="D285" s="136" t="s">
        <v>5244</v>
      </c>
      <c r="E285" s="132">
        <v>42184</v>
      </c>
      <c r="F285" s="132" t="s">
        <v>5052</v>
      </c>
      <c r="G285" s="132" t="s">
        <v>391</v>
      </c>
      <c r="H285" s="130" t="s">
        <v>4446</v>
      </c>
      <c r="I285" s="132" t="s">
        <v>40</v>
      </c>
      <c r="J285" s="131" t="s">
        <v>4432</v>
      </c>
      <c r="K285" s="132" t="s">
        <v>4433</v>
      </c>
      <c r="L285" s="136">
        <v>1437685</v>
      </c>
      <c r="M285" s="132">
        <v>42181</v>
      </c>
      <c r="N285" s="136" t="s">
        <v>4733</v>
      </c>
      <c r="O285" s="130" t="s">
        <v>4436</v>
      </c>
      <c r="P285" s="130" t="s">
        <v>492</v>
      </c>
      <c r="Q285" s="130">
        <v>29157010</v>
      </c>
      <c r="R285" s="136">
        <v>58.78</v>
      </c>
      <c r="S285" s="130" t="s">
        <v>70</v>
      </c>
      <c r="T285" s="136" t="s">
        <v>44</v>
      </c>
      <c r="U285" s="136" t="s">
        <v>53</v>
      </c>
      <c r="V285" s="136">
        <v>860</v>
      </c>
      <c r="W285" s="133">
        <f t="shared" si="14"/>
        <v>50550.8</v>
      </c>
      <c r="X285" s="136">
        <v>16.68</v>
      </c>
      <c r="Y285" s="136">
        <v>1050</v>
      </c>
      <c r="Z285" s="136">
        <v>0</v>
      </c>
      <c r="AA285" s="136">
        <v>0</v>
      </c>
      <c r="AB285" s="131"/>
      <c r="AC285" s="134">
        <f t="shared" si="12"/>
        <v>49484.12</v>
      </c>
      <c r="AD285" s="135">
        <v>63.5</v>
      </c>
      <c r="AE285" s="136">
        <f t="shared" si="13"/>
        <v>3209975.8000000003</v>
      </c>
      <c r="AF285" s="137">
        <v>3142241.62</v>
      </c>
      <c r="AG285" s="138">
        <v>63.5</v>
      </c>
      <c r="AH285" s="136" t="s">
        <v>5245</v>
      </c>
      <c r="AI285" s="136">
        <v>50550.8</v>
      </c>
      <c r="AJ285" s="132">
        <v>42235</v>
      </c>
      <c r="AK285" s="136" t="s">
        <v>5246</v>
      </c>
      <c r="AL285" s="132">
        <v>42236</v>
      </c>
      <c r="AM285" s="131" t="s">
        <v>49</v>
      </c>
      <c r="AN285" s="136" t="s">
        <v>4440</v>
      </c>
    </row>
    <row r="286" spans="1:40" s="129" customFormat="1" x14ac:dyDescent="0.25">
      <c r="A286" s="130">
        <v>285</v>
      </c>
      <c r="B286" s="130" t="s">
        <v>4428</v>
      </c>
      <c r="C286" s="130" t="s">
        <v>38</v>
      </c>
      <c r="D286" s="136" t="s">
        <v>5244</v>
      </c>
      <c r="E286" s="132">
        <v>42184</v>
      </c>
      <c r="F286" s="132" t="s">
        <v>5052</v>
      </c>
      <c r="G286" s="132" t="s">
        <v>390</v>
      </c>
      <c r="H286" s="130" t="s">
        <v>4446</v>
      </c>
      <c r="I286" s="132" t="s">
        <v>40</v>
      </c>
      <c r="J286" s="131" t="s">
        <v>4432</v>
      </c>
      <c r="K286" s="132" t="s">
        <v>4433</v>
      </c>
      <c r="L286" s="136">
        <v>1452709</v>
      </c>
      <c r="M286" s="132">
        <v>42182</v>
      </c>
      <c r="N286" s="136" t="s">
        <v>4733</v>
      </c>
      <c r="O286" s="130" t="s">
        <v>4436</v>
      </c>
      <c r="P286" s="130" t="s">
        <v>492</v>
      </c>
      <c r="Q286" s="130">
        <v>29157010</v>
      </c>
      <c r="R286" s="136">
        <v>58.52</v>
      </c>
      <c r="S286" s="130" t="s">
        <v>70</v>
      </c>
      <c r="T286" s="136" t="s">
        <v>44</v>
      </c>
      <c r="U286" s="136" t="s">
        <v>53</v>
      </c>
      <c r="V286" s="136">
        <v>860</v>
      </c>
      <c r="W286" s="133">
        <f t="shared" si="14"/>
        <v>50327.200000000004</v>
      </c>
      <c r="X286" s="136">
        <v>16.61</v>
      </c>
      <c r="Y286" s="136">
        <v>1050</v>
      </c>
      <c r="Z286" s="136">
        <v>0</v>
      </c>
      <c r="AA286" s="136">
        <v>0</v>
      </c>
      <c r="AB286" s="131"/>
      <c r="AC286" s="134">
        <f t="shared" si="12"/>
        <v>49260.590078740162</v>
      </c>
      <c r="AD286" s="135">
        <v>63.5</v>
      </c>
      <c r="AE286" s="136">
        <f t="shared" si="13"/>
        <v>3195777.2</v>
      </c>
      <c r="AF286" s="137">
        <v>3128047.47</v>
      </c>
      <c r="AG286" s="138">
        <v>63.5</v>
      </c>
      <c r="AH286" s="136" t="s">
        <v>5245</v>
      </c>
      <c r="AI286" s="136">
        <v>50327.199999999997</v>
      </c>
      <c r="AJ286" s="132">
        <v>42235</v>
      </c>
      <c r="AK286" s="136" t="s">
        <v>5247</v>
      </c>
      <c r="AL286" s="132">
        <v>42236</v>
      </c>
      <c r="AM286" s="131" t="s">
        <v>49</v>
      </c>
      <c r="AN286" s="136" t="s">
        <v>4440</v>
      </c>
    </row>
    <row r="287" spans="1:40" s="129" customFormat="1" x14ac:dyDescent="0.25">
      <c r="A287" s="136">
        <v>286</v>
      </c>
      <c r="B287" s="130" t="s">
        <v>4428</v>
      </c>
      <c r="C287" s="130" t="s">
        <v>38</v>
      </c>
      <c r="D287" s="136">
        <v>9103650241</v>
      </c>
      <c r="E287" s="132">
        <v>42188</v>
      </c>
      <c r="F287" s="132" t="s">
        <v>5248</v>
      </c>
      <c r="G287" s="132" t="s">
        <v>387</v>
      </c>
      <c r="H287" s="130" t="s">
        <v>5249</v>
      </c>
      <c r="I287" s="132" t="s">
        <v>40</v>
      </c>
      <c r="J287" s="131" t="s">
        <v>4432</v>
      </c>
      <c r="K287" s="132" t="s">
        <v>4433</v>
      </c>
      <c r="L287" s="136">
        <v>1412695</v>
      </c>
      <c r="M287" s="132" t="s">
        <v>4844</v>
      </c>
      <c r="N287" s="136" t="s">
        <v>4452</v>
      </c>
      <c r="O287" s="130" t="s">
        <v>4436</v>
      </c>
      <c r="P287" s="130" t="s">
        <v>75</v>
      </c>
      <c r="Q287" s="130">
        <v>38237090</v>
      </c>
      <c r="R287" s="136">
        <v>27.2</v>
      </c>
      <c r="S287" s="130" t="s">
        <v>70</v>
      </c>
      <c r="T287" s="136" t="s">
        <v>52</v>
      </c>
      <c r="U287" s="136" t="s">
        <v>53</v>
      </c>
      <c r="V287" s="136">
        <v>1445</v>
      </c>
      <c r="W287" s="133">
        <f t="shared" si="14"/>
        <v>39304</v>
      </c>
      <c r="X287" s="136">
        <v>0</v>
      </c>
      <c r="Y287" s="136">
        <v>100</v>
      </c>
      <c r="Z287" s="136">
        <v>0</v>
      </c>
      <c r="AA287" s="136">
        <v>0</v>
      </c>
      <c r="AB287" s="131">
        <v>42182</v>
      </c>
      <c r="AC287" s="134">
        <f t="shared" si="12"/>
        <v>39204</v>
      </c>
      <c r="AD287" s="135">
        <v>63.5</v>
      </c>
      <c r="AE287" s="136">
        <f t="shared" si="13"/>
        <v>2495804</v>
      </c>
      <c r="AF287" s="137">
        <v>2489454</v>
      </c>
      <c r="AG287" s="138">
        <v>63.5</v>
      </c>
      <c r="AH287" s="136" t="s">
        <v>5250</v>
      </c>
      <c r="AI287" s="133">
        <v>39304</v>
      </c>
      <c r="AJ287" s="132" t="s">
        <v>4860</v>
      </c>
      <c r="AK287" s="136" t="s">
        <v>5251</v>
      </c>
      <c r="AL287" s="132" t="s">
        <v>4627</v>
      </c>
      <c r="AM287" s="131" t="s">
        <v>49</v>
      </c>
      <c r="AN287" s="133" t="s">
        <v>4440</v>
      </c>
    </row>
    <row r="288" spans="1:40" s="129" customFormat="1" x14ac:dyDescent="0.25">
      <c r="A288" s="130">
        <v>287</v>
      </c>
      <c r="B288" s="130" t="s">
        <v>4428</v>
      </c>
      <c r="C288" s="130" t="s">
        <v>38</v>
      </c>
      <c r="D288" s="136">
        <v>9103650243</v>
      </c>
      <c r="E288" s="132">
        <v>42188</v>
      </c>
      <c r="F288" s="132" t="s">
        <v>5248</v>
      </c>
      <c r="G288" s="132" t="s">
        <v>385</v>
      </c>
      <c r="H288" s="130" t="s">
        <v>4456</v>
      </c>
      <c r="I288" s="132" t="s">
        <v>40</v>
      </c>
      <c r="J288" s="131" t="s">
        <v>4432</v>
      </c>
      <c r="K288" s="132" t="s">
        <v>4433</v>
      </c>
      <c r="L288" s="136">
        <v>1410589</v>
      </c>
      <c r="M288" s="132" t="s">
        <v>4844</v>
      </c>
      <c r="N288" s="136" t="s">
        <v>4876</v>
      </c>
      <c r="O288" s="130" t="s">
        <v>4436</v>
      </c>
      <c r="P288" s="130" t="s">
        <v>90</v>
      </c>
      <c r="Q288" s="130">
        <v>34021900</v>
      </c>
      <c r="R288" s="136">
        <v>50.4</v>
      </c>
      <c r="S288" s="130" t="s">
        <v>70</v>
      </c>
      <c r="T288" s="136" t="s">
        <v>67</v>
      </c>
      <c r="U288" s="136" t="s">
        <v>53</v>
      </c>
      <c r="V288" s="136">
        <v>2227</v>
      </c>
      <c r="W288" s="133">
        <f t="shared" si="14"/>
        <v>112240.8</v>
      </c>
      <c r="X288" s="136">
        <v>0</v>
      </c>
      <c r="Y288" s="136">
        <v>0</v>
      </c>
      <c r="Z288" s="136">
        <v>0</v>
      </c>
      <c r="AA288" s="136">
        <v>0</v>
      </c>
      <c r="AB288" s="131">
        <v>42181</v>
      </c>
      <c r="AC288" s="134">
        <f t="shared" si="12"/>
        <v>112240.8</v>
      </c>
      <c r="AD288" s="135">
        <v>63.5</v>
      </c>
      <c r="AE288" s="136">
        <f t="shared" si="13"/>
        <v>7127290.7999999998</v>
      </c>
      <c r="AF288" s="137">
        <v>7127290.7999999998</v>
      </c>
      <c r="AG288" s="138">
        <v>63.5</v>
      </c>
      <c r="AH288" s="136" t="s">
        <v>5252</v>
      </c>
      <c r="AI288" s="133">
        <v>112180.8</v>
      </c>
      <c r="AJ288" s="132" t="s">
        <v>5112</v>
      </c>
      <c r="AK288" s="136" t="s">
        <v>5253</v>
      </c>
      <c r="AL288" s="132" t="s">
        <v>5148</v>
      </c>
      <c r="AM288" s="131" t="s">
        <v>49</v>
      </c>
      <c r="AN288" s="136" t="s">
        <v>4440</v>
      </c>
    </row>
    <row r="289" spans="1:40" s="129" customFormat="1" x14ac:dyDescent="0.25">
      <c r="A289" s="136">
        <v>288</v>
      </c>
      <c r="B289" s="130" t="s">
        <v>4428</v>
      </c>
      <c r="C289" s="130" t="s">
        <v>38</v>
      </c>
      <c r="D289" s="136">
        <v>9103650244</v>
      </c>
      <c r="E289" s="132">
        <v>42188</v>
      </c>
      <c r="F289" s="132" t="s">
        <v>5248</v>
      </c>
      <c r="G289" s="132" t="s">
        <v>363</v>
      </c>
      <c r="H289" s="130" t="s">
        <v>4456</v>
      </c>
      <c r="I289" s="132" t="s">
        <v>40</v>
      </c>
      <c r="J289" s="131" t="s">
        <v>4432</v>
      </c>
      <c r="K289" s="132" t="s">
        <v>4433</v>
      </c>
      <c r="L289" s="136">
        <v>1256570</v>
      </c>
      <c r="M289" s="132" t="s">
        <v>4577</v>
      </c>
      <c r="N289" s="136" t="s">
        <v>5009</v>
      </c>
      <c r="O289" s="130" t="s">
        <v>4436</v>
      </c>
      <c r="P289" s="130" t="s">
        <v>90</v>
      </c>
      <c r="Q289" s="130" t="s">
        <v>4559</v>
      </c>
      <c r="R289" s="136">
        <v>1.5</v>
      </c>
      <c r="S289" s="130" t="s">
        <v>70</v>
      </c>
      <c r="T289" s="136" t="s">
        <v>44</v>
      </c>
      <c r="U289" s="136" t="s">
        <v>53</v>
      </c>
      <c r="V289" s="136">
        <v>0</v>
      </c>
      <c r="W289" s="133">
        <f>(0.95*1600+0.55*1700)</f>
        <v>2455</v>
      </c>
      <c r="X289" s="136">
        <v>0.81</v>
      </c>
      <c r="Y289" s="136">
        <v>250</v>
      </c>
      <c r="Z289" s="136">
        <v>0</v>
      </c>
      <c r="AA289" s="136">
        <v>0</v>
      </c>
      <c r="AB289" s="131">
        <v>42178</v>
      </c>
      <c r="AC289" s="134">
        <f t="shared" si="12"/>
        <v>2204.1899529042385</v>
      </c>
      <c r="AD289" s="135">
        <v>63.7</v>
      </c>
      <c r="AE289" s="136">
        <f t="shared" si="13"/>
        <v>156383.5</v>
      </c>
      <c r="AF289" s="137">
        <v>140406.9</v>
      </c>
      <c r="AG289" s="138">
        <v>63.5</v>
      </c>
      <c r="AH289" s="136" t="s">
        <v>5254</v>
      </c>
      <c r="AI289" s="133">
        <v>2412</v>
      </c>
      <c r="AJ289" s="132" t="s">
        <v>5011</v>
      </c>
      <c r="AK289" s="136" t="s">
        <v>5255</v>
      </c>
      <c r="AL289" s="132" t="s">
        <v>5013</v>
      </c>
      <c r="AM289" s="131" t="s">
        <v>49</v>
      </c>
      <c r="AN289" s="133" t="s">
        <v>4440</v>
      </c>
    </row>
    <row r="290" spans="1:40" s="129" customFormat="1" x14ac:dyDescent="0.25">
      <c r="A290" s="130">
        <v>289</v>
      </c>
      <c r="B290" s="130" t="s">
        <v>4428</v>
      </c>
      <c r="C290" s="130" t="s">
        <v>38</v>
      </c>
      <c r="D290" s="136">
        <v>9103650245</v>
      </c>
      <c r="E290" s="132">
        <v>42187</v>
      </c>
      <c r="F290" s="132" t="s">
        <v>5248</v>
      </c>
      <c r="G290" s="132" t="s">
        <v>384</v>
      </c>
      <c r="H290" s="130" t="s">
        <v>5256</v>
      </c>
      <c r="I290" s="132" t="s">
        <v>40</v>
      </c>
      <c r="J290" s="131" t="s">
        <v>4432</v>
      </c>
      <c r="K290" s="132" t="s">
        <v>4433</v>
      </c>
      <c r="L290" s="136">
        <v>1422894</v>
      </c>
      <c r="M290" s="132" t="s">
        <v>5241</v>
      </c>
      <c r="N290" s="136" t="s">
        <v>4858</v>
      </c>
      <c r="O290" s="130" t="s">
        <v>4436</v>
      </c>
      <c r="P290" s="130" t="s">
        <v>54</v>
      </c>
      <c r="Q290" s="130">
        <v>38237090</v>
      </c>
      <c r="R290" s="136">
        <v>56.8</v>
      </c>
      <c r="S290" s="130" t="s">
        <v>70</v>
      </c>
      <c r="T290" s="136" t="s">
        <v>44</v>
      </c>
      <c r="U290" s="136" t="s">
        <v>53</v>
      </c>
      <c r="V290" s="136">
        <v>1150</v>
      </c>
      <c r="W290" s="133">
        <f t="shared" si="14"/>
        <v>65320</v>
      </c>
      <c r="X290" s="136">
        <v>21.56</v>
      </c>
      <c r="Y290" s="136">
        <v>1650</v>
      </c>
      <c r="Z290" s="136">
        <v>0</v>
      </c>
      <c r="AA290" s="136">
        <v>0</v>
      </c>
      <c r="AB290" s="131">
        <v>42182</v>
      </c>
      <c r="AC290" s="134">
        <f t="shared" si="12"/>
        <v>63648.44</v>
      </c>
      <c r="AD290" s="135">
        <v>63.5</v>
      </c>
      <c r="AE290" s="136">
        <f t="shared" si="13"/>
        <v>4147820</v>
      </c>
      <c r="AF290" s="137">
        <v>4041675.94</v>
      </c>
      <c r="AG290" s="138">
        <v>63.5</v>
      </c>
      <c r="AH290" s="136" t="s">
        <v>5257</v>
      </c>
      <c r="AI290" s="133">
        <v>64917.21</v>
      </c>
      <c r="AJ290" s="132" t="s">
        <v>4906</v>
      </c>
      <c r="AK290" s="136" t="s">
        <v>5258</v>
      </c>
      <c r="AL290" s="132" t="s">
        <v>4908</v>
      </c>
      <c r="AM290" s="131" t="s">
        <v>49</v>
      </c>
      <c r="AN290" s="133" t="s">
        <v>4440</v>
      </c>
    </row>
    <row r="291" spans="1:40" s="129" customFormat="1" x14ac:dyDescent="0.25">
      <c r="A291" s="136">
        <v>290</v>
      </c>
      <c r="B291" s="130" t="s">
        <v>4428</v>
      </c>
      <c r="C291" s="130" t="s">
        <v>38</v>
      </c>
      <c r="D291" s="136">
        <v>9103650246</v>
      </c>
      <c r="E291" s="132">
        <v>42187</v>
      </c>
      <c r="F291" s="132" t="s">
        <v>5248</v>
      </c>
      <c r="G291" s="132" t="s">
        <v>372</v>
      </c>
      <c r="H291" s="130" t="s">
        <v>4431</v>
      </c>
      <c r="I291" s="132" t="s">
        <v>40</v>
      </c>
      <c r="J291" s="131" t="s">
        <v>4432</v>
      </c>
      <c r="K291" s="132" t="s">
        <v>4433</v>
      </c>
      <c r="L291" s="136">
        <v>1423813</v>
      </c>
      <c r="M291" s="132" t="s">
        <v>5241</v>
      </c>
      <c r="N291" s="136" t="s">
        <v>5259</v>
      </c>
      <c r="O291" s="130" t="s">
        <v>4436</v>
      </c>
      <c r="P291" s="130" t="s">
        <v>64</v>
      </c>
      <c r="Q291" s="130">
        <v>38237090</v>
      </c>
      <c r="R291" s="136">
        <v>4</v>
      </c>
      <c r="S291" s="130" t="s">
        <v>70</v>
      </c>
      <c r="T291" s="136" t="s">
        <v>44</v>
      </c>
      <c r="U291" s="136" t="s">
        <v>53</v>
      </c>
      <c r="V291" s="136">
        <v>4855</v>
      </c>
      <c r="W291" s="133">
        <f t="shared" si="14"/>
        <v>19420</v>
      </c>
      <c r="X291" s="136">
        <v>6.41</v>
      </c>
      <c r="Y291" s="136">
        <v>350</v>
      </c>
      <c r="Z291" s="136">
        <v>0</v>
      </c>
      <c r="AA291" s="136">
        <v>0</v>
      </c>
      <c r="AB291" s="131">
        <v>42182</v>
      </c>
      <c r="AC291" s="134">
        <f t="shared" si="12"/>
        <v>19063.590078740159</v>
      </c>
      <c r="AD291" s="135">
        <v>63.5</v>
      </c>
      <c r="AE291" s="136">
        <f t="shared" si="13"/>
        <v>1233170</v>
      </c>
      <c r="AF291" s="137">
        <v>1210537.97</v>
      </c>
      <c r="AG291" s="138">
        <v>63.5</v>
      </c>
      <c r="AH291" s="136" t="s">
        <v>5260</v>
      </c>
      <c r="AI291" s="133">
        <v>19195</v>
      </c>
      <c r="AJ291" s="132" t="s">
        <v>5116</v>
      </c>
      <c r="AK291" s="136" t="s">
        <v>5261</v>
      </c>
      <c r="AL291" s="132" t="s">
        <v>4779</v>
      </c>
      <c r="AM291" s="131" t="s">
        <v>49</v>
      </c>
      <c r="AN291" s="133" t="s">
        <v>4440</v>
      </c>
    </row>
    <row r="292" spans="1:40" s="129" customFormat="1" x14ac:dyDescent="0.25">
      <c r="A292" s="130">
        <v>291</v>
      </c>
      <c r="B292" s="130" t="s">
        <v>4428</v>
      </c>
      <c r="C292" s="130" t="s">
        <v>38</v>
      </c>
      <c r="D292" s="136">
        <v>9103650247</v>
      </c>
      <c r="E292" s="132">
        <v>42188</v>
      </c>
      <c r="F292" s="132" t="s">
        <v>5248</v>
      </c>
      <c r="G292" s="132" t="s">
        <v>373</v>
      </c>
      <c r="H292" s="130" t="s">
        <v>4456</v>
      </c>
      <c r="I292" s="132" t="s">
        <v>40</v>
      </c>
      <c r="J292" s="131" t="s">
        <v>4432</v>
      </c>
      <c r="K292" s="132" t="s">
        <v>4433</v>
      </c>
      <c r="L292" s="136">
        <v>1380112</v>
      </c>
      <c r="M292" s="132" t="s">
        <v>4649</v>
      </c>
      <c r="N292" s="136" t="s">
        <v>5109</v>
      </c>
      <c r="O292" s="130" t="s">
        <v>4436</v>
      </c>
      <c r="P292" s="130" t="s">
        <v>5262</v>
      </c>
      <c r="Q292" s="130">
        <v>38237090</v>
      </c>
      <c r="R292" s="136">
        <v>2</v>
      </c>
      <c r="S292" s="130" t="s">
        <v>70</v>
      </c>
      <c r="T292" s="136" t="s">
        <v>44</v>
      </c>
      <c r="U292" s="136" t="s">
        <v>53</v>
      </c>
      <c r="V292" s="136">
        <v>3596</v>
      </c>
      <c r="W292" s="133">
        <f t="shared" si="14"/>
        <v>7192</v>
      </c>
      <c r="X292" s="136">
        <v>2.37</v>
      </c>
      <c r="Y292" s="136">
        <v>120</v>
      </c>
      <c r="Z292" s="136">
        <v>0</v>
      </c>
      <c r="AA292" s="136">
        <v>0</v>
      </c>
      <c r="AB292" s="131">
        <v>42180</v>
      </c>
      <c r="AC292" s="134">
        <f t="shared" si="12"/>
        <v>7069.6300787401578</v>
      </c>
      <c r="AD292" s="135">
        <v>63.5</v>
      </c>
      <c r="AE292" s="136">
        <f t="shared" si="13"/>
        <v>456692</v>
      </c>
      <c r="AF292" s="137">
        <v>448921.51</v>
      </c>
      <c r="AG292" s="138">
        <v>63.5</v>
      </c>
      <c r="AH292" s="136" t="s">
        <v>5263</v>
      </c>
      <c r="AI292" s="133">
        <v>7160</v>
      </c>
      <c r="AJ292" s="132" t="s">
        <v>5017</v>
      </c>
      <c r="AK292" s="136" t="s">
        <v>5264</v>
      </c>
      <c r="AL292" s="132" t="s">
        <v>5132</v>
      </c>
      <c r="AM292" s="131" t="s">
        <v>49</v>
      </c>
      <c r="AN292" s="133" t="s">
        <v>4440</v>
      </c>
    </row>
    <row r="293" spans="1:40" s="129" customFormat="1" x14ac:dyDescent="0.25">
      <c r="A293" s="136">
        <v>292</v>
      </c>
      <c r="B293" s="130" t="s">
        <v>4428</v>
      </c>
      <c r="C293" s="130" t="s">
        <v>38</v>
      </c>
      <c r="D293" s="136">
        <v>9103650250</v>
      </c>
      <c r="E293" s="132">
        <v>42187</v>
      </c>
      <c r="F293" s="132" t="s">
        <v>5248</v>
      </c>
      <c r="G293" s="132" t="s">
        <v>393</v>
      </c>
      <c r="H293" s="130" t="s">
        <v>4863</v>
      </c>
      <c r="I293" s="132" t="s">
        <v>40</v>
      </c>
      <c r="J293" s="131" t="s">
        <v>4432</v>
      </c>
      <c r="K293" s="132" t="s">
        <v>4433</v>
      </c>
      <c r="L293" s="136">
        <v>1437124</v>
      </c>
      <c r="M293" s="132" t="s">
        <v>5241</v>
      </c>
      <c r="N293" s="136" t="s">
        <v>4670</v>
      </c>
      <c r="O293" s="130" t="s">
        <v>4436</v>
      </c>
      <c r="P293" s="130" t="s">
        <v>4671</v>
      </c>
      <c r="Q293" s="130">
        <v>38237090</v>
      </c>
      <c r="R293" s="136">
        <v>52</v>
      </c>
      <c r="S293" s="130" t="s">
        <v>70</v>
      </c>
      <c r="T293" s="136" t="s">
        <v>52</v>
      </c>
      <c r="U293" s="136" t="s">
        <v>53</v>
      </c>
      <c r="V293" s="136">
        <v>1430</v>
      </c>
      <c r="W293" s="133">
        <f t="shared" si="14"/>
        <v>74360</v>
      </c>
      <c r="X293" s="136">
        <v>0</v>
      </c>
      <c r="Y293" s="136">
        <v>3100</v>
      </c>
      <c r="Z293" s="136">
        <v>0</v>
      </c>
      <c r="AA293" s="136">
        <v>0</v>
      </c>
      <c r="AB293" s="131">
        <v>42183</v>
      </c>
      <c r="AC293" s="134">
        <f t="shared" si="12"/>
        <v>71260</v>
      </c>
      <c r="AD293" s="135">
        <v>63.5</v>
      </c>
      <c r="AE293" s="136">
        <f t="shared" si="13"/>
        <v>4721860</v>
      </c>
      <c r="AF293" s="137">
        <v>4525010</v>
      </c>
      <c r="AG293" s="138">
        <v>63.5</v>
      </c>
      <c r="AH293" s="136" t="s">
        <v>5265</v>
      </c>
      <c r="AI293" s="133">
        <v>74267.199999999997</v>
      </c>
      <c r="AJ293" s="132" t="s">
        <v>5266</v>
      </c>
      <c r="AK293" s="136" t="s">
        <v>5267</v>
      </c>
      <c r="AL293" s="132" t="s">
        <v>5017</v>
      </c>
      <c r="AM293" s="131" t="s">
        <v>49</v>
      </c>
      <c r="AN293" s="133" t="s">
        <v>4440</v>
      </c>
    </row>
    <row r="294" spans="1:40" s="129" customFormat="1" x14ac:dyDescent="0.25">
      <c r="A294" s="130">
        <v>293</v>
      </c>
      <c r="B294" s="130" t="s">
        <v>4428</v>
      </c>
      <c r="C294" s="130" t="s">
        <v>38</v>
      </c>
      <c r="D294" s="136">
        <v>9103650251</v>
      </c>
      <c r="E294" s="132">
        <v>42187</v>
      </c>
      <c r="F294" s="132" t="s">
        <v>5248</v>
      </c>
      <c r="G294" s="132" t="s">
        <v>389</v>
      </c>
      <c r="H294" s="130" t="s">
        <v>4456</v>
      </c>
      <c r="I294" s="132" t="s">
        <v>40</v>
      </c>
      <c r="J294" s="131" t="s">
        <v>4432</v>
      </c>
      <c r="K294" s="132" t="s">
        <v>4433</v>
      </c>
      <c r="L294" s="136">
        <v>1456697</v>
      </c>
      <c r="M294" s="132" t="s">
        <v>5268</v>
      </c>
      <c r="N294" s="136" t="s">
        <v>4796</v>
      </c>
      <c r="O294" s="130" t="s">
        <v>4436</v>
      </c>
      <c r="P294" s="130" t="s">
        <v>4671</v>
      </c>
      <c r="Q294" s="130">
        <v>38237090</v>
      </c>
      <c r="R294" s="136">
        <v>12</v>
      </c>
      <c r="S294" s="130" t="s">
        <v>70</v>
      </c>
      <c r="T294" s="136" t="s">
        <v>52</v>
      </c>
      <c r="U294" s="136" t="s">
        <v>53</v>
      </c>
      <c r="V294" s="136">
        <v>3595</v>
      </c>
      <c r="W294" s="133">
        <f t="shared" si="14"/>
        <v>43140</v>
      </c>
      <c r="X294" s="136">
        <v>0</v>
      </c>
      <c r="Y294" s="136">
        <v>1000</v>
      </c>
      <c r="Z294" s="136">
        <v>0</v>
      </c>
      <c r="AA294" s="136">
        <v>0</v>
      </c>
      <c r="AB294" s="131">
        <v>42183</v>
      </c>
      <c r="AC294" s="134">
        <f t="shared" si="12"/>
        <v>42140</v>
      </c>
      <c r="AD294" s="135">
        <v>63.5</v>
      </c>
      <c r="AE294" s="136">
        <f t="shared" si="13"/>
        <v>2739390</v>
      </c>
      <c r="AF294" s="137">
        <v>2675890</v>
      </c>
      <c r="AG294" s="138">
        <v>63.5</v>
      </c>
      <c r="AH294" s="136" t="s">
        <v>5269</v>
      </c>
      <c r="AI294" s="133">
        <v>43120</v>
      </c>
      <c r="AJ294" s="132" t="s">
        <v>5021</v>
      </c>
      <c r="AK294" s="136" t="s">
        <v>5270</v>
      </c>
      <c r="AL294" s="132" t="s">
        <v>5174</v>
      </c>
      <c r="AM294" s="131" t="s">
        <v>49</v>
      </c>
      <c r="AN294" s="136" t="s">
        <v>4440</v>
      </c>
    </row>
    <row r="295" spans="1:40" s="129" customFormat="1" x14ac:dyDescent="0.25">
      <c r="A295" s="136">
        <v>294</v>
      </c>
      <c r="B295" s="130" t="s">
        <v>4428</v>
      </c>
      <c r="C295" s="130" t="s">
        <v>38</v>
      </c>
      <c r="D295" s="136">
        <v>9103650252</v>
      </c>
      <c r="E295" s="132">
        <v>42189</v>
      </c>
      <c r="F295" s="132" t="s">
        <v>5248</v>
      </c>
      <c r="G295" s="132" t="s">
        <v>388</v>
      </c>
      <c r="H295" s="130" t="s">
        <v>4463</v>
      </c>
      <c r="I295" s="132" t="s">
        <v>40</v>
      </c>
      <c r="J295" s="131" t="s">
        <v>4432</v>
      </c>
      <c r="K295" s="132" t="s">
        <v>4433</v>
      </c>
      <c r="L295" s="136">
        <v>1446047</v>
      </c>
      <c r="M295" s="132">
        <v>42182</v>
      </c>
      <c r="N295" s="136" t="s">
        <v>4570</v>
      </c>
      <c r="O295" s="130" t="s">
        <v>4436</v>
      </c>
      <c r="P295" s="130" t="s">
        <v>143</v>
      </c>
      <c r="Q295" s="130">
        <v>38237090</v>
      </c>
      <c r="R295" s="136">
        <v>16</v>
      </c>
      <c r="S295" s="130" t="s">
        <v>70</v>
      </c>
      <c r="T295" s="136" t="s">
        <v>44</v>
      </c>
      <c r="U295" s="136" t="s">
        <v>53</v>
      </c>
      <c r="V295" s="136">
        <v>1465</v>
      </c>
      <c r="W295" s="133">
        <f t="shared" si="14"/>
        <v>23440</v>
      </c>
      <c r="X295" s="136">
        <v>7.74</v>
      </c>
      <c r="Y295" s="136">
        <v>650</v>
      </c>
      <c r="Z295" s="136">
        <v>0</v>
      </c>
      <c r="AA295" s="136">
        <v>0</v>
      </c>
      <c r="AB295" s="131">
        <v>42183</v>
      </c>
      <c r="AC295" s="134">
        <f t="shared" si="12"/>
        <v>22782.26</v>
      </c>
      <c r="AD295" s="135">
        <v>63.5</v>
      </c>
      <c r="AE295" s="136">
        <f t="shared" si="13"/>
        <v>1488440</v>
      </c>
      <c r="AF295" s="137">
        <v>1446673.51</v>
      </c>
      <c r="AG295" s="138">
        <v>63.5</v>
      </c>
      <c r="AH295" s="136" t="s">
        <v>5271</v>
      </c>
      <c r="AI295" s="136">
        <v>23440</v>
      </c>
      <c r="AJ295" s="132" t="s">
        <v>5199</v>
      </c>
      <c r="AK295" s="136" t="s">
        <v>5272</v>
      </c>
      <c r="AL295" s="132" t="s">
        <v>4915</v>
      </c>
      <c r="AM295" s="131" t="s">
        <v>49</v>
      </c>
      <c r="AN295" s="136" t="s">
        <v>4440</v>
      </c>
    </row>
    <row r="296" spans="1:40" s="129" customFormat="1" x14ac:dyDescent="0.25">
      <c r="A296" s="130">
        <v>295</v>
      </c>
      <c r="B296" s="130" t="s">
        <v>4428</v>
      </c>
      <c r="C296" s="130" t="s">
        <v>38</v>
      </c>
      <c r="D296" s="136">
        <v>9103650253</v>
      </c>
      <c r="E296" s="132">
        <v>42191</v>
      </c>
      <c r="F296" s="132" t="s">
        <v>5248</v>
      </c>
      <c r="G296" s="132" t="s">
        <v>394</v>
      </c>
      <c r="H296" s="130" t="s">
        <v>4491</v>
      </c>
      <c r="I296" s="132" t="s">
        <v>40</v>
      </c>
      <c r="J296" s="131" t="s">
        <v>4432</v>
      </c>
      <c r="K296" s="132" t="s">
        <v>4433</v>
      </c>
      <c r="L296" s="136">
        <v>1455953</v>
      </c>
      <c r="M296" s="132" t="s">
        <v>5268</v>
      </c>
      <c r="N296" s="136" t="s">
        <v>3741</v>
      </c>
      <c r="O296" s="130" t="s">
        <v>4436</v>
      </c>
      <c r="P296" s="130" t="s">
        <v>4492</v>
      </c>
      <c r="Q296" s="130">
        <v>29051700</v>
      </c>
      <c r="R296" s="136">
        <v>18.14</v>
      </c>
      <c r="S296" s="130" t="s">
        <v>70</v>
      </c>
      <c r="T296" s="136" t="s">
        <v>44</v>
      </c>
      <c r="U296" s="136" t="s">
        <v>53</v>
      </c>
      <c r="V296" s="136">
        <v>1790</v>
      </c>
      <c r="W296" s="133">
        <f t="shared" si="14"/>
        <v>32470.600000000002</v>
      </c>
      <c r="X296" s="136">
        <v>10.72</v>
      </c>
      <c r="Y296" s="136">
        <v>3500</v>
      </c>
      <c r="Z296" s="136">
        <v>0</v>
      </c>
      <c r="AA296" s="136">
        <v>0</v>
      </c>
      <c r="AB296" s="131">
        <v>42184</v>
      </c>
      <c r="AC296" s="134">
        <f t="shared" si="12"/>
        <v>28959.879999999997</v>
      </c>
      <c r="AD296" s="135">
        <v>63.5</v>
      </c>
      <c r="AE296" s="136">
        <f t="shared" si="13"/>
        <v>2061883.1</v>
      </c>
      <c r="AF296" s="137">
        <v>1838952.38</v>
      </c>
      <c r="AG296" s="138">
        <v>63.5</v>
      </c>
      <c r="AH296" s="136" t="s">
        <v>5273</v>
      </c>
      <c r="AI296" s="133">
        <v>32470.6</v>
      </c>
      <c r="AJ296" s="132" t="s">
        <v>5059</v>
      </c>
      <c r="AK296" s="136" t="s">
        <v>5274</v>
      </c>
      <c r="AL296" s="132" t="s">
        <v>5061</v>
      </c>
      <c r="AM296" s="131" t="s">
        <v>49</v>
      </c>
      <c r="AN296" s="133" t="s">
        <v>4440</v>
      </c>
    </row>
    <row r="297" spans="1:40" s="129" customFormat="1" x14ac:dyDescent="0.25">
      <c r="A297" s="136">
        <v>296</v>
      </c>
      <c r="B297" s="130" t="s">
        <v>4428</v>
      </c>
      <c r="C297" s="130" t="s">
        <v>38</v>
      </c>
      <c r="D297" s="136">
        <v>9103650254</v>
      </c>
      <c r="E297" s="132">
        <v>42190</v>
      </c>
      <c r="F297" s="132" t="s">
        <v>5248</v>
      </c>
      <c r="G297" s="132" t="s">
        <v>395</v>
      </c>
      <c r="H297" s="130" t="s">
        <v>4491</v>
      </c>
      <c r="I297" s="132" t="s">
        <v>40</v>
      </c>
      <c r="J297" s="131" t="s">
        <v>4432</v>
      </c>
      <c r="K297" s="132" t="s">
        <v>4433</v>
      </c>
      <c r="L297" s="136">
        <v>1456059</v>
      </c>
      <c r="M297" s="132" t="s">
        <v>5268</v>
      </c>
      <c r="N297" s="136" t="s">
        <v>3741</v>
      </c>
      <c r="O297" s="130" t="s">
        <v>4436</v>
      </c>
      <c r="P297" s="130" t="s">
        <v>4492</v>
      </c>
      <c r="Q297" s="130">
        <v>38237090</v>
      </c>
      <c r="R297" s="136">
        <v>18.14</v>
      </c>
      <c r="S297" s="130" t="s">
        <v>70</v>
      </c>
      <c r="T297" s="136" t="s">
        <v>44</v>
      </c>
      <c r="U297" s="136" t="s">
        <v>53</v>
      </c>
      <c r="V297" s="136">
        <v>1467</v>
      </c>
      <c r="W297" s="133">
        <f t="shared" si="14"/>
        <v>26611.38</v>
      </c>
      <c r="X297" s="136">
        <v>8.7799999999999994</v>
      </c>
      <c r="Y297" s="136">
        <v>2450</v>
      </c>
      <c r="Z297" s="136">
        <v>0</v>
      </c>
      <c r="AA297" s="136">
        <v>0</v>
      </c>
      <c r="AB297" s="131">
        <v>42184</v>
      </c>
      <c r="AC297" s="134">
        <f t="shared" si="12"/>
        <v>24152.600000000002</v>
      </c>
      <c r="AD297" s="135">
        <v>63.5</v>
      </c>
      <c r="AE297" s="136">
        <f t="shared" si="13"/>
        <v>1689822.6300000001</v>
      </c>
      <c r="AF297" s="137">
        <v>1533690.1</v>
      </c>
      <c r="AG297" s="138">
        <v>63.5</v>
      </c>
      <c r="AH297" s="136" t="s">
        <v>5275</v>
      </c>
      <c r="AI297" s="133">
        <v>26611.38</v>
      </c>
      <c r="AJ297" s="132" t="s">
        <v>5059</v>
      </c>
      <c r="AK297" s="136" t="s">
        <v>5276</v>
      </c>
      <c r="AL297" s="132" t="s">
        <v>5061</v>
      </c>
      <c r="AM297" s="131" t="s">
        <v>49</v>
      </c>
      <c r="AN297" s="133" t="s">
        <v>4440</v>
      </c>
    </row>
    <row r="298" spans="1:40" s="129" customFormat="1" x14ac:dyDescent="0.25">
      <c r="A298" s="130">
        <v>297</v>
      </c>
      <c r="B298" s="130" t="s">
        <v>4428</v>
      </c>
      <c r="C298" s="130" t="s">
        <v>38</v>
      </c>
      <c r="D298" s="136">
        <v>9103650255</v>
      </c>
      <c r="E298" s="132">
        <v>42191</v>
      </c>
      <c r="F298" s="132" t="s">
        <v>5248</v>
      </c>
      <c r="G298" s="132" t="s">
        <v>396</v>
      </c>
      <c r="H298" s="130" t="s">
        <v>4564</v>
      </c>
      <c r="I298" s="132" t="s">
        <v>40</v>
      </c>
      <c r="J298" s="131" t="s">
        <v>4432</v>
      </c>
      <c r="K298" s="132" t="s">
        <v>4433</v>
      </c>
      <c r="L298" s="136">
        <v>1457496</v>
      </c>
      <c r="M298" s="132" t="s">
        <v>5268</v>
      </c>
      <c r="N298" s="136" t="s">
        <v>5277</v>
      </c>
      <c r="O298" s="130" t="s">
        <v>4436</v>
      </c>
      <c r="P298" s="130" t="s">
        <v>205</v>
      </c>
      <c r="Q298" s="130">
        <v>38237090</v>
      </c>
      <c r="R298" s="136">
        <v>16</v>
      </c>
      <c r="S298" s="130" t="s">
        <v>70</v>
      </c>
      <c r="T298" s="136" t="s">
        <v>44</v>
      </c>
      <c r="U298" s="136" t="s">
        <v>53</v>
      </c>
      <c r="V298" s="136">
        <v>1400</v>
      </c>
      <c r="W298" s="133">
        <f t="shared" si="14"/>
        <v>22400</v>
      </c>
      <c r="X298" s="136">
        <v>7.39</v>
      </c>
      <c r="Y298" s="136">
        <v>550</v>
      </c>
      <c r="Z298" s="136">
        <v>0</v>
      </c>
      <c r="AA298" s="136">
        <v>0</v>
      </c>
      <c r="AB298" s="131">
        <v>42184</v>
      </c>
      <c r="AC298" s="134">
        <f t="shared" si="12"/>
        <v>21842.610078740156</v>
      </c>
      <c r="AD298" s="135">
        <v>63.5</v>
      </c>
      <c r="AE298" s="136">
        <f t="shared" si="13"/>
        <v>1422400</v>
      </c>
      <c r="AF298" s="137">
        <v>1387005.74</v>
      </c>
      <c r="AG298" s="138">
        <v>63.5</v>
      </c>
      <c r="AH298" s="136" t="s">
        <v>5278</v>
      </c>
      <c r="AI298" s="133">
        <v>22385</v>
      </c>
      <c r="AJ298" s="132" t="s">
        <v>5075</v>
      </c>
      <c r="AK298" s="136" t="s">
        <v>5279</v>
      </c>
      <c r="AL298" s="132" t="s">
        <v>5077</v>
      </c>
      <c r="AM298" s="131" t="s">
        <v>49</v>
      </c>
      <c r="AN298" s="133" t="s">
        <v>4440</v>
      </c>
    </row>
    <row r="299" spans="1:40" s="129" customFormat="1" x14ac:dyDescent="0.25">
      <c r="A299" s="136">
        <v>298</v>
      </c>
      <c r="B299" s="130" t="s">
        <v>4428</v>
      </c>
      <c r="C299" s="130" t="s">
        <v>38</v>
      </c>
      <c r="D299" s="136">
        <v>9103650258</v>
      </c>
      <c r="E299" s="132">
        <v>42190</v>
      </c>
      <c r="F299" s="132" t="s">
        <v>5248</v>
      </c>
      <c r="G299" s="132" t="s">
        <v>398</v>
      </c>
      <c r="H299" s="130" t="s">
        <v>4491</v>
      </c>
      <c r="I299" s="132" t="s">
        <v>40</v>
      </c>
      <c r="J299" s="131" t="s">
        <v>4432</v>
      </c>
      <c r="K299" s="132" t="s">
        <v>4433</v>
      </c>
      <c r="L299" s="136">
        <v>1471147</v>
      </c>
      <c r="M299" s="132" t="s">
        <v>5280</v>
      </c>
      <c r="N299" s="136" t="s">
        <v>3741</v>
      </c>
      <c r="O299" s="130" t="s">
        <v>4436</v>
      </c>
      <c r="P299" s="130" t="s">
        <v>4492</v>
      </c>
      <c r="Q299" s="130">
        <v>38237090</v>
      </c>
      <c r="R299" s="136">
        <v>36.28</v>
      </c>
      <c r="S299" s="130" t="s">
        <v>70</v>
      </c>
      <c r="T299" s="136" t="s">
        <v>44</v>
      </c>
      <c r="U299" s="136" t="s">
        <v>53</v>
      </c>
      <c r="V299" s="136">
        <v>1553</v>
      </c>
      <c r="W299" s="133">
        <f t="shared" si="14"/>
        <v>56342.840000000004</v>
      </c>
      <c r="X299" s="136">
        <v>18.59</v>
      </c>
      <c r="Y299" s="136">
        <v>3300</v>
      </c>
      <c r="Z299" s="136">
        <v>0</v>
      </c>
      <c r="AA299" s="136">
        <v>0</v>
      </c>
      <c r="AB299" s="131">
        <v>42185</v>
      </c>
      <c r="AC299" s="134">
        <f t="shared" si="12"/>
        <v>53024.250078740159</v>
      </c>
      <c r="AD299" s="135">
        <v>63.5</v>
      </c>
      <c r="AE299" s="136">
        <f t="shared" si="13"/>
        <v>3577770.3400000003</v>
      </c>
      <c r="AF299" s="137">
        <v>3367039.88</v>
      </c>
      <c r="AG299" s="138">
        <v>63.5</v>
      </c>
      <c r="AH299" s="136" t="s">
        <v>5281</v>
      </c>
      <c r="AI299" s="133">
        <v>56342.84</v>
      </c>
      <c r="AJ299" s="132" t="s">
        <v>5059</v>
      </c>
      <c r="AK299" s="136" t="s">
        <v>5282</v>
      </c>
      <c r="AL299" s="132" t="s">
        <v>5061</v>
      </c>
      <c r="AM299" s="131" t="s">
        <v>49</v>
      </c>
      <c r="AN299" s="133" t="s">
        <v>4440</v>
      </c>
    </row>
    <row r="300" spans="1:40" s="129" customFormat="1" x14ac:dyDescent="0.25">
      <c r="A300" s="130">
        <v>299</v>
      </c>
      <c r="B300" s="130" t="s">
        <v>4428</v>
      </c>
      <c r="C300" s="130" t="s">
        <v>38</v>
      </c>
      <c r="D300" s="136">
        <v>9103650259</v>
      </c>
      <c r="E300" s="132">
        <v>42190</v>
      </c>
      <c r="F300" s="132" t="s">
        <v>5248</v>
      </c>
      <c r="G300" s="132" t="s">
        <v>407</v>
      </c>
      <c r="H300" s="130" t="s">
        <v>4491</v>
      </c>
      <c r="I300" s="132" t="s">
        <v>40</v>
      </c>
      <c r="J300" s="131" t="s">
        <v>4432</v>
      </c>
      <c r="K300" s="132" t="s">
        <v>4433</v>
      </c>
      <c r="L300" s="136">
        <v>1497652</v>
      </c>
      <c r="M300" s="132" t="s">
        <v>4982</v>
      </c>
      <c r="N300" s="136" t="s">
        <v>3741</v>
      </c>
      <c r="O300" s="130" t="s">
        <v>4436</v>
      </c>
      <c r="P300" s="130" t="s">
        <v>4492</v>
      </c>
      <c r="Q300" s="130">
        <v>38237090</v>
      </c>
      <c r="R300" s="136">
        <v>36</v>
      </c>
      <c r="S300" s="130" t="s">
        <v>70</v>
      </c>
      <c r="T300" s="136" t="s">
        <v>44</v>
      </c>
      <c r="U300" s="136" t="s">
        <v>53</v>
      </c>
      <c r="V300" s="136">
        <v>1705</v>
      </c>
      <c r="W300" s="133">
        <f t="shared" si="14"/>
        <v>61380</v>
      </c>
      <c r="X300" s="136">
        <v>20.260000000000002</v>
      </c>
      <c r="Y300" s="136">
        <v>6300</v>
      </c>
      <c r="Z300" s="136">
        <v>0</v>
      </c>
      <c r="AA300" s="136">
        <v>0</v>
      </c>
      <c r="AB300" s="131">
        <v>42186</v>
      </c>
      <c r="AC300" s="134">
        <f t="shared" si="12"/>
        <v>55059.740000000005</v>
      </c>
      <c r="AD300" s="135">
        <v>63.5</v>
      </c>
      <c r="AE300" s="136">
        <f t="shared" si="13"/>
        <v>3897630</v>
      </c>
      <c r="AF300" s="137">
        <v>3496293.49</v>
      </c>
      <c r="AG300" s="138">
        <v>63.5</v>
      </c>
      <c r="AH300" s="136" t="s">
        <v>5283</v>
      </c>
      <c r="AI300" s="133">
        <v>61380</v>
      </c>
      <c r="AJ300" s="132" t="s">
        <v>5059</v>
      </c>
      <c r="AK300" s="136" t="s">
        <v>5284</v>
      </c>
      <c r="AL300" s="132" t="s">
        <v>5061</v>
      </c>
      <c r="AM300" s="131" t="s">
        <v>49</v>
      </c>
      <c r="AN300" s="133" t="s">
        <v>4440</v>
      </c>
    </row>
    <row r="301" spans="1:40" s="129" customFormat="1" x14ac:dyDescent="0.25">
      <c r="A301" s="136">
        <v>300</v>
      </c>
      <c r="B301" s="130" t="s">
        <v>4428</v>
      </c>
      <c r="C301" s="130" t="s">
        <v>38</v>
      </c>
      <c r="D301" s="136" t="s">
        <v>5285</v>
      </c>
      <c r="E301" s="132">
        <v>42193</v>
      </c>
      <c r="F301" s="132" t="s">
        <v>5248</v>
      </c>
      <c r="G301" s="132" t="s">
        <v>397</v>
      </c>
      <c r="H301" s="130" t="s">
        <v>5024</v>
      </c>
      <c r="I301" s="132" t="s">
        <v>40</v>
      </c>
      <c r="J301" s="131" t="s">
        <v>4432</v>
      </c>
      <c r="K301" s="132" t="s">
        <v>4433</v>
      </c>
      <c r="L301" s="136">
        <v>1533369</v>
      </c>
      <c r="M301" s="132">
        <v>42186</v>
      </c>
      <c r="N301" s="136" t="s">
        <v>4473</v>
      </c>
      <c r="O301" s="130" t="s">
        <v>4436</v>
      </c>
      <c r="P301" s="130" t="s">
        <v>4474</v>
      </c>
      <c r="Q301" s="130">
        <v>38237090</v>
      </c>
      <c r="R301" s="136">
        <v>75.25</v>
      </c>
      <c r="S301" s="130" t="s">
        <v>70</v>
      </c>
      <c r="T301" s="136" t="s">
        <v>67</v>
      </c>
      <c r="U301" s="136" t="s">
        <v>1117</v>
      </c>
      <c r="V301" s="136">
        <v>93668</v>
      </c>
      <c r="W301" s="133">
        <f t="shared" si="14"/>
        <v>7048517</v>
      </c>
      <c r="X301" s="136">
        <v>0</v>
      </c>
      <c r="Y301" s="136">
        <v>0</v>
      </c>
      <c r="Z301" s="136">
        <v>0</v>
      </c>
      <c r="AA301" s="136">
        <v>105375.33</v>
      </c>
      <c r="AB301" s="131"/>
      <c r="AC301" s="134">
        <f t="shared" si="12"/>
        <v>7048517</v>
      </c>
      <c r="AD301" s="135">
        <v>1</v>
      </c>
      <c r="AE301" s="136">
        <f t="shared" si="13"/>
        <v>7048517</v>
      </c>
      <c r="AF301" s="130">
        <v>7048517</v>
      </c>
      <c r="AG301" s="138">
        <v>1</v>
      </c>
      <c r="AH301" s="136" t="s">
        <v>5286</v>
      </c>
      <c r="AI301" s="136">
        <v>7048517</v>
      </c>
      <c r="AJ301" s="132">
        <v>42208</v>
      </c>
      <c r="AK301" s="136" t="s">
        <v>5287</v>
      </c>
      <c r="AL301" s="132">
        <v>42209</v>
      </c>
      <c r="AM301" s="132" t="s">
        <v>49</v>
      </c>
      <c r="AN301" s="136" t="s">
        <v>4440</v>
      </c>
    </row>
    <row r="302" spans="1:40" s="129" customFormat="1" x14ac:dyDescent="0.25">
      <c r="A302" s="130">
        <v>301</v>
      </c>
      <c r="B302" s="130" t="s">
        <v>4428</v>
      </c>
      <c r="C302" s="130" t="s">
        <v>38</v>
      </c>
      <c r="D302" s="136">
        <v>9103650261</v>
      </c>
      <c r="E302" s="132">
        <v>42190</v>
      </c>
      <c r="F302" s="132" t="s">
        <v>5248</v>
      </c>
      <c r="G302" s="132" t="s">
        <v>400</v>
      </c>
      <c r="H302" s="130" t="s">
        <v>4463</v>
      </c>
      <c r="I302" s="132" t="s">
        <v>40</v>
      </c>
      <c r="J302" s="131" t="s">
        <v>4432</v>
      </c>
      <c r="K302" s="132" t="s">
        <v>4433</v>
      </c>
      <c r="L302" s="136">
        <v>1532713</v>
      </c>
      <c r="M302" s="132">
        <v>42186</v>
      </c>
      <c r="N302" s="136" t="s">
        <v>5288</v>
      </c>
      <c r="O302" s="130" t="s">
        <v>4436</v>
      </c>
      <c r="P302" s="130" t="s">
        <v>1756</v>
      </c>
      <c r="Q302" s="130">
        <v>38237090</v>
      </c>
      <c r="R302" s="136">
        <v>16</v>
      </c>
      <c r="S302" s="130" t="s">
        <v>70</v>
      </c>
      <c r="T302" s="136" t="s">
        <v>44</v>
      </c>
      <c r="U302" s="136" t="s">
        <v>53</v>
      </c>
      <c r="V302" s="136">
        <v>1175</v>
      </c>
      <c r="W302" s="133">
        <f t="shared" si="14"/>
        <v>18800</v>
      </c>
      <c r="X302" s="136">
        <v>6.2</v>
      </c>
      <c r="Y302" s="136">
        <v>25</v>
      </c>
      <c r="Z302" s="136">
        <v>0</v>
      </c>
      <c r="AA302" s="136">
        <v>0</v>
      </c>
      <c r="AB302" s="131">
        <v>42187</v>
      </c>
      <c r="AC302" s="134">
        <f t="shared" si="12"/>
        <v>18768.8</v>
      </c>
      <c r="AD302" s="135">
        <v>63.5</v>
      </c>
      <c r="AE302" s="136">
        <f t="shared" si="13"/>
        <v>1193800</v>
      </c>
      <c r="AF302" s="137">
        <v>1191818.8</v>
      </c>
      <c r="AG302" s="138">
        <v>63.5</v>
      </c>
      <c r="AH302" s="136" t="s">
        <v>5289</v>
      </c>
      <c r="AI302" s="133">
        <v>18760</v>
      </c>
      <c r="AJ302" s="132">
        <v>42179</v>
      </c>
      <c r="AK302" s="136" t="s">
        <v>5290</v>
      </c>
      <c r="AL302" s="132">
        <v>42206</v>
      </c>
      <c r="AM302" s="131" t="s">
        <v>49</v>
      </c>
      <c r="AN302" s="133" t="s">
        <v>4440</v>
      </c>
    </row>
    <row r="303" spans="1:40" s="129" customFormat="1" x14ac:dyDescent="0.25">
      <c r="A303" s="136">
        <v>302</v>
      </c>
      <c r="B303" s="130" t="s">
        <v>4428</v>
      </c>
      <c r="C303" s="130" t="s">
        <v>38</v>
      </c>
      <c r="D303" s="136">
        <v>9103650262</v>
      </c>
      <c r="E303" s="132">
        <v>42194</v>
      </c>
      <c r="F303" s="132" t="s">
        <v>5248</v>
      </c>
      <c r="G303" s="132" t="s">
        <v>399</v>
      </c>
      <c r="H303" s="130" t="s">
        <v>4463</v>
      </c>
      <c r="I303" s="132" t="s">
        <v>40</v>
      </c>
      <c r="J303" s="131" t="s">
        <v>4432</v>
      </c>
      <c r="K303" s="132" t="s">
        <v>4433</v>
      </c>
      <c r="L303" s="136">
        <v>1528865</v>
      </c>
      <c r="M303" s="132">
        <v>42186</v>
      </c>
      <c r="N303" s="136" t="s">
        <v>5291</v>
      </c>
      <c r="O303" s="130" t="s">
        <v>4436</v>
      </c>
      <c r="P303" s="130" t="s">
        <v>64</v>
      </c>
      <c r="Q303" s="130">
        <v>38237090</v>
      </c>
      <c r="R303" s="136">
        <v>0.5</v>
      </c>
      <c r="S303" s="130" t="s">
        <v>70</v>
      </c>
      <c r="T303" s="136" t="s">
        <v>302</v>
      </c>
      <c r="U303" s="136" t="s">
        <v>53</v>
      </c>
      <c r="V303" s="136">
        <v>6193</v>
      </c>
      <c r="W303" s="133">
        <f t="shared" si="14"/>
        <v>3096.5</v>
      </c>
      <c r="X303" s="136">
        <v>0</v>
      </c>
      <c r="Y303" s="136">
        <v>0</v>
      </c>
      <c r="Z303" s="136">
        <v>0</v>
      </c>
      <c r="AA303" s="136">
        <v>0</v>
      </c>
      <c r="AB303" s="131">
        <v>42187</v>
      </c>
      <c r="AC303" s="134">
        <f t="shared" si="12"/>
        <v>3096.5</v>
      </c>
      <c r="AD303" s="135">
        <v>63.5</v>
      </c>
      <c r="AE303" s="136">
        <f t="shared" si="13"/>
        <v>196627.75</v>
      </c>
      <c r="AF303" s="137">
        <v>196627.75</v>
      </c>
      <c r="AG303" s="138">
        <v>63.5</v>
      </c>
      <c r="AH303" s="136" t="s">
        <v>5292</v>
      </c>
      <c r="AI303" s="133">
        <v>3068.5</v>
      </c>
      <c r="AJ303" s="132">
        <v>42181</v>
      </c>
      <c r="AK303" s="136" t="s">
        <v>5293</v>
      </c>
      <c r="AL303" s="132">
        <v>42213</v>
      </c>
      <c r="AM303" s="131" t="s">
        <v>49</v>
      </c>
      <c r="AN303" s="133" t="s">
        <v>4440</v>
      </c>
    </row>
    <row r="304" spans="1:40" s="129" customFormat="1" x14ac:dyDescent="0.25">
      <c r="A304" s="130">
        <v>303</v>
      </c>
      <c r="B304" s="130" t="s">
        <v>4428</v>
      </c>
      <c r="C304" s="130" t="s">
        <v>38</v>
      </c>
      <c r="D304" s="136" t="s">
        <v>5294</v>
      </c>
      <c r="E304" s="132">
        <v>42193</v>
      </c>
      <c r="F304" s="132" t="s">
        <v>5248</v>
      </c>
      <c r="G304" s="132" t="s">
        <v>401</v>
      </c>
      <c r="H304" s="130" t="s">
        <v>4463</v>
      </c>
      <c r="I304" s="132" t="s">
        <v>40</v>
      </c>
      <c r="J304" s="131" t="s">
        <v>4432</v>
      </c>
      <c r="K304" s="132" t="s">
        <v>4433</v>
      </c>
      <c r="L304" s="136">
        <v>1528841</v>
      </c>
      <c r="M304" s="132">
        <v>42186</v>
      </c>
      <c r="N304" s="136" t="s">
        <v>4473</v>
      </c>
      <c r="O304" s="130" t="s">
        <v>4436</v>
      </c>
      <c r="P304" s="130" t="s">
        <v>2263</v>
      </c>
      <c r="Q304" s="130">
        <v>38237090</v>
      </c>
      <c r="R304" s="136">
        <v>32</v>
      </c>
      <c r="S304" s="130" t="s">
        <v>70</v>
      </c>
      <c r="T304" s="136" t="s">
        <v>67</v>
      </c>
      <c r="U304" s="136" t="s">
        <v>1117</v>
      </c>
      <c r="V304" s="136">
        <v>94000</v>
      </c>
      <c r="W304" s="133">
        <f t="shared" si="14"/>
        <v>3008000</v>
      </c>
      <c r="X304" s="136">
        <v>0</v>
      </c>
      <c r="Y304" s="136">
        <v>0</v>
      </c>
      <c r="Z304" s="136">
        <v>0</v>
      </c>
      <c r="AA304" s="136">
        <v>80012.800000000003</v>
      </c>
      <c r="AB304" s="131"/>
      <c r="AC304" s="134">
        <f t="shared" si="12"/>
        <v>3008000</v>
      </c>
      <c r="AD304" s="135">
        <v>1</v>
      </c>
      <c r="AE304" s="136">
        <f t="shared" si="13"/>
        <v>3008000</v>
      </c>
      <c r="AF304" s="130">
        <v>3008000</v>
      </c>
      <c r="AG304" s="138">
        <v>1</v>
      </c>
      <c r="AH304" s="136" t="s">
        <v>5295</v>
      </c>
      <c r="AI304" s="136">
        <v>3001536</v>
      </c>
      <c r="AJ304" s="132">
        <v>42202</v>
      </c>
      <c r="AK304" s="136" t="s">
        <v>5296</v>
      </c>
      <c r="AL304" s="132">
        <v>42205</v>
      </c>
      <c r="AM304" s="132" t="s">
        <v>49</v>
      </c>
      <c r="AN304" s="136" t="s">
        <v>5297</v>
      </c>
    </row>
    <row r="305" spans="1:40" s="129" customFormat="1" x14ac:dyDescent="0.25">
      <c r="A305" s="136">
        <v>304</v>
      </c>
      <c r="B305" s="130" t="s">
        <v>4428</v>
      </c>
      <c r="C305" s="130" t="s">
        <v>38</v>
      </c>
      <c r="D305" s="136" t="s">
        <v>5294</v>
      </c>
      <c r="E305" s="132">
        <v>42193</v>
      </c>
      <c r="F305" s="132" t="s">
        <v>5248</v>
      </c>
      <c r="G305" s="132" t="s">
        <v>404</v>
      </c>
      <c r="H305" s="130" t="s">
        <v>4463</v>
      </c>
      <c r="I305" s="132" t="s">
        <v>40</v>
      </c>
      <c r="J305" s="131" t="s">
        <v>4432</v>
      </c>
      <c r="K305" s="132" t="s">
        <v>4433</v>
      </c>
      <c r="L305" s="136">
        <v>1555353</v>
      </c>
      <c r="M305" s="132">
        <v>42187</v>
      </c>
      <c r="N305" s="136" t="s">
        <v>4473</v>
      </c>
      <c r="O305" s="130" t="s">
        <v>4436</v>
      </c>
      <c r="P305" s="130" t="s">
        <v>2263</v>
      </c>
      <c r="Q305" s="130">
        <v>38237090</v>
      </c>
      <c r="R305" s="136">
        <v>32</v>
      </c>
      <c r="S305" s="130" t="s">
        <v>70</v>
      </c>
      <c r="T305" s="136" t="s">
        <v>67</v>
      </c>
      <c r="U305" s="136" t="s">
        <v>1117</v>
      </c>
      <c r="V305" s="136">
        <v>94000</v>
      </c>
      <c r="W305" s="133">
        <f t="shared" si="14"/>
        <v>3008000</v>
      </c>
      <c r="X305" s="136">
        <v>0</v>
      </c>
      <c r="Y305" s="136">
        <v>0</v>
      </c>
      <c r="Z305" s="136">
        <v>0</v>
      </c>
      <c r="AA305" s="136">
        <v>80012.800000000003</v>
      </c>
      <c r="AB305" s="131">
        <v>42188</v>
      </c>
      <c r="AC305" s="134">
        <f t="shared" si="12"/>
        <v>3008000</v>
      </c>
      <c r="AD305" s="135">
        <v>1</v>
      </c>
      <c r="AE305" s="136">
        <f t="shared" si="13"/>
        <v>3008000</v>
      </c>
      <c r="AF305" s="130">
        <v>3008000</v>
      </c>
      <c r="AG305" s="138">
        <v>1</v>
      </c>
      <c r="AH305" s="136" t="s">
        <v>5295</v>
      </c>
      <c r="AI305" s="136">
        <v>3008000</v>
      </c>
      <c r="AJ305" s="132">
        <v>42202</v>
      </c>
      <c r="AK305" s="136" t="s">
        <v>5298</v>
      </c>
      <c r="AL305" s="132">
        <v>42205</v>
      </c>
      <c r="AM305" s="132" t="s">
        <v>49</v>
      </c>
      <c r="AN305" s="136" t="s">
        <v>4440</v>
      </c>
    </row>
    <row r="306" spans="1:40" s="129" customFormat="1" x14ac:dyDescent="0.25">
      <c r="A306" s="130">
        <v>305</v>
      </c>
      <c r="B306" s="130" t="s">
        <v>4428</v>
      </c>
      <c r="C306" s="130" t="s">
        <v>38</v>
      </c>
      <c r="D306" s="136" t="s">
        <v>5285</v>
      </c>
      <c r="E306" s="132">
        <v>42193</v>
      </c>
      <c r="F306" s="132" t="s">
        <v>5248</v>
      </c>
      <c r="G306" s="132" t="s">
        <v>408</v>
      </c>
      <c r="H306" s="130" t="s">
        <v>5024</v>
      </c>
      <c r="I306" s="132" t="s">
        <v>40</v>
      </c>
      <c r="J306" s="131" t="s">
        <v>4432</v>
      </c>
      <c r="K306" s="132" t="s">
        <v>4433</v>
      </c>
      <c r="L306" s="136">
        <v>1532876</v>
      </c>
      <c r="M306" s="132">
        <v>42186</v>
      </c>
      <c r="N306" s="136" t="s">
        <v>4473</v>
      </c>
      <c r="O306" s="130" t="s">
        <v>4436</v>
      </c>
      <c r="P306" s="130" t="s">
        <v>4474</v>
      </c>
      <c r="Q306" s="130">
        <v>38237090</v>
      </c>
      <c r="R306" s="136">
        <v>75.709999999999994</v>
      </c>
      <c r="S306" s="130" t="s">
        <v>70</v>
      </c>
      <c r="T306" s="136" t="s">
        <v>67</v>
      </c>
      <c r="U306" s="136" t="s">
        <v>1117</v>
      </c>
      <c r="V306" s="136">
        <v>93668</v>
      </c>
      <c r="W306" s="133">
        <f t="shared" si="14"/>
        <v>7091604.2799999993</v>
      </c>
      <c r="X306" s="136">
        <v>0</v>
      </c>
      <c r="Y306" s="136">
        <v>0</v>
      </c>
      <c r="Z306" s="136">
        <v>0</v>
      </c>
      <c r="AA306" s="136">
        <v>105994</v>
      </c>
      <c r="AB306" s="131"/>
      <c r="AC306" s="134">
        <v>7091504.2800000003</v>
      </c>
      <c r="AD306" s="135">
        <v>1</v>
      </c>
      <c r="AE306" s="136">
        <f t="shared" si="13"/>
        <v>7091604.2799999993</v>
      </c>
      <c r="AF306" s="130">
        <v>7091604.2799999993</v>
      </c>
      <c r="AG306" s="138">
        <v>1</v>
      </c>
      <c r="AH306" s="136" t="s">
        <v>5286</v>
      </c>
      <c r="AI306" s="136">
        <v>7091604.2800000003</v>
      </c>
      <c r="AJ306" s="132">
        <v>42208</v>
      </c>
      <c r="AK306" s="136" t="s">
        <v>5299</v>
      </c>
      <c r="AL306" s="132">
        <v>42209</v>
      </c>
      <c r="AM306" s="132" t="s">
        <v>49</v>
      </c>
      <c r="AN306" s="136" t="s">
        <v>4440</v>
      </c>
    </row>
    <row r="307" spans="1:40" s="129" customFormat="1" x14ac:dyDescent="0.25">
      <c r="A307" s="136">
        <v>306</v>
      </c>
      <c r="B307" s="130" t="s">
        <v>4428</v>
      </c>
      <c r="C307" s="130" t="s">
        <v>38</v>
      </c>
      <c r="D307" s="136" t="s">
        <v>5285</v>
      </c>
      <c r="E307" s="132">
        <v>42193</v>
      </c>
      <c r="F307" s="132" t="s">
        <v>5248</v>
      </c>
      <c r="G307" s="132" t="s">
        <v>403</v>
      </c>
      <c r="H307" s="130" t="s">
        <v>5024</v>
      </c>
      <c r="I307" s="132" t="s">
        <v>40</v>
      </c>
      <c r="J307" s="131" t="s">
        <v>4432</v>
      </c>
      <c r="K307" s="132" t="s">
        <v>4433</v>
      </c>
      <c r="L307" s="136">
        <v>1553821</v>
      </c>
      <c r="M307" s="132">
        <v>42187</v>
      </c>
      <c r="N307" s="136" t="s">
        <v>4473</v>
      </c>
      <c r="O307" s="130" t="s">
        <v>4436</v>
      </c>
      <c r="P307" s="130" t="s">
        <v>4474</v>
      </c>
      <c r="Q307" s="130">
        <v>38237090</v>
      </c>
      <c r="R307" s="136">
        <v>57.14</v>
      </c>
      <c r="S307" s="130" t="s">
        <v>70</v>
      </c>
      <c r="T307" s="136" t="s">
        <v>67</v>
      </c>
      <c r="U307" s="136" t="s">
        <v>1117</v>
      </c>
      <c r="V307" s="136">
        <v>93668</v>
      </c>
      <c r="W307" s="133">
        <f t="shared" si="14"/>
        <v>5352189.5200000005</v>
      </c>
      <c r="X307" s="136">
        <v>0</v>
      </c>
      <c r="Y307" s="136">
        <v>0</v>
      </c>
      <c r="Z307" s="136">
        <v>0</v>
      </c>
      <c r="AA307" s="136">
        <v>80015.23</v>
      </c>
      <c r="AB307" s="131"/>
      <c r="AC307" s="134">
        <f t="shared" si="12"/>
        <v>5352189.5199999996</v>
      </c>
      <c r="AD307" s="135">
        <v>1</v>
      </c>
      <c r="AE307" s="136">
        <f t="shared" si="13"/>
        <v>5352189.5200000005</v>
      </c>
      <c r="AF307" s="130">
        <v>5352189.5199999996</v>
      </c>
      <c r="AG307" s="138">
        <v>1</v>
      </c>
      <c r="AH307" s="136" t="s">
        <v>5286</v>
      </c>
      <c r="AI307" s="136">
        <v>5352189.5199999996</v>
      </c>
      <c r="AJ307" s="132">
        <v>42208</v>
      </c>
      <c r="AK307" s="136" t="s">
        <v>5300</v>
      </c>
      <c r="AL307" s="132">
        <v>42209</v>
      </c>
      <c r="AM307" s="132" t="s">
        <v>49</v>
      </c>
      <c r="AN307" s="136" t="s">
        <v>4440</v>
      </c>
    </row>
    <row r="308" spans="1:40" s="129" customFormat="1" x14ac:dyDescent="0.25">
      <c r="A308" s="130">
        <v>307</v>
      </c>
      <c r="B308" s="130" t="s">
        <v>4428</v>
      </c>
      <c r="C308" s="130" t="s">
        <v>38</v>
      </c>
      <c r="D308" s="136">
        <v>9103650267</v>
      </c>
      <c r="E308" s="132">
        <v>42190</v>
      </c>
      <c r="F308" s="132" t="s">
        <v>5248</v>
      </c>
      <c r="G308" s="132" t="s">
        <v>454</v>
      </c>
      <c r="H308" s="130" t="s">
        <v>4491</v>
      </c>
      <c r="I308" s="132" t="s">
        <v>40</v>
      </c>
      <c r="J308" s="131" t="s">
        <v>4432</v>
      </c>
      <c r="K308" s="132" t="s">
        <v>4433</v>
      </c>
      <c r="L308" s="136">
        <v>1560474</v>
      </c>
      <c r="M308" s="132" t="s">
        <v>4692</v>
      </c>
      <c r="N308" s="136" t="s">
        <v>3741</v>
      </c>
      <c r="O308" s="130" t="s">
        <v>4436</v>
      </c>
      <c r="P308" s="130" t="s">
        <v>188</v>
      </c>
      <c r="Q308" s="130">
        <v>38237090</v>
      </c>
      <c r="R308" s="136">
        <v>18.14</v>
      </c>
      <c r="S308" s="130" t="s">
        <v>70</v>
      </c>
      <c r="T308" s="136" t="s">
        <v>44</v>
      </c>
      <c r="U308" s="136" t="s">
        <v>53</v>
      </c>
      <c r="V308" s="136">
        <v>1684</v>
      </c>
      <c r="W308" s="133">
        <f t="shared" si="14"/>
        <v>30547.760000000002</v>
      </c>
      <c r="X308" s="136">
        <v>10.08</v>
      </c>
      <c r="Y308" s="136">
        <v>3150</v>
      </c>
      <c r="Z308" s="136">
        <v>0</v>
      </c>
      <c r="AA308" s="136">
        <v>0</v>
      </c>
      <c r="AB308" s="131">
        <v>42188</v>
      </c>
      <c r="AC308" s="134">
        <f t="shared" si="12"/>
        <v>27387.68</v>
      </c>
      <c r="AD308" s="135">
        <v>63.5</v>
      </c>
      <c r="AE308" s="136">
        <f t="shared" si="13"/>
        <v>1939782.7600000002</v>
      </c>
      <c r="AF308" s="137">
        <v>1739117.68</v>
      </c>
      <c r="AG308" s="138">
        <v>63.2</v>
      </c>
      <c r="AH308" s="136" t="s">
        <v>5301</v>
      </c>
      <c r="AI308" s="133">
        <v>30547.759999999998</v>
      </c>
      <c r="AJ308" s="132" t="s">
        <v>5059</v>
      </c>
      <c r="AK308" s="136" t="s">
        <v>5302</v>
      </c>
      <c r="AL308" s="132" t="s">
        <v>5061</v>
      </c>
      <c r="AM308" s="131" t="s">
        <v>49</v>
      </c>
      <c r="AN308" s="133" t="s">
        <v>4440</v>
      </c>
    </row>
    <row r="309" spans="1:40" s="129" customFormat="1" x14ac:dyDescent="0.25">
      <c r="A309" s="136">
        <v>308</v>
      </c>
      <c r="B309" s="130" t="s">
        <v>4428</v>
      </c>
      <c r="C309" s="130" t="s">
        <v>38</v>
      </c>
      <c r="D309" s="136" t="s">
        <v>5303</v>
      </c>
      <c r="E309" s="132">
        <v>42195</v>
      </c>
      <c r="F309" s="132" t="s">
        <v>5248</v>
      </c>
      <c r="G309" s="132" t="s">
        <v>402</v>
      </c>
      <c r="H309" s="130" t="s">
        <v>4564</v>
      </c>
      <c r="I309" s="132" t="s">
        <v>40</v>
      </c>
      <c r="J309" s="131" t="s">
        <v>4432</v>
      </c>
      <c r="K309" s="132" t="s">
        <v>4433</v>
      </c>
      <c r="L309" s="136">
        <v>1559667</v>
      </c>
      <c r="M309" s="132">
        <v>42187</v>
      </c>
      <c r="N309" s="136" t="s">
        <v>4662</v>
      </c>
      <c r="O309" s="130" t="s">
        <v>4436</v>
      </c>
      <c r="P309" s="130" t="s">
        <v>4566</v>
      </c>
      <c r="Q309" s="130">
        <v>38231190</v>
      </c>
      <c r="R309" s="136">
        <v>4</v>
      </c>
      <c r="S309" s="130" t="s">
        <v>70</v>
      </c>
      <c r="T309" s="136" t="s">
        <v>44</v>
      </c>
      <c r="U309" s="136" t="s">
        <v>4528</v>
      </c>
      <c r="V309" s="136">
        <v>1550</v>
      </c>
      <c r="W309" s="133">
        <f t="shared" si="14"/>
        <v>6200</v>
      </c>
      <c r="X309" s="136">
        <v>2.0499999999999998</v>
      </c>
      <c r="Y309" s="136">
        <v>44.25</v>
      </c>
      <c r="Z309" s="136">
        <v>0</v>
      </c>
      <c r="AA309" s="136">
        <v>0</v>
      </c>
      <c r="AB309" s="131">
        <v>42188</v>
      </c>
      <c r="AC309" s="134">
        <f t="shared" si="12"/>
        <v>6153.7000696864106</v>
      </c>
      <c r="AD309" s="135">
        <v>71.75</v>
      </c>
      <c r="AE309" s="136">
        <f t="shared" si="13"/>
        <v>444850</v>
      </c>
      <c r="AF309" s="130">
        <v>441527.98</v>
      </c>
      <c r="AG309" s="138">
        <v>69.7</v>
      </c>
      <c r="AH309" s="136" t="s">
        <v>5304</v>
      </c>
      <c r="AI309" s="136">
        <v>6175</v>
      </c>
      <c r="AJ309" s="132">
        <v>42464</v>
      </c>
      <c r="AK309" s="136" t="s">
        <v>5305</v>
      </c>
      <c r="AL309" s="132">
        <v>42465</v>
      </c>
      <c r="AM309" s="131" t="s">
        <v>49</v>
      </c>
      <c r="AN309" s="133" t="s">
        <v>4440</v>
      </c>
    </row>
    <row r="310" spans="1:40" s="129" customFormat="1" x14ac:dyDescent="0.25">
      <c r="A310" s="130">
        <v>309</v>
      </c>
      <c r="B310" s="130" t="s">
        <v>4428</v>
      </c>
      <c r="C310" s="130" t="s">
        <v>38</v>
      </c>
      <c r="D310" s="136">
        <v>9103650270</v>
      </c>
      <c r="E310" s="132">
        <v>42198</v>
      </c>
      <c r="F310" s="132" t="s">
        <v>5248</v>
      </c>
      <c r="G310" s="132" t="s">
        <v>454</v>
      </c>
      <c r="H310" s="130" t="s">
        <v>4564</v>
      </c>
      <c r="I310" s="132" t="s">
        <v>40</v>
      </c>
      <c r="J310" s="131" t="s">
        <v>4432</v>
      </c>
      <c r="K310" s="132" t="s">
        <v>4433</v>
      </c>
      <c r="L310" s="136">
        <v>1576228</v>
      </c>
      <c r="M310" s="132">
        <v>42188</v>
      </c>
      <c r="N310" s="136" t="s">
        <v>5306</v>
      </c>
      <c r="O310" s="130" t="s">
        <v>4436</v>
      </c>
      <c r="P310" s="130" t="s">
        <v>5307</v>
      </c>
      <c r="Q310" s="130">
        <v>38237090</v>
      </c>
      <c r="R310" s="136">
        <v>3</v>
      </c>
      <c r="S310" s="130" t="s">
        <v>70</v>
      </c>
      <c r="T310" s="136" t="s">
        <v>67</v>
      </c>
      <c r="U310" s="136" t="s">
        <v>53</v>
      </c>
      <c r="V310" s="136">
        <v>3955</v>
      </c>
      <c r="W310" s="133">
        <f t="shared" si="14"/>
        <v>11865</v>
      </c>
      <c r="X310" s="136">
        <v>0</v>
      </c>
      <c r="Y310" s="136">
        <v>0</v>
      </c>
      <c r="Z310" s="136">
        <v>0</v>
      </c>
      <c r="AA310" s="136">
        <v>0</v>
      </c>
      <c r="AB310" s="131">
        <v>42189</v>
      </c>
      <c r="AC310" s="134">
        <f t="shared" si="12"/>
        <v>11865</v>
      </c>
      <c r="AD310" s="135">
        <v>63.2</v>
      </c>
      <c r="AE310" s="136">
        <f t="shared" si="13"/>
        <v>749868</v>
      </c>
      <c r="AF310" s="137">
        <v>749868</v>
      </c>
      <c r="AG310" s="138">
        <v>63.2</v>
      </c>
      <c r="AH310" s="136" t="s">
        <v>5308</v>
      </c>
      <c r="AI310" s="133">
        <v>11828</v>
      </c>
      <c r="AJ310" s="132">
        <v>42213</v>
      </c>
      <c r="AK310" s="136" t="s">
        <v>5309</v>
      </c>
      <c r="AL310" s="132">
        <v>42213</v>
      </c>
      <c r="AM310" s="131" t="s">
        <v>49</v>
      </c>
      <c r="AN310" s="133" t="s">
        <v>4440</v>
      </c>
    </row>
    <row r="311" spans="1:40" s="129" customFormat="1" x14ac:dyDescent="0.25">
      <c r="A311" s="136">
        <v>310</v>
      </c>
      <c r="B311" s="130" t="s">
        <v>4428</v>
      </c>
      <c r="C311" s="130" t="s">
        <v>38</v>
      </c>
      <c r="D311" s="136">
        <v>9103650271</v>
      </c>
      <c r="E311" s="132">
        <v>42195</v>
      </c>
      <c r="F311" s="132" t="s">
        <v>5248</v>
      </c>
      <c r="G311" s="132" t="s">
        <v>406</v>
      </c>
      <c r="H311" s="130" t="s">
        <v>4556</v>
      </c>
      <c r="I311" s="132" t="s">
        <v>40</v>
      </c>
      <c r="J311" s="131" t="s">
        <v>4432</v>
      </c>
      <c r="K311" s="132" t="s">
        <v>4433</v>
      </c>
      <c r="L311" s="136">
        <v>1584227</v>
      </c>
      <c r="M311" s="132" t="s">
        <v>4828</v>
      </c>
      <c r="N311" s="136" t="s">
        <v>5002</v>
      </c>
      <c r="O311" s="130" t="s">
        <v>4436</v>
      </c>
      <c r="P311" s="130" t="s">
        <v>123</v>
      </c>
      <c r="Q311" s="130" t="s">
        <v>4559</v>
      </c>
      <c r="R311" s="136">
        <v>24</v>
      </c>
      <c r="S311" s="130" t="s">
        <v>70</v>
      </c>
      <c r="T311" s="136" t="s">
        <v>52</v>
      </c>
      <c r="U311" s="136" t="s">
        <v>53</v>
      </c>
      <c r="V311" s="136">
        <v>0</v>
      </c>
      <c r="W311" s="133">
        <f>(20*1550+4*1902)</f>
        <v>38608</v>
      </c>
      <c r="X311" s="136">
        <v>0</v>
      </c>
      <c r="Y311" s="136">
        <v>1200</v>
      </c>
      <c r="Z311" s="136">
        <v>0</v>
      </c>
      <c r="AA311" s="136">
        <v>0</v>
      </c>
      <c r="AB311" s="131">
        <v>42189</v>
      </c>
      <c r="AC311" s="134">
        <f t="shared" si="12"/>
        <v>37408</v>
      </c>
      <c r="AD311" s="135">
        <v>63.2</v>
      </c>
      <c r="AE311" s="136">
        <f t="shared" si="13"/>
        <v>2440025.6</v>
      </c>
      <c r="AF311" s="137">
        <v>2364185.6000000001</v>
      </c>
      <c r="AG311" s="138">
        <v>63.2</v>
      </c>
      <c r="AH311" s="136" t="s">
        <v>5310</v>
      </c>
      <c r="AI311" s="133">
        <v>38548.5</v>
      </c>
      <c r="AJ311" s="132" t="s">
        <v>5011</v>
      </c>
      <c r="AK311" s="136" t="s">
        <v>5311</v>
      </c>
      <c r="AL311" s="132">
        <v>42248</v>
      </c>
      <c r="AM311" s="131" t="s">
        <v>49</v>
      </c>
      <c r="AN311" s="133" t="s">
        <v>4440</v>
      </c>
    </row>
    <row r="312" spans="1:40" s="129" customFormat="1" x14ac:dyDescent="0.25">
      <c r="A312" s="130">
        <v>311</v>
      </c>
      <c r="B312" s="130" t="s">
        <v>4428</v>
      </c>
      <c r="C312" s="130" t="s">
        <v>38</v>
      </c>
      <c r="D312" s="136">
        <v>9103650272</v>
      </c>
      <c r="E312" s="132">
        <v>42197</v>
      </c>
      <c r="F312" s="132" t="s">
        <v>5248</v>
      </c>
      <c r="G312" s="132" t="s">
        <v>411</v>
      </c>
      <c r="H312" s="130" t="s">
        <v>4491</v>
      </c>
      <c r="I312" s="132" t="s">
        <v>40</v>
      </c>
      <c r="J312" s="131" t="s">
        <v>4432</v>
      </c>
      <c r="K312" s="132" t="s">
        <v>4433</v>
      </c>
      <c r="L312" s="136">
        <v>1620391</v>
      </c>
      <c r="M312" s="132" t="s">
        <v>4830</v>
      </c>
      <c r="N312" s="136" t="s">
        <v>3741</v>
      </c>
      <c r="O312" s="130" t="s">
        <v>4436</v>
      </c>
      <c r="P312" s="130" t="s">
        <v>4492</v>
      </c>
      <c r="Q312" s="130">
        <v>38237090</v>
      </c>
      <c r="R312" s="136">
        <v>18.14</v>
      </c>
      <c r="S312" s="130" t="s">
        <v>70</v>
      </c>
      <c r="T312" s="136" t="s">
        <v>44</v>
      </c>
      <c r="U312" s="136" t="s">
        <v>53</v>
      </c>
      <c r="V312" s="136">
        <v>1684</v>
      </c>
      <c r="W312" s="133">
        <f t="shared" si="14"/>
        <v>30547.760000000002</v>
      </c>
      <c r="X312" s="136">
        <v>10.08</v>
      </c>
      <c r="Y312" s="136">
        <v>3150</v>
      </c>
      <c r="Z312" s="136">
        <v>0</v>
      </c>
      <c r="AA312" s="136">
        <v>0</v>
      </c>
      <c r="AB312" s="131">
        <v>42192</v>
      </c>
      <c r="AC312" s="134">
        <f t="shared" si="12"/>
        <v>27387.679905063291</v>
      </c>
      <c r="AD312" s="135">
        <v>63.2</v>
      </c>
      <c r="AE312" s="136">
        <f t="shared" si="13"/>
        <v>1930618.4320000003</v>
      </c>
      <c r="AF312" s="137">
        <v>1730901.37</v>
      </c>
      <c r="AG312" s="138">
        <v>63.2</v>
      </c>
      <c r="AH312" s="136" t="s">
        <v>5312</v>
      </c>
      <c r="AI312" s="133">
        <v>30512.76</v>
      </c>
      <c r="AJ312" s="132" t="s">
        <v>5059</v>
      </c>
      <c r="AK312" s="136" t="s">
        <v>5313</v>
      </c>
      <c r="AL312" s="132">
        <v>42222</v>
      </c>
      <c r="AM312" s="131" t="s">
        <v>49</v>
      </c>
      <c r="AN312" s="133" t="s">
        <v>4440</v>
      </c>
    </row>
    <row r="313" spans="1:40" s="129" customFormat="1" x14ac:dyDescent="0.25">
      <c r="A313" s="136">
        <v>312</v>
      </c>
      <c r="B313" s="130" t="s">
        <v>4428</v>
      </c>
      <c r="C313" s="130" t="s">
        <v>38</v>
      </c>
      <c r="D313" s="136">
        <v>9103650273</v>
      </c>
      <c r="E313" s="132">
        <v>42197</v>
      </c>
      <c r="F313" s="132" t="s">
        <v>5248</v>
      </c>
      <c r="G313" s="132" t="s">
        <v>417</v>
      </c>
      <c r="H313" s="130" t="s">
        <v>4491</v>
      </c>
      <c r="I313" s="132" t="s">
        <v>40</v>
      </c>
      <c r="J313" s="131" t="s">
        <v>4432</v>
      </c>
      <c r="K313" s="132" t="s">
        <v>4433</v>
      </c>
      <c r="L313" s="136">
        <v>1620423</v>
      </c>
      <c r="M313" s="132" t="s">
        <v>4830</v>
      </c>
      <c r="N313" s="136" t="s">
        <v>3741</v>
      </c>
      <c r="O313" s="130" t="s">
        <v>4436</v>
      </c>
      <c r="P313" s="130" t="s">
        <v>4492</v>
      </c>
      <c r="Q313" s="130">
        <v>29051700</v>
      </c>
      <c r="R313" s="136">
        <v>36.28</v>
      </c>
      <c r="S313" s="130" t="s">
        <v>70</v>
      </c>
      <c r="T313" s="136" t="s">
        <v>44</v>
      </c>
      <c r="U313" s="136" t="s">
        <v>53</v>
      </c>
      <c r="V313" s="136">
        <v>1858</v>
      </c>
      <c r="W313" s="133">
        <f t="shared" si="14"/>
        <v>67408.240000000005</v>
      </c>
      <c r="X313" s="136">
        <v>22.24</v>
      </c>
      <c r="Y313" s="136">
        <v>3312</v>
      </c>
      <c r="Z313" s="136">
        <v>0</v>
      </c>
      <c r="AA313" s="136">
        <v>0</v>
      </c>
      <c r="AB313" s="131">
        <v>42192</v>
      </c>
      <c r="AC313" s="134">
        <f t="shared" si="12"/>
        <v>64073.999999999993</v>
      </c>
      <c r="AD313" s="135">
        <v>63.2</v>
      </c>
      <c r="AE313" s="136">
        <f t="shared" si="13"/>
        <v>4260200.7680000002</v>
      </c>
      <c r="AF313" s="137">
        <v>4049476.8</v>
      </c>
      <c r="AG313" s="138">
        <v>63.2</v>
      </c>
      <c r="AH313" s="136" t="s">
        <v>5314</v>
      </c>
      <c r="AI313" s="133">
        <v>67408.240000000005</v>
      </c>
      <c r="AJ313" s="132" t="s">
        <v>5059</v>
      </c>
      <c r="AK313" s="136" t="s">
        <v>5315</v>
      </c>
      <c r="AL313" s="132">
        <v>42222</v>
      </c>
      <c r="AM313" s="131" t="s">
        <v>49</v>
      </c>
      <c r="AN313" s="133" t="s">
        <v>4440</v>
      </c>
    </row>
    <row r="314" spans="1:40" s="129" customFormat="1" x14ac:dyDescent="0.25">
      <c r="A314" s="130">
        <v>313</v>
      </c>
      <c r="B314" s="130" t="s">
        <v>4428</v>
      </c>
      <c r="C314" s="130" t="s">
        <v>38</v>
      </c>
      <c r="D314" s="136">
        <v>9103650274</v>
      </c>
      <c r="E314" s="132">
        <v>42196</v>
      </c>
      <c r="F314" s="132" t="s">
        <v>5248</v>
      </c>
      <c r="G314" s="132" t="s">
        <v>417</v>
      </c>
      <c r="H314" s="130" t="s">
        <v>4564</v>
      </c>
      <c r="I314" s="132" t="s">
        <v>40</v>
      </c>
      <c r="J314" s="131" t="s">
        <v>4432</v>
      </c>
      <c r="K314" s="132" t="s">
        <v>4433</v>
      </c>
      <c r="L314" s="136">
        <v>1623922</v>
      </c>
      <c r="M314" s="132" t="s">
        <v>4830</v>
      </c>
      <c r="N314" s="136" t="s">
        <v>4622</v>
      </c>
      <c r="O314" s="130" t="s">
        <v>4436</v>
      </c>
      <c r="P314" s="130" t="s">
        <v>188</v>
      </c>
      <c r="Q314" s="130">
        <v>38231200</v>
      </c>
      <c r="R314" s="136">
        <v>39.4</v>
      </c>
      <c r="S314" s="130" t="s">
        <v>70</v>
      </c>
      <c r="T314" s="136" t="s">
        <v>67</v>
      </c>
      <c r="U314" s="136" t="s">
        <v>53</v>
      </c>
      <c r="V314" s="136">
        <v>1025</v>
      </c>
      <c r="W314" s="133">
        <f t="shared" si="14"/>
        <v>40385</v>
      </c>
      <c r="X314" s="136">
        <v>0</v>
      </c>
      <c r="Y314" s="136">
        <v>0</v>
      </c>
      <c r="Z314" s="136">
        <v>0</v>
      </c>
      <c r="AA314" s="136">
        <v>0</v>
      </c>
      <c r="AB314" s="131">
        <v>42192</v>
      </c>
      <c r="AC314" s="134">
        <f t="shared" si="12"/>
        <v>40385</v>
      </c>
      <c r="AD314" s="135">
        <v>63.2</v>
      </c>
      <c r="AE314" s="136">
        <f t="shared" si="13"/>
        <v>2552332</v>
      </c>
      <c r="AF314" s="137">
        <v>2552332</v>
      </c>
      <c r="AG314" s="138">
        <v>63.2</v>
      </c>
      <c r="AH314" s="136" t="s">
        <v>5316</v>
      </c>
      <c r="AI314" s="136">
        <v>40385</v>
      </c>
      <c r="AJ314" s="132" t="s">
        <v>5211</v>
      </c>
      <c r="AK314" s="136" t="s">
        <v>5317</v>
      </c>
      <c r="AL314" s="132">
        <v>42283</v>
      </c>
      <c r="AM314" s="131" t="s">
        <v>49</v>
      </c>
      <c r="AN314" s="136" t="s">
        <v>4440</v>
      </c>
    </row>
    <row r="315" spans="1:40" s="129" customFormat="1" x14ac:dyDescent="0.25">
      <c r="A315" s="136">
        <v>314</v>
      </c>
      <c r="B315" s="130" t="s">
        <v>4428</v>
      </c>
      <c r="C315" s="130" t="s">
        <v>38</v>
      </c>
      <c r="D315" s="136">
        <v>9103650275</v>
      </c>
      <c r="E315" s="132">
        <v>42197</v>
      </c>
      <c r="F315" s="132" t="s">
        <v>5248</v>
      </c>
      <c r="G315" s="132" t="s">
        <v>417</v>
      </c>
      <c r="H315" s="130" t="s">
        <v>4456</v>
      </c>
      <c r="I315" s="132" t="s">
        <v>40</v>
      </c>
      <c r="J315" s="131" t="s">
        <v>4432</v>
      </c>
      <c r="K315" s="132" t="s">
        <v>4433</v>
      </c>
      <c r="L315" s="136">
        <v>1661522</v>
      </c>
      <c r="M315" s="132">
        <v>42193</v>
      </c>
      <c r="N315" s="136" t="s">
        <v>4527</v>
      </c>
      <c r="O315" s="130" t="s">
        <v>4436</v>
      </c>
      <c r="P315" s="130" t="s">
        <v>59</v>
      </c>
      <c r="Q315" s="130">
        <v>38237090</v>
      </c>
      <c r="R315" s="136">
        <v>38.090000000000003</v>
      </c>
      <c r="S315" s="130" t="s">
        <v>70</v>
      </c>
      <c r="T315" s="136" t="s">
        <v>52</v>
      </c>
      <c r="U315" s="136" t="s">
        <v>4528</v>
      </c>
      <c r="V315" s="136">
        <v>1170</v>
      </c>
      <c r="W315" s="133">
        <f t="shared" si="14"/>
        <v>44565.3</v>
      </c>
      <c r="X315" s="136">
        <v>0</v>
      </c>
      <c r="Y315" s="136">
        <v>1224.0999999999999</v>
      </c>
      <c r="Z315" s="136">
        <v>0</v>
      </c>
      <c r="AA315" s="136">
        <v>0</v>
      </c>
      <c r="AB315" s="131">
        <v>42194</v>
      </c>
      <c r="AC315" s="134">
        <f t="shared" si="12"/>
        <v>43341.2</v>
      </c>
      <c r="AD315" s="135">
        <v>69.7</v>
      </c>
      <c r="AE315" s="136">
        <f t="shared" si="13"/>
        <v>3106201.41</v>
      </c>
      <c r="AF315" s="130">
        <v>3020881.64</v>
      </c>
      <c r="AG315" s="138">
        <v>69.7</v>
      </c>
      <c r="AH315" s="136" t="s">
        <v>5318</v>
      </c>
      <c r="AI315" s="133">
        <v>44565.3</v>
      </c>
      <c r="AJ315" s="132">
        <v>42262</v>
      </c>
      <c r="AK315" s="136" t="s">
        <v>5319</v>
      </c>
      <c r="AL315" s="132">
        <v>42262</v>
      </c>
      <c r="AM315" s="131" t="s">
        <v>49</v>
      </c>
      <c r="AN315" s="136" t="s">
        <v>4440</v>
      </c>
    </row>
    <row r="316" spans="1:40" s="129" customFormat="1" x14ac:dyDescent="0.25">
      <c r="A316" s="130">
        <v>315</v>
      </c>
      <c r="B316" s="130" t="s">
        <v>4428</v>
      </c>
      <c r="C316" s="130" t="s">
        <v>38</v>
      </c>
      <c r="D316" s="136">
        <v>9103650276</v>
      </c>
      <c r="E316" s="132">
        <v>42203</v>
      </c>
      <c r="F316" s="132" t="s">
        <v>5248</v>
      </c>
      <c r="G316" s="132" t="s">
        <v>417</v>
      </c>
      <c r="H316" s="130" t="s">
        <v>5249</v>
      </c>
      <c r="I316" s="132" t="s">
        <v>40</v>
      </c>
      <c r="J316" s="131" t="s">
        <v>4432</v>
      </c>
      <c r="K316" s="132" t="s">
        <v>4433</v>
      </c>
      <c r="L316" s="136">
        <v>1670669</v>
      </c>
      <c r="M316" s="132">
        <v>42193</v>
      </c>
      <c r="N316" s="136" t="s">
        <v>4532</v>
      </c>
      <c r="O316" s="130" t="s">
        <v>4436</v>
      </c>
      <c r="P316" s="130" t="s">
        <v>64</v>
      </c>
      <c r="Q316" s="130">
        <v>38231200</v>
      </c>
      <c r="R316" s="136">
        <v>39.85</v>
      </c>
      <c r="S316" s="130" t="s">
        <v>70</v>
      </c>
      <c r="T316" s="136" t="s">
        <v>44</v>
      </c>
      <c r="U316" s="136" t="s">
        <v>53</v>
      </c>
      <c r="V316" s="136">
        <v>1070</v>
      </c>
      <c r="W316" s="133">
        <f t="shared" si="14"/>
        <v>42639.5</v>
      </c>
      <c r="X316" s="136">
        <v>14.07</v>
      </c>
      <c r="Y316" s="136">
        <v>720</v>
      </c>
      <c r="Z316" s="136">
        <v>0</v>
      </c>
      <c r="AA316" s="136">
        <v>0</v>
      </c>
      <c r="AB316" s="131">
        <v>42194</v>
      </c>
      <c r="AC316" s="134">
        <f t="shared" si="12"/>
        <v>41905.43006329114</v>
      </c>
      <c r="AD316" s="135">
        <v>63.2</v>
      </c>
      <c r="AE316" s="136">
        <f t="shared" si="13"/>
        <v>2694816.4</v>
      </c>
      <c r="AF316" s="137">
        <v>2648423.1800000002</v>
      </c>
      <c r="AG316" s="138">
        <v>63.2</v>
      </c>
      <c r="AH316" s="136" t="s">
        <v>5320</v>
      </c>
      <c r="AI316" s="136">
        <v>42619.5</v>
      </c>
      <c r="AJ316" s="132">
        <v>42327</v>
      </c>
      <c r="AK316" s="136" t="s">
        <v>5321</v>
      </c>
      <c r="AL316" s="132">
        <v>42328</v>
      </c>
      <c r="AM316" s="131" t="s">
        <v>49</v>
      </c>
      <c r="AN316" s="133" t="s">
        <v>4440</v>
      </c>
    </row>
    <row r="317" spans="1:40" s="129" customFormat="1" x14ac:dyDescent="0.25">
      <c r="A317" s="136">
        <v>316</v>
      </c>
      <c r="B317" s="130" t="s">
        <v>4428</v>
      </c>
      <c r="C317" s="130" t="s">
        <v>38</v>
      </c>
      <c r="D317" s="136">
        <v>9103650277</v>
      </c>
      <c r="E317" s="132">
        <v>42204</v>
      </c>
      <c r="F317" s="132" t="s">
        <v>5248</v>
      </c>
      <c r="G317" s="132" t="s">
        <v>412</v>
      </c>
      <c r="H317" s="130" t="s">
        <v>5249</v>
      </c>
      <c r="I317" s="132" t="s">
        <v>40</v>
      </c>
      <c r="J317" s="131" t="s">
        <v>4432</v>
      </c>
      <c r="K317" s="132" t="s">
        <v>4433</v>
      </c>
      <c r="L317" s="136">
        <v>1713368</v>
      </c>
      <c r="M317" s="132">
        <v>42195</v>
      </c>
      <c r="N317" s="136" t="s">
        <v>4532</v>
      </c>
      <c r="O317" s="130" t="s">
        <v>4436</v>
      </c>
      <c r="P317" s="130" t="s">
        <v>5322</v>
      </c>
      <c r="Q317" s="130">
        <v>29051700</v>
      </c>
      <c r="R317" s="136">
        <v>16</v>
      </c>
      <c r="S317" s="130" t="s">
        <v>70</v>
      </c>
      <c r="T317" s="136" t="s">
        <v>44</v>
      </c>
      <c r="U317" s="136" t="s">
        <v>53</v>
      </c>
      <c r="V317" s="136">
        <v>1660</v>
      </c>
      <c r="W317" s="133">
        <f t="shared" si="14"/>
        <v>26560</v>
      </c>
      <c r="X317" s="136">
        <v>8.76</v>
      </c>
      <c r="Y317" s="136">
        <v>2000</v>
      </c>
      <c r="Z317" s="136">
        <v>0</v>
      </c>
      <c r="AA317" s="136">
        <v>0</v>
      </c>
      <c r="AB317" s="131">
        <v>42198</v>
      </c>
      <c r="AC317" s="134">
        <f t="shared" si="12"/>
        <v>24551.240031645571</v>
      </c>
      <c r="AD317" s="135">
        <v>63.2</v>
      </c>
      <c r="AE317" s="136">
        <f t="shared" si="13"/>
        <v>1678592</v>
      </c>
      <c r="AF317" s="137">
        <v>1551638.37</v>
      </c>
      <c r="AG317" s="138">
        <v>63.2</v>
      </c>
      <c r="AH317" s="136" t="s">
        <v>5323</v>
      </c>
      <c r="AI317" s="133">
        <v>26560</v>
      </c>
      <c r="AJ317" s="132">
        <v>42195</v>
      </c>
      <c r="AK317" s="136" t="s">
        <v>5324</v>
      </c>
      <c r="AL317" s="132">
        <v>42269</v>
      </c>
      <c r="AM317" s="131" t="s">
        <v>49</v>
      </c>
      <c r="AN317" s="136" t="s">
        <v>4440</v>
      </c>
    </row>
    <row r="318" spans="1:40" s="129" customFormat="1" x14ac:dyDescent="0.25">
      <c r="A318" s="130">
        <v>317</v>
      </c>
      <c r="B318" s="130" t="s">
        <v>4428</v>
      </c>
      <c r="C318" s="130" t="s">
        <v>38</v>
      </c>
      <c r="D318" s="136">
        <v>9103650278</v>
      </c>
      <c r="E318" s="132">
        <v>42199</v>
      </c>
      <c r="F318" s="132" t="s">
        <v>5248</v>
      </c>
      <c r="G318" s="132" t="s">
        <v>413</v>
      </c>
      <c r="H318" s="130" t="s">
        <v>4564</v>
      </c>
      <c r="I318" s="132" t="s">
        <v>40</v>
      </c>
      <c r="J318" s="131" t="s">
        <v>4432</v>
      </c>
      <c r="K318" s="132" t="s">
        <v>4433</v>
      </c>
      <c r="L318" s="136">
        <v>1738556</v>
      </c>
      <c r="M318" s="132" t="s">
        <v>5069</v>
      </c>
      <c r="N318" s="136" t="s">
        <v>4582</v>
      </c>
      <c r="O318" s="130" t="s">
        <v>4436</v>
      </c>
      <c r="P318" s="130" t="s">
        <v>90</v>
      </c>
      <c r="Q318" s="130">
        <v>38231190</v>
      </c>
      <c r="R318" s="136">
        <v>20.399999999999999</v>
      </c>
      <c r="S318" s="130" t="s">
        <v>70</v>
      </c>
      <c r="T318" s="136" t="s">
        <v>44</v>
      </c>
      <c r="U318" s="136" t="s">
        <v>53</v>
      </c>
      <c r="V318" s="136">
        <v>955</v>
      </c>
      <c r="W318" s="133">
        <f t="shared" si="14"/>
        <v>19482</v>
      </c>
      <c r="X318" s="136">
        <v>6.43</v>
      </c>
      <c r="Y318" s="136">
        <v>1000</v>
      </c>
      <c r="Z318" s="136">
        <v>0</v>
      </c>
      <c r="AA318" s="136">
        <v>355</v>
      </c>
      <c r="AB318" s="131">
        <v>42198</v>
      </c>
      <c r="AC318" s="134">
        <f t="shared" si="12"/>
        <v>18475.56993670886</v>
      </c>
      <c r="AD318" s="135">
        <v>63.2</v>
      </c>
      <c r="AE318" s="136">
        <f t="shared" si="13"/>
        <v>1231262.4000000001</v>
      </c>
      <c r="AF318" s="137">
        <v>1167656.02</v>
      </c>
      <c r="AG318" s="138">
        <v>63.2</v>
      </c>
      <c r="AH318" s="136" t="s">
        <v>5325</v>
      </c>
      <c r="AI318" s="133">
        <v>19417</v>
      </c>
      <c r="AJ318" s="132" t="s">
        <v>4884</v>
      </c>
      <c r="AK318" s="136" t="s">
        <v>5326</v>
      </c>
      <c r="AL318" s="132" t="s">
        <v>4886</v>
      </c>
      <c r="AM318" s="131" t="s">
        <v>49</v>
      </c>
      <c r="AN318" s="133" t="s">
        <v>4440</v>
      </c>
    </row>
    <row r="319" spans="1:40" s="129" customFormat="1" x14ac:dyDescent="0.25">
      <c r="A319" s="136">
        <v>318</v>
      </c>
      <c r="B319" s="130" t="s">
        <v>4428</v>
      </c>
      <c r="C319" s="130" t="s">
        <v>38</v>
      </c>
      <c r="D319" s="136">
        <v>9103650279</v>
      </c>
      <c r="E319" s="132">
        <v>42201</v>
      </c>
      <c r="F319" s="132" t="s">
        <v>5248</v>
      </c>
      <c r="G319" s="132" t="s">
        <v>421</v>
      </c>
      <c r="H319" s="130" t="s">
        <v>4431</v>
      </c>
      <c r="I319" s="132" t="s">
        <v>40</v>
      </c>
      <c r="J319" s="131" t="s">
        <v>4432</v>
      </c>
      <c r="K319" s="132" t="s">
        <v>4433</v>
      </c>
      <c r="L319" s="136">
        <v>1728481</v>
      </c>
      <c r="M319" s="132" t="s">
        <v>5327</v>
      </c>
      <c r="N319" s="136" t="s">
        <v>4655</v>
      </c>
      <c r="O319" s="130" t="s">
        <v>4436</v>
      </c>
      <c r="P319" s="130" t="s">
        <v>143</v>
      </c>
      <c r="Q319" s="130">
        <v>38237090</v>
      </c>
      <c r="R319" s="136">
        <v>16</v>
      </c>
      <c r="S319" s="130" t="s">
        <v>70</v>
      </c>
      <c r="T319" s="136" t="s">
        <v>52</v>
      </c>
      <c r="U319" s="136" t="s">
        <v>53</v>
      </c>
      <c r="V319" s="136">
        <v>1457</v>
      </c>
      <c r="W319" s="133">
        <f t="shared" si="14"/>
        <v>23312</v>
      </c>
      <c r="X319" s="136">
        <v>0</v>
      </c>
      <c r="Y319" s="136">
        <v>625</v>
      </c>
      <c r="Z319" s="136">
        <v>0</v>
      </c>
      <c r="AA319" s="136">
        <v>0</v>
      </c>
      <c r="AB319" s="131">
        <v>42198</v>
      </c>
      <c r="AC319" s="134">
        <f t="shared" si="12"/>
        <v>22686.999999999996</v>
      </c>
      <c r="AD319" s="135">
        <v>63.2</v>
      </c>
      <c r="AE319" s="136">
        <f t="shared" si="13"/>
        <v>1473318.4000000001</v>
      </c>
      <c r="AF319" s="137">
        <v>1433818.4</v>
      </c>
      <c r="AG319" s="138">
        <v>63.2</v>
      </c>
      <c r="AH319" s="136" t="s">
        <v>5328</v>
      </c>
      <c r="AI319" s="133">
        <v>23199</v>
      </c>
      <c r="AJ319" s="132" t="s">
        <v>5059</v>
      </c>
      <c r="AK319" s="136" t="s">
        <v>5329</v>
      </c>
      <c r="AL319" s="132" t="s">
        <v>5061</v>
      </c>
      <c r="AM319" s="131" t="s">
        <v>49</v>
      </c>
      <c r="AN319" s="133" t="s">
        <v>4440</v>
      </c>
    </row>
    <row r="320" spans="1:40" s="129" customFormat="1" x14ac:dyDescent="0.25">
      <c r="A320" s="130">
        <v>319</v>
      </c>
      <c r="B320" s="130" t="s">
        <v>4428</v>
      </c>
      <c r="C320" s="130" t="s">
        <v>38</v>
      </c>
      <c r="D320" s="136">
        <v>9103650280</v>
      </c>
      <c r="E320" s="132">
        <v>42202</v>
      </c>
      <c r="F320" s="132" t="s">
        <v>5248</v>
      </c>
      <c r="G320" s="132" t="s">
        <v>422</v>
      </c>
      <c r="H320" s="130" t="s">
        <v>4564</v>
      </c>
      <c r="I320" s="132" t="s">
        <v>40</v>
      </c>
      <c r="J320" s="131" t="s">
        <v>4432</v>
      </c>
      <c r="K320" s="132" t="s">
        <v>4433</v>
      </c>
      <c r="L320" s="136">
        <v>1728586</v>
      </c>
      <c r="M320" s="132" t="s">
        <v>5327</v>
      </c>
      <c r="N320" s="136" t="s">
        <v>4608</v>
      </c>
      <c r="O320" s="130" t="s">
        <v>4436</v>
      </c>
      <c r="P320" s="130" t="s">
        <v>205</v>
      </c>
      <c r="Q320" s="130" t="s">
        <v>4559</v>
      </c>
      <c r="R320" s="136">
        <v>17.600000000000001</v>
      </c>
      <c r="S320" s="130" t="s">
        <v>70</v>
      </c>
      <c r="T320" s="136" t="s">
        <v>44</v>
      </c>
      <c r="U320" s="136" t="s">
        <v>53</v>
      </c>
      <c r="V320" s="136">
        <v>0</v>
      </c>
      <c r="W320" s="133">
        <f>(11.6*1620+6*1700)</f>
        <v>28992</v>
      </c>
      <c r="X320" s="136">
        <v>9.57</v>
      </c>
      <c r="Y320" s="136">
        <v>700</v>
      </c>
      <c r="Z320" s="136">
        <v>0</v>
      </c>
      <c r="AA320" s="136">
        <v>0</v>
      </c>
      <c r="AB320" s="131">
        <v>42196</v>
      </c>
      <c r="AC320" s="134">
        <f t="shared" si="12"/>
        <v>28282.43006329114</v>
      </c>
      <c r="AD320" s="135">
        <v>63.2</v>
      </c>
      <c r="AE320" s="136">
        <f t="shared" si="13"/>
        <v>1832294.4000000001</v>
      </c>
      <c r="AF320" s="137">
        <v>1787449.58</v>
      </c>
      <c r="AG320" s="138">
        <v>63.2</v>
      </c>
      <c r="AH320" s="136" t="s">
        <v>5330</v>
      </c>
      <c r="AI320" s="133">
        <v>28977</v>
      </c>
      <c r="AJ320" s="132" t="s">
        <v>5075</v>
      </c>
      <c r="AK320" s="136" t="s">
        <v>5331</v>
      </c>
      <c r="AL320" s="132" t="s">
        <v>5077</v>
      </c>
      <c r="AM320" s="131" t="s">
        <v>49</v>
      </c>
      <c r="AN320" s="133" t="s">
        <v>4440</v>
      </c>
    </row>
    <row r="321" spans="1:40" s="129" customFormat="1" x14ac:dyDescent="0.25">
      <c r="A321" s="136">
        <v>320</v>
      </c>
      <c r="B321" s="130" t="s">
        <v>4428</v>
      </c>
      <c r="C321" s="130" t="s">
        <v>38</v>
      </c>
      <c r="D321" s="136" t="s">
        <v>5332</v>
      </c>
      <c r="E321" s="132">
        <v>42204</v>
      </c>
      <c r="F321" s="132" t="s">
        <v>5248</v>
      </c>
      <c r="G321" s="132" t="s">
        <v>414</v>
      </c>
      <c r="H321" s="130" t="s">
        <v>4446</v>
      </c>
      <c r="I321" s="132" t="s">
        <v>40</v>
      </c>
      <c r="J321" s="131" t="s">
        <v>4432</v>
      </c>
      <c r="K321" s="132" t="s">
        <v>4433</v>
      </c>
      <c r="L321" s="136">
        <v>1738429</v>
      </c>
      <c r="M321" s="132">
        <v>42198</v>
      </c>
      <c r="N321" s="136" t="s">
        <v>5333</v>
      </c>
      <c r="O321" s="130" t="s">
        <v>4436</v>
      </c>
      <c r="P321" s="130" t="s">
        <v>205</v>
      </c>
      <c r="Q321" s="130">
        <v>38237090</v>
      </c>
      <c r="R321" s="136">
        <v>32</v>
      </c>
      <c r="S321" s="130" t="s">
        <v>70</v>
      </c>
      <c r="T321" s="136" t="s">
        <v>67</v>
      </c>
      <c r="U321" s="136" t="s">
        <v>53</v>
      </c>
      <c r="V321" s="136">
        <v>1390</v>
      </c>
      <c r="W321" s="133">
        <f t="shared" si="14"/>
        <v>44480</v>
      </c>
      <c r="X321" s="136">
        <v>0</v>
      </c>
      <c r="Y321" s="136">
        <v>0</v>
      </c>
      <c r="Z321" s="136">
        <v>0</v>
      </c>
      <c r="AA321" s="136">
        <v>0</v>
      </c>
      <c r="AB321" s="131">
        <v>42198</v>
      </c>
      <c r="AC321" s="134">
        <f t="shared" ref="AC321:AC385" si="15">AF321/AD321</f>
        <v>44480</v>
      </c>
      <c r="AD321" s="135">
        <v>63.2</v>
      </c>
      <c r="AE321" s="136">
        <f t="shared" ref="AE321:AE385" si="16">AD321*W321</f>
        <v>2811136</v>
      </c>
      <c r="AF321" s="137">
        <v>2811136</v>
      </c>
      <c r="AG321" s="138">
        <v>63.2</v>
      </c>
      <c r="AH321" s="136" t="s">
        <v>5334</v>
      </c>
      <c r="AI321" s="136">
        <v>44480</v>
      </c>
      <c r="AJ321" s="132" t="s">
        <v>5011</v>
      </c>
      <c r="AK321" s="136" t="s">
        <v>5335</v>
      </c>
      <c r="AL321" s="132" t="s">
        <v>5013</v>
      </c>
      <c r="AM321" s="131" t="s">
        <v>49</v>
      </c>
      <c r="AN321" s="136" t="s">
        <v>4440</v>
      </c>
    </row>
    <row r="322" spans="1:40" s="129" customFormat="1" x14ac:dyDescent="0.25">
      <c r="A322" s="130">
        <v>321</v>
      </c>
      <c r="B322" s="130" t="s">
        <v>4428</v>
      </c>
      <c r="C322" s="130" t="s">
        <v>38</v>
      </c>
      <c r="D322" s="136" t="s">
        <v>5332</v>
      </c>
      <c r="E322" s="132">
        <v>42204</v>
      </c>
      <c r="F322" s="132" t="s">
        <v>5248</v>
      </c>
      <c r="G322" s="132" t="s">
        <v>419</v>
      </c>
      <c r="H322" s="130" t="s">
        <v>4456</v>
      </c>
      <c r="I322" s="132" t="s">
        <v>40</v>
      </c>
      <c r="J322" s="131" t="s">
        <v>4432</v>
      </c>
      <c r="K322" s="132" t="s">
        <v>4433</v>
      </c>
      <c r="L322" s="136">
        <v>1727901</v>
      </c>
      <c r="M322" s="132">
        <v>42196</v>
      </c>
      <c r="N322" s="136" t="s">
        <v>5333</v>
      </c>
      <c r="O322" s="130" t="s">
        <v>4436</v>
      </c>
      <c r="P322" s="130" t="s">
        <v>205</v>
      </c>
      <c r="Q322" s="130">
        <v>38237090</v>
      </c>
      <c r="R322" s="136">
        <v>32</v>
      </c>
      <c r="S322" s="130" t="s">
        <v>70</v>
      </c>
      <c r="T322" s="136" t="s">
        <v>67</v>
      </c>
      <c r="U322" s="136" t="s">
        <v>53</v>
      </c>
      <c r="V322" s="136">
        <v>1390</v>
      </c>
      <c r="W322" s="133">
        <f t="shared" si="14"/>
        <v>44480</v>
      </c>
      <c r="X322" s="136">
        <v>0</v>
      </c>
      <c r="Y322" s="136">
        <v>0</v>
      </c>
      <c r="Z322" s="136">
        <v>0</v>
      </c>
      <c r="AA322" s="136">
        <v>0</v>
      </c>
      <c r="AB322" s="131">
        <v>42198</v>
      </c>
      <c r="AC322" s="134">
        <f t="shared" si="15"/>
        <v>44480</v>
      </c>
      <c r="AD322" s="135">
        <v>63.2</v>
      </c>
      <c r="AE322" s="136">
        <f t="shared" si="16"/>
        <v>2811136</v>
      </c>
      <c r="AF322" s="137">
        <v>2811136</v>
      </c>
      <c r="AG322" s="138">
        <v>63.2</v>
      </c>
      <c r="AH322" s="136" t="s">
        <v>5334</v>
      </c>
      <c r="AI322" s="136">
        <v>44480</v>
      </c>
      <c r="AJ322" s="132" t="s">
        <v>5011</v>
      </c>
      <c r="AK322" s="136" t="s">
        <v>5335</v>
      </c>
      <c r="AL322" s="132" t="s">
        <v>5013</v>
      </c>
      <c r="AM322" s="131" t="s">
        <v>49</v>
      </c>
      <c r="AN322" s="136" t="s">
        <v>4440</v>
      </c>
    </row>
    <row r="323" spans="1:40" s="129" customFormat="1" x14ac:dyDescent="0.25">
      <c r="A323" s="136">
        <v>322</v>
      </c>
      <c r="B323" s="130" t="s">
        <v>4428</v>
      </c>
      <c r="C323" s="130" t="s">
        <v>38</v>
      </c>
      <c r="D323" s="136" t="s">
        <v>5336</v>
      </c>
      <c r="E323" s="132">
        <v>42202</v>
      </c>
      <c r="F323" s="132" t="s">
        <v>5248</v>
      </c>
      <c r="G323" s="132" t="s">
        <v>424</v>
      </c>
      <c r="H323" s="130" t="s">
        <v>4456</v>
      </c>
      <c r="I323" s="132" t="s">
        <v>40</v>
      </c>
      <c r="J323" s="131" t="s">
        <v>4432</v>
      </c>
      <c r="K323" s="132" t="s">
        <v>4433</v>
      </c>
      <c r="L323" s="136">
        <v>1728649</v>
      </c>
      <c r="M323" s="132">
        <v>42196</v>
      </c>
      <c r="N323" s="136" t="s">
        <v>5337</v>
      </c>
      <c r="O323" s="130" t="s">
        <v>4436</v>
      </c>
      <c r="P323" s="130" t="s">
        <v>143</v>
      </c>
      <c r="Q323" s="130">
        <v>38237090</v>
      </c>
      <c r="R323" s="136">
        <v>36</v>
      </c>
      <c r="S323" s="130" t="s">
        <v>70</v>
      </c>
      <c r="T323" s="136" t="s">
        <v>52</v>
      </c>
      <c r="U323" s="136" t="s">
        <v>53</v>
      </c>
      <c r="V323" s="136">
        <v>1325</v>
      </c>
      <c r="W323" s="133">
        <f t="shared" si="14"/>
        <v>47700</v>
      </c>
      <c r="X323" s="136">
        <v>0</v>
      </c>
      <c r="Y323" s="136">
        <v>1875</v>
      </c>
      <c r="Z323" s="136">
        <v>0</v>
      </c>
      <c r="AA323" s="136">
        <v>540</v>
      </c>
      <c r="AB323" s="131">
        <v>42198</v>
      </c>
      <c r="AC323" s="134">
        <f t="shared" si="15"/>
        <v>45825</v>
      </c>
      <c r="AD323" s="135">
        <v>63.2</v>
      </c>
      <c r="AE323" s="136">
        <f t="shared" si="16"/>
        <v>3014640</v>
      </c>
      <c r="AF323" s="137">
        <v>2896140</v>
      </c>
      <c r="AG323" s="138">
        <v>63.2</v>
      </c>
      <c r="AH323" s="136" t="s">
        <v>5338</v>
      </c>
      <c r="AI323" s="136">
        <v>47700</v>
      </c>
      <c r="AJ323" s="132">
        <v>42229</v>
      </c>
      <c r="AK323" s="136" t="s">
        <v>5339</v>
      </c>
      <c r="AL323" s="132">
        <v>42331</v>
      </c>
      <c r="AM323" s="131" t="s">
        <v>49</v>
      </c>
      <c r="AN323" s="133" t="s">
        <v>4440</v>
      </c>
    </row>
    <row r="324" spans="1:40" s="129" customFormat="1" x14ac:dyDescent="0.25">
      <c r="A324" s="130">
        <v>323</v>
      </c>
      <c r="B324" s="130" t="s">
        <v>4428</v>
      </c>
      <c r="C324" s="130" t="s">
        <v>38</v>
      </c>
      <c r="D324" s="136" t="s">
        <v>5336</v>
      </c>
      <c r="E324" s="132">
        <v>42202</v>
      </c>
      <c r="F324" s="132" t="s">
        <v>5248</v>
      </c>
      <c r="G324" s="132" t="s">
        <v>423</v>
      </c>
      <c r="H324" s="130" t="s">
        <v>4446</v>
      </c>
      <c r="I324" s="132" t="s">
        <v>40</v>
      </c>
      <c r="J324" s="131" t="s">
        <v>4432</v>
      </c>
      <c r="K324" s="132" t="s">
        <v>4433</v>
      </c>
      <c r="L324" s="136">
        <v>1765422</v>
      </c>
      <c r="M324" s="132">
        <v>42199</v>
      </c>
      <c r="N324" s="136" t="s">
        <v>5337</v>
      </c>
      <c r="O324" s="130" t="s">
        <v>4436</v>
      </c>
      <c r="P324" s="130" t="s">
        <v>143</v>
      </c>
      <c r="Q324" s="130">
        <v>38237090</v>
      </c>
      <c r="R324" s="136">
        <v>24</v>
      </c>
      <c r="S324" s="130" t="s">
        <v>70</v>
      </c>
      <c r="T324" s="136" t="s">
        <v>52</v>
      </c>
      <c r="U324" s="136" t="s">
        <v>53</v>
      </c>
      <c r="V324" s="136">
        <v>1325</v>
      </c>
      <c r="W324" s="133">
        <f t="shared" ref="W324:W387" si="17">V324*R324</f>
        <v>31800</v>
      </c>
      <c r="X324" s="136">
        <v>0</v>
      </c>
      <c r="Y324" s="136">
        <v>1250</v>
      </c>
      <c r="Z324" s="136">
        <v>0</v>
      </c>
      <c r="AA324" s="136">
        <v>360</v>
      </c>
      <c r="AB324" s="131">
        <v>42199</v>
      </c>
      <c r="AC324" s="134">
        <f t="shared" si="15"/>
        <v>30550</v>
      </c>
      <c r="AD324" s="135">
        <v>63.2</v>
      </c>
      <c r="AE324" s="136">
        <f t="shared" si="16"/>
        <v>2009760</v>
      </c>
      <c r="AF324" s="137">
        <v>1930760</v>
      </c>
      <c r="AG324" s="138">
        <v>63.2</v>
      </c>
      <c r="AH324" s="136" t="s">
        <v>5338</v>
      </c>
      <c r="AI324" s="136">
        <v>31800</v>
      </c>
      <c r="AJ324" s="132">
        <v>42229</v>
      </c>
      <c r="AK324" s="136" t="s">
        <v>5340</v>
      </c>
      <c r="AL324" s="132">
        <v>42331</v>
      </c>
      <c r="AM324" s="131" t="s">
        <v>49</v>
      </c>
      <c r="AN324" s="133" t="s">
        <v>4440</v>
      </c>
    </row>
    <row r="325" spans="1:40" s="129" customFormat="1" x14ac:dyDescent="0.25">
      <c r="A325" s="136">
        <v>324</v>
      </c>
      <c r="B325" s="130" t="s">
        <v>4428</v>
      </c>
      <c r="C325" s="130" t="s">
        <v>38</v>
      </c>
      <c r="D325" s="136">
        <v>9103650285</v>
      </c>
      <c r="E325" s="132">
        <v>42202</v>
      </c>
      <c r="F325" s="132" t="s">
        <v>5248</v>
      </c>
      <c r="G325" s="132" t="s">
        <v>418</v>
      </c>
      <c r="H325" s="130" t="s">
        <v>4456</v>
      </c>
      <c r="I325" s="132" t="s">
        <v>40</v>
      </c>
      <c r="J325" s="131" t="s">
        <v>4432</v>
      </c>
      <c r="K325" s="132" t="s">
        <v>4433</v>
      </c>
      <c r="L325" s="136">
        <v>1727554</v>
      </c>
      <c r="M325" s="132">
        <v>42196</v>
      </c>
      <c r="N325" s="136" t="s">
        <v>4876</v>
      </c>
      <c r="O325" s="130" t="s">
        <v>4436</v>
      </c>
      <c r="P325" s="130" t="s">
        <v>90</v>
      </c>
      <c r="Q325" s="130">
        <v>34021900</v>
      </c>
      <c r="R325" s="136">
        <v>67.2</v>
      </c>
      <c r="S325" s="130" t="s">
        <v>70</v>
      </c>
      <c r="T325" s="136" t="s">
        <v>67</v>
      </c>
      <c r="U325" s="136" t="s">
        <v>53</v>
      </c>
      <c r="V325" s="136">
        <v>2227</v>
      </c>
      <c r="W325" s="133">
        <f t="shared" si="17"/>
        <v>149654.39999999999</v>
      </c>
      <c r="X325" s="136">
        <v>0</v>
      </c>
      <c r="Y325" s="136">
        <v>0</v>
      </c>
      <c r="Z325" s="136">
        <v>0</v>
      </c>
      <c r="AA325" s="136">
        <v>0</v>
      </c>
      <c r="AB325" s="131">
        <v>42198</v>
      </c>
      <c r="AC325" s="134">
        <f t="shared" si="15"/>
        <v>149654.39999999999</v>
      </c>
      <c r="AD325" s="135">
        <v>63.2</v>
      </c>
      <c r="AE325" s="136">
        <f t="shared" si="16"/>
        <v>9458158.0800000001</v>
      </c>
      <c r="AF325" s="137">
        <v>9458158.0800000001</v>
      </c>
      <c r="AG325" s="138">
        <v>63.2</v>
      </c>
      <c r="AH325" s="136" t="s">
        <v>5341</v>
      </c>
      <c r="AI325" s="133">
        <v>149594.4</v>
      </c>
      <c r="AJ325" s="132" t="s">
        <v>5342</v>
      </c>
      <c r="AK325" s="136" t="s">
        <v>5343</v>
      </c>
      <c r="AL325" s="132" t="s">
        <v>5344</v>
      </c>
      <c r="AM325" s="131" t="s">
        <v>49</v>
      </c>
      <c r="AN325" s="133" t="s">
        <v>4440</v>
      </c>
    </row>
    <row r="326" spans="1:40" s="129" customFormat="1" x14ac:dyDescent="0.25">
      <c r="A326" s="130">
        <v>325</v>
      </c>
      <c r="B326" s="130" t="s">
        <v>4428</v>
      </c>
      <c r="C326" s="130" t="s">
        <v>38</v>
      </c>
      <c r="D326" s="136">
        <v>9103650286</v>
      </c>
      <c r="E326" s="132">
        <v>42204</v>
      </c>
      <c r="F326" s="132" t="s">
        <v>5248</v>
      </c>
      <c r="G326" s="132" t="s">
        <v>427</v>
      </c>
      <c r="H326" s="130" t="s">
        <v>4446</v>
      </c>
      <c r="I326" s="132" t="s">
        <v>40</v>
      </c>
      <c r="J326" s="131" t="s">
        <v>4432</v>
      </c>
      <c r="K326" s="132" t="s">
        <v>4433</v>
      </c>
      <c r="L326" s="136">
        <v>1748336</v>
      </c>
      <c r="M326" s="132">
        <v>42198</v>
      </c>
      <c r="N326" s="136" t="s">
        <v>4532</v>
      </c>
      <c r="O326" s="130" t="s">
        <v>4436</v>
      </c>
      <c r="P326" s="130" t="s">
        <v>5345</v>
      </c>
      <c r="Q326" s="130">
        <v>38237090</v>
      </c>
      <c r="R326" s="136">
        <v>16</v>
      </c>
      <c r="S326" s="130" t="s">
        <v>70</v>
      </c>
      <c r="T326" s="136" t="s">
        <v>44</v>
      </c>
      <c r="U326" s="136" t="s">
        <v>53</v>
      </c>
      <c r="V326" s="136">
        <v>1485</v>
      </c>
      <c r="W326" s="133">
        <f t="shared" si="17"/>
        <v>23760</v>
      </c>
      <c r="X326" s="136">
        <v>7.84</v>
      </c>
      <c r="Y326" s="136">
        <v>1000</v>
      </c>
      <c r="Z326" s="136">
        <v>0</v>
      </c>
      <c r="AA326" s="136">
        <v>0</v>
      </c>
      <c r="AB326" s="131">
        <v>42199</v>
      </c>
      <c r="AC326" s="134">
        <f t="shared" si="15"/>
        <v>22752.15996835443</v>
      </c>
      <c r="AD326" s="135">
        <v>63.2</v>
      </c>
      <c r="AE326" s="136">
        <f t="shared" si="16"/>
        <v>1501632</v>
      </c>
      <c r="AF326" s="137">
        <v>1437936.51</v>
      </c>
      <c r="AG326" s="138">
        <v>63.2</v>
      </c>
      <c r="AH326" s="136" t="s">
        <v>5346</v>
      </c>
      <c r="AI326" s="133">
        <v>23745</v>
      </c>
      <c r="AJ326" s="132">
        <v>42268</v>
      </c>
      <c r="AK326" s="136" t="s">
        <v>5347</v>
      </c>
      <c r="AL326" s="132">
        <v>42269</v>
      </c>
      <c r="AM326" s="131" t="s">
        <v>49</v>
      </c>
      <c r="AN326" s="136" t="s">
        <v>4440</v>
      </c>
    </row>
    <row r="327" spans="1:40" s="129" customFormat="1" x14ac:dyDescent="0.25">
      <c r="A327" s="136">
        <v>326</v>
      </c>
      <c r="B327" s="130" t="s">
        <v>4428</v>
      </c>
      <c r="C327" s="130" t="s">
        <v>38</v>
      </c>
      <c r="D327" s="136">
        <v>9103650287</v>
      </c>
      <c r="E327" s="132">
        <v>42204</v>
      </c>
      <c r="F327" s="132" t="s">
        <v>5248</v>
      </c>
      <c r="G327" s="132" t="s">
        <v>444</v>
      </c>
      <c r="H327" s="130" t="s">
        <v>4446</v>
      </c>
      <c r="I327" s="132" t="s">
        <v>40</v>
      </c>
      <c r="J327" s="131" t="s">
        <v>4432</v>
      </c>
      <c r="K327" s="132" t="s">
        <v>4433</v>
      </c>
      <c r="L327" s="136">
        <v>1756991</v>
      </c>
      <c r="M327" s="132" t="s">
        <v>5069</v>
      </c>
      <c r="N327" s="136" t="s">
        <v>5073</v>
      </c>
      <c r="O327" s="130" t="s">
        <v>4436</v>
      </c>
      <c r="P327" s="130" t="s">
        <v>2657</v>
      </c>
      <c r="Q327" s="130">
        <v>29159020</v>
      </c>
      <c r="R327" s="136">
        <v>39.520000000000003</v>
      </c>
      <c r="S327" s="130" t="s">
        <v>70</v>
      </c>
      <c r="T327" s="136" t="s">
        <v>44</v>
      </c>
      <c r="U327" s="136" t="s">
        <v>53</v>
      </c>
      <c r="V327" s="136">
        <v>4780</v>
      </c>
      <c r="W327" s="133">
        <f t="shared" si="17"/>
        <v>188905.60000000001</v>
      </c>
      <c r="X327" s="136">
        <v>62.34</v>
      </c>
      <c r="Y327" s="136">
        <v>1350</v>
      </c>
      <c r="Z327" s="136">
        <v>0</v>
      </c>
      <c r="AA327" s="136">
        <v>0</v>
      </c>
      <c r="AB327" s="131">
        <v>42199</v>
      </c>
      <c r="AC327" s="134">
        <f t="shared" si="15"/>
        <v>187493.25996835442</v>
      </c>
      <c r="AD327" s="135">
        <v>63.2</v>
      </c>
      <c r="AE327" s="136">
        <f t="shared" si="16"/>
        <v>11938833.920000002</v>
      </c>
      <c r="AF327" s="137">
        <v>11849574.029999999</v>
      </c>
      <c r="AG327" s="138">
        <v>63.2</v>
      </c>
      <c r="AH327" s="136" t="s">
        <v>5348</v>
      </c>
      <c r="AI327" s="133">
        <v>188884.6</v>
      </c>
      <c r="AJ327" s="132" t="s">
        <v>5011</v>
      </c>
      <c r="AK327" s="136" t="s">
        <v>5349</v>
      </c>
      <c r="AL327" s="132" t="s">
        <v>5013</v>
      </c>
      <c r="AM327" s="131" t="s">
        <v>49</v>
      </c>
      <c r="AN327" s="133" t="s">
        <v>4440</v>
      </c>
    </row>
    <row r="328" spans="1:40" s="129" customFormat="1" x14ac:dyDescent="0.25">
      <c r="A328" s="130">
        <v>327</v>
      </c>
      <c r="B328" s="130" t="s">
        <v>4428</v>
      </c>
      <c r="C328" s="130" t="s">
        <v>38</v>
      </c>
      <c r="D328" s="136">
        <v>9103650288</v>
      </c>
      <c r="E328" s="132">
        <v>42203</v>
      </c>
      <c r="F328" s="132" t="s">
        <v>5248</v>
      </c>
      <c r="G328" s="132" t="s">
        <v>427</v>
      </c>
      <c r="H328" s="130" t="s">
        <v>4564</v>
      </c>
      <c r="I328" s="132" t="s">
        <v>40</v>
      </c>
      <c r="J328" s="131" t="s">
        <v>4432</v>
      </c>
      <c r="K328" s="132" t="s">
        <v>4433</v>
      </c>
      <c r="L328" s="136">
        <v>1755549</v>
      </c>
      <c r="M328" s="132" t="s">
        <v>5069</v>
      </c>
      <c r="N328" s="136" t="s">
        <v>4579</v>
      </c>
      <c r="O328" s="130" t="s">
        <v>4436</v>
      </c>
      <c r="P328" s="130" t="s">
        <v>4566</v>
      </c>
      <c r="Q328" s="130">
        <v>38231200</v>
      </c>
      <c r="R328" s="136">
        <v>19.89</v>
      </c>
      <c r="S328" s="130" t="s">
        <v>70</v>
      </c>
      <c r="T328" s="136" t="s">
        <v>44</v>
      </c>
      <c r="U328" s="136" t="s">
        <v>53</v>
      </c>
      <c r="V328" s="136">
        <v>1145</v>
      </c>
      <c r="W328" s="133">
        <f t="shared" si="17"/>
        <v>22774.05</v>
      </c>
      <c r="X328" s="136">
        <v>7.52</v>
      </c>
      <c r="Y328" s="136">
        <v>125</v>
      </c>
      <c r="Z328" s="136">
        <v>0</v>
      </c>
      <c r="AA328" s="136">
        <v>0</v>
      </c>
      <c r="AB328" s="131">
        <v>42199</v>
      </c>
      <c r="AC328" s="134">
        <f t="shared" si="15"/>
        <v>22641.530063291139</v>
      </c>
      <c r="AD328" s="135">
        <v>63.2</v>
      </c>
      <c r="AE328" s="136">
        <f t="shared" si="16"/>
        <v>1439319.96</v>
      </c>
      <c r="AF328" s="137">
        <v>1430944.7</v>
      </c>
      <c r="AG328" s="138">
        <v>63.2</v>
      </c>
      <c r="AH328" s="136" t="s">
        <v>5350</v>
      </c>
      <c r="AI328" s="133">
        <v>22716.560000000001</v>
      </c>
      <c r="AJ328" s="132" t="s">
        <v>4860</v>
      </c>
      <c r="AK328" s="136" t="s">
        <v>5351</v>
      </c>
      <c r="AL328" s="132" t="s">
        <v>4627</v>
      </c>
      <c r="AM328" s="131" t="s">
        <v>49</v>
      </c>
      <c r="AN328" s="133" t="s">
        <v>4440</v>
      </c>
    </row>
    <row r="329" spans="1:40" s="129" customFormat="1" x14ac:dyDescent="0.25">
      <c r="A329" s="136">
        <v>328</v>
      </c>
      <c r="B329" s="130" t="s">
        <v>4428</v>
      </c>
      <c r="C329" s="130" t="s">
        <v>38</v>
      </c>
      <c r="D329" s="136">
        <v>9103650289</v>
      </c>
      <c r="E329" s="132">
        <v>42205</v>
      </c>
      <c r="F329" s="132" t="s">
        <v>5248</v>
      </c>
      <c r="G329" s="132" t="s">
        <v>441</v>
      </c>
      <c r="H329" s="130" t="s">
        <v>4446</v>
      </c>
      <c r="I329" s="132" t="s">
        <v>40</v>
      </c>
      <c r="J329" s="131" t="s">
        <v>4432</v>
      </c>
      <c r="K329" s="132" t="s">
        <v>4433</v>
      </c>
      <c r="L329" s="136">
        <v>1749740</v>
      </c>
      <c r="M329" s="132" t="s">
        <v>5069</v>
      </c>
      <c r="N329" s="136" t="s">
        <v>4452</v>
      </c>
      <c r="O329" s="130" t="s">
        <v>4436</v>
      </c>
      <c r="P329" s="130" t="s">
        <v>75</v>
      </c>
      <c r="Q329" s="130">
        <v>29161990</v>
      </c>
      <c r="R329" s="136">
        <v>14.4</v>
      </c>
      <c r="S329" s="130" t="s">
        <v>70</v>
      </c>
      <c r="T329" s="136" t="s">
        <v>52</v>
      </c>
      <c r="U329" s="136" t="s">
        <v>53</v>
      </c>
      <c r="V329" s="136">
        <v>2945</v>
      </c>
      <c r="W329" s="133">
        <f t="shared" si="17"/>
        <v>42408</v>
      </c>
      <c r="X329" s="136">
        <v>0</v>
      </c>
      <c r="Y329" s="136">
        <v>125</v>
      </c>
      <c r="Z329" s="136">
        <v>0</v>
      </c>
      <c r="AA329" s="136">
        <v>0</v>
      </c>
      <c r="AB329" s="131">
        <v>42199</v>
      </c>
      <c r="AC329" s="134">
        <f t="shared" si="15"/>
        <v>42283</v>
      </c>
      <c r="AD329" s="135">
        <v>63.2</v>
      </c>
      <c r="AE329" s="136">
        <f t="shared" si="16"/>
        <v>2680185.6</v>
      </c>
      <c r="AF329" s="137">
        <v>2672285.6</v>
      </c>
      <c r="AG329" s="138">
        <v>63.2</v>
      </c>
      <c r="AH329" s="136" t="s">
        <v>5352</v>
      </c>
      <c r="AI329" s="133">
        <v>42408</v>
      </c>
      <c r="AJ329" s="132" t="s">
        <v>5132</v>
      </c>
      <c r="AK329" s="136" t="s">
        <v>5353</v>
      </c>
      <c r="AL329" s="132" t="s">
        <v>5354</v>
      </c>
      <c r="AM329" s="131" t="s">
        <v>49</v>
      </c>
      <c r="AN329" s="133" t="s">
        <v>4440</v>
      </c>
    </row>
    <row r="330" spans="1:40" s="129" customFormat="1" x14ac:dyDescent="0.25">
      <c r="A330" s="130">
        <v>329</v>
      </c>
      <c r="B330" s="130" t="s">
        <v>4428</v>
      </c>
      <c r="C330" s="130" t="s">
        <v>38</v>
      </c>
      <c r="D330" s="136">
        <v>9103650290</v>
      </c>
      <c r="E330" s="132">
        <v>42204</v>
      </c>
      <c r="F330" s="132" t="s">
        <v>5248</v>
      </c>
      <c r="G330" s="132" t="s">
        <v>453</v>
      </c>
      <c r="H330" s="130" t="s">
        <v>4446</v>
      </c>
      <c r="I330" s="132" t="s">
        <v>40</v>
      </c>
      <c r="J330" s="131" t="s">
        <v>4432</v>
      </c>
      <c r="K330" s="132" t="s">
        <v>4433</v>
      </c>
      <c r="L330" s="136">
        <v>1786297</v>
      </c>
      <c r="M330" s="132" t="s">
        <v>5355</v>
      </c>
      <c r="N330" s="136" t="s">
        <v>3741</v>
      </c>
      <c r="O330" s="130" t="s">
        <v>4436</v>
      </c>
      <c r="P330" s="130" t="s">
        <v>4492</v>
      </c>
      <c r="Q330" s="130">
        <v>29051700</v>
      </c>
      <c r="R330" s="136">
        <v>18.14</v>
      </c>
      <c r="S330" s="130" t="s">
        <v>70</v>
      </c>
      <c r="T330" s="136" t="s">
        <v>44</v>
      </c>
      <c r="U330" s="136" t="s">
        <v>53</v>
      </c>
      <c r="V330" s="136">
        <v>1858</v>
      </c>
      <c r="W330" s="133">
        <f t="shared" si="17"/>
        <v>33704.120000000003</v>
      </c>
      <c r="X330" s="136">
        <v>11.12</v>
      </c>
      <c r="Y330" s="136">
        <v>1650</v>
      </c>
      <c r="Z330" s="136">
        <v>0</v>
      </c>
      <c r="AA330" s="136">
        <v>0</v>
      </c>
      <c r="AB330" s="131">
        <v>42200</v>
      </c>
      <c r="AC330" s="134">
        <f t="shared" si="15"/>
        <v>32043</v>
      </c>
      <c r="AD330" s="135">
        <v>63.2</v>
      </c>
      <c r="AE330" s="136">
        <f t="shared" si="16"/>
        <v>2130100.3840000001</v>
      </c>
      <c r="AF330" s="137">
        <v>2025117.6</v>
      </c>
      <c r="AG330" s="138">
        <v>63.2</v>
      </c>
      <c r="AH330" s="136" t="s">
        <v>5356</v>
      </c>
      <c r="AI330" s="133">
        <v>33704.120000000003</v>
      </c>
      <c r="AJ330" s="132" t="s">
        <v>4803</v>
      </c>
      <c r="AK330" s="136" t="s">
        <v>5357</v>
      </c>
      <c r="AL330" s="132" t="s">
        <v>4805</v>
      </c>
      <c r="AM330" s="131" t="s">
        <v>49</v>
      </c>
      <c r="AN330" s="136" t="s">
        <v>4440</v>
      </c>
    </row>
    <row r="331" spans="1:40" s="129" customFormat="1" x14ac:dyDescent="0.25">
      <c r="A331" s="136">
        <v>330</v>
      </c>
      <c r="B331" s="130" t="s">
        <v>4428</v>
      </c>
      <c r="C331" s="130" t="s">
        <v>38</v>
      </c>
      <c r="D331" s="136">
        <v>9103650291</v>
      </c>
      <c r="E331" s="132">
        <v>42205</v>
      </c>
      <c r="F331" s="132" t="s">
        <v>5248</v>
      </c>
      <c r="G331" s="132" t="s">
        <v>445</v>
      </c>
      <c r="H331" s="130" t="s">
        <v>4491</v>
      </c>
      <c r="I331" s="132" t="s">
        <v>40</v>
      </c>
      <c r="J331" s="131" t="s">
        <v>4432</v>
      </c>
      <c r="K331" s="132" t="s">
        <v>4433</v>
      </c>
      <c r="L331" s="136">
        <v>1786979</v>
      </c>
      <c r="M331" s="132" t="s">
        <v>5355</v>
      </c>
      <c r="N331" s="136" t="s">
        <v>3741</v>
      </c>
      <c r="O331" s="130" t="s">
        <v>4436</v>
      </c>
      <c r="P331" s="130" t="s">
        <v>4492</v>
      </c>
      <c r="Q331" s="130">
        <v>38237090</v>
      </c>
      <c r="R331" s="136">
        <v>18.14</v>
      </c>
      <c r="S331" s="130" t="s">
        <v>70</v>
      </c>
      <c r="T331" s="136" t="s">
        <v>44</v>
      </c>
      <c r="U331" s="136" t="s">
        <v>53</v>
      </c>
      <c r="V331" s="136">
        <v>1514</v>
      </c>
      <c r="W331" s="133">
        <f t="shared" si="17"/>
        <v>27463.96</v>
      </c>
      <c r="X331" s="136">
        <v>9.08</v>
      </c>
      <c r="Y331" s="136">
        <v>3450</v>
      </c>
      <c r="Z331" s="136">
        <v>0</v>
      </c>
      <c r="AA331" s="136">
        <v>0</v>
      </c>
      <c r="AB331" s="131">
        <v>42200</v>
      </c>
      <c r="AC331" s="134">
        <f t="shared" si="15"/>
        <v>24004.899999999998</v>
      </c>
      <c r="AD331" s="135">
        <v>63.2</v>
      </c>
      <c r="AE331" s="136">
        <f t="shared" si="16"/>
        <v>1735722.2720000001</v>
      </c>
      <c r="AF331" s="137">
        <v>1517109.68</v>
      </c>
      <c r="AG331" s="138">
        <v>63.2</v>
      </c>
      <c r="AH331" s="136" t="s">
        <v>5358</v>
      </c>
      <c r="AI331" s="133">
        <v>27463.96</v>
      </c>
      <c r="AJ331" s="132" t="s">
        <v>4803</v>
      </c>
      <c r="AK331" s="136" t="s">
        <v>5359</v>
      </c>
      <c r="AL331" s="132" t="s">
        <v>4805</v>
      </c>
      <c r="AM331" s="131" t="s">
        <v>49</v>
      </c>
      <c r="AN331" s="136" t="s">
        <v>4440</v>
      </c>
    </row>
    <row r="332" spans="1:40" s="129" customFormat="1" x14ac:dyDescent="0.25">
      <c r="A332" s="130">
        <v>331</v>
      </c>
      <c r="B332" s="130" t="s">
        <v>4428</v>
      </c>
      <c r="C332" s="130" t="s">
        <v>38</v>
      </c>
      <c r="D332" s="136">
        <v>9103650292</v>
      </c>
      <c r="E332" s="132">
        <v>42204</v>
      </c>
      <c r="F332" s="132" t="s">
        <v>5248</v>
      </c>
      <c r="G332" s="132" t="s">
        <v>445</v>
      </c>
      <c r="H332" s="130" t="s">
        <v>4456</v>
      </c>
      <c r="I332" s="132" t="s">
        <v>40</v>
      </c>
      <c r="J332" s="131" t="s">
        <v>4432</v>
      </c>
      <c r="K332" s="132" t="s">
        <v>4433</v>
      </c>
      <c r="L332" s="136">
        <v>1787134</v>
      </c>
      <c r="M332" s="132">
        <v>42202</v>
      </c>
      <c r="N332" s="136" t="s">
        <v>5360</v>
      </c>
      <c r="O332" s="130" t="s">
        <v>4436</v>
      </c>
      <c r="P332" s="130" t="s">
        <v>294</v>
      </c>
      <c r="Q332" s="130">
        <v>29051700</v>
      </c>
      <c r="R332" s="136">
        <v>12</v>
      </c>
      <c r="S332" s="130" t="s">
        <v>70</v>
      </c>
      <c r="T332" s="136" t="s">
        <v>44</v>
      </c>
      <c r="U332" s="136" t="s">
        <v>53</v>
      </c>
      <c r="V332" s="136">
        <v>1534</v>
      </c>
      <c r="W332" s="133">
        <f t="shared" si="17"/>
        <v>18408</v>
      </c>
      <c r="X332" s="136">
        <v>6.07</v>
      </c>
      <c r="Y332" s="136">
        <v>1000</v>
      </c>
      <c r="Z332" s="136">
        <v>0</v>
      </c>
      <c r="AA332" s="136">
        <v>0</v>
      </c>
      <c r="AB332" s="131">
        <v>42200</v>
      </c>
      <c r="AC332" s="134">
        <f t="shared" si="15"/>
        <v>17401.93006329114</v>
      </c>
      <c r="AD332" s="135">
        <v>63.2</v>
      </c>
      <c r="AE332" s="136">
        <f t="shared" si="16"/>
        <v>1163385.6000000001</v>
      </c>
      <c r="AF332" s="137">
        <v>1099801.98</v>
      </c>
      <c r="AG332" s="138">
        <v>63.2</v>
      </c>
      <c r="AH332" s="136" t="s">
        <v>5361</v>
      </c>
      <c r="AI332" s="133">
        <v>18393</v>
      </c>
      <c r="AJ332" s="132">
        <v>42268</v>
      </c>
      <c r="AK332" s="136" t="s">
        <v>5362</v>
      </c>
      <c r="AL332" s="132">
        <v>42269</v>
      </c>
      <c r="AM332" s="131" t="s">
        <v>49</v>
      </c>
      <c r="AN332" s="136" t="s">
        <v>4440</v>
      </c>
    </row>
    <row r="333" spans="1:40" s="129" customFormat="1" x14ac:dyDescent="0.25">
      <c r="A333" s="136">
        <v>332</v>
      </c>
      <c r="B333" s="130" t="s">
        <v>4428</v>
      </c>
      <c r="C333" s="130" t="s">
        <v>38</v>
      </c>
      <c r="D333" s="136">
        <v>9103650293</v>
      </c>
      <c r="E333" s="132">
        <v>42204</v>
      </c>
      <c r="F333" s="132" t="s">
        <v>5248</v>
      </c>
      <c r="G333" s="132" t="s">
        <v>432</v>
      </c>
      <c r="H333" s="130" t="s">
        <v>4463</v>
      </c>
      <c r="I333" s="132" t="s">
        <v>40</v>
      </c>
      <c r="J333" s="131" t="s">
        <v>4432</v>
      </c>
      <c r="K333" s="132" t="s">
        <v>4433</v>
      </c>
      <c r="L333" s="136">
        <v>1788694</v>
      </c>
      <c r="M333" s="132">
        <v>42199</v>
      </c>
      <c r="N333" s="136" t="s">
        <v>4443</v>
      </c>
      <c r="O333" s="130" t="s">
        <v>4436</v>
      </c>
      <c r="P333" s="130" t="s">
        <v>59</v>
      </c>
      <c r="Q333" s="130">
        <v>38237090</v>
      </c>
      <c r="R333" s="136">
        <v>15</v>
      </c>
      <c r="S333" s="130" t="s">
        <v>70</v>
      </c>
      <c r="T333" s="136" t="s">
        <v>67</v>
      </c>
      <c r="U333" s="136" t="s">
        <v>53</v>
      </c>
      <c r="V333" s="136">
        <v>0</v>
      </c>
      <c r="W333" s="133">
        <f>(12*1495+3*1545)</f>
        <v>22575</v>
      </c>
      <c r="X333" s="136">
        <v>0</v>
      </c>
      <c r="Y333" s="136">
        <v>0</v>
      </c>
      <c r="Z333" s="136">
        <v>0</v>
      </c>
      <c r="AA333" s="136">
        <v>0</v>
      </c>
      <c r="AB333" s="131">
        <v>42200</v>
      </c>
      <c r="AC333" s="134">
        <f t="shared" si="15"/>
        <v>22575</v>
      </c>
      <c r="AD333" s="135">
        <v>63.2</v>
      </c>
      <c r="AE333" s="136">
        <f t="shared" si="16"/>
        <v>1426740</v>
      </c>
      <c r="AF333" s="137">
        <v>1426740</v>
      </c>
      <c r="AG333" s="138">
        <v>63.5</v>
      </c>
      <c r="AH333" s="136" t="s">
        <v>5194</v>
      </c>
      <c r="AI333" s="133">
        <v>22575</v>
      </c>
      <c r="AJ333" s="132">
        <v>42173</v>
      </c>
      <c r="AK333" s="136" t="s">
        <v>5195</v>
      </c>
      <c r="AL333" s="132">
        <v>42210</v>
      </c>
      <c r="AM333" s="131" t="s">
        <v>49</v>
      </c>
      <c r="AN333" s="133" t="s">
        <v>4440</v>
      </c>
    </row>
    <row r="334" spans="1:40" s="129" customFormat="1" x14ac:dyDescent="0.25">
      <c r="A334" s="130">
        <v>333</v>
      </c>
      <c r="B334" s="130" t="s">
        <v>4428</v>
      </c>
      <c r="C334" s="130" t="s">
        <v>38</v>
      </c>
      <c r="D334" s="136">
        <v>9103650294</v>
      </c>
      <c r="E334" s="132">
        <v>42206</v>
      </c>
      <c r="F334" s="132" t="s">
        <v>5248</v>
      </c>
      <c r="G334" s="132" t="s">
        <v>431</v>
      </c>
      <c r="H334" s="130" t="s">
        <v>4564</v>
      </c>
      <c r="I334" s="132" t="s">
        <v>40</v>
      </c>
      <c r="J334" s="131" t="s">
        <v>4432</v>
      </c>
      <c r="K334" s="132" t="s">
        <v>4433</v>
      </c>
      <c r="L334" s="136">
        <v>1785987</v>
      </c>
      <c r="M334" s="132" t="s">
        <v>5355</v>
      </c>
      <c r="N334" s="136" t="s">
        <v>5277</v>
      </c>
      <c r="O334" s="130" t="s">
        <v>4436</v>
      </c>
      <c r="P334" s="130" t="s">
        <v>205</v>
      </c>
      <c r="Q334" s="130">
        <v>38237090</v>
      </c>
      <c r="R334" s="136">
        <v>32</v>
      </c>
      <c r="S334" s="130" t="s">
        <v>70</v>
      </c>
      <c r="T334" s="136" t="s">
        <v>44</v>
      </c>
      <c r="U334" s="136" t="s">
        <v>53</v>
      </c>
      <c r="V334" s="136">
        <v>1400</v>
      </c>
      <c r="W334" s="133">
        <f t="shared" si="17"/>
        <v>44800</v>
      </c>
      <c r="X334" s="136">
        <v>14.78</v>
      </c>
      <c r="Y334" s="136">
        <v>1050</v>
      </c>
      <c r="Z334" s="136">
        <v>0</v>
      </c>
      <c r="AA334" s="136">
        <v>0</v>
      </c>
      <c r="AB334" s="131">
        <v>42200</v>
      </c>
      <c r="AC334" s="134">
        <f t="shared" si="15"/>
        <v>43735.219936708854</v>
      </c>
      <c r="AD334" s="135">
        <v>63.2</v>
      </c>
      <c r="AE334" s="136">
        <f t="shared" si="16"/>
        <v>2831360</v>
      </c>
      <c r="AF334" s="137">
        <v>2764065.9</v>
      </c>
      <c r="AG334" s="138">
        <v>63.2</v>
      </c>
      <c r="AH334" s="136" t="s">
        <v>5363</v>
      </c>
      <c r="AI334" s="133">
        <v>44685</v>
      </c>
      <c r="AJ334" s="132" t="s">
        <v>5017</v>
      </c>
      <c r="AK334" s="136" t="s">
        <v>5364</v>
      </c>
      <c r="AL334" s="132" t="s">
        <v>5132</v>
      </c>
      <c r="AM334" s="131" t="s">
        <v>49</v>
      </c>
      <c r="AN334" s="133" t="s">
        <v>4440</v>
      </c>
    </row>
    <row r="335" spans="1:40" s="129" customFormat="1" x14ac:dyDescent="0.25">
      <c r="A335" s="136">
        <v>334</v>
      </c>
      <c r="B335" s="130" t="s">
        <v>4428</v>
      </c>
      <c r="C335" s="130" t="s">
        <v>38</v>
      </c>
      <c r="D335" s="136">
        <v>9103650295</v>
      </c>
      <c r="E335" s="132">
        <v>42203</v>
      </c>
      <c r="F335" s="132" t="s">
        <v>5248</v>
      </c>
      <c r="G335" s="132" t="s">
        <v>433</v>
      </c>
      <c r="H335" s="130" t="s">
        <v>4564</v>
      </c>
      <c r="I335" s="132" t="s">
        <v>40</v>
      </c>
      <c r="J335" s="131" t="s">
        <v>4432</v>
      </c>
      <c r="K335" s="132" t="s">
        <v>4433</v>
      </c>
      <c r="L335" s="136">
        <v>1786085</v>
      </c>
      <c r="M335" s="132" t="s">
        <v>5355</v>
      </c>
      <c r="N335" s="136" t="s">
        <v>4565</v>
      </c>
      <c r="O335" s="130" t="s">
        <v>4436</v>
      </c>
      <c r="P335" s="130" t="s">
        <v>4566</v>
      </c>
      <c r="Q335" s="130" t="s">
        <v>4559</v>
      </c>
      <c r="R335" s="136">
        <v>16</v>
      </c>
      <c r="S335" s="130" t="s">
        <v>70</v>
      </c>
      <c r="T335" s="136" t="s">
        <v>44</v>
      </c>
      <c r="U335" s="136" t="s">
        <v>53</v>
      </c>
      <c r="V335" s="136">
        <v>0</v>
      </c>
      <c r="W335" s="133">
        <f>(14*1380+2*1480)</f>
        <v>22280</v>
      </c>
      <c r="X335" s="136">
        <v>7.35</v>
      </c>
      <c r="Y335" s="136">
        <v>50</v>
      </c>
      <c r="Z335" s="136">
        <v>0</v>
      </c>
      <c r="AA335" s="136">
        <v>0</v>
      </c>
      <c r="AB335" s="131">
        <v>42200</v>
      </c>
      <c r="AC335" s="134">
        <f t="shared" si="15"/>
        <v>22222.649999999998</v>
      </c>
      <c r="AD335" s="135">
        <v>63.2</v>
      </c>
      <c r="AE335" s="136">
        <f t="shared" si="16"/>
        <v>1408096</v>
      </c>
      <c r="AF335" s="137">
        <v>1404471.48</v>
      </c>
      <c r="AG335" s="138">
        <v>63.2</v>
      </c>
      <c r="AH335" s="136" t="s">
        <v>5365</v>
      </c>
      <c r="AI335" s="136">
        <v>22219</v>
      </c>
      <c r="AJ335" s="132" t="s">
        <v>4627</v>
      </c>
      <c r="AK335" s="136" t="s">
        <v>5366</v>
      </c>
      <c r="AL335" s="132" t="s">
        <v>4629</v>
      </c>
      <c r="AM335" s="131" t="s">
        <v>49</v>
      </c>
      <c r="AN335" s="136" t="s">
        <v>4440</v>
      </c>
    </row>
    <row r="336" spans="1:40" s="129" customFormat="1" x14ac:dyDescent="0.25">
      <c r="A336" s="130">
        <v>335</v>
      </c>
      <c r="B336" s="130" t="s">
        <v>4428</v>
      </c>
      <c r="C336" s="130" t="s">
        <v>38</v>
      </c>
      <c r="D336" s="136">
        <v>9103650296</v>
      </c>
      <c r="E336" s="132">
        <v>42204</v>
      </c>
      <c r="F336" s="132" t="s">
        <v>5248</v>
      </c>
      <c r="G336" s="132" t="s">
        <v>434</v>
      </c>
      <c r="H336" s="130" t="s">
        <v>4456</v>
      </c>
      <c r="I336" s="132" t="s">
        <v>40</v>
      </c>
      <c r="J336" s="131" t="s">
        <v>4432</v>
      </c>
      <c r="K336" s="132" t="s">
        <v>4433</v>
      </c>
      <c r="L336" s="136">
        <v>1786066</v>
      </c>
      <c r="M336" s="132">
        <v>42199</v>
      </c>
      <c r="N336" s="136" t="s">
        <v>5360</v>
      </c>
      <c r="O336" s="130" t="s">
        <v>4436</v>
      </c>
      <c r="P336" s="130" t="s">
        <v>294</v>
      </c>
      <c r="Q336" s="130" t="s">
        <v>4645</v>
      </c>
      <c r="R336" s="136">
        <v>12</v>
      </c>
      <c r="S336" s="130" t="s">
        <v>70</v>
      </c>
      <c r="T336" s="136" t="s">
        <v>44</v>
      </c>
      <c r="U336" s="136" t="s">
        <v>53</v>
      </c>
      <c r="V336" s="136">
        <v>0</v>
      </c>
      <c r="W336" s="133">
        <f>(3*1534+2.4*1481+6.6*1566)</f>
        <v>18492</v>
      </c>
      <c r="X336" s="136">
        <v>6.1</v>
      </c>
      <c r="Y336" s="136">
        <v>1000</v>
      </c>
      <c r="Z336" s="136">
        <v>0</v>
      </c>
      <c r="AA336" s="136">
        <v>0</v>
      </c>
      <c r="AB336" s="131">
        <v>42200</v>
      </c>
      <c r="AC336" s="134">
        <f t="shared" si="15"/>
        <v>17485.899999999998</v>
      </c>
      <c r="AD336" s="135">
        <v>63.2</v>
      </c>
      <c r="AE336" s="136">
        <f t="shared" si="16"/>
        <v>1168694.4000000001</v>
      </c>
      <c r="AF336" s="137">
        <v>1105108.8799999999</v>
      </c>
      <c r="AG336" s="138">
        <v>63.2</v>
      </c>
      <c r="AH336" s="136" t="s">
        <v>5367</v>
      </c>
      <c r="AI336" s="133">
        <v>18477</v>
      </c>
      <c r="AJ336" s="132">
        <v>42268</v>
      </c>
      <c r="AK336" s="136" t="s">
        <v>5368</v>
      </c>
      <c r="AL336" s="132">
        <v>42269</v>
      </c>
      <c r="AM336" s="131" t="s">
        <v>49</v>
      </c>
      <c r="AN336" s="136" t="s">
        <v>4440</v>
      </c>
    </row>
    <row r="337" spans="1:40" s="129" customFormat="1" x14ac:dyDescent="0.25">
      <c r="A337" s="136">
        <v>336</v>
      </c>
      <c r="B337" s="130" t="s">
        <v>4428</v>
      </c>
      <c r="C337" s="130" t="s">
        <v>38</v>
      </c>
      <c r="D337" s="136">
        <v>9103650297</v>
      </c>
      <c r="E337" s="132">
        <v>42205</v>
      </c>
      <c r="F337" s="132" t="s">
        <v>5248</v>
      </c>
      <c r="G337" s="132" t="s">
        <v>437</v>
      </c>
      <c r="H337" s="130" t="s">
        <v>4491</v>
      </c>
      <c r="I337" s="132" t="s">
        <v>40</v>
      </c>
      <c r="J337" s="131" t="s">
        <v>4432</v>
      </c>
      <c r="K337" s="132" t="s">
        <v>4433</v>
      </c>
      <c r="L337" s="136">
        <v>1789017</v>
      </c>
      <c r="M337" s="132" t="s">
        <v>5355</v>
      </c>
      <c r="N337" s="136" t="s">
        <v>3741</v>
      </c>
      <c r="O337" s="130" t="s">
        <v>4436</v>
      </c>
      <c r="P337" s="130" t="s">
        <v>4492</v>
      </c>
      <c r="Q337" s="130">
        <v>38237090</v>
      </c>
      <c r="R337" s="136">
        <v>18.14</v>
      </c>
      <c r="S337" s="130" t="s">
        <v>70</v>
      </c>
      <c r="T337" s="136" t="s">
        <v>44</v>
      </c>
      <c r="U337" s="136" t="s">
        <v>53</v>
      </c>
      <c r="V337" s="136">
        <v>1503</v>
      </c>
      <c r="W337" s="133">
        <f t="shared" si="17"/>
        <v>27264.420000000002</v>
      </c>
      <c r="X337" s="136">
        <v>9</v>
      </c>
      <c r="Y337" s="136">
        <v>3300</v>
      </c>
      <c r="Z337" s="136">
        <v>0</v>
      </c>
      <c r="AA337" s="136">
        <v>0</v>
      </c>
      <c r="AB337" s="131">
        <v>42201</v>
      </c>
      <c r="AC337" s="134">
        <f t="shared" si="15"/>
        <v>23955.419936708859</v>
      </c>
      <c r="AD337" s="135">
        <v>63.2</v>
      </c>
      <c r="AE337" s="136">
        <f t="shared" si="16"/>
        <v>1723111.3440000003</v>
      </c>
      <c r="AF337" s="137">
        <v>1513982.54</v>
      </c>
      <c r="AG337" s="138">
        <v>63.2</v>
      </c>
      <c r="AH337" s="136" t="s">
        <v>5369</v>
      </c>
      <c r="AI337" s="133">
        <v>27264.42</v>
      </c>
      <c r="AJ337" s="132" t="s">
        <v>4803</v>
      </c>
      <c r="AK337" s="136" t="s">
        <v>5370</v>
      </c>
      <c r="AL337" s="132" t="s">
        <v>4805</v>
      </c>
      <c r="AM337" s="131" t="s">
        <v>49</v>
      </c>
      <c r="AN337" s="136" t="s">
        <v>4440</v>
      </c>
    </row>
    <row r="338" spans="1:40" s="129" customFormat="1" x14ac:dyDescent="0.25">
      <c r="A338" s="130">
        <v>337</v>
      </c>
      <c r="B338" s="130" t="s">
        <v>4428</v>
      </c>
      <c r="C338" s="130" t="s">
        <v>38</v>
      </c>
      <c r="D338" s="136">
        <v>9103650298</v>
      </c>
      <c r="E338" s="132">
        <v>42203</v>
      </c>
      <c r="F338" s="132" t="s">
        <v>5248</v>
      </c>
      <c r="G338" s="132" t="s">
        <v>436</v>
      </c>
      <c r="H338" s="130" t="s">
        <v>4431</v>
      </c>
      <c r="I338" s="132" t="s">
        <v>40</v>
      </c>
      <c r="J338" s="131" t="s">
        <v>4432</v>
      </c>
      <c r="K338" s="132" t="s">
        <v>4433</v>
      </c>
      <c r="L338" s="136">
        <v>1813340</v>
      </c>
      <c r="M338" s="132" t="s">
        <v>4878</v>
      </c>
      <c r="N338" s="136" t="s">
        <v>4655</v>
      </c>
      <c r="O338" s="130" t="s">
        <v>4436</v>
      </c>
      <c r="P338" s="130" t="s">
        <v>143</v>
      </c>
      <c r="Q338" s="130">
        <v>38237090</v>
      </c>
      <c r="R338" s="136">
        <v>16</v>
      </c>
      <c r="S338" s="130" t="s">
        <v>70</v>
      </c>
      <c r="T338" s="136" t="s">
        <v>52</v>
      </c>
      <c r="U338" s="136" t="s">
        <v>53</v>
      </c>
      <c r="V338" s="136">
        <v>1465</v>
      </c>
      <c r="W338" s="133">
        <f t="shared" si="17"/>
        <v>23440</v>
      </c>
      <c r="X338" s="136">
        <v>0</v>
      </c>
      <c r="Y338" s="136">
        <v>656</v>
      </c>
      <c r="Z338" s="136">
        <v>0</v>
      </c>
      <c r="AA338" s="136">
        <v>0</v>
      </c>
      <c r="AB338" s="131">
        <v>42201</v>
      </c>
      <c r="AC338" s="134">
        <f t="shared" si="15"/>
        <v>22784</v>
      </c>
      <c r="AD338" s="135">
        <v>63.2</v>
      </c>
      <c r="AE338" s="136">
        <f t="shared" si="16"/>
        <v>1481408</v>
      </c>
      <c r="AF338" s="137">
        <v>1439948.8</v>
      </c>
      <c r="AG338" s="138">
        <v>63.2</v>
      </c>
      <c r="AH338" s="136" t="s">
        <v>5371</v>
      </c>
      <c r="AI338" s="133">
        <v>23327</v>
      </c>
      <c r="AJ338" s="132" t="s">
        <v>5059</v>
      </c>
      <c r="AK338" s="136" t="s">
        <v>5372</v>
      </c>
      <c r="AL338" s="132" t="s">
        <v>5061</v>
      </c>
      <c r="AM338" s="131" t="s">
        <v>49</v>
      </c>
      <c r="AN338" s="133" t="s">
        <v>4440</v>
      </c>
    </row>
    <row r="339" spans="1:40" s="129" customFormat="1" x14ac:dyDescent="0.25">
      <c r="A339" s="136">
        <v>338</v>
      </c>
      <c r="B339" s="130" t="s">
        <v>4428</v>
      </c>
      <c r="C339" s="130" t="s">
        <v>38</v>
      </c>
      <c r="D339" s="136">
        <v>9103650299</v>
      </c>
      <c r="E339" s="132">
        <v>42204</v>
      </c>
      <c r="F339" s="132" t="s">
        <v>5248</v>
      </c>
      <c r="G339" s="132" t="s">
        <v>442</v>
      </c>
      <c r="H339" s="130" t="s">
        <v>5373</v>
      </c>
      <c r="I339" s="132" t="s">
        <v>40</v>
      </c>
      <c r="J339" s="131" t="s">
        <v>4432</v>
      </c>
      <c r="K339" s="132" t="s">
        <v>4433</v>
      </c>
      <c r="L339" s="136">
        <v>1811858</v>
      </c>
      <c r="M339" s="132">
        <v>42200</v>
      </c>
      <c r="N339" s="136" t="s">
        <v>5360</v>
      </c>
      <c r="O339" s="130" t="s">
        <v>4436</v>
      </c>
      <c r="P339" s="130" t="s">
        <v>294</v>
      </c>
      <c r="Q339" s="130" t="s">
        <v>4645</v>
      </c>
      <c r="R339" s="136">
        <v>12</v>
      </c>
      <c r="S339" s="130" t="s">
        <v>70</v>
      </c>
      <c r="T339" s="136" t="s">
        <v>44</v>
      </c>
      <c r="U339" s="136" t="s">
        <v>53</v>
      </c>
      <c r="V339" s="136">
        <v>0</v>
      </c>
      <c r="W339" s="133">
        <f>(2.4*1534+1.8*1481+7.8*1566)</f>
        <v>18562.199999999997</v>
      </c>
      <c r="X339" s="136">
        <v>6.13</v>
      </c>
      <c r="Y339" s="136">
        <v>1000</v>
      </c>
      <c r="Z339" s="136">
        <v>0</v>
      </c>
      <c r="AA339" s="136">
        <v>0</v>
      </c>
      <c r="AB339" s="131">
        <v>42201</v>
      </c>
      <c r="AC339" s="134">
        <f t="shared" si="15"/>
        <v>17556.06993670886</v>
      </c>
      <c r="AD339" s="135">
        <v>63.2</v>
      </c>
      <c r="AE339" s="136">
        <f t="shared" si="16"/>
        <v>1173131.0399999998</v>
      </c>
      <c r="AF339" s="137">
        <v>1109543.6200000001</v>
      </c>
      <c r="AG339" s="138">
        <v>63.2</v>
      </c>
      <c r="AH339" s="136" t="s">
        <v>5374</v>
      </c>
      <c r="AI339" s="136">
        <v>18547.2</v>
      </c>
      <c r="AJ339" s="132">
        <v>42268</v>
      </c>
      <c r="AK339" s="136" t="s">
        <v>5375</v>
      </c>
      <c r="AL339" s="132">
        <v>42269</v>
      </c>
      <c r="AM339" s="131" t="s">
        <v>49</v>
      </c>
      <c r="AN339" s="136" t="s">
        <v>4440</v>
      </c>
    </row>
    <row r="340" spans="1:40" s="129" customFormat="1" x14ac:dyDescent="0.25">
      <c r="A340" s="130">
        <v>339</v>
      </c>
      <c r="B340" s="130" t="s">
        <v>4428</v>
      </c>
      <c r="C340" s="130" t="s">
        <v>38</v>
      </c>
      <c r="D340" s="136">
        <v>9103650300</v>
      </c>
      <c r="E340" s="132">
        <v>42205</v>
      </c>
      <c r="F340" s="132" t="s">
        <v>5248</v>
      </c>
      <c r="G340" s="132" t="s">
        <v>435</v>
      </c>
      <c r="H340" s="130" t="s">
        <v>4491</v>
      </c>
      <c r="I340" s="132" t="s">
        <v>40</v>
      </c>
      <c r="J340" s="131" t="s">
        <v>4432</v>
      </c>
      <c r="K340" s="132" t="s">
        <v>4433</v>
      </c>
      <c r="L340" s="136">
        <v>1809224</v>
      </c>
      <c r="M340" s="132" t="s">
        <v>4878</v>
      </c>
      <c r="N340" s="136" t="s">
        <v>3741</v>
      </c>
      <c r="O340" s="130" t="s">
        <v>4436</v>
      </c>
      <c r="P340" s="130" t="s">
        <v>4492</v>
      </c>
      <c r="Q340" s="130">
        <v>38237090</v>
      </c>
      <c r="R340" s="136">
        <v>18.14</v>
      </c>
      <c r="S340" s="130" t="s">
        <v>70</v>
      </c>
      <c r="T340" s="136" t="s">
        <v>44</v>
      </c>
      <c r="U340" s="136" t="s">
        <v>53</v>
      </c>
      <c r="V340" s="136">
        <v>1467</v>
      </c>
      <c r="W340" s="133">
        <f t="shared" si="17"/>
        <v>26611.38</v>
      </c>
      <c r="X340" s="136">
        <v>8.7799999999999994</v>
      </c>
      <c r="Y340" s="136">
        <v>2450</v>
      </c>
      <c r="Z340" s="136">
        <v>0</v>
      </c>
      <c r="AA340" s="136">
        <v>0</v>
      </c>
      <c r="AB340" s="131">
        <v>42202</v>
      </c>
      <c r="AC340" s="134">
        <f t="shared" si="15"/>
        <v>24152.6</v>
      </c>
      <c r="AD340" s="135">
        <v>63.2</v>
      </c>
      <c r="AE340" s="136">
        <f t="shared" si="16"/>
        <v>1681839.2160000002</v>
      </c>
      <c r="AF340" s="137">
        <v>1526444.32</v>
      </c>
      <c r="AG340" s="138">
        <v>63.1</v>
      </c>
      <c r="AH340" s="136" t="s">
        <v>5376</v>
      </c>
      <c r="AI340" s="133">
        <v>26611.38</v>
      </c>
      <c r="AJ340" s="132" t="s">
        <v>4803</v>
      </c>
      <c r="AK340" s="136" t="s">
        <v>5377</v>
      </c>
      <c r="AL340" s="132" t="s">
        <v>4805</v>
      </c>
      <c r="AM340" s="131" t="s">
        <v>49</v>
      </c>
      <c r="AN340" s="136" t="s">
        <v>4440</v>
      </c>
    </row>
    <row r="341" spans="1:40" s="129" customFormat="1" x14ac:dyDescent="0.25">
      <c r="A341" s="136">
        <v>340</v>
      </c>
      <c r="B341" s="130" t="s">
        <v>4428</v>
      </c>
      <c r="C341" s="130" t="s">
        <v>38</v>
      </c>
      <c r="D341" s="136" t="s">
        <v>5378</v>
      </c>
      <c r="E341" s="132">
        <v>42205</v>
      </c>
      <c r="F341" s="132" t="s">
        <v>5248</v>
      </c>
      <c r="G341" s="132" t="s">
        <v>438</v>
      </c>
      <c r="H341" s="130" t="s">
        <v>4463</v>
      </c>
      <c r="I341" s="132" t="s">
        <v>40</v>
      </c>
      <c r="J341" s="131" t="s">
        <v>4432</v>
      </c>
      <c r="K341" s="132" t="s">
        <v>4433</v>
      </c>
      <c r="L341" s="136">
        <v>1813585</v>
      </c>
      <c r="M341" s="132">
        <v>42200</v>
      </c>
      <c r="N341" s="136" t="s">
        <v>4473</v>
      </c>
      <c r="O341" s="130" t="s">
        <v>4436</v>
      </c>
      <c r="P341" s="130" t="s">
        <v>2263</v>
      </c>
      <c r="Q341" s="130">
        <v>38237090</v>
      </c>
      <c r="R341" s="136">
        <v>37.700000000000003</v>
      </c>
      <c r="S341" s="130" t="s">
        <v>70</v>
      </c>
      <c r="T341" s="136" t="s">
        <v>67</v>
      </c>
      <c r="U341" s="136" t="s">
        <v>1117</v>
      </c>
      <c r="V341" s="136">
        <v>92500</v>
      </c>
      <c r="W341" s="133">
        <f t="shared" si="17"/>
        <v>3487250.0000000005</v>
      </c>
      <c r="X341" s="136">
        <v>0</v>
      </c>
      <c r="Y341" s="136">
        <v>0</v>
      </c>
      <c r="Z341" s="136">
        <v>0</v>
      </c>
      <c r="AA341" s="136">
        <v>67861.89</v>
      </c>
      <c r="AB341" s="131">
        <v>42201</v>
      </c>
      <c r="AC341" s="134">
        <f t="shared" si="15"/>
        <v>3487250</v>
      </c>
      <c r="AD341" s="135">
        <v>1</v>
      </c>
      <c r="AE341" s="136">
        <f t="shared" si="16"/>
        <v>3487250.0000000005</v>
      </c>
      <c r="AF341" s="130">
        <v>3487250</v>
      </c>
      <c r="AG341" s="138">
        <v>1</v>
      </c>
      <c r="AH341" s="136" t="s">
        <v>5379</v>
      </c>
      <c r="AI341" s="136">
        <v>3487250</v>
      </c>
      <c r="AJ341" s="132">
        <v>42220</v>
      </c>
      <c r="AK341" s="136" t="s">
        <v>5380</v>
      </c>
      <c r="AL341" s="132">
        <v>42221</v>
      </c>
      <c r="AM341" s="132" t="s">
        <v>49</v>
      </c>
      <c r="AN341" s="136" t="s">
        <v>4440</v>
      </c>
    </row>
    <row r="342" spans="1:40" s="129" customFormat="1" x14ac:dyDescent="0.25">
      <c r="A342" s="130">
        <v>341</v>
      </c>
      <c r="B342" s="130" t="s">
        <v>4428</v>
      </c>
      <c r="C342" s="130" t="s">
        <v>38</v>
      </c>
      <c r="D342" s="136" t="s">
        <v>5381</v>
      </c>
      <c r="E342" s="132">
        <v>42206</v>
      </c>
      <c r="F342" s="132" t="s">
        <v>5248</v>
      </c>
      <c r="G342" s="141" t="s">
        <v>455</v>
      </c>
      <c r="H342" s="130" t="s">
        <v>4446</v>
      </c>
      <c r="I342" s="132" t="s">
        <v>40</v>
      </c>
      <c r="J342" s="131" t="s">
        <v>4432</v>
      </c>
      <c r="K342" s="132" t="s">
        <v>4433</v>
      </c>
      <c r="L342" s="136">
        <v>1843755</v>
      </c>
      <c r="M342" s="132">
        <v>42202</v>
      </c>
      <c r="N342" s="136" t="s">
        <v>4448</v>
      </c>
      <c r="O342" s="130" t="s">
        <v>4436</v>
      </c>
      <c r="P342" s="130" t="s">
        <v>47</v>
      </c>
      <c r="Q342" s="130">
        <v>29159090</v>
      </c>
      <c r="R342" s="136">
        <v>19.84</v>
      </c>
      <c r="S342" s="130" t="s">
        <v>70</v>
      </c>
      <c r="T342" s="136" t="s">
        <v>44</v>
      </c>
      <c r="U342" s="136" t="s">
        <v>4528</v>
      </c>
      <c r="V342" s="136">
        <v>2547</v>
      </c>
      <c r="W342" s="133">
        <f t="shared" si="17"/>
        <v>50532.480000000003</v>
      </c>
      <c r="X342" s="136">
        <v>16.68</v>
      </c>
      <c r="Y342" s="136">
        <v>589.38</v>
      </c>
      <c r="Z342" s="136">
        <v>0</v>
      </c>
      <c r="AA342" s="136">
        <v>0</v>
      </c>
      <c r="AB342" s="131">
        <v>42202</v>
      </c>
      <c r="AC342" s="134">
        <f t="shared" si="15"/>
        <v>49926.419970845491</v>
      </c>
      <c r="AD342" s="135">
        <v>68.599999999999994</v>
      </c>
      <c r="AE342" s="136">
        <f t="shared" si="16"/>
        <v>3466528.128</v>
      </c>
      <c r="AF342" s="130">
        <v>3424952.41</v>
      </c>
      <c r="AG342" s="138">
        <v>63.1</v>
      </c>
      <c r="AH342" s="136" t="s">
        <v>5382</v>
      </c>
      <c r="AI342" s="136">
        <v>50532.480000000003</v>
      </c>
      <c r="AJ342" s="132">
        <v>42249</v>
      </c>
      <c r="AK342" s="136" t="s">
        <v>5383</v>
      </c>
      <c r="AL342" s="132">
        <v>42250</v>
      </c>
      <c r="AM342" s="131" t="s">
        <v>49</v>
      </c>
      <c r="AN342" s="136" t="s">
        <v>4440</v>
      </c>
    </row>
    <row r="343" spans="1:40" s="129" customFormat="1" x14ac:dyDescent="0.25">
      <c r="A343" s="136">
        <v>342</v>
      </c>
      <c r="B343" s="130" t="s">
        <v>4428</v>
      </c>
      <c r="C343" s="130" t="s">
        <v>38</v>
      </c>
      <c r="D343" s="136" t="s">
        <v>5381</v>
      </c>
      <c r="E343" s="132">
        <v>42206</v>
      </c>
      <c r="F343" s="132" t="s">
        <v>5248</v>
      </c>
      <c r="G343" s="132" t="s">
        <v>452</v>
      </c>
      <c r="H343" s="130" t="s">
        <v>4446</v>
      </c>
      <c r="I343" s="132" t="s">
        <v>40</v>
      </c>
      <c r="J343" s="131" t="s">
        <v>4432</v>
      </c>
      <c r="K343" s="132" t="s">
        <v>4433</v>
      </c>
      <c r="L343" s="136">
        <v>1829991</v>
      </c>
      <c r="M343" s="132">
        <v>42201</v>
      </c>
      <c r="N343" s="136" t="s">
        <v>4448</v>
      </c>
      <c r="O343" s="130" t="s">
        <v>4436</v>
      </c>
      <c r="P343" s="130" t="s">
        <v>47</v>
      </c>
      <c r="Q343" s="130">
        <v>29159090</v>
      </c>
      <c r="R343" s="136">
        <v>19.88</v>
      </c>
      <c r="S343" s="130" t="s">
        <v>70</v>
      </c>
      <c r="T343" s="136" t="s">
        <v>44</v>
      </c>
      <c r="U343" s="136" t="s">
        <v>4528</v>
      </c>
      <c r="V343" s="136">
        <v>2547</v>
      </c>
      <c r="W343" s="133">
        <f>V343*R343</f>
        <v>50634.36</v>
      </c>
      <c r="X343" s="136">
        <v>16.690000000000001</v>
      </c>
      <c r="Y343" s="136">
        <v>589.38</v>
      </c>
      <c r="Z343" s="136">
        <v>0</v>
      </c>
      <c r="AA343" s="136">
        <v>0</v>
      </c>
      <c r="AB343" s="131">
        <v>42202</v>
      </c>
      <c r="AC343" s="134">
        <f>AF343/AD343</f>
        <v>49977.34992826399</v>
      </c>
      <c r="AD343" s="135">
        <v>69.7</v>
      </c>
      <c r="AE343" s="136">
        <f>AD343*W343</f>
        <v>3529214.892</v>
      </c>
      <c r="AF343" s="130">
        <v>3483421.29</v>
      </c>
      <c r="AG343" s="138">
        <v>63.1</v>
      </c>
      <c r="AH343" s="136" t="s">
        <v>5382</v>
      </c>
      <c r="AI343" s="136">
        <v>50583.42</v>
      </c>
      <c r="AJ343" s="132">
        <v>42249</v>
      </c>
      <c r="AK343" s="136" t="s">
        <v>5384</v>
      </c>
      <c r="AL343" s="132">
        <v>42250</v>
      </c>
      <c r="AM343" s="131" t="s">
        <v>49</v>
      </c>
      <c r="AN343" s="136" t="s">
        <v>4440</v>
      </c>
    </row>
    <row r="344" spans="1:40" s="129" customFormat="1" x14ac:dyDescent="0.25">
      <c r="A344" s="130">
        <v>343</v>
      </c>
      <c r="B344" s="130" t="s">
        <v>4428</v>
      </c>
      <c r="C344" s="130" t="s">
        <v>38</v>
      </c>
      <c r="D344" s="136" t="s">
        <v>5381</v>
      </c>
      <c r="E344" s="132">
        <v>42206</v>
      </c>
      <c r="F344" s="132" t="s">
        <v>5248</v>
      </c>
      <c r="G344" s="132" t="s">
        <v>439</v>
      </c>
      <c r="H344" s="130" t="s">
        <v>4446</v>
      </c>
      <c r="I344" s="132" t="s">
        <v>40</v>
      </c>
      <c r="J344" s="131" t="s">
        <v>4432</v>
      </c>
      <c r="K344" s="132" t="s">
        <v>4433</v>
      </c>
      <c r="L344" s="136">
        <v>1812518</v>
      </c>
      <c r="M344" s="132">
        <v>42200</v>
      </c>
      <c r="N344" s="136" t="s">
        <v>4448</v>
      </c>
      <c r="O344" s="130" t="s">
        <v>4436</v>
      </c>
      <c r="P344" s="130" t="s">
        <v>47</v>
      </c>
      <c r="Q344" s="130">
        <v>29159090</v>
      </c>
      <c r="R344" s="136">
        <v>19.760000000000002</v>
      </c>
      <c r="S344" s="130" t="s">
        <v>70</v>
      </c>
      <c r="T344" s="136" t="s">
        <v>44</v>
      </c>
      <c r="U344" s="136" t="s">
        <v>4528</v>
      </c>
      <c r="V344" s="136">
        <v>2547</v>
      </c>
      <c r="W344" s="133">
        <f>V344*R344</f>
        <v>50328.72</v>
      </c>
      <c r="X344" s="136">
        <v>16.61</v>
      </c>
      <c r="Y344" s="136">
        <v>589.38</v>
      </c>
      <c r="Z344" s="136">
        <v>0</v>
      </c>
      <c r="AA344" s="136">
        <v>0</v>
      </c>
      <c r="AB344" s="131">
        <v>42201</v>
      </c>
      <c r="AC344" s="134">
        <f>AF344/AD344</f>
        <v>49722.72998565279</v>
      </c>
      <c r="AD344" s="135">
        <v>69.7</v>
      </c>
      <c r="AE344" s="136">
        <f>AD344*W344</f>
        <v>3507911.7840000005</v>
      </c>
      <c r="AF344" s="130">
        <v>3465674.28</v>
      </c>
      <c r="AG344" s="138">
        <v>69.7</v>
      </c>
      <c r="AH344" s="136" t="s">
        <v>5382</v>
      </c>
      <c r="AI344" s="136">
        <v>50328.72</v>
      </c>
      <c r="AJ344" s="132">
        <v>42249</v>
      </c>
      <c r="AK344" s="136" t="s">
        <v>5385</v>
      </c>
      <c r="AL344" s="132">
        <v>42250</v>
      </c>
      <c r="AM344" s="131" t="s">
        <v>49</v>
      </c>
      <c r="AN344" s="133" t="s">
        <v>4440</v>
      </c>
    </row>
    <row r="345" spans="1:40" s="129" customFormat="1" x14ac:dyDescent="0.25">
      <c r="A345" s="136">
        <v>344</v>
      </c>
      <c r="B345" s="130" t="s">
        <v>4428</v>
      </c>
      <c r="C345" s="130" t="s">
        <v>38</v>
      </c>
      <c r="D345" s="136">
        <v>9103650304</v>
      </c>
      <c r="E345" s="132">
        <v>42204</v>
      </c>
      <c r="F345" s="132" t="s">
        <v>5248</v>
      </c>
      <c r="G345" s="132" t="s">
        <v>450</v>
      </c>
      <c r="H345" s="130" t="s">
        <v>4446</v>
      </c>
      <c r="I345" s="132" t="s">
        <v>40</v>
      </c>
      <c r="J345" s="131" t="s">
        <v>4432</v>
      </c>
      <c r="K345" s="132" t="s">
        <v>4433</v>
      </c>
      <c r="L345" s="136">
        <v>1827805</v>
      </c>
      <c r="M345" s="132" t="s">
        <v>4880</v>
      </c>
      <c r="N345" s="136" t="s">
        <v>4448</v>
      </c>
      <c r="O345" s="130" t="s">
        <v>4436</v>
      </c>
      <c r="P345" s="130" t="s">
        <v>47</v>
      </c>
      <c r="Q345" s="130">
        <v>29159020</v>
      </c>
      <c r="R345" s="136">
        <v>39.57</v>
      </c>
      <c r="S345" s="130" t="s">
        <v>70</v>
      </c>
      <c r="T345" s="136" t="s">
        <v>44</v>
      </c>
      <c r="U345" s="136" t="s">
        <v>53</v>
      </c>
      <c r="V345" s="136">
        <v>4795</v>
      </c>
      <c r="W345" s="133">
        <f t="shared" si="17"/>
        <v>189738.15</v>
      </c>
      <c r="X345" s="136">
        <v>62.61</v>
      </c>
      <c r="Y345" s="136">
        <v>1300</v>
      </c>
      <c r="Z345" s="136">
        <v>0</v>
      </c>
      <c r="AA345" s="136">
        <v>0</v>
      </c>
      <c r="AB345" s="131">
        <v>42202</v>
      </c>
      <c r="AC345" s="134">
        <f t="shared" si="15"/>
        <v>188375.54003164556</v>
      </c>
      <c r="AD345" s="135">
        <v>63.2</v>
      </c>
      <c r="AE345" s="136">
        <f t="shared" si="16"/>
        <v>11991451.08</v>
      </c>
      <c r="AF345" s="137">
        <v>11905334.130000001</v>
      </c>
      <c r="AG345" s="138">
        <v>63.1</v>
      </c>
      <c r="AH345" s="136" t="s">
        <v>5386</v>
      </c>
      <c r="AI345" s="133">
        <v>189718.15</v>
      </c>
      <c r="AJ345" s="132" t="s">
        <v>5013</v>
      </c>
      <c r="AK345" s="136" t="s">
        <v>5387</v>
      </c>
      <c r="AL345" s="132" t="s">
        <v>5021</v>
      </c>
      <c r="AM345" s="131" t="s">
        <v>49</v>
      </c>
      <c r="AN345" s="136" t="s">
        <v>4440</v>
      </c>
    </row>
    <row r="346" spans="1:40" s="129" customFormat="1" x14ac:dyDescent="0.25">
      <c r="A346" s="130">
        <v>345</v>
      </c>
      <c r="B346" s="130" t="s">
        <v>4428</v>
      </c>
      <c r="C346" s="130" t="s">
        <v>38</v>
      </c>
      <c r="D346" s="136">
        <v>9103650305</v>
      </c>
      <c r="E346" s="132">
        <v>42205</v>
      </c>
      <c r="F346" s="132" t="s">
        <v>5248</v>
      </c>
      <c r="G346" s="132" t="s">
        <v>443</v>
      </c>
      <c r="H346" s="130" t="s">
        <v>4491</v>
      </c>
      <c r="I346" s="132" t="s">
        <v>40</v>
      </c>
      <c r="J346" s="131" t="s">
        <v>4432</v>
      </c>
      <c r="K346" s="132" t="s">
        <v>4433</v>
      </c>
      <c r="L346" s="136">
        <v>1827084</v>
      </c>
      <c r="M346" s="132" t="s">
        <v>4880</v>
      </c>
      <c r="N346" s="136" t="s">
        <v>3741</v>
      </c>
      <c r="O346" s="130" t="s">
        <v>4436</v>
      </c>
      <c r="P346" s="130" t="s">
        <v>4492</v>
      </c>
      <c r="Q346" s="130">
        <v>38237090</v>
      </c>
      <c r="R346" s="136">
        <v>18.2</v>
      </c>
      <c r="S346" s="130" t="s">
        <v>70</v>
      </c>
      <c r="T346" s="136" t="s">
        <v>44</v>
      </c>
      <c r="U346" s="136" t="s">
        <v>53</v>
      </c>
      <c r="V346" s="136">
        <v>1564</v>
      </c>
      <c r="W346" s="133">
        <f t="shared" si="17"/>
        <v>28464.799999999999</v>
      </c>
      <c r="X346" s="136">
        <v>9.39</v>
      </c>
      <c r="Y346" s="136">
        <v>4350</v>
      </c>
      <c r="Z346" s="136">
        <v>0</v>
      </c>
      <c r="AA346" s="136">
        <v>0</v>
      </c>
      <c r="AB346" s="131">
        <v>42202</v>
      </c>
      <c r="AC346" s="134">
        <f t="shared" si="15"/>
        <v>24105.409968354426</v>
      </c>
      <c r="AD346" s="135">
        <v>63.2</v>
      </c>
      <c r="AE346" s="136">
        <f t="shared" si="16"/>
        <v>1798975.36</v>
      </c>
      <c r="AF346" s="137">
        <v>1523461.91</v>
      </c>
      <c r="AG346" s="138">
        <v>63.1</v>
      </c>
      <c r="AH346" s="136" t="s">
        <v>5388</v>
      </c>
      <c r="AI346" s="133">
        <v>28464.799999999999</v>
      </c>
      <c r="AJ346" s="132" t="s">
        <v>4803</v>
      </c>
      <c r="AK346" s="136" t="s">
        <v>5389</v>
      </c>
      <c r="AL346" s="132" t="s">
        <v>4805</v>
      </c>
      <c r="AM346" s="131" t="s">
        <v>49</v>
      </c>
      <c r="AN346" s="136" t="s">
        <v>4440</v>
      </c>
    </row>
    <row r="347" spans="1:40" s="129" customFormat="1" x14ac:dyDescent="0.25">
      <c r="A347" s="136">
        <v>346</v>
      </c>
      <c r="B347" s="130" t="s">
        <v>4428</v>
      </c>
      <c r="C347" s="130" t="s">
        <v>38</v>
      </c>
      <c r="D347" s="136" t="s">
        <v>5378</v>
      </c>
      <c r="E347" s="132">
        <v>42205</v>
      </c>
      <c r="F347" s="132" t="s">
        <v>5248</v>
      </c>
      <c r="G347" s="132" t="s">
        <v>450</v>
      </c>
      <c r="H347" s="130" t="s">
        <v>4463</v>
      </c>
      <c r="I347" s="132" t="s">
        <v>40</v>
      </c>
      <c r="J347" s="131" t="s">
        <v>4432</v>
      </c>
      <c r="K347" s="132" t="s">
        <v>4433</v>
      </c>
      <c r="L347" s="136">
        <v>1828614</v>
      </c>
      <c r="M347" s="132">
        <v>42201</v>
      </c>
      <c r="N347" s="136" t="s">
        <v>4473</v>
      </c>
      <c r="O347" s="130" t="s">
        <v>4436</v>
      </c>
      <c r="P347" s="130" t="s">
        <v>2263</v>
      </c>
      <c r="Q347" s="130">
        <v>38237090</v>
      </c>
      <c r="R347" s="136">
        <v>18.82</v>
      </c>
      <c r="S347" s="130" t="s">
        <v>70</v>
      </c>
      <c r="T347" s="136" t="s">
        <v>67</v>
      </c>
      <c r="U347" s="136" t="s">
        <v>1117</v>
      </c>
      <c r="V347" s="136">
        <v>92500</v>
      </c>
      <c r="W347" s="133">
        <f t="shared" si="17"/>
        <v>1740850</v>
      </c>
      <c r="X347" s="136">
        <v>0</v>
      </c>
      <c r="Y347" s="136">
        <v>0</v>
      </c>
      <c r="Z347" s="136">
        <v>0</v>
      </c>
      <c r="AA347" s="136">
        <v>33876.94</v>
      </c>
      <c r="AB347" s="131">
        <v>42202</v>
      </c>
      <c r="AC347" s="134">
        <f t="shared" si="15"/>
        <v>1740850</v>
      </c>
      <c r="AD347" s="135">
        <v>1</v>
      </c>
      <c r="AE347" s="136">
        <f t="shared" si="16"/>
        <v>1740850</v>
      </c>
      <c r="AF347" s="130">
        <v>1740850</v>
      </c>
      <c r="AG347" s="138">
        <v>1</v>
      </c>
      <c r="AH347" s="136" t="s">
        <v>5379</v>
      </c>
      <c r="AI347" s="136">
        <v>1740850</v>
      </c>
      <c r="AJ347" s="132">
        <v>42220</v>
      </c>
      <c r="AK347" s="136" t="s">
        <v>5390</v>
      </c>
      <c r="AL347" s="132">
        <v>42221</v>
      </c>
      <c r="AM347" s="132" t="s">
        <v>49</v>
      </c>
      <c r="AN347" s="136" t="s">
        <v>4440</v>
      </c>
    </row>
    <row r="348" spans="1:40" s="129" customFormat="1" x14ac:dyDescent="0.25">
      <c r="A348" s="130">
        <v>347</v>
      </c>
      <c r="B348" s="130" t="s">
        <v>4428</v>
      </c>
      <c r="C348" s="130" t="s">
        <v>38</v>
      </c>
      <c r="D348" s="136">
        <v>9103650307</v>
      </c>
      <c r="E348" s="132">
        <v>42205</v>
      </c>
      <c r="F348" s="132" t="s">
        <v>5248</v>
      </c>
      <c r="G348" s="132" t="s">
        <v>451</v>
      </c>
      <c r="H348" s="130" t="s">
        <v>4491</v>
      </c>
      <c r="I348" s="132" t="s">
        <v>40</v>
      </c>
      <c r="J348" s="131" t="s">
        <v>4432</v>
      </c>
      <c r="K348" s="132" t="s">
        <v>4433</v>
      </c>
      <c r="L348" s="136">
        <v>1831084</v>
      </c>
      <c r="M348" s="132" t="s">
        <v>4880</v>
      </c>
      <c r="N348" s="136" t="s">
        <v>3741</v>
      </c>
      <c r="O348" s="130" t="s">
        <v>4436</v>
      </c>
      <c r="P348" s="130" t="s">
        <v>4492</v>
      </c>
      <c r="Q348" s="130">
        <v>29051700</v>
      </c>
      <c r="R348" s="136">
        <v>18.14</v>
      </c>
      <c r="S348" s="130" t="s">
        <v>70</v>
      </c>
      <c r="T348" s="136" t="s">
        <v>44</v>
      </c>
      <c r="U348" s="136" t="s">
        <v>53</v>
      </c>
      <c r="V348" s="136">
        <v>1720</v>
      </c>
      <c r="W348" s="133">
        <f t="shared" si="17"/>
        <v>31200.799999999999</v>
      </c>
      <c r="X348" s="136">
        <v>10.3</v>
      </c>
      <c r="Y348" s="136">
        <v>3250</v>
      </c>
      <c r="Z348" s="136">
        <v>0</v>
      </c>
      <c r="AA348" s="136">
        <v>0</v>
      </c>
      <c r="AB348" s="131">
        <v>42202</v>
      </c>
      <c r="AC348" s="134">
        <f t="shared" si="15"/>
        <v>27940.5</v>
      </c>
      <c r="AD348" s="135">
        <v>63.2</v>
      </c>
      <c r="AE348" s="136">
        <f t="shared" si="16"/>
        <v>1971890.56</v>
      </c>
      <c r="AF348" s="137">
        <v>1765839.6</v>
      </c>
      <c r="AG348" s="138">
        <v>63.1</v>
      </c>
      <c r="AH348" s="136" t="s">
        <v>5391</v>
      </c>
      <c r="AI348" s="133">
        <v>31200.799999999999</v>
      </c>
      <c r="AJ348" s="132" t="s">
        <v>4803</v>
      </c>
      <c r="AK348" s="136" t="s">
        <v>5392</v>
      </c>
      <c r="AL348" s="132" t="s">
        <v>4805</v>
      </c>
      <c r="AM348" s="131" t="s">
        <v>49</v>
      </c>
      <c r="AN348" s="136" t="s">
        <v>4440</v>
      </c>
    </row>
    <row r="349" spans="1:40" s="129" customFormat="1" x14ac:dyDescent="0.25">
      <c r="A349" s="136">
        <v>348</v>
      </c>
      <c r="B349" s="130" t="s">
        <v>4428</v>
      </c>
      <c r="C349" s="130" t="s">
        <v>38</v>
      </c>
      <c r="D349" s="136">
        <v>9103650309</v>
      </c>
      <c r="E349" s="132">
        <v>42207</v>
      </c>
      <c r="F349" s="132" t="s">
        <v>5248</v>
      </c>
      <c r="G349" s="132" t="s">
        <v>448</v>
      </c>
      <c r="H349" s="130" t="s">
        <v>4564</v>
      </c>
      <c r="I349" s="132" t="s">
        <v>40</v>
      </c>
      <c r="J349" s="131" t="s">
        <v>4432</v>
      </c>
      <c r="K349" s="132" t="s">
        <v>4433</v>
      </c>
      <c r="L349" s="136">
        <v>1839673</v>
      </c>
      <c r="M349" s="132" t="s">
        <v>4798</v>
      </c>
      <c r="N349" s="136" t="s">
        <v>4582</v>
      </c>
      <c r="O349" s="130" t="s">
        <v>4436</v>
      </c>
      <c r="P349" s="130" t="s">
        <v>90</v>
      </c>
      <c r="Q349" s="130">
        <v>38237090</v>
      </c>
      <c r="R349" s="136">
        <v>38.130000000000003</v>
      </c>
      <c r="S349" s="130" t="s">
        <v>70</v>
      </c>
      <c r="T349" s="136" t="s">
        <v>44</v>
      </c>
      <c r="U349" s="136" t="s">
        <v>53</v>
      </c>
      <c r="V349" s="136">
        <v>1525</v>
      </c>
      <c r="W349" s="133">
        <f t="shared" si="17"/>
        <v>58148.250000000007</v>
      </c>
      <c r="X349" s="136">
        <v>19.190000000000001</v>
      </c>
      <c r="Y349" s="136">
        <v>2000</v>
      </c>
      <c r="Z349" s="136">
        <v>0</v>
      </c>
      <c r="AA349" s="136">
        <v>1107.3</v>
      </c>
      <c r="AB349" s="131">
        <v>42202</v>
      </c>
      <c r="AC349" s="134">
        <f t="shared" si="15"/>
        <v>56129.060063391436</v>
      </c>
      <c r="AD349" s="135">
        <v>63.1</v>
      </c>
      <c r="AE349" s="136">
        <f t="shared" si="16"/>
        <v>3669154.5750000007</v>
      </c>
      <c r="AF349" s="137">
        <v>3541743.69</v>
      </c>
      <c r="AG349" s="138">
        <v>63.1</v>
      </c>
      <c r="AH349" s="136" t="s">
        <v>5393</v>
      </c>
      <c r="AI349" s="133">
        <v>58038.25</v>
      </c>
      <c r="AJ349" s="132" t="s">
        <v>4954</v>
      </c>
      <c r="AK349" s="136" t="s">
        <v>5394</v>
      </c>
      <c r="AL349" s="132" t="s">
        <v>5135</v>
      </c>
      <c r="AM349" s="131" t="s">
        <v>49</v>
      </c>
      <c r="AN349" s="133" t="s">
        <v>4440</v>
      </c>
    </row>
    <row r="350" spans="1:40" s="129" customFormat="1" x14ac:dyDescent="0.25">
      <c r="A350" s="130">
        <v>349</v>
      </c>
      <c r="B350" s="130" t="s">
        <v>4428</v>
      </c>
      <c r="C350" s="130" t="s">
        <v>38</v>
      </c>
      <c r="D350" s="136">
        <v>9103650310</v>
      </c>
      <c r="E350" s="132">
        <v>42205</v>
      </c>
      <c r="F350" s="132" t="s">
        <v>5248</v>
      </c>
      <c r="G350" s="132" t="s">
        <v>446</v>
      </c>
      <c r="H350" s="130" t="s">
        <v>4491</v>
      </c>
      <c r="I350" s="132" t="s">
        <v>40</v>
      </c>
      <c r="J350" s="131" t="s">
        <v>4432</v>
      </c>
      <c r="K350" s="132" t="s">
        <v>4433</v>
      </c>
      <c r="L350" s="136">
        <v>1843748</v>
      </c>
      <c r="M350" s="132" t="s">
        <v>4798</v>
      </c>
      <c r="N350" s="136" t="s">
        <v>3741</v>
      </c>
      <c r="O350" s="130" t="s">
        <v>4436</v>
      </c>
      <c r="P350" s="130" t="s">
        <v>4492</v>
      </c>
      <c r="Q350" s="130">
        <v>29051700</v>
      </c>
      <c r="R350" s="136">
        <v>18.14</v>
      </c>
      <c r="S350" s="130" t="s">
        <v>70</v>
      </c>
      <c r="T350" s="136" t="s">
        <v>44</v>
      </c>
      <c r="U350" s="136" t="s">
        <v>53</v>
      </c>
      <c r="V350" s="136">
        <v>1722</v>
      </c>
      <c r="W350" s="133">
        <f t="shared" si="17"/>
        <v>31237.08</v>
      </c>
      <c r="X350" s="136">
        <v>10.31</v>
      </c>
      <c r="Y350" s="136">
        <v>3250</v>
      </c>
      <c r="Z350" s="136">
        <v>0</v>
      </c>
      <c r="AA350" s="136">
        <v>0</v>
      </c>
      <c r="AB350" s="131">
        <v>42202</v>
      </c>
      <c r="AC350" s="134">
        <f t="shared" si="15"/>
        <v>27976.770047543581</v>
      </c>
      <c r="AD350" s="135">
        <v>63.1</v>
      </c>
      <c r="AE350" s="136">
        <f t="shared" si="16"/>
        <v>1971059.7480000001</v>
      </c>
      <c r="AF350" s="137">
        <v>1765334.19</v>
      </c>
      <c r="AG350" s="138">
        <v>63.1</v>
      </c>
      <c r="AH350" s="136" t="s">
        <v>5395</v>
      </c>
      <c r="AI350" s="133">
        <v>31237.08</v>
      </c>
      <c r="AJ350" s="132" t="s">
        <v>4803</v>
      </c>
      <c r="AK350" s="136" t="s">
        <v>5396</v>
      </c>
      <c r="AL350" s="132" t="s">
        <v>4805</v>
      </c>
      <c r="AM350" s="131" t="s">
        <v>49</v>
      </c>
      <c r="AN350" s="136" t="s">
        <v>4440</v>
      </c>
    </row>
    <row r="351" spans="1:40" s="129" customFormat="1" x14ac:dyDescent="0.25">
      <c r="A351" s="136">
        <v>350</v>
      </c>
      <c r="B351" s="130" t="s">
        <v>4428</v>
      </c>
      <c r="C351" s="130" t="s">
        <v>38</v>
      </c>
      <c r="D351" s="136">
        <v>9103650311</v>
      </c>
      <c r="E351" s="132">
        <v>42207</v>
      </c>
      <c r="F351" s="132" t="s">
        <v>5248</v>
      </c>
      <c r="G351" s="132" t="s">
        <v>449</v>
      </c>
      <c r="H351" s="130" t="s">
        <v>4463</v>
      </c>
      <c r="I351" s="132" t="s">
        <v>40</v>
      </c>
      <c r="J351" s="131" t="s">
        <v>4432</v>
      </c>
      <c r="K351" s="132" t="s">
        <v>4433</v>
      </c>
      <c r="L351" s="136">
        <v>1831394</v>
      </c>
      <c r="M351" s="132" t="s">
        <v>4880</v>
      </c>
      <c r="N351" s="136" t="s">
        <v>4807</v>
      </c>
      <c r="O351" s="130" t="s">
        <v>4436</v>
      </c>
      <c r="P351" s="130" t="s">
        <v>64</v>
      </c>
      <c r="Q351" s="130">
        <v>38237090</v>
      </c>
      <c r="R351" s="136">
        <v>23.4</v>
      </c>
      <c r="S351" s="130" t="s">
        <v>70</v>
      </c>
      <c r="T351" s="136" t="s">
        <v>44</v>
      </c>
      <c r="U351" s="136" t="s">
        <v>53</v>
      </c>
      <c r="V351" s="136">
        <v>3000</v>
      </c>
      <c r="W351" s="133">
        <f t="shared" si="17"/>
        <v>70200</v>
      </c>
      <c r="X351" s="136">
        <v>23.17</v>
      </c>
      <c r="Y351" s="136">
        <v>200</v>
      </c>
      <c r="Z351" s="136">
        <v>0</v>
      </c>
      <c r="AA351" s="136">
        <v>0</v>
      </c>
      <c r="AB351" s="131">
        <v>42202</v>
      </c>
      <c r="AC351" s="134">
        <f t="shared" si="15"/>
        <v>69976.830063291141</v>
      </c>
      <c r="AD351" s="135">
        <v>63.2</v>
      </c>
      <c r="AE351" s="136">
        <f t="shared" si="16"/>
        <v>4436640</v>
      </c>
      <c r="AF351" s="137">
        <v>4422535.66</v>
      </c>
      <c r="AG351" s="138">
        <v>63.1</v>
      </c>
      <c r="AH351" s="136" t="s">
        <v>5397</v>
      </c>
      <c r="AI351" s="136">
        <v>70165.5</v>
      </c>
      <c r="AJ351" s="132" t="s">
        <v>5001</v>
      </c>
      <c r="AK351" s="136" t="s">
        <v>5398</v>
      </c>
      <c r="AL351" s="132" t="s">
        <v>5399</v>
      </c>
      <c r="AM351" s="131" t="s">
        <v>49</v>
      </c>
      <c r="AN351" s="133" t="s">
        <v>4440</v>
      </c>
    </row>
    <row r="352" spans="1:40" s="129" customFormat="1" x14ac:dyDescent="0.25">
      <c r="A352" s="130">
        <v>351</v>
      </c>
      <c r="B352" s="130" t="s">
        <v>4428</v>
      </c>
      <c r="C352" s="130" t="s">
        <v>38</v>
      </c>
      <c r="D352" s="136">
        <v>9103650312</v>
      </c>
      <c r="E352" s="132">
        <v>42210</v>
      </c>
      <c r="F352" s="132" t="s">
        <v>5248</v>
      </c>
      <c r="G352" s="132" t="s">
        <v>463</v>
      </c>
      <c r="H352" s="130" t="s">
        <v>4456</v>
      </c>
      <c r="I352" s="132" t="s">
        <v>40</v>
      </c>
      <c r="J352" s="131" t="s">
        <v>4432</v>
      </c>
      <c r="K352" s="132" t="s">
        <v>4433</v>
      </c>
      <c r="L352" s="136">
        <v>1839634</v>
      </c>
      <c r="M352" s="132" t="s">
        <v>4798</v>
      </c>
      <c r="N352" s="136" t="s">
        <v>5106</v>
      </c>
      <c r="O352" s="130" t="s">
        <v>4436</v>
      </c>
      <c r="P352" s="130" t="s">
        <v>127</v>
      </c>
      <c r="Q352" s="130">
        <v>38237090</v>
      </c>
      <c r="R352" s="136">
        <v>14</v>
      </c>
      <c r="S352" s="130" t="s">
        <v>70</v>
      </c>
      <c r="T352" s="136" t="s">
        <v>44</v>
      </c>
      <c r="U352" s="136" t="s">
        <v>53</v>
      </c>
      <c r="V352" s="136">
        <v>3517</v>
      </c>
      <c r="W352" s="133">
        <f t="shared" si="17"/>
        <v>49238</v>
      </c>
      <c r="X352" s="136">
        <v>16.25</v>
      </c>
      <c r="Y352" s="136">
        <v>65</v>
      </c>
      <c r="Z352" s="136">
        <v>0</v>
      </c>
      <c r="AA352" s="136">
        <v>0</v>
      </c>
      <c r="AB352" s="131">
        <v>42202</v>
      </c>
      <c r="AC352" s="134">
        <f t="shared" si="15"/>
        <v>49156.750079239304</v>
      </c>
      <c r="AD352" s="135">
        <v>63.1</v>
      </c>
      <c r="AE352" s="136">
        <f t="shared" si="16"/>
        <v>3106917.8000000003</v>
      </c>
      <c r="AF352" s="137">
        <v>3101790.93</v>
      </c>
      <c r="AG352" s="138">
        <v>63.1</v>
      </c>
      <c r="AH352" s="136" t="s">
        <v>5400</v>
      </c>
      <c r="AI352" s="133">
        <v>49208</v>
      </c>
      <c r="AJ352" s="132" t="s">
        <v>4803</v>
      </c>
      <c r="AK352" s="136" t="s">
        <v>5401</v>
      </c>
      <c r="AL352" s="132" t="s">
        <v>4805</v>
      </c>
      <c r="AM352" s="131" t="s">
        <v>49</v>
      </c>
      <c r="AN352" s="136" t="s">
        <v>4440</v>
      </c>
    </row>
    <row r="353" spans="1:40" s="129" customFormat="1" x14ac:dyDescent="0.25">
      <c r="A353" s="136">
        <v>352</v>
      </c>
      <c r="B353" s="130" t="s">
        <v>4428</v>
      </c>
      <c r="C353" s="130" t="s">
        <v>38</v>
      </c>
      <c r="D353" s="136">
        <v>9103650313</v>
      </c>
      <c r="E353" s="132">
        <v>42206</v>
      </c>
      <c r="F353" s="132" t="s">
        <v>5248</v>
      </c>
      <c r="G353" s="132" t="s">
        <v>461</v>
      </c>
      <c r="H353" s="130" t="s">
        <v>4564</v>
      </c>
      <c r="I353" s="132" t="s">
        <v>40</v>
      </c>
      <c r="J353" s="131" t="s">
        <v>4432</v>
      </c>
      <c r="K353" s="132" t="s">
        <v>4433</v>
      </c>
      <c r="L353" s="136">
        <v>1844395</v>
      </c>
      <c r="M353" s="132">
        <v>42202</v>
      </c>
      <c r="N353" s="136" t="s">
        <v>5193</v>
      </c>
      <c r="O353" s="130" t="s">
        <v>4436</v>
      </c>
      <c r="P353" s="130" t="s">
        <v>64</v>
      </c>
      <c r="Q353" s="130">
        <v>29051700</v>
      </c>
      <c r="R353" s="136">
        <v>12</v>
      </c>
      <c r="S353" s="130" t="s">
        <v>70</v>
      </c>
      <c r="T353" s="136" t="s">
        <v>44</v>
      </c>
      <c r="U353" s="136" t="s">
        <v>53</v>
      </c>
      <c r="V353" s="136">
        <v>1515</v>
      </c>
      <c r="W353" s="133">
        <f t="shared" si="17"/>
        <v>18180</v>
      </c>
      <c r="X353" s="136">
        <v>6</v>
      </c>
      <c r="Y353" s="136">
        <v>60</v>
      </c>
      <c r="Z353" s="136">
        <v>0</v>
      </c>
      <c r="AA353" s="136">
        <v>360</v>
      </c>
      <c r="AB353" s="131">
        <v>42202</v>
      </c>
      <c r="AC353" s="134">
        <f t="shared" si="15"/>
        <v>18113.999999999996</v>
      </c>
      <c r="AD353" s="135">
        <v>63.1</v>
      </c>
      <c r="AE353" s="136">
        <f t="shared" si="16"/>
        <v>1147158</v>
      </c>
      <c r="AF353" s="137">
        <v>1142993.3999999999</v>
      </c>
      <c r="AG353" s="138">
        <v>63.1</v>
      </c>
      <c r="AH353" s="136" t="s">
        <v>5402</v>
      </c>
      <c r="AI353" s="136">
        <v>18148.5</v>
      </c>
      <c r="AJ353" s="132">
        <v>42221</v>
      </c>
      <c r="AK353" s="136" t="s">
        <v>5402</v>
      </c>
      <c r="AL353" s="132">
        <v>42307</v>
      </c>
      <c r="AM353" s="131" t="s">
        <v>49</v>
      </c>
      <c r="AN353" s="136" t="s">
        <v>4440</v>
      </c>
    </row>
    <row r="354" spans="1:40" s="129" customFormat="1" x14ac:dyDescent="0.25">
      <c r="A354" s="130">
        <v>353</v>
      </c>
      <c r="B354" s="130" t="s">
        <v>4428</v>
      </c>
      <c r="C354" s="130" t="s">
        <v>38</v>
      </c>
      <c r="D354" s="136" t="s">
        <v>5403</v>
      </c>
      <c r="E354" s="132">
        <v>42203</v>
      </c>
      <c r="F354" s="132" t="s">
        <v>5248</v>
      </c>
      <c r="G354" s="132" t="s">
        <v>456</v>
      </c>
      <c r="H354" s="130" t="s">
        <v>4446</v>
      </c>
      <c r="I354" s="132" t="s">
        <v>40</v>
      </c>
      <c r="J354" s="131" t="s">
        <v>4432</v>
      </c>
      <c r="K354" s="132" t="s">
        <v>4433</v>
      </c>
      <c r="L354" s="136">
        <v>1837276</v>
      </c>
      <c r="M354" s="132">
        <v>42201</v>
      </c>
      <c r="N354" s="136" t="s">
        <v>4532</v>
      </c>
      <c r="O354" s="130" t="s">
        <v>4436</v>
      </c>
      <c r="P354" s="130" t="s">
        <v>64</v>
      </c>
      <c r="Q354" s="130">
        <v>38231200</v>
      </c>
      <c r="R354" s="136">
        <v>19.88</v>
      </c>
      <c r="S354" s="130" t="s">
        <v>70</v>
      </c>
      <c r="T354" s="136" t="s">
        <v>44</v>
      </c>
      <c r="U354" s="136" t="s">
        <v>53</v>
      </c>
      <c r="V354" s="136">
        <v>1070</v>
      </c>
      <c r="W354" s="133">
        <f t="shared" si="17"/>
        <v>21271.599999999999</v>
      </c>
      <c r="X354" s="136">
        <v>7.02</v>
      </c>
      <c r="Y354" s="136">
        <v>360</v>
      </c>
      <c r="Z354" s="136">
        <v>0</v>
      </c>
      <c r="AA354" s="136">
        <v>0</v>
      </c>
      <c r="AB354" s="131">
        <v>42202</v>
      </c>
      <c r="AC354" s="134">
        <f t="shared" si="15"/>
        <v>20904.580063291138</v>
      </c>
      <c r="AD354" s="135">
        <v>63.2</v>
      </c>
      <c r="AE354" s="136">
        <f t="shared" si="16"/>
        <v>1344365.1199999999</v>
      </c>
      <c r="AF354" s="137">
        <v>1321169.46</v>
      </c>
      <c r="AG354" s="138">
        <v>63.1</v>
      </c>
      <c r="AH354" s="136" t="s">
        <v>5404</v>
      </c>
      <c r="AI354" s="136">
        <v>21271.599999999999</v>
      </c>
      <c r="AJ354" s="132" t="s">
        <v>5405</v>
      </c>
      <c r="AK354" s="136" t="s">
        <v>5406</v>
      </c>
      <c r="AL354" s="132" t="s">
        <v>5407</v>
      </c>
      <c r="AM354" s="131" t="s">
        <v>49</v>
      </c>
      <c r="AN354" s="133" t="s">
        <v>4440</v>
      </c>
    </row>
    <row r="355" spans="1:40" s="129" customFormat="1" x14ac:dyDescent="0.25">
      <c r="A355" s="136">
        <v>354</v>
      </c>
      <c r="B355" s="130" t="s">
        <v>4428</v>
      </c>
      <c r="C355" s="130" t="s">
        <v>38</v>
      </c>
      <c r="D355" s="136" t="s">
        <v>5403</v>
      </c>
      <c r="E355" s="132">
        <v>42203</v>
      </c>
      <c r="F355" s="132" t="s">
        <v>5248</v>
      </c>
      <c r="G355" s="132" t="s">
        <v>447</v>
      </c>
      <c r="H355" s="130" t="s">
        <v>4446</v>
      </c>
      <c r="I355" s="132" t="s">
        <v>40</v>
      </c>
      <c r="J355" s="131" t="s">
        <v>4432</v>
      </c>
      <c r="K355" s="132" t="s">
        <v>4433</v>
      </c>
      <c r="L355" s="136">
        <v>1855341</v>
      </c>
      <c r="M355" s="132">
        <v>42202</v>
      </c>
      <c r="N355" s="136" t="s">
        <v>4532</v>
      </c>
      <c r="O355" s="130" t="s">
        <v>4436</v>
      </c>
      <c r="P355" s="130" t="s">
        <v>64</v>
      </c>
      <c r="Q355" s="130">
        <v>38231200</v>
      </c>
      <c r="R355" s="136">
        <v>19.68</v>
      </c>
      <c r="S355" s="130" t="s">
        <v>70</v>
      </c>
      <c r="T355" s="136" t="s">
        <v>44</v>
      </c>
      <c r="U355" s="136" t="s">
        <v>53</v>
      </c>
      <c r="V355" s="136">
        <v>1070</v>
      </c>
      <c r="W355" s="133">
        <f t="shared" si="17"/>
        <v>21057.599999999999</v>
      </c>
      <c r="X355" s="136">
        <v>6.95</v>
      </c>
      <c r="Y355" s="136">
        <v>360</v>
      </c>
      <c r="Z355" s="136">
        <v>0</v>
      </c>
      <c r="AA355" s="136">
        <v>0</v>
      </c>
      <c r="AB355" s="131">
        <v>42203</v>
      </c>
      <c r="AC355" s="134">
        <f t="shared" si="15"/>
        <v>20690.650079239302</v>
      </c>
      <c r="AD355" s="135">
        <v>63.1</v>
      </c>
      <c r="AE355" s="136">
        <f t="shared" si="16"/>
        <v>1328734.5599999998</v>
      </c>
      <c r="AF355" s="137">
        <v>1305580.02</v>
      </c>
      <c r="AG355" s="138">
        <v>63.1</v>
      </c>
      <c r="AH355" s="136" t="s">
        <v>5404</v>
      </c>
      <c r="AI355" s="136">
        <v>21057.599999999999</v>
      </c>
      <c r="AJ355" s="132" t="s">
        <v>5405</v>
      </c>
      <c r="AK355" s="136" t="s">
        <v>5406</v>
      </c>
      <c r="AL355" s="132" t="s">
        <v>5407</v>
      </c>
      <c r="AM355" s="131" t="s">
        <v>49</v>
      </c>
      <c r="AN355" s="133" t="s">
        <v>4440</v>
      </c>
    </row>
    <row r="356" spans="1:40" s="129" customFormat="1" x14ac:dyDescent="0.25">
      <c r="A356" s="130">
        <v>355</v>
      </c>
      <c r="B356" s="130" t="s">
        <v>4428</v>
      </c>
      <c r="C356" s="130" t="s">
        <v>38</v>
      </c>
      <c r="D356" s="136">
        <v>9103650320</v>
      </c>
      <c r="E356" s="132">
        <v>42209</v>
      </c>
      <c r="F356" s="132" t="s">
        <v>5248</v>
      </c>
      <c r="G356" s="132" t="s">
        <v>465</v>
      </c>
      <c r="H356" s="130" t="s">
        <v>4556</v>
      </c>
      <c r="I356" s="132" t="s">
        <v>40</v>
      </c>
      <c r="J356" s="131" t="s">
        <v>4432</v>
      </c>
      <c r="K356" s="132" t="s">
        <v>4433</v>
      </c>
      <c r="L356" s="136">
        <v>1864957</v>
      </c>
      <c r="M356" s="132" t="s">
        <v>4798</v>
      </c>
      <c r="N356" s="136" t="s">
        <v>5002</v>
      </c>
      <c r="O356" s="130" t="s">
        <v>4436</v>
      </c>
      <c r="P356" s="130" t="s">
        <v>123</v>
      </c>
      <c r="Q356" s="130">
        <v>38237090</v>
      </c>
      <c r="R356" s="136">
        <v>24</v>
      </c>
      <c r="S356" s="130" t="s">
        <v>70</v>
      </c>
      <c r="T356" s="136" t="s">
        <v>52</v>
      </c>
      <c r="U356" s="136" t="s">
        <v>53</v>
      </c>
      <c r="V356" s="136">
        <v>1550</v>
      </c>
      <c r="W356" s="133">
        <f t="shared" si="17"/>
        <v>37200</v>
      </c>
      <c r="X356" s="136">
        <v>0</v>
      </c>
      <c r="Y356" s="136">
        <v>1150</v>
      </c>
      <c r="Z356" s="136">
        <v>0</v>
      </c>
      <c r="AA356" s="136">
        <v>0</v>
      </c>
      <c r="AB356" s="131">
        <v>42203</v>
      </c>
      <c r="AC356" s="134">
        <f t="shared" si="15"/>
        <v>36050</v>
      </c>
      <c r="AD356" s="135">
        <v>63.1</v>
      </c>
      <c r="AE356" s="136">
        <f t="shared" si="16"/>
        <v>2347320</v>
      </c>
      <c r="AF356" s="137">
        <v>2274755</v>
      </c>
      <c r="AG356" s="138">
        <v>63.1</v>
      </c>
      <c r="AH356" s="136" t="s">
        <v>5408</v>
      </c>
      <c r="AI356" s="133">
        <v>37140.5</v>
      </c>
      <c r="AJ356" s="132" t="s">
        <v>5409</v>
      </c>
      <c r="AK356" s="136" t="s">
        <v>5410</v>
      </c>
      <c r="AL356" s="132" t="s">
        <v>5411</v>
      </c>
      <c r="AM356" s="131" t="s">
        <v>49</v>
      </c>
      <c r="AN356" s="136" t="s">
        <v>4440</v>
      </c>
    </row>
    <row r="357" spans="1:40" s="129" customFormat="1" x14ac:dyDescent="0.25">
      <c r="A357" s="136">
        <v>356</v>
      </c>
      <c r="B357" s="130" t="s">
        <v>4428</v>
      </c>
      <c r="C357" s="130" t="s">
        <v>38</v>
      </c>
      <c r="D357" s="136">
        <v>9103650321</v>
      </c>
      <c r="E357" s="132">
        <v>42210</v>
      </c>
      <c r="F357" s="132" t="s">
        <v>5248</v>
      </c>
      <c r="G357" s="132" t="s">
        <v>470</v>
      </c>
      <c r="H357" s="130" t="s">
        <v>4564</v>
      </c>
      <c r="I357" s="132" t="s">
        <v>40</v>
      </c>
      <c r="J357" s="131" t="s">
        <v>4432</v>
      </c>
      <c r="K357" s="132" t="s">
        <v>4433</v>
      </c>
      <c r="L357" s="136">
        <v>1903595</v>
      </c>
      <c r="M357" s="132" t="s">
        <v>5116</v>
      </c>
      <c r="N357" s="136" t="s">
        <v>4848</v>
      </c>
      <c r="O357" s="130" t="s">
        <v>4436</v>
      </c>
      <c r="P357" s="130" t="s">
        <v>59</v>
      </c>
      <c r="Q357" s="130">
        <v>38231900</v>
      </c>
      <c r="R357" s="136">
        <v>59.27</v>
      </c>
      <c r="S357" s="130" t="s">
        <v>70</v>
      </c>
      <c r="T357" s="136" t="s">
        <v>5412</v>
      </c>
      <c r="U357" s="136" t="s">
        <v>4528</v>
      </c>
      <c r="V357" s="136">
        <v>3426</v>
      </c>
      <c r="W357" s="133">
        <f t="shared" si="17"/>
        <v>203059.02000000002</v>
      </c>
      <c r="X357" s="136">
        <v>67.010000000000005</v>
      </c>
      <c r="Y357" s="136">
        <v>4829.08</v>
      </c>
      <c r="Z357" s="136">
        <v>0</v>
      </c>
      <c r="AA357" s="136">
        <v>0</v>
      </c>
      <c r="AB357" s="131">
        <v>42207</v>
      </c>
      <c r="AC357" s="134">
        <f t="shared" si="15"/>
        <v>198162.93002915452</v>
      </c>
      <c r="AD357" s="135">
        <v>68.599999999999994</v>
      </c>
      <c r="AE357" s="136">
        <f t="shared" si="16"/>
        <v>13929848.772</v>
      </c>
      <c r="AF357" s="130">
        <v>13593977</v>
      </c>
      <c r="AG357" s="138">
        <v>68.599999999999994</v>
      </c>
      <c r="AH357" s="136" t="s">
        <v>5413</v>
      </c>
      <c r="AI357" s="133">
        <v>203059.02</v>
      </c>
      <c r="AJ357" s="132" t="s">
        <v>5011</v>
      </c>
      <c r="AK357" s="136" t="s">
        <v>5414</v>
      </c>
      <c r="AL357" s="132" t="s">
        <v>5013</v>
      </c>
      <c r="AM357" s="131" t="s">
        <v>49</v>
      </c>
      <c r="AN357" s="133" t="s">
        <v>4440</v>
      </c>
    </row>
    <row r="358" spans="1:40" s="129" customFormat="1" x14ac:dyDescent="0.25">
      <c r="A358" s="130">
        <v>357</v>
      </c>
      <c r="B358" s="130" t="s">
        <v>4428</v>
      </c>
      <c r="C358" s="130" t="s">
        <v>38</v>
      </c>
      <c r="D358" s="136">
        <v>9103650322</v>
      </c>
      <c r="E358" s="132">
        <v>42210</v>
      </c>
      <c r="F358" s="132" t="s">
        <v>5248</v>
      </c>
      <c r="G358" s="132" t="s">
        <v>477</v>
      </c>
      <c r="H358" s="130" t="s">
        <v>4491</v>
      </c>
      <c r="I358" s="132" t="s">
        <v>40</v>
      </c>
      <c r="J358" s="131" t="s">
        <v>4432</v>
      </c>
      <c r="K358" s="132" t="s">
        <v>4433</v>
      </c>
      <c r="L358" s="136">
        <v>1894978</v>
      </c>
      <c r="M358" s="132" t="s">
        <v>5116</v>
      </c>
      <c r="N358" s="136" t="s">
        <v>4720</v>
      </c>
      <c r="O358" s="130" t="s">
        <v>4436</v>
      </c>
      <c r="P358" s="130" t="s">
        <v>130</v>
      </c>
      <c r="Q358" s="130">
        <v>29159090</v>
      </c>
      <c r="R358" s="136">
        <v>39.479999999999997</v>
      </c>
      <c r="S358" s="130" t="s">
        <v>70</v>
      </c>
      <c r="T358" s="136" t="s">
        <v>44</v>
      </c>
      <c r="U358" s="136" t="s">
        <v>4528</v>
      </c>
      <c r="V358" s="136">
        <v>2700</v>
      </c>
      <c r="W358" s="133">
        <f t="shared" si="17"/>
        <v>106595.99999999999</v>
      </c>
      <c r="X358" s="136">
        <v>35.18</v>
      </c>
      <c r="Y358" s="136">
        <v>5504.34</v>
      </c>
      <c r="Z358" s="136">
        <v>0</v>
      </c>
      <c r="AA358" s="136">
        <v>1956.23</v>
      </c>
      <c r="AB358" s="131">
        <v>42206</v>
      </c>
      <c r="AC358" s="134">
        <f t="shared" si="15"/>
        <v>101056.48002915453</v>
      </c>
      <c r="AD358" s="135">
        <v>68.599999999999994</v>
      </c>
      <c r="AE358" s="136">
        <f t="shared" si="16"/>
        <v>7312485.5999999987</v>
      </c>
      <c r="AF358" s="130">
        <v>6932474.5300000003</v>
      </c>
      <c r="AG358" s="138">
        <v>68.599999999999994</v>
      </c>
      <c r="AH358" s="136" t="s">
        <v>5415</v>
      </c>
      <c r="AI358" s="133">
        <v>106521</v>
      </c>
      <c r="AJ358" s="132">
        <v>42314</v>
      </c>
      <c r="AK358" s="136" t="s">
        <v>5416</v>
      </c>
      <c r="AL358" s="132" t="s">
        <v>5417</v>
      </c>
      <c r="AM358" s="131" t="s">
        <v>49</v>
      </c>
      <c r="AN358" s="133" t="s">
        <v>4440</v>
      </c>
    </row>
    <row r="359" spans="1:40" s="129" customFormat="1" x14ac:dyDescent="0.25">
      <c r="A359" s="136">
        <v>358</v>
      </c>
      <c r="B359" s="130" t="s">
        <v>4428</v>
      </c>
      <c r="C359" s="130" t="s">
        <v>38</v>
      </c>
      <c r="D359" s="136">
        <v>9103650323</v>
      </c>
      <c r="E359" s="132">
        <v>42211</v>
      </c>
      <c r="F359" s="132" t="s">
        <v>5248</v>
      </c>
      <c r="G359" s="132" t="s">
        <v>468</v>
      </c>
      <c r="H359" s="130" t="s">
        <v>4669</v>
      </c>
      <c r="I359" s="132" t="s">
        <v>40</v>
      </c>
      <c r="J359" s="131" t="s">
        <v>4432</v>
      </c>
      <c r="K359" s="132" t="s">
        <v>4433</v>
      </c>
      <c r="L359" s="136">
        <v>1901265</v>
      </c>
      <c r="M359" s="132">
        <v>42205</v>
      </c>
      <c r="N359" s="136" t="s">
        <v>5418</v>
      </c>
      <c r="O359" s="130" t="s">
        <v>4436</v>
      </c>
      <c r="P359" s="130" t="s">
        <v>5345</v>
      </c>
      <c r="Q359" s="130">
        <v>38237090</v>
      </c>
      <c r="R359" s="136">
        <v>48</v>
      </c>
      <c r="S359" s="130" t="s">
        <v>70</v>
      </c>
      <c r="T359" s="136" t="s">
        <v>44</v>
      </c>
      <c r="U359" s="136" t="s">
        <v>53</v>
      </c>
      <c r="V359" s="136">
        <v>1289</v>
      </c>
      <c r="W359" s="133">
        <f t="shared" si="17"/>
        <v>61872</v>
      </c>
      <c r="X359" s="136">
        <v>20.420000000000002</v>
      </c>
      <c r="Y359" s="136">
        <v>2925</v>
      </c>
      <c r="Z359" s="136">
        <v>0</v>
      </c>
      <c r="AA359" s="136">
        <v>0</v>
      </c>
      <c r="AB359" s="131">
        <v>42206</v>
      </c>
      <c r="AC359" s="134">
        <f t="shared" si="15"/>
        <v>58926.580031695725</v>
      </c>
      <c r="AD359" s="135">
        <v>63.1</v>
      </c>
      <c r="AE359" s="136">
        <f t="shared" si="16"/>
        <v>3904123.2</v>
      </c>
      <c r="AF359" s="137">
        <v>3718267.2</v>
      </c>
      <c r="AG359" s="138">
        <v>63.1</v>
      </c>
      <c r="AH359" s="136" t="s">
        <v>5419</v>
      </c>
      <c r="AI359" s="133">
        <v>61814.400000000001</v>
      </c>
      <c r="AJ359" s="132">
        <v>42250</v>
      </c>
      <c r="AK359" s="136" t="s">
        <v>5420</v>
      </c>
      <c r="AL359" s="132">
        <v>42251</v>
      </c>
      <c r="AM359" s="131" t="s">
        <v>49</v>
      </c>
      <c r="AN359" s="133" t="s">
        <v>4440</v>
      </c>
    </row>
    <row r="360" spans="1:40" s="129" customFormat="1" x14ac:dyDescent="0.25">
      <c r="A360" s="130">
        <v>359</v>
      </c>
      <c r="B360" s="130" t="s">
        <v>4428</v>
      </c>
      <c r="C360" s="130" t="s">
        <v>38</v>
      </c>
      <c r="D360" s="136">
        <v>9103650324</v>
      </c>
      <c r="E360" s="132">
        <v>42208</v>
      </c>
      <c r="F360" s="132" t="s">
        <v>5248</v>
      </c>
      <c r="G360" s="132" t="s">
        <v>466</v>
      </c>
      <c r="H360" s="130" t="s">
        <v>4431</v>
      </c>
      <c r="I360" s="132" t="s">
        <v>40</v>
      </c>
      <c r="J360" s="131" t="s">
        <v>4432</v>
      </c>
      <c r="K360" s="132" t="s">
        <v>4433</v>
      </c>
      <c r="L360" s="136">
        <v>1904462</v>
      </c>
      <c r="M360" s="132" t="s">
        <v>5116</v>
      </c>
      <c r="N360" s="136" t="s">
        <v>4655</v>
      </c>
      <c r="O360" s="130" t="s">
        <v>4436</v>
      </c>
      <c r="P360" s="130" t="s">
        <v>143</v>
      </c>
      <c r="Q360" s="130">
        <v>38237090</v>
      </c>
      <c r="R360" s="136">
        <v>16</v>
      </c>
      <c r="S360" s="130" t="s">
        <v>70</v>
      </c>
      <c r="T360" s="136" t="s">
        <v>52</v>
      </c>
      <c r="U360" s="136" t="s">
        <v>53</v>
      </c>
      <c r="V360" s="136">
        <v>1457</v>
      </c>
      <c r="W360" s="133">
        <f t="shared" si="17"/>
        <v>23312</v>
      </c>
      <c r="X360" s="136">
        <v>0</v>
      </c>
      <c r="Y360" s="136">
        <v>600</v>
      </c>
      <c r="Z360" s="136">
        <v>0</v>
      </c>
      <c r="AA360" s="136">
        <v>0</v>
      </c>
      <c r="AB360" s="131">
        <v>42206</v>
      </c>
      <c r="AC360" s="134">
        <f t="shared" si="15"/>
        <v>22712</v>
      </c>
      <c r="AD360" s="135">
        <v>63.1</v>
      </c>
      <c r="AE360" s="136">
        <f t="shared" si="16"/>
        <v>1470987.2</v>
      </c>
      <c r="AF360" s="137">
        <v>1433127.2</v>
      </c>
      <c r="AG360" s="138">
        <v>63.1</v>
      </c>
      <c r="AH360" s="136" t="s">
        <v>5421</v>
      </c>
      <c r="AI360" s="133">
        <v>23224</v>
      </c>
      <c r="AJ360" s="132" t="s">
        <v>5015</v>
      </c>
      <c r="AK360" s="136" t="s">
        <v>5422</v>
      </c>
      <c r="AL360" s="132" t="s">
        <v>5017</v>
      </c>
      <c r="AM360" s="131" t="s">
        <v>49</v>
      </c>
      <c r="AN360" s="133" t="s">
        <v>4440</v>
      </c>
    </row>
    <row r="361" spans="1:40" s="129" customFormat="1" x14ac:dyDescent="0.25">
      <c r="A361" s="136">
        <v>360</v>
      </c>
      <c r="B361" s="130" t="s">
        <v>4428</v>
      </c>
      <c r="C361" s="130" t="s">
        <v>38</v>
      </c>
      <c r="D361" s="136">
        <v>9103650325</v>
      </c>
      <c r="E361" s="132">
        <v>42211</v>
      </c>
      <c r="F361" s="132" t="s">
        <v>5248</v>
      </c>
      <c r="G361" s="132" t="s">
        <v>467</v>
      </c>
      <c r="H361" s="130" t="s">
        <v>4491</v>
      </c>
      <c r="I361" s="132" t="s">
        <v>40</v>
      </c>
      <c r="J361" s="131" t="s">
        <v>4432</v>
      </c>
      <c r="K361" s="132" t="s">
        <v>4433</v>
      </c>
      <c r="L361" s="136">
        <v>1905599</v>
      </c>
      <c r="M361" s="132" t="s">
        <v>5116</v>
      </c>
      <c r="N361" s="136" t="s">
        <v>3741</v>
      </c>
      <c r="O361" s="130" t="s">
        <v>4436</v>
      </c>
      <c r="P361" s="130" t="s">
        <v>4492</v>
      </c>
      <c r="Q361" s="130" t="s">
        <v>4645</v>
      </c>
      <c r="R361" s="136">
        <v>18.134999999999998</v>
      </c>
      <c r="S361" s="130" t="s">
        <v>70</v>
      </c>
      <c r="T361" s="136" t="s">
        <v>44</v>
      </c>
      <c r="U361" s="136" t="s">
        <v>53</v>
      </c>
      <c r="V361" s="136">
        <v>0</v>
      </c>
      <c r="W361" s="133">
        <f>(1.36*1788+13.605*1553+3.175*1623)</f>
        <v>28713.270000000004</v>
      </c>
      <c r="X361" s="136">
        <v>9.48</v>
      </c>
      <c r="Y361" s="136">
        <v>1606</v>
      </c>
      <c r="Z361" s="136">
        <v>0</v>
      </c>
      <c r="AA361" s="136">
        <v>0</v>
      </c>
      <c r="AB361" s="131">
        <v>42206</v>
      </c>
      <c r="AC361" s="134">
        <f t="shared" si="15"/>
        <v>27097.8</v>
      </c>
      <c r="AD361" s="135">
        <v>63.1</v>
      </c>
      <c r="AE361" s="136">
        <f t="shared" si="16"/>
        <v>1811807.3370000003</v>
      </c>
      <c r="AF361" s="137">
        <v>1709871.18</v>
      </c>
      <c r="AG361" s="138">
        <v>63.1</v>
      </c>
      <c r="AH361" s="136" t="s">
        <v>5423</v>
      </c>
      <c r="AI361" s="133">
        <v>28713.27</v>
      </c>
      <c r="AJ361" s="132" t="s">
        <v>4803</v>
      </c>
      <c r="AK361" s="136" t="s">
        <v>5424</v>
      </c>
      <c r="AL361" s="132" t="s">
        <v>4805</v>
      </c>
      <c r="AM361" s="131" t="s">
        <v>49</v>
      </c>
      <c r="AN361" s="136" t="s">
        <v>4440</v>
      </c>
    </row>
    <row r="362" spans="1:40" s="129" customFormat="1" x14ac:dyDescent="0.25">
      <c r="A362" s="130">
        <v>361</v>
      </c>
      <c r="B362" s="130" t="s">
        <v>4428</v>
      </c>
      <c r="C362" s="130" t="s">
        <v>38</v>
      </c>
      <c r="D362" s="136">
        <v>9103650327</v>
      </c>
      <c r="E362" s="132">
        <v>42211</v>
      </c>
      <c r="F362" s="132" t="s">
        <v>5248</v>
      </c>
      <c r="G362" s="132" t="s">
        <v>472</v>
      </c>
      <c r="H362" s="130" t="s">
        <v>4564</v>
      </c>
      <c r="I362" s="132" t="s">
        <v>40</v>
      </c>
      <c r="J362" s="131" t="s">
        <v>4432</v>
      </c>
      <c r="K362" s="132" t="s">
        <v>4433</v>
      </c>
      <c r="L362" s="136">
        <v>1896997</v>
      </c>
      <c r="M362" s="132" t="s">
        <v>5116</v>
      </c>
      <c r="N362" s="136" t="s">
        <v>4608</v>
      </c>
      <c r="O362" s="130" t="s">
        <v>4436</v>
      </c>
      <c r="P362" s="130" t="s">
        <v>205</v>
      </c>
      <c r="Q362" s="130">
        <v>38237090</v>
      </c>
      <c r="R362" s="136">
        <v>17.600000000000001</v>
      </c>
      <c r="S362" s="130" t="s">
        <v>70</v>
      </c>
      <c r="T362" s="136" t="s">
        <v>44</v>
      </c>
      <c r="U362" s="136" t="s">
        <v>53</v>
      </c>
      <c r="V362" s="136">
        <v>1620</v>
      </c>
      <c r="W362" s="133">
        <f t="shared" si="17"/>
        <v>28512.000000000004</v>
      </c>
      <c r="X362" s="136">
        <v>9.41</v>
      </c>
      <c r="Y362" s="136">
        <v>550</v>
      </c>
      <c r="Z362" s="136">
        <v>0</v>
      </c>
      <c r="AA362" s="136">
        <v>0</v>
      </c>
      <c r="AB362" s="131">
        <v>42206</v>
      </c>
      <c r="AC362" s="134">
        <f t="shared" si="15"/>
        <v>27952.590015847858</v>
      </c>
      <c r="AD362" s="135">
        <v>63.1</v>
      </c>
      <c r="AE362" s="136">
        <f t="shared" si="16"/>
        <v>1799107.2000000002</v>
      </c>
      <c r="AF362" s="137">
        <v>1763808.43</v>
      </c>
      <c r="AG362" s="138">
        <v>63.1</v>
      </c>
      <c r="AH362" s="136" t="s">
        <v>5425</v>
      </c>
      <c r="AI362" s="133">
        <v>28497</v>
      </c>
      <c r="AJ362" s="132" t="s">
        <v>5017</v>
      </c>
      <c r="AK362" s="136" t="s">
        <v>5426</v>
      </c>
      <c r="AL362" s="132" t="s">
        <v>5132</v>
      </c>
      <c r="AM362" s="131" t="s">
        <v>49</v>
      </c>
      <c r="AN362" s="133" t="s">
        <v>4440</v>
      </c>
    </row>
    <row r="363" spans="1:40" s="129" customFormat="1" x14ac:dyDescent="0.25">
      <c r="A363" s="136">
        <v>362</v>
      </c>
      <c r="B363" s="130" t="s">
        <v>4428</v>
      </c>
      <c r="C363" s="130" t="s">
        <v>38</v>
      </c>
      <c r="D363" s="136">
        <v>9103650328</v>
      </c>
      <c r="E363" s="132">
        <v>42212</v>
      </c>
      <c r="F363" s="132" t="s">
        <v>5248</v>
      </c>
      <c r="G363" s="132" t="s">
        <v>478</v>
      </c>
      <c r="H363" s="130" t="s">
        <v>4491</v>
      </c>
      <c r="I363" s="132" t="s">
        <v>40</v>
      </c>
      <c r="J363" s="131" t="s">
        <v>4432</v>
      </c>
      <c r="K363" s="132" t="s">
        <v>4433</v>
      </c>
      <c r="L363" s="136">
        <v>1923215</v>
      </c>
      <c r="M363" s="132" t="s">
        <v>4779</v>
      </c>
      <c r="N363" s="136" t="s">
        <v>3741</v>
      </c>
      <c r="O363" s="130" t="s">
        <v>4436</v>
      </c>
      <c r="P363" s="130" t="s">
        <v>4492</v>
      </c>
      <c r="Q363" s="130">
        <v>38237090</v>
      </c>
      <c r="R363" s="136">
        <v>18.14</v>
      </c>
      <c r="S363" s="130" t="s">
        <v>70</v>
      </c>
      <c r="T363" s="136" t="s">
        <v>44</v>
      </c>
      <c r="U363" s="136" t="s">
        <v>53</v>
      </c>
      <c r="V363" s="136">
        <v>1512</v>
      </c>
      <c r="W363" s="133">
        <f t="shared" si="17"/>
        <v>27427.68</v>
      </c>
      <c r="X363" s="136">
        <v>9.0500000000000007</v>
      </c>
      <c r="Y363" s="136">
        <v>3250</v>
      </c>
      <c r="Z363" s="136">
        <v>0</v>
      </c>
      <c r="AA363" s="136">
        <v>0</v>
      </c>
      <c r="AB363" s="131">
        <v>42207</v>
      </c>
      <c r="AC363" s="134">
        <f t="shared" si="15"/>
        <v>24168.630110935024</v>
      </c>
      <c r="AD363" s="135">
        <v>63.1</v>
      </c>
      <c r="AE363" s="136">
        <f t="shared" si="16"/>
        <v>1730686.608</v>
      </c>
      <c r="AF363" s="137">
        <v>1525040.56</v>
      </c>
      <c r="AG363" s="138">
        <v>63.1</v>
      </c>
      <c r="AH363" s="136" t="s">
        <v>5427</v>
      </c>
      <c r="AI363" s="133">
        <v>27427.68</v>
      </c>
      <c r="AJ363" s="132" t="s">
        <v>4803</v>
      </c>
      <c r="AK363" s="136" t="s">
        <v>5428</v>
      </c>
      <c r="AL363" s="132" t="s">
        <v>4805</v>
      </c>
      <c r="AM363" s="131" t="s">
        <v>49</v>
      </c>
      <c r="AN363" s="136" t="s">
        <v>4440</v>
      </c>
    </row>
    <row r="364" spans="1:40" s="129" customFormat="1" x14ac:dyDescent="0.25">
      <c r="A364" s="130">
        <v>363</v>
      </c>
      <c r="B364" s="130" t="s">
        <v>4428</v>
      </c>
      <c r="C364" s="130" t="s">
        <v>38</v>
      </c>
      <c r="D364" s="136">
        <v>9103650329</v>
      </c>
      <c r="E364" s="132">
        <v>42214</v>
      </c>
      <c r="F364" s="132" t="s">
        <v>5248</v>
      </c>
      <c r="G364" s="132" t="s">
        <v>469</v>
      </c>
      <c r="H364" s="130" t="s">
        <v>4491</v>
      </c>
      <c r="I364" s="132" t="s">
        <v>40</v>
      </c>
      <c r="J364" s="131" t="s">
        <v>4432</v>
      </c>
      <c r="K364" s="132" t="s">
        <v>4433</v>
      </c>
      <c r="L364" s="136">
        <v>1928771</v>
      </c>
      <c r="M364" s="132" t="s">
        <v>4779</v>
      </c>
      <c r="N364" s="136" t="s">
        <v>3741</v>
      </c>
      <c r="O364" s="130" t="s">
        <v>4436</v>
      </c>
      <c r="P364" s="130" t="s">
        <v>4492</v>
      </c>
      <c r="Q364" s="130">
        <v>29051700</v>
      </c>
      <c r="R364" s="136">
        <v>36.28</v>
      </c>
      <c r="S364" s="130" t="s">
        <v>70</v>
      </c>
      <c r="T364" s="136" t="s">
        <v>44</v>
      </c>
      <c r="U364" s="136" t="s">
        <v>53</v>
      </c>
      <c r="V364" s="136">
        <v>1872</v>
      </c>
      <c r="W364" s="133">
        <f t="shared" si="17"/>
        <v>67916.160000000003</v>
      </c>
      <c r="X364" s="136">
        <v>22.41</v>
      </c>
      <c r="Y364" s="136">
        <v>5100</v>
      </c>
      <c r="Z364" s="136">
        <v>0</v>
      </c>
      <c r="AA364" s="136">
        <v>0</v>
      </c>
      <c r="AB364" s="131">
        <v>42208</v>
      </c>
      <c r="AC364" s="134">
        <f t="shared" si="15"/>
        <v>62793.750079239297</v>
      </c>
      <c r="AD364" s="135">
        <v>63.1</v>
      </c>
      <c r="AE364" s="136">
        <f t="shared" si="16"/>
        <v>4285509.6960000005</v>
      </c>
      <c r="AF364" s="137">
        <v>3962285.63</v>
      </c>
      <c r="AG364" s="138">
        <v>63.1</v>
      </c>
      <c r="AH364" s="136" t="s">
        <v>5429</v>
      </c>
      <c r="AI364" s="133">
        <v>67916.160000000003</v>
      </c>
      <c r="AJ364" s="132" t="s">
        <v>4803</v>
      </c>
      <c r="AK364" s="136" t="s">
        <v>5430</v>
      </c>
      <c r="AL364" s="132" t="s">
        <v>4805</v>
      </c>
      <c r="AM364" s="131" t="s">
        <v>49</v>
      </c>
      <c r="AN364" s="136" t="s">
        <v>4440</v>
      </c>
    </row>
    <row r="365" spans="1:40" s="129" customFormat="1" x14ac:dyDescent="0.25">
      <c r="A365" s="136">
        <v>364</v>
      </c>
      <c r="B365" s="130" t="s">
        <v>4428</v>
      </c>
      <c r="C365" s="130" t="s">
        <v>38</v>
      </c>
      <c r="D365" s="136">
        <v>9103650331</v>
      </c>
      <c r="E365" s="132">
        <v>42209</v>
      </c>
      <c r="F365" s="132" t="s">
        <v>5248</v>
      </c>
      <c r="G365" s="132" t="s">
        <v>462</v>
      </c>
      <c r="H365" s="130" t="s">
        <v>4456</v>
      </c>
      <c r="I365" s="132" t="s">
        <v>40</v>
      </c>
      <c r="J365" s="131" t="s">
        <v>4432</v>
      </c>
      <c r="K365" s="132" t="s">
        <v>4433</v>
      </c>
      <c r="L365" s="136">
        <v>1893911</v>
      </c>
      <c r="M365" s="132">
        <v>42205</v>
      </c>
      <c r="N365" s="136" t="s">
        <v>4527</v>
      </c>
      <c r="O365" s="130" t="s">
        <v>4436</v>
      </c>
      <c r="P365" s="130" t="s">
        <v>2657</v>
      </c>
      <c r="Q365" s="130">
        <v>38237090</v>
      </c>
      <c r="R365" s="136">
        <v>130.6</v>
      </c>
      <c r="S365" s="130" t="s">
        <v>70</v>
      </c>
      <c r="T365" s="136" t="s">
        <v>52</v>
      </c>
      <c r="U365" s="136" t="s">
        <v>4528</v>
      </c>
      <c r="V365" s="136">
        <v>1170</v>
      </c>
      <c r="W365" s="133">
        <f t="shared" si="17"/>
        <v>152802</v>
      </c>
      <c r="X365" s="136">
        <v>0</v>
      </c>
      <c r="Y365" s="136">
        <v>4346.17</v>
      </c>
      <c r="Z365" s="136">
        <v>0</v>
      </c>
      <c r="AA365" s="136">
        <v>0</v>
      </c>
      <c r="AB365" s="131">
        <v>42206</v>
      </c>
      <c r="AC365" s="134">
        <f t="shared" si="15"/>
        <v>148455.83002915452</v>
      </c>
      <c r="AD365" s="135">
        <v>68.599999999999994</v>
      </c>
      <c r="AE365" s="136">
        <f t="shared" si="16"/>
        <v>10482217.199999999</v>
      </c>
      <c r="AF365" s="130">
        <v>10184069.939999999</v>
      </c>
      <c r="AG365" s="138">
        <v>68.599999999999994</v>
      </c>
      <c r="AH365" s="136" t="s">
        <v>5431</v>
      </c>
      <c r="AI365" s="133">
        <v>152802</v>
      </c>
      <c r="AJ365" s="132">
        <v>42268</v>
      </c>
      <c r="AK365" s="136" t="s">
        <v>5432</v>
      </c>
      <c r="AL365" s="132">
        <v>42268</v>
      </c>
      <c r="AM365" s="131" t="s">
        <v>49</v>
      </c>
      <c r="AN365" s="136" t="s">
        <v>4440</v>
      </c>
    </row>
    <row r="366" spans="1:40" s="129" customFormat="1" x14ac:dyDescent="0.25">
      <c r="A366" s="130">
        <v>365</v>
      </c>
      <c r="B366" s="130" t="s">
        <v>4428</v>
      </c>
      <c r="C366" s="130" t="s">
        <v>38</v>
      </c>
      <c r="D366" s="136">
        <v>9103650332</v>
      </c>
      <c r="E366" s="132">
        <v>42209</v>
      </c>
      <c r="F366" s="132" t="s">
        <v>5248</v>
      </c>
      <c r="G366" s="132" t="s">
        <v>471</v>
      </c>
      <c r="H366" s="130" t="s">
        <v>4456</v>
      </c>
      <c r="I366" s="132" t="s">
        <v>40</v>
      </c>
      <c r="J366" s="131" t="s">
        <v>4432</v>
      </c>
      <c r="K366" s="132" t="s">
        <v>4433</v>
      </c>
      <c r="L366" s="136">
        <v>1901748</v>
      </c>
      <c r="M366" s="132">
        <v>42205</v>
      </c>
      <c r="N366" s="136" t="s">
        <v>4527</v>
      </c>
      <c r="O366" s="130" t="s">
        <v>4436</v>
      </c>
      <c r="P366" s="130" t="s">
        <v>2657</v>
      </c>
      <c r="Q366" s="130">
        <v>38237090</v>
      </c>
      <c r="R366" s="136">
        <v>37.04</v>
      </c>
      <c r="S366" s="130" t="s">
        <v>70</v>
      </c>
      <c r="T366" s="136" t="s">
        <v>52</v>
      </c>
      <c r="U366" s="136" t="s">
        <v>4528</v>
      </c>
      <c r="V366" s="136">
        <v>1170</v>
      </c>
      <c r="W366" s="133">
        <f t="shared" si="17"/>
        <v>43336.799999999996</v>
      </c>
      <c r="X366" s="136">
        <v>0</v>
      </c>
      <c r="Y366" s="136">
        <v>1241.76</v>
      </c>
      <c r="Z366" s="136">
        <v>0</v>
      </c>
      <c r="AA366" s="136">
        <v>0</v>
      </c>
      <c r="AB366" s="131">
        <v>42207</v>
      </c>
      <c r="AC366" s="134">
        <f t="shared" si="15"/>
        <v>42095.039941690971</v>
      </c>
      <c r="AD366" s="135">
        <v>68.599999999999994</v>
      </c>
      <c r="AE366" s="136">
        <f t="shared" si="16"/>
        <v>2972904.4799999995</v>
      </c>
      <c r="AF366" s="130">
        <v>2887719.74</v>
      </c>
      <c r="AG366" s="138">
        <v>68.599999999999994</v>
      </c>
      <c r="AH366" s="136" t="s">
        <v>5433</v>
      </c>
      <c r="AI366" s="133">
        <v>43336.800000000003</v>
      </c>
      <c r="AJ366" s="132">
        <v>42275</v>
      </c>
      <c r="AK366" s="136" t="s">
        <v>5434</v>
      </c>
      <c r="AL366" s="132">
        <v>42275</v>
      </c>
      <c r="AM366" s="131" t="s">
        <v>49</v>
      </c>
      <c r="AN366" s="136" t="s">
        <v>4440</v>
      </c>
    </row>
    <row r="367" spans="1:40" s="129" customFormat="1" x14ac:dyDescent="0.25">
      <c r="A367" s="136">
        <v>366</v>
      </c>
      <c r="B367" s="130" t="s">
        <v>4428</v>
      </c>
      <c r="C367" s="130" t="s">
        <v>38</v>
      </c>
      <c r="D367" s="136" t="s">
        <v>5435</v>
      </c>
      <c r="E367" s="132">
        <v>42211</v>
      </c>
      <c r="F367" s="132" t="s">
        <v>5248</v>
      </c>
      <c r="G367" s="132" t="s">
        <v>475</v>
      </c>
      <c r="H367" s="130" t="s">
        <v>4456</v>
      </c>
      <c r="I367" s="132" t="s">
        <v>40</v>
      </c>
      <c r="J367" s="131" t="s">
        <v>4432</v>
      </c>
      <c r="K367" s="132" t="s">
        <v>4433</v>
      </c>
      <c r="L367" s="136">
        <v>1939583</v>
      </c>
      <c r="M367" s="132" t="s">
        <v>5436</v>
      </c>
      <c r="N367" s="136" t="s">
        <v>4612</v>
      </c>
      <c r="O367" s="130" t="s">
        <v>4436</v>
      </c>
      <c r="P367" s="130" t="s">
        <v>47</v>
      </c>
      <c r="Q367" s="130">
        <v>38231900</v>
      </c>
      <c r="R367" s="136">
        <v>19.73</v>
      </c>
      <c r="S367" s="130" t="s">
        <v>70</v>
      </c>
      <c r="T367" s="136" t="s">
        <v>44</v>
      </c>
      <c r="U367" s="136" t="s">
        <v>53</v>
      </c>
      <c r="V367" s="136">
        <v>3740</v>
      </c>
      <c r="W367" s="133">
        <f t="shared" si="17"/>
        <v>73790.2</v>
      </c>
      <c r="X367" s="136">
        <v>24.35</v>
      </c>
      <c r="Y367" s="136">
        <v>650</v>
      </c>
      <c r="Z367" s="136">
        <v>0</v>
      </c>
      <c r="AA367" s="136">
        <v>1420.56</v>
      </c>
      <c r="AB367" s="131">
        <v>42208</v>
      </c>
      <c r="AC367" s="134">
        <f t="shared" si="15"/>
        <v>73115.850079239302</v>
      </c>
      <c r="AD367" s="135">
        <v>63.1</v>
      </c>
      <c r="AE367" s="136">
        <f t="shared" si="16"/>
        <v>4656161.62</v>
      </c>
      <c r="AF367" s="137">
        <v>4613610.1399999997</v>
      </c>
      <c r="AG367" s="138">
        <v>63.1</v>
      </c>
      <c r="AH367" s="136" t="s">
        <v>5437</v>
      </c>
      <c r="AI367" s="136">
        <v>73790.2</v>
      </c>
      <c r="AJ367" s="132" t="s">
        <v>5438</v>
      </c>
      <c r="AK367" s="136" t="s">
        <v>5439</v>
      </c>
      <c r="AL367" s="132" t="s">
        <v>5440</v>
      </c>
      <c r="AM367" s="131" t="s">
        <v>49</v>
      </c>
      <c r="AN367" s="136" t="s">
        <v>4440</v>
      </c>
    </row>
    <row r="368" spans="1:40" s="129" customFormat="1" x14ac:dyDescent="0.25">
      <c r="A368" s="130">
        <v>367</v>
      </c>
      <c r="B368" s="130" t="s">
        <v>4428</v>
      </c>
      <c r="C368" s="130" t="s">
        <v>38</v>
      </c>
      <c r="D368" s="136" t="s">
        <v>5435</v>
      </c>
      <c r="E368" s="132">
        <v>42211</v>
      </c>
      <c r="F368" s="132" t="s">
        <v>5248</v>
      </c>
      <c r="G368" s="132" t="s">
        <v>473</v>
      </c>
      <c r="H368" s="130" t="s">
        <v>4456</v>
      </c>
      <c r="I368" s="132" t="s">
        <v>40</v>
      </c>
      <c r="J368" s="131" t="s">
        <v>4432</v>
      </c>
      <c r="K368" s="132" t="s">
        <v>4433</v>
      </c>
      <c r="L368" s="136">
        <v>1928778</v>
      </c>
      <c r="M368" s="132" t="s">
        <v>5436</v>
      </c>
      <c r="N368" s="136" t="s">
        <v>4612</v>
      </c>
      <c r="O368" s="130" t="s">
        <v>4436</v>
      </c>
      <c r="P368" s="130" t="s">
        <v>47</v>
      </c>
      <c r="Q368" s="130">
        <v>38231900</v>
      </c>
      <c r="R368" s="136">
        <v>19.72</v>
      </c>
      <c r="S368" s="130" t="s">
        <v>70</v>
      </c>
      <c r="T368" s="136" t="s">
        <v>44</v>
      </c>
      <c r="U368" s="136" t="s">
        <v>53</v>
      </c>
      <c r="V368" s="136">
        <v>3740</v>
      </c>
      <c r="W368" s="133">
        <f t="shared" si="17"/>
        <v>73752.800000000003</v>
      </c>
      <c r="X368" s="136">
        <v>24.34</v>
      </c>
      <c r="Y368" s="136">
        <v>650</v>
      </c>
      <c r="Z368" s="136">
        <v>0</v>
      </c>
      <c r="AA368" s="136">
        <v>1419.84</v>
      </c>
      <c r="AB368" s="131">
        <v>42207</v>
      </c>
      <c r="AC368" s="134">
        <f t="shared" si="15"/>
        <v>73115.850079239302</v>
      </c>
      <c r="AD368" s="135">
        <v>63.1</v>
      </c>
      <c r="AE368" s="136">
        <f t="shared" si="16"/>
        <v>4653801.6800000006</v>
      </c>
      <c r="AF368" s="137">
        <v>4613610.1399999997</v>
      </c>
      <c r="AG368" s="138">
        <v>63.1</v>
      </c>
      <c r="AH368" s="136" t="s">
        <v>5437</v>
      </c>
      <c r="AI368" s="136">
        <v>73752.800000000003</v>
      </c>
      <c r="AJ368" s="132" t="s">
        <v>5438</v>
      </c>
      <c r="AK368" s="136" t="s">
        <v>5441</v>
      </c>
      <c r="AL368" s="132" t="s">
        <v>5440</v>
      </c>
      <c r="AM368" s="131" t="s">
        <v>49</v>
      </c>
      <c r="AN368" s="136" t="s">
        <v>4440</v>
      </c>
    </row>
    <row r="369" spans="1:40" s="129" customFormat="1" x14ac:dyDescent="0.25">
      <c r="A369" s="136">
        <v>368</v>
      </c>
      <c r="B369" s="130" t="s">
        <v>4428</v>
      </c>
      <c r="C369" s="130" t="s">
        <v>38</v>
      </c>
      <c r="D369" s="136">
        <v>9103650335</v>
      </c>
      <c r="E369" s="132">
        <v>42210</v>
      </c>
      <c r="F369" s="132" t="s">
        <v>5248</v>
      </c>
      <c r="G369" s="132" t="s">
        <v>499</v>
      </c>
      <c r="H369" s="130" t="s">
        <v>4463</v>
      </c>
      <c r="I369" s="132" t="s">
        <v>40</v>
      </c>
      <c r="J369" s="131" t="s">
        <v>4432</v>
      </c>
      <c r="K369" s="132" t="s">
        <v>4433</v>
      </c>
      <c r="L369" s="136">
        <v>1956651</v>
      </c>
      <c r="M369" s="132" t="s">
        <v>5436</v>
      </c>
      <c r="N369" s="136" t="s">
        <v>4622</v>
      </c>
      <c r="O369" s="130" t="s">
        <v>4436</v>
      </c>
      <c r="P369" s="130" t="s">
        <v>1826</v>
      </c>
      <c r="Q369" s="130">
        <v>38231200</v>
      </c>
      <c r="R369" s="136">
        <v>39.64</v>
      </c>
      <c r="S369" s="130" t="s">
        <v>70</v>
      </c>
      <c r="T369" s="136" t="s">
        <v>67</v>
      </c>
      <c r="U369" s="136" t="s">
        <v>53</v>
      </c>
      <c r="V369" s="136">
        <v>1040</v>
      </c>
      <c r="W369" s="133">
        <f t="shared" si="17"/>
        <v>41225.599999999999</v>
      </c>
      <c r="X369" s="136">
        <v>0</v>
      </c>
      <c r="Y369" s="136">
        <v>0</v>
      </c>
      <c r="Z369" s="136">
        <v>0</v>
      </c>
      <c r="AA369" s="136">
        <v>0</v>
      </c>
      <c r="AB369" s="131">
        <v>42208</v>
      </c>
      <c r="AC369" s="134">
        <f t="shared" si="15"/>
        <v>41225.599999999999</v>
      </c>
      <c r="AD369" s="135">
        <v>63.1</v>
      </c>
      <c r="AE369" s="136">
        <f t="shared" si="16"/>
        <v>2601335.36</v>
      </c>
      <c r="AF369" s="137">
        <v>2601335.36</v>
      </c>
      <c r="AG369" s="138">
        <v>63.1</v>
      </c>
      <c r="AH369" s="136" t="s">
        <v>5442</v>
      </c>
      <c r="AI369" s="136">
        <v>41188.6</v>
      </c>
      <c r="AJ369" s="132" t="s">
        <v>5211</v>
      </c>
      <c r="AK369" s="136" t="s">
        <v>5443</v>
      </c>
      <c r="AL369" s="132" t="s">
        <v>4960</v>
      </c>
      <c r="AM369" s="131" t="s">
        <v>49</v>
      </c>
      <c r="AN369" s="136" t="s">
        <v>4440</v>
      </c>
    </row>
    <row r="370" spans="1:40" s="129" customFormat="1" x14ac:dyDescent="0.25">
      <c r="A370" s="130">
        <v>369</v>
      </c>
      <c r="B370" s="130" t="s">
        <v>4428</v>
      </c>
      <c r="C370" s="130" t="s">
        <v>38</v>
      </c>
      <c r="D370" s="136" t="s">
        <v>5444</v>
      </c>
      <c r="E370" s="132">
        <v>42212</v>
      </c>
      <c r="F370" s="132" t="s">
        <v>5248</v>
      </c>
      <c r="G370" s="132" t="s">
        <v>480</v>
      </c>
      <c r="H370" s="130" t="s">
        <v>4446</v>
      </c>
      <c r="I370" s="132" t="s">
        <v>40</v>
      </c>
      <c r="J370" s="131" t="s">
        <v>4432</v>
      </c>
      <c r="K370" s="132" t="s">
        <v>4433</v>
      </c>
      <c r="L370" s="136">
        <v>1945634</v>
      </c>
      <c r="M370" s="132" t="s">
        <v>5436</v>
      </c>
      <c r="N370" s="136" t="s">
        <v>4448</v>
      </c>
      <c r="O370" s="130" t="s">
        <v>4436</v>
      </c>
      <c r="P370" s="130" t="s">
        <v>47</v>
      </c>
      <c r="Q370" s="130">
        <v>38231900</v>
      </c>
      <c r="R370" s="136">
        <v>19.670000000000002</v>
      </c>
      <c r="S370" s="130" t="s">
        <v>70</v>
      </c>
      <c r="T370" s="136" t="s">
        <v>44</v>
      </c>
      <c r="U370" s="136" t="s">
        <v>53</v>
      </c>
      <c r="V370" s="136">
        <v>3850</v>
      </c>
      <c r="W370" s="133">
        <f t="shared" si="17"/>
        <v>75729.5</v>
      </c>
      <c r="X370" s="136">
        <v>24.99</v>
      </c>
      <c r="Y370" s="136">
        <v>700</v>
      </c>
      <c r="Z370" s="136">
        <v>0</v>
      </c>
      <c r="AA370" s="136">
        <v>0</v>
      </c>
      <c r="AB370" s="131">
        <v>42209</v>
      </c>
      <c r="AC370" s="134">
        <f t="shared" si="15"/>
        <v>75004.509984152144</v>
      </c>
      <c r="AD370" s="135">
        <v>63.1</v>
      </c>
      <c r="AE370" s="136">
        <f t="shared" si="16"/>
        <v>4778531.45</v>
      </c>
      <c r="AF370" s="137">
        <v>4732784.58</v>
      </c>
      <c r="AG370" s="138">
        <v>63.1</v>
      </c>
      <c r="AH370" s="136" t="s">
        <v>5445</v>
      </c>
      <c r="AI370" s="136">
        <v>75729.5</v>
      </c>
      <c r="AJ370" s="132" t="s">
        <v>4803</v>
      </c>
      <c r="AK370" s="136" t="s">
        <v>5446</v>
      </c>
      <c r="AL370" s="132" t="s">
        <v>4805</v>
      </c>
      <c r="AM370" s="131" t="s">
        <v>49</v>
      </c>
      <c r="AN370" s="136" t="s">
        <v>4440</v>
      </c>
    </row>
    <row r="371" spans="1:40" s="129" customFormat="1" x14ac:dyDescent="0.25">
      <c r="A371" s="136">
        <v>370</v>
      </c>
      <c r="B371" s="130" t="s">
        <v>4428</v>
      </c>
      <c r="C371" s="130" t="s">
        <v>38</v>
      </c>
      <c r="D371" s="136" t="s">
        <v>5444</v>
      </c>
      <c r="E371" s="132">
        <v>42212</v>
      </c>
      <c r="F371" s="132" t="s">
        <v>5248</v>
      </c>
      <c r="G371" s="132" t="s">
        <v>476</v>
      </c>
      <c r="H371" s="130" t="s">
        <v>4446</v>
      </c>
      <c r="I371" s="132" t="s">
        <v>40</v>
      </c>
      <c r="J371" s="131" t="s">
        <v>4432</v>
      </c>
      <c r="K371" s="132" t="s">
        <v>4433</v>
      </c>
      <c r="L371" s="136">
        <v>1956630</v>
      </c>
      <c r="M371" s="132" t="s">
        <v>5436</v>
      </c>
      <c r="N371" s="136" t="s">
        <v>4448</v>
      </c>
      <c r="O371" s="130" t="s">
        <v>4436</v>
      </c>
      <c r="P371" s="130" t="s">
        <v>47</v>
      </c>
      <c r="Q371" s="130">
        <v>38231900</v>
      </c>
      <c r="R371" s="136">
        <v>19.63</v>
      </c>
      <c r="S371" s="130" t="s">
        <v>70</v>
      </c>
      <c r="T371" s="136" t="s">
        <v>44</v>
      </c>
      <c r="U371" s="136" t="s">
        <v>53</v>
      </c>
      <c r="V371" s="136">
        <v>3850</v>
      </c>
      <c r="W371" s="133">
        <f t="shared" si="17"/>
        <v>75575.5</v>
      </c>
      <c r="X371" s="136">
        <v>24.94</v>
      </c>
      <c r="Y371" s="136">
        <v>700</v>
      </c>
      <c r="Z371" s="136">
        <v>0</v>
      </c>
      <c r="AA371" s="136">
        <v>0</v>
      </c>
      <c r="AB371" s="131">
        <v>42208</v>
      </c>
      <c r="AC371" s="134">
        <f t="shared" si="15"/>
        <v>74850.560063391444</v>
      </c>
      <c r="AD371" s="135">
        <v>63.1</v>
      </c>
      <c r="AE371" s="136">
        <f t="shared" si="16"/>
        <v>4768814.05</v>
      </c>
      <c r="AF371" s="137">
        <v>4723070.34</v>
      </c>
      <c r="AG371" s="138">
        <v>63.1</v>
      </c>
      <c r="AH371" s="136" t="s">
        <v>5445</v>
      </c>
      <c r="AI371" s="136">
        <v>75575.5</v>
      </c>
      <c r="AJ371" s="132" t="s">
        <v>4803</v>
      </c>
      <c r="AK371" s="136" t="s">
        <v>5447</v>
      </c>
      <c r="AL371" s="132" t="s">
        <v>4805</v>
      </c>
      <c r="AM371" s="131" t="s">
        <v>49</v>
      </c>
      <c r="AN371" s="136" t="s">
        <v>4440</v>
      </c>
    </row>
    <row r="372" spans="1:40" s="129" customFormat="1" x14ac:dyDescent="0.25">
      <c r="A372" s="130">
        <v>371</v>
      </c>
      <c r="B372" s="130" t="s">
        <v>4428</v>
      </c>
      <c r="C372" s="130" t="s">
        <v>38</v>
      </c>
      <c r="D372" s="136" t="s">
        <v>5444</v>
      </c>
      <c r="E372" s="132">
        <v>42212</v>
      </c>
      <c r="F372" s="132" t="s">
        <v>5248</v>
      </c>
      <c r="G372" s="132" t="s">
        <v>481</v>
      </c>
      <c r="H372" s="130" t="s">
        <v>4446</v>
      </c>
      <c r="I372" s="132" t="s">
        <v>40</v>
      </c>
      <c r="J372" s="131" t="s">
        <v>4432</v>
      </c>
      <c r="K372" s="132" t="s">
        <v>4433</v>
      </c>
      <c r="L372" s="136">
        <v>1965626</v>
      </c>
      <c r="M372" s="132">
        <v>42208</v>
      </c>
      <c r="N372" s="136" t="s">
        <v>4448</v>
      </c>
      <c r="O372" s="130" t="s">
        <v>4436</v>
      </c>
      <c r="P372" s="130" t="s">
        <v>47</v>
      </c>
      <c r="Q372" s="130">
        <v>38231900</v>
      </c>
      <c r="R372" s="136">
        <v>19.920000000000002</v>
      </c>
      <c r="S372" s="130" t="s">
        <v>70</v>
      </c>
      <c r="T372" s="136" t="s">
        <v>44</v>
      </c>
      <c r="U372" s="136" t="s">
        <v>53</v>
      </c>
      <c r="V372" s="136">
        <v>3850</v>
      </c>
      <c r="W372" s="133">
        <f t="shared" si="17"/>
        <v>76692</v>
      </c>
      <c r="X372" s="136">
        <v>25.31</v>
      </c>
      <c r="Y372" s="136">
        <v>700</v>
      </c>
      <c r="Z372" s="136">
        <v>0</v>
      </c>
      <c r="AA372" s="136">
        <v>0</v>
      </c>
      <c r="AB372" s="131">
        <v>42209</v>
      </c>
      <c r="AC372" s="134">
        <f t="shared" si="15"/>
        <v>75966.690015847853</v>
      </c>
      <c r="AD372" s="135">
        <v>63.1</v>
      </c>
      <c r="AE372" s="136">
        <f t="shared" si="16"/>
        <v>4839265.2</v>
      </c>
      <c r="AF372" s="137">
        <v>4793498.1399999997</v>
      </c>
      <c r="AG372" s="138">
        <v>63.1</v>
      </c>
      <c r="AH372" s="136" t="s">
        <v>5445</v>
      </c>
      <c r="AI372" s="136">
        <v>76692</v>
      </c>
      <c r="AJ372" s="132" t="s">
        <v>4803</v>
      </c>
      <c r="AK372" s="136" t="s">
        <v>5448</v>
      </c>
      <c r="AL372" s="132">
        <v>42263</v>
      </c>
      <c r="AM372" s="131" t="s">
        <v>49</v>
      </c>
      <c r="AN372" s="136" t="s">
        <v>4440</v>
      </c>
    </row>
    <row r="373" spans="1:40" s="129" customFormat="1" x14ac:dyDescent="0.25">
      <c r="A373" s="136">
        <v>372</v>
      </c>
      <c r="B373" s="130" t="s">
        <v>4428</v>
      </c>
      <c r="C373" s="130" t="s">
        <v>38</v>
      </c>
      <c r="D373" s="136">
        <v>9103650338</v>
      </c>
      <c r="E373" s="132">
        <v>42211</v>
      </c>
      <c r="F373" s="132" t="s">
        <v>5248</v>
      </c>
      <c r="G373" s="132" t="s">
        <v>476</v>
      </c>
      <c r="H373" s="130" t="s">
        <v>4564</v>
      </c>
      <c r="I373" s="132" t="s">
        <v>40</v>
      </c>
      <c r="J373" s="131" t="s">
        <v>4432</v>
      </c>
      <c r="K373" s="132" t="s">
        <v>4433</v>
      </c>
      <c r="L373" s="136">
        <v>1966522</v>
      </c>
      <c r="M373" s="132" t="s">
        <v>4884</v>
      </c>
      <c r="N373" s="136" t="s">
        <v>4815</v>
      </c>
      <c r="O373" s="130" t="s">
        <v>4436</v>
      </c>
      <c r="P373" s="130" t="s">
        <v>61</v>
      </c>
      <c r="Q373" s="130">
        <v>38231900</v>
      </c>
      <c r="R373" s="136">
        <v>19.78</v>
      </c>
      <c r="S373" s="130" t="s">
        <v>70</v>
      </c>
      <c r="T373" s="136" t="s">
        <v>44</v>
      </c>
      <c r="U373" s="136" t="s">
        <v>53</v>
      </c>
      <c r="V373" s="136">
        <v>3730</v>
      </c>
      <c r="W373" s="133">
        <f t="shared" si="17"/>
        <v>73779.400000000009</v>
      </c>
      <c r="X373" s="136">
        <v>24.35</v>
      </c>
      <c r="Y373" s="136">
        <v>600</v>
      </c>
      <c r="Z373" s="136">
        <v>0</v>
      </c>
      <c r="AA373" s="136">
        <v>0</v>
      </c>
      <c r="AB373" s="131">
        <v>42209</v>
      </c>
      <c r="AC373" s="134">
        <f t="shared" si="15"/>
        <v>73155.0500792393</v>
      </c>
      <c r="AD373" s="135">
        <v>63.1</v>
      </c>
      <c r="AE373" s="136">
        <f t="shared" si="16"/>
        <v>4655480.1400000006</v>
      </c>
      <c r="AF373" s="137">
        <v>4616083.66</v>
      </c>
      <c r="AG373" s="138">
        <v>63.1</v>
      </c>
      <c r="AH373" s="136" t="s">
        <v>5449</v>
      </c>
      <c r="AI373" s="133">
        <v>73728.399999999994</v>
      </c>
      <c r="AJ373" s="132" t="s">
        <v>4652</v>
      </c>
      <c r="AK373" s="136" t="s">
        <v>5450</v>
      </c>
      <c r="AL373" s="132" t="s">
        <v>4654</v>
      </c>
      <c r="AM373" s="131" t="s">
        <v>49</v>
      </c>
      <c r="AN373" s="133" t="s">
        <v>4440</v>
      </c>
    </row>
    <row r="374" spans="1:40" s="129" customFormat="1" x14ac:dyDescent="0.25">
      <c r="A374" s="130">
        <v>373</v>
      </c>
      <c r="B374" s="130" t="s">
        <v>4428</v>
      </c>
      <c r="C374" s="130" t="s">
        <v>38</v>
      </c>
      <c r="D374" s="136" t="s">
        <v>5451</v>
      </c>
      <c r="E374" s="132">
        <v>42212</v>
      </c>
      <c r="F374" s="132" t="s">
        <v>5248</v>
      </c>
      <c r="G374" s="132" t="s">
        <v>493</v>
      </c>
      <c r="H374" s="130" t="s">
        <v>4446</v>
      </c>
      <c r="I374" s="132" t="s">
        <v>40</v>
      </c>
      <c r="J374" s="131" t="s">
        <v>4432</v>
      </c>
      <c r="K374" s="132" t="s">
        <v>4433</v>
      </c>
      <c r="L374" s="136">
        <v>1966515</v>
      </c>
      <c r="M374" s="132" t="s">
        <v>4884</v>
      </c>
      <c r="N374" s="136" t="s">
        <v>4741</v>
      </c>
      <c r="O374" s="130" t="s">
        <v>4436</v>
      </c>
      <c r="P374" s="130" t="s">
        <v>47</v>
      </c>
      <c r="Q374" s="130">
        <v>38231900</v>
      </c>
      <c r="R374" s="136">
        <v>19.72</v>
      </c>
      <c r="S374" s="130" t="s">
        <v>70</v>
      </c>
      <c r="T374" s="136" t="s">
        <v>44</v>
      </c>
      <c r="U374" s="136" t="s">
        <v>53</v>
      </c>
      <c r="V374" s="136">
        <v>3905</v>
      </c>
      <c r="W374" s="133">
        <f t="shared" si="17"/>
        <v>77006.599999999991</v>
      </c>
      <c r="X374" s="136">
        <v>25.41</v>
      </c>
      <c r="Y374" s="136">
        <v>1200</v>
      </c>
      <c r="Z374" s="136">
        <v>0</v>
      </c>
      <c r="AA374" s="136">
        <v>0</v>
      </c>
      <c r="AB374" s="131">
        <v>42209</v>
      </c>
      <c r="AC374" s="134">
        <f t="shared" si="15"/>
        <v>75781.190015847853</v>
      </c>
      <c r="AD374" s="135">
        <v>63.1</v>
      </c>
      <c r="AE374" s="136">
        <f t="shared" si="16"/>
        <v>4859116.46</v>
      </c>
      <c r="AF374" s="137">
        <v>4781793.09</v>
      </c>
      <c r="AG374" s="138">
        <v>63.1</v>
      </c>
      <c r="AH374" s="136" t="s">
        <v>5452</v>
      </c>
      <c r="AI374" s="136">
        <v>77006.600000000006</v>
      </c>
      <c r="AJ374" s="132" t="s">
        <v>5112</v>
      </c>
      <c r="AK374" s="136" t="s">
        <v>5453</v>
      </c>
      <c r="AL374" s="132" t="s">
        <v>5148</v>
      </c>
      <c r="AM374" s="131" t="s">
        <v>49</v>
      </c>
      <c r="AN374" s="136" t="s">
        <v>4440</v>
      </c>
    </row>
    <row r="375" spans="1:40" s="129" customFormat="1" x14ac:dyDescent="0.25">
      <c r="A375" s="136">
        <v>374</v>
      </c>
      <c r="B375" s="130" t="s">
        <v>4428</v>
      </c>
      <c r="C375" s="130" t="s">
        <v>38</v>
      </c>
      <c r="D375" s="136" t="s">
        <v>5451</v>
      </c>
      <c r="E375" s="132">
        <v>42212</v>
      </c>
      <c r="F375" s="132" t="s">
        <v>5248</v>
      </c>
      <c r="G375" s="132" t="s">
        <v>479</v>
      </c>
      <c r="H375" s="130" t="s">
        <v>4446</v>
      </c>
      <c r="I375" s="132" t="s">
        <v>40</v>
      </c>
      <c r="J375" s="131" t="s">
        <v>4432</v>
      </c>
      <c r="K375" s="132" t="s">
        <v>4433</v>
      </c>
      <c r="L375" s="136">
        <v>1944041</v>
      </c>
      <c r="M375" s="132">
        <v>42207</v>
      </c>
      <c r="N375" s="136" t="s">
        <v>4741</v>
      </c>
      <c r="O375" s="130" t="s">
        <v>4436</v>
      </c>
      <c r="P375" s="130" t="s">
        <v>47</v>
      </c>
      <c r="Q375" s="130">
        <v>38231900</v>
      </c>
      <c r="R375" s="136">
        <v>19.82</v>
      </c>
      <c r="S375" s="130" t="s">
        <v>70</v>
      </c>
      <c r="T375" s="136" t="s">
        <v>44</v>
      </c>
      <c r="U375" s="136" t="s">
        <v>53</v>
      </c>
      <c r="V375" s="136">
        <v>3905</v>
      </c>
      <c r="W375" s="133">
        <f t="shared" si="17"/>
        <v>77397.100000000006</v>
      </c>
      <c r="X375" s="136">
        <v>25.54</v>
      </c>
      <c r="Y375" s="136">
        <v>1200</v>
      </c>
      <c r="Z375" s="136">
        <v>0</v>
      </c>
      <c r="AA375" s="136">
        <v>0</v>
      </c>
      <c r="AB375" s="131">
        <v>42208</v>
      </c>
      <c r="AC375" s="134">
        <f t="shared" si="15"/>
        <v>76171.560063391444</v>
      </c>
      <c r="AD375" s="135">
        <v>63.1</v>
      </c>
      <c r="AE375" s="136">
        <f t="shared" si="16"/>
        <v>4883757.0100000007</v>
      </c>
      <c r="AF375" s="137">
        <v>4806425.4400000004</v>
      </c>
      <c r="AG375" s="138">
        <v>63.1</v>
      </c>
      <c r="AH375" s="136" t="s">
        <v>5452</v>
      </c>
      <c r="AI375" s="136">
        <v>77006.600000000006</v>
      </c>
      <c r="AJ375" s="132" t="s">
        <v>5112</v>
      </c>
      <c r="AK375" s="136" t="s">
        <v>5454</v>
      </c>
      <c r="AL375" s="132" t="s">
        <v>5148</v>
      </c>
      <c r="AM375" s="131" t="s">
        <v>49</v>
      </c>
      <c r="AN375" s="136" t="s">
        <v>4440</v>
      </c>
    </row>
    <row r="376" spans="1:40" s="129" customFormat="1" x14ac:dyDescent="0.25">
      <c r="A376" s="130">
        <v>375</v>
      </c>
      <c r="B376" s="130" t="s">
        <v>4428</v>
      </c>
      <c r="C376" s="130" t="s">
        <v>38</v>
      </c>
      <c r="D376" s="136">
        <v>9103650341</v>
      </c>
      <c r="E376" s="132">
        <v>42214</v>
      </c>
      <c r="F376" s="132" t="s">
        <v>5248</v>
      </c>
      <c r="G376" s="132" t="s">
        <v>485</v>
      </c>
      <c r="H376" s="130" t="s">
        <v>4491</v>
      </c>
      <c r="I376" s="132" t="s">
        <v>40</v>
      </c>
      <c r="J376" s="131" t="s">
        <v>4432</v>
      </c>
      <c r="K376" s="132" t="s">
        <v>4433</v>
      </c>
      <c r="L376" s="136">
        <v>1973896</v>
      </c>
      <c r="M376" s="132" t="s">
        <v>4884</v>
      </c>
      <c r="N376" s="136" t="s">
        <v>3741</v>
      </c>
      <c r="O376" s="130" t="s">
        <v>4436</v>
      </c>
      <c r="P376" s="130" t="s">
        <v>4492</v>
      </c>
      <c r="Q376" s="130">
        <v>38237090</v>
      </c>
      <c r="R376" s="136">
        <v>36</v>
      </c>
      <c r="S376" s="130" t="s">
        <v>70</v>
      </c>
      <c r="T376" s="136" t="s">
        <v>44</v>
      </c>
      <c r="U376" s="136" t="s">
        <v>53</v>
      </c>
      <c r="V376" s="136">
        <v>1744</v>
      </c>
      <c r="W376" s="133">
        <f t="shared" si="17"/>
        <v>62784</v>
      </c>
      <c r="X376" s="136">
        <v>20.72</v>
      </c>
      <c r="Y376" s="136">
        <v>8100</v>
      </c>
      <c r="Z376" s="136">
        <v>0</v>
      </c>
      <c r="AA376" s="136">
        <v>0</v>
      </c>
      <c r="AB376" s="131">
        <v>42210</v>
      </c>
      <c r="AC376" s="134">
        <f t="shared" si="15"/>
        <v>54663.280031695722</v>
      </c>
      <c r="AD376" s="135">
        <v>63.1</v>
      </c>
      <c r="AE376" s="136">
        <f t="shared" si="16"/>
        <v>3961670.4</v>
      </c>
      <c r="AF376" s="137">
        <v>3449252.97</v>
      </c>
      <c r="AG376" s="138">
        <v>63.1</v>
      </c>
      <c r="AH376" s="136" t="s">
        <v>5455</v>
      </c>
      <c r="AI376" s="133">
        <v>62784</v>
      </c>
      <c r="AJ376" s="132" t="s">
        <v>4803</v>
      </c>
      <c r="AK376" s="136" t="s">
        <v>5456</v>
      </c>
      <c r="AL376" s="132" t="s">
        <v>4805</v>
      </c>
      <c r="AM376" s="131" t="s">
        <v>49</v>
      </c>
      <c r="AN376" s="136" t="s">
        <v>4440</v>
      </c>
    </row>
    <row r="377" spans="1:40" s="129" customFormat="1" x14ac:dyDescent="0.25">
      <c r="A377" s="136">
        <v>376</v>
      </c>
      <c r="B377" s="130" t="s">
        <v>4428</v>
      </c>
      <c r="C377" s="130" t="s">
        <v>38</v>
      </c>
      <c r="D377" s="136">
        <v>9103650342</v>
      </c>
      <c r="E377" s="132">
        <v>42214</v>
      </c>
      <c r="F377" s="132" t="s">
        <v>5248</v>
      </c>
      <c r="G377" s="132" t="s">
        <v>494</v>
      </c>
      <c r="H377" s="130" t="s">
        <v>4564</v>
      </c>
      <c r="I377" s="132" t="s">
        <v>40</v>
      </c>
      <c r="J377" s="131" t="s">
        <v>4432</v>
      </c>
      <c r="K377" s="132" t="s">
        <v>4433</v>
      </c>
      <c r="L377" s="136">
        <v>1975866</v>
      </c>
      <c r="M377" s="132" t="s">
        <v>4884</v>
      </c>
      <c r="N377" s="136" t="s">
        <v>4807</v>
      </c>
      <c r="O377" s="130" t="s">
        <v>4436</v>
      </c>
      <c r="P377" s="130" t="s">
        <v>64</v>
      </c>
      <c r="Q377" s="130">
        <v>38237090</v>
      </c>
      <c r="R377" s="136">
        <v>23.4</v>
      </c>
      <c r="S377" s="130" t="s">
        <v>70</v>
      </c>
      <c r="T377" s="136" t="s">
        <v>44</v>
      </c>
      <c r="U377" s="136" t="s">
        <v>53</v>
      </c>
      <c r="V377" s="136">
        <v>3000</v>
      </c>
      <c r="W377" s="133">
        <f t="shared" si="17"/>
        <v>70200</v>
      </c>
      <c r="X377" s="136">
        <v>23.71</v>
      </c>
      <c r="Y377" s="136">
        <v>200</v>
      </c>
      <c r="Z377" s="136">
        <v>0</v>
      </c>
      <c r="AA377" s="136">
        <v>1170</v>
      </c>
      <c r="AB377" s="131">
        <v>42209</v>
      </c>
      <c r="AC377" s="134">
        <f t="shared" si="15"/>
        <v>69976.829952456406</v>
      </c>
      <c r="AD377" s="135">
        <v>63.1</v>
      </c>
      <c r="AE377" s="136">
        <f t="shared" si="16"/>
        <v>4429620</v>
      </c>
      <c r="AF377" s="137">
        <v>4415537.97</v>
      </c>
      <c r="AG377" s="138">
        <v>63.1</v>
      </c>
      <c r="AH377" s="136" t="s">
        <v>5457</v>
      </c>
      <c r="AI377" s="136">
        <v>70165.5</v>
      </c>
      <c r="AJ377" s="132" t="s">
        <v>5199</v>
      </c>
      <c r="AK377" s="136" t="s">
        <v>5458</v>
      </c>
      <c r="AL377" s="132" t="s">
        <v>4915</v>
      </c>
      <c r="AM377" s="131" t="s">
        <v>49</v>
      </c>
      <c r="AN377" s="136" t="s">
        <v>4440</v>
      </c>
    </row>
    <row r="378" spans="1:40" s="129" customFormat="1" x14ac:dyDescent="0.25">
      <c r="A378" s="130">
        <v>377</v>
      </c>
      <c r="B378" s="130" t="s">
        <v>4428</v>
      </c>
      <c r="C378" s="130" t="s">
        <v>38</v>
      </c>
      <c r="D378" s="136">
        <v>9103650343</v>
      </c>
      <c r="E378" s="132">
        <v>42214</v>
      </c>
      <c r="F378" s="132" t="s">
        <v>5248</v>
      </c>
      <c r="G378" s="132" t="s">
        <v>486</v>
      </c>
      <c r="H378" s="130" t="s">
        <v>4456</v>
      </c>
      <c r="I378" s="132" t="s">
        <v>40</v>
      </c>
      <c r="J378" s="131" t="s">
        <v>4432</v>
      </c>
      <c r="K378" s="132" t="s">
        <v>4433</v>
      </c>
      <c r="L378" s="136">
        <v>1976286</v>
      </c>
      <c r="M378" s="132">
        <v>42208</v>
      </c>
      <c r="N378" s="136" t="s">
        <v>5360</v>
      </c>
      <c r="O378" s="130" t="s">
        <v>4436</v>
      </c>
      <c r="P378" s="130" t="s">
        <v>294</v>
      </c>
      <c r="Q378" s="130">
        <v>29051700</v>
      </c>
      <c r="R378" s="136">
        <v>12</v>
      </c>
      <c r="S378" s="130" t="s">
        <v>70</v>
      </c>
      <c r="T378" s="136" t="s">
        <v>44</v>
      </c>
      <c r="U378" s="136" t="s">
        <v>53</v>
      </c>
      <c r="V378" s="136">
        <v>1534</v>
      </c>
      <c r="W378" s="133">
        <f t="shared" si="17"/>
        <v>18408</v>
      </c>
      <c r="X378" s="136">
        <v>6.07</v>
      </c>
      <c r="Y378" s="136">
        <v>1000</v>
      </c>
      <c r="Z378" s="136">
        <v>0</v>
      </c>
      <c r="AA378" s="136">
        <v>0</v>
      </c>
      <c r="AB378" s="131">
        <v>42209</v>
      </c>
      <c r="AC378" s="134">
        <f t="shared" si="15"/>
        <v>17401.929952456419</v>
      </c>
      <c r="AD378" s="135">
        <v>63.1</v>
      </c>
      <c r="AE378" s="136">
        <f t="shared" si="16"/>
        <v>1161544.8</v>
      </c>
      <c r="AF378" s="137">
        <v>1098061.78</v>
      </c>
      <c r="AG378" s="138">
        <v>63.1</v>
      </c>
      <c r="AH378" s="136" t="s">
        <v>5459</v>
      </c>
      <c r="AI378" s="136">
        <v>18393</v>
      </c>
      <c r="AJ378" s="132">
        <v>42276</v>
      </c>
      <c r="AK378" s="136" t="s">
        <v>5460</v>
      </c>
      <c r="AL378" s="132">
        <v>42277</v>
      </c>
      <c r="AM378" s="131" t="s">
        <v>49</v>
      </c>
      <c r="AN378" s="136" t="s">
        <v>4440</v>
      </c>
    </row>
    <row r="379" spans="1:40" s="129" customFormat="1" x14ac:dyDescent="0.25">
      <c r="A379" s="136">
        <v>378</v>
      </c>
      <c r="B379" s="130" t="s">
        <v>4428</v>
      </c>
      <c r="C379" s="130" t="s">
        <v>38</v>
      </c>
      <c r="D379" s="136" t="s">
        <v>5461</v>
      </c>
      <c r="E379" s="132">
        <v>42214</v>
      </c>
      <c r="F379" s="132" t="s">
        <v>5248</v>
      </c>
      <c r="G379" s="132" t="s">
        <v>495</v>
      </c>
      <c r="H379" s="130" t="s">
        <v>4491</v>
      </c>
      <c r="I379" s="132" t="s">
        <v>40</v>
      </c>
      <c r="J379" s="131" t="s">
        <v>4432</v>
      </c>
      <c r="K379" s="132" t="s">
        <v>4433</v>
      </c>
      <c r="L379" s="136">
        <v>1978234</v>
      </c>
      <c r="M379" s="132">
        <v>42208</v>
      </c>
      <c r="N379" s="136" t="s">
        <v>4858</v>
      </c>
      <c r="O379" s="130" t="s">
        <v>4436</v>
      </c>
      <c r="P379" s="130" t="s">
        <v>54</v>
      </c>
      <c r="Q379" s="130">
        <v>38237090</v>
      </c>
      <c r="R379" s="136">
        <v>24</v>
      </c>
      <c r="S379" s="130" t="s">
        <v>70</v>
      </c>
      <c r="T379" s="136" t="s">
        <v>44</v>
      </c>
      <c r="U379" s="136" t="s">
        <v>53</v>
      </c>
      <c r="V379" s="136">
        <v>3700</v>
      </c>
      <c r="W379" s="133">
        <f t="shared" si="17"/>
        <v>88800</v>
      </c>
      <c r="X379" s="136">
        <v>29.3</v>
      </c>
      <c r="Y379" s="136">
        <v>150</v>
      </c>
      <c r="Z379" s="136">
        <v>0</v>
      </c>
      <c r="AA379" s="136">
        <v>0</v>
      </c>
      <c r="AB379" s="131">
        <v>42210</v>
      </c>
      <c r="AC379" s="134">
        <f t="shared" si="15"/>
        <v>88620.7</v>
      </c>
      <c r="AD379" s="135">
        <v>63.1</v>
      </c>
      <c r="AE379" s="136">
        <f t="shared" si="16"/>
        <v>5603280</v>
      </c>
      <c r="AF379" s="137">
        <v>5591966.1699999999</v>
      </c>
      <c r="AG379" s="138">
        <v>63.1</v>
      </c>
      <c r="AH379" s="136" t="s">
        <v>5462</v>
      </c>
      <c r="AI379" s="133">
        <v>88800</v>
      </c>
      <c r="AJ379" s="132">
        <v>42305</v>
      </c>
      <c r="AK379" s="136" t="s">
        <v>5463</v>
      </c>
      <c r="AL379" s="132">
        <v>42306</v>
      </c>
      <c r="AM379" s="131" t="s">
        <v>49</v>
      </c>
      <c r="AN379" s="133" t="s">
        <v>4440</v>
      </c>
    </row>
    <row r="380" spans="1:40" s="129" customFormat="1" x14ac:dyDescent="0.25">
      <c r="A380" s="130">
        <v>379</v>
      </c>
      <c r="B380" s="130" t="s">
        <v>4428</v>
      </c>
      <c r="C380" s="130" t="s">
        <v>38</v>
      </c>
      <c r="D380" s="136" t="s">
        <v>5461</v>
      </c>
      <c r="E380" s="132">
        <v>42214</v>
      </c>
      <c r="F380" s="132" t="s">
        <v>5248</v>
      </c>
      <c r="G380" s="132" t="s">
        <v>495</v>
      </c>
      <c r="H380" s="130" t="s">
        <v>4491</v>
      </c>
      <c r="I380" s="132" t="s">
        <v>40</v>
      </c>
      <c r="J380" s="131" t="s">
        <v>4432</v>
      </c>
      <c r="K380" s="132" t="s">
        <v>4433</v>
      </c>
      <c r="L380" s="136">
        <v>1997293</v>
      </c>
      <c r="M380" s="132">
        <v>42209</v>
      </c>
      <c r="N380" s="136" t="s">
        <v>4858</v>
      </c>
      <c r="O380" s="130" t="s">
        <v>4436</v>
      </c>
      <c r="P380" s="130" t="s">
        <v>54</v>
      </c>
      <c r="Q380" s="130">
        <v>38237090</v>
      </c>
      <c r="R380" s="136">
        <v>12</v>
      </c>
      <c r="S380" s="130" t="s">
        <v>70</v>
      </c>
      <c r="T380" s="136" t="s">
        <v>44</v>
      </c>
      <c r="U380" s="136" t="s">
        <v>53</v>
      </c>
      <c r="V380" s="136">
        <v>3700</v>
      </c>
      <c r="W380" s="133">
        <f t="shared" si="17"/>
        <v>44400</v>
      </c>
      <c r="X380" s="136">
        <v>14.65</v>
      </c>
      <c r="Y380" s="136">
        <v>75</v>
      </c>
      <c r="Z380" s="136">
        <v>0</v>
      </c>
      <c r="AA380" s="136">
        <v>0</v>
      </c>
      <c r="AB380" s="131">
        <v>42211</v>
      </c>
      <c r="AC380" s="134">
        <f t="shared" si="15"/>
        <v>44310.350079239302</v>
      </c>
      <c r="AD380" s="135">
        <v>63.1</v>
      </c>
      <c r="AE380" s="136">
        <f t="shared" si="16"/>
        <v>2801640</v>
      </c>
      <c r="AF380" s="137">
        <v>2795983.09</v>
      </c>
      <c r="AG380" s="138">
        <v>63.1</v>
      </c>
      <c r="AH380" s="136" t="s">
        <v>5462</v>
      </c>
      <c r="AI380" s="133">
        <v>44400</v>
      </c>
      <c r="AJ380" s="132">
        <v>42305</v>
      </c>
      <c r="AK380" s="136" t="s">
        <v>5464</v>
      </c>
      <c r="AL380" s="132">
        <v>42306</v>
      </c>
      <c r="AM380" s="131" t="s">
        <v>49</v>
      </c>
      <c r="AN380" s="133" t="s">
        <v>4440</v>
      </c>
    </row>
    <row r="381" spans="1:40" s="129" customFormat="1" x14ac:dyDescent="0.25">
      <c r="A381" s="136">
        <v>380</v>
      </c>
      <c r="B381" s="130" t="s">
        <v>4428</v>
      </c>
      <c r="C381" s="130" t="s">
        <v>38</v>
      </c>
      <c r="D381" s="136">
        <v>9103650346</v>
      </c>
      <c r="E381" s="132">
        <v>42213</v>
      </c>
      <c r="F381" s="132" t="s">
        <v>5248</v>
      </c>
      <c r="G381" s="132" t="s">
        <v>482</v>
      </c>
      <c r="H381" s="130" t="s">
        <v>5024</v>
      </c>
      <c r="I381" s="132" t="s">
        <v>40</v>
      </c>
      <c r="J381" s="131" t="s">
        <v>4432</v>
      </c>
      <c r="K381" s="132" t="s">
        <v>4433</v>
      </c>
      <c r="L381" s="136">
        <v>1954224</v>
      </c>
      <c r="M381" s="132">
        <v>42207</v>
      </c>
      <c r="N381" s="136" t="s">
        <v>4473</v>
      </c>
      <c r="O381" s="130" t="s">
        <v>4436</v>
      </c>
      <c r="P381" s="130" t="s">
        <v>361</v>
      </c>
      <c r="Q381" s="130">
        <v>38237090</v>
      </c>
      <c r="R381" s="136">
        <v>64</v>
      </c>
      <c r="S381" s="130" t="s">
        <v>70</v>
      </c>
      <c r="T381" s="136" t="s">
        <v>67</v>
      </c>
      <c r="U381" s="136" t="s">
        <v>1117</v>
      </c>
      <c r="V381" s="136">
        <v>94000</v>
      </c>
      <c r="W381" s="133">
        <f t="shared" si="17"/>
        <v>6016000</v>
      </c>
      <c r="X381" s="136">
        <v>0</v>
      </c>
      <c r="Y381" s="136">
        <v>0</v>
      </c>
      <c r="Z381" s="136">
        <v>0</v>
      </c>
      <c r="AA381" s="136">
        <v>160025</v>
      </c>
      <c r="AB381" s="131">
        <v>42208</v>
      </c>
      <c r="AC381" s="134">
        <f t="shared" si="15"/>
        <v>6016000</v>
      </c>
      <c r="AD381" s="135">
        <v>1</v>
      </c>
      <c r="AE381" s="136">
        <f t="shared" si="16"/>
        <v>6016000</v>
      </c>
      <c r="AF381" s="130">
        <v>6016000</v>
      </c>
      <c r="AG381" s="138">
        <v>1</v>
      </c>
      <c r="AH381" s="136" t="s">
        <v>5465</v>
      </c>
      <c r="AI381" s="136">
        <v>6016000</v>
      </c>
      <c r="AJ381" s="132">
        <v>42227</v>
      </c>
      <c r="AK381" s="136" t="s">
        <v>5466</v>
      </c>
      <c r="AL381" s="132">
        <v>42228</v>
      </c>
      <c r="AM381" s="131" t="s">
        <v>49</v>
      </c>
      <c r="AN381" s="133" t="s">
        <v>4440</v>
      </c>
    </row>
    <row r="382" spans="1:40" s="129" customFormat="1" x14ac:dyDescent="0.25">
      <c r="A382" s="130">
        <v>381</v>
      </c>
      <c r="B382" s="130" t="s">
        <v>4428</v>
      </c>
      <c r="C382" s="130" t="s">
        <v>38</v>
      </c>
      <c r="D382" s="136">
        <v>9103650347</v>
      </c>
      <c r="E382" s="132">
        <v>42211</v>
      </c>
      <c r="F382" s="132" t="s">
        <v>5248</v>
      </c>
      <c r="G382" s="132" t="s">
        <v>483</v>
      </c>
      <c r="H382" s="130" t="s">
        <v>4564</v>
      </c>
      <c r="I382" s="132" t="s">
        <v>40</v>
      </c>
      <c r="J382" s="131" t="s">
        <v>4432</v>
      </c>
      <c r="K382" s="132" t="s">
        <v>4433</v>
      </c>
      <c r="L382" s="136">
        <v>1979096</v>
      </c>
      <c r="M382" s="132" t="s">
        <v>4884</v>
      </c>
      <c r="N382" s="136" t="s">
        <v>4815</v>
      </c>
      <c r="O382" s="130" t="s">
        <v>4436</v>
      </c>
      <c r="P382" s="130" t="s">
        <v>61</v>
      </c>
      <c r="Q382" s="130">
        <v>38231900</v>
      </c>
      <c r="R382" s="136">
        <v>39.229999999999997</v>
      </c>
      <c r="S382" s="130" t="s">
        <v>70</v>
      </c>
      <c r="T382" s="136" t="s">
        <v>44</v>
      </c>
      <c r="U382" s="136" t="s">
        <v>53</v>
      </c>
      <c r="V382" s="136">
        <v>3730</v>
      </c>
      <c r="W382" s="133">
        <f t="shared" si="17"/>
        <v>146327.9</v>
      </c>
      <c r="X382" s="136">
        <v>48.29</v>
      </c>
      <c r="Y382" s="136">
        <v>1200</v>
      </c>
      <c r="Z382" s="136">
        <v>0</v>
      </c>
      <c r="AA382" s="136">
        <v>0</v>
      </c>
      <c r="AB382" s="131">
        <v>42209</v>
      </c>
      <c r="AC382" s="134">
        <f t="shared" si="15"/>
        <v>145079.60998415214</v>
      </c>
      <c r="AD382" s="135">
        <v>63.1</v>
      </c>
      <c r="AE382" s="136">
        <f t="shared" si="16"/>
        <v>9233290.4900000002</v>
      </c>
      <c r="AF382" s="137">
        <v>9154523.3900000006</v>
      </c>
      <c r="AG382" s="138">
        <v>63.1</v>
      </c>
      <c r="AH382" s="136" t="s">
        <v>5467</v>
      </c>
      <c r="AI382" s="133">
        <v>146327.9</v>
      </c>
      <c r="AJ382" s="132" t="s">
        <v>4652</v>
      </c>
      <c r="AK382" s="136" t="s">
        <v>5468</v>
      </c>
      <c r="AL382" s="132" t="s">
        <v>4654</v>
      </c>
      <c r="AM382" s="131" t="s">
        <v>49</v>
      </c>
      <c r="AN382" s="133" t="s">
        <v>4440</v>
      </c>
    </row>
    <row r="383" spans="1:40" s="129" customFormat="1" x14ac:dyDescent="0.25">
      <c r="A383" s="136">
        <v>382</v>
      </c>
      <c r="B383" s="130" t="s">
        <v>4428</v>
      </c>
      <c r="C383" s="130" t="s">
        <v>38</v>
      </c>
      <c r="D383" s="136" t="s">
        <v>5469</v>
      </c>
      <c r="E383" s="132">
        <v>42213</v>
      </c>
      <c r="F383" s="132" t="s">
        <v>5248</v>
      </c>
      <c r="G383" s="132" t="s">
        <v>491</v>
      </c>
      <c r="H383" s="130" t="s">
        <v>4446</v>
      </c>
      <c r="I383" s="132" t="s">
        <v>40</v>
      </c>
      <c r="J383" s="131" t="s">
        <v>4432</v>
      </c>
      <c r="K383" s="132" t="s">
        <v>4433</v>
      </c>
      <c r="L383" s="136">
        <v>2014112</v>
      </c>
      <c r="M383" s="132" t="s">
        <v>5470</v>
      </c>
      <c r="N383" s="136" t="s">
        <v>4733</v>
      </c>
      <c r="O383" s="130" t="s">
        <v>4436</v>
      </c>
      <c r="P383" s="130" t="s">
        <v>492</v>
      </c>
      <c r="Q383" s="130">
        <v>29157010</v>
      </c>
      <c r="R383" s="136">
        <v>117.23</v>
      </c>
      <c r="S383" s="130" t="s">
        <v>70</v>
      </c>
      <c r="T383" s="136" t="s">
        <v>44</v>
      </c>
      <c r="U383" s="136" t="s">
        <v>53</v>
      </c>
      <c r="V383" s="136">
        <v>860</v>
      </c>
      <c r="W383" s="133">
        <f t="shared" si="17"/>
        <v>100817.8</v>
      </c>
      <c r="X383" s="136">
        <v>33.270000000000003</v>
      </c>
      <c r="Y383" s="136">
        <v>1800</v>
      </c>
      <c r="Z383" s="136">
        <v>0</v>
      </c>
      <c r="AA383" s="136">
        <v>0</v>
      </c>
      <c r="AB383" s="131"/>
      <c r="AC383" s="134">
        <f t="shared" si="15"/>
        <v>98984.529952456418</v>
      </c>
      <c r="AD383" s="135">
        <v>63.1</v>
      </c>
      <c r="AE383" s="136">
        <f>AD383*W383</f>
        <v>6361603.1800000006</v>
      </c>
      <c r="AF383" s="137">
        <v>6245923.8399999999</v>
      </c>
      <c r="AG383" s="138">
        <v>63.1</v>
      </c>
      <c r="AH383" s="136" t="s">
        <v>5471</v>
      </c>
      <c r="AI383" s="136">
        <v>100817.8</v>
      </c>
      <c r="AJ383" s="132" t="s">
        <v>4805</v>
      </c>
      <c r="AK383" s="136" t="s">
        <v>5472</v>
      </c>
      <c r="AL383" s="132" t="s">
        <v>5112</v>
      </c>
      <c r="AM383" s="131" t="s">
        <v>49</v>
      </c>
      <c r="AN383" s="136" t="s">
        <v>4440</v>
      </c>
    </row>
    <row r="384" spans="1:40" s="129" customFormat="1" x14ac:dyDescent="0.25">
      <c r="A384" s="130">
        <v>383</v>
      </c>
      <c r="B384" s="130" t="s">
        <v>4428</v>
      </c>
      <c r="C384" s="130" t="s">
        <v>38</v>
      </c>
      <c r="D384" s="136" t="s">
        <v>5469</v>
      </c>
      <c r="E384" s="132">
        <v>42213</v>
      </c>
      <c r="F384" s="132" t="s">
        <v>5248</v>
      </c>
      <c r="G384" s="132" t="s">
        <v>502</v>
      </c>
      <c r="H384" s="130" t="s">
        <v>4446</v>
      </c>
      <c r="I384" s="132" t="s">
        <v>40</v>
      </c>
      <c r="J384" s="131" t="s">
        <v>4432</v>
      </c>
      <c r="K384" s="132" t="s">
        <v>4433</v>
      </c>
      <c r="L384" s="136">
        <v>2018426</v>
      </c>
      <c r="M384" s="132" t="s">
        <v>5470</v>
      </c>
      <c r="N384" s="136" t="s">
        <v>4733</v>
      </c>
      <c r="O384" s="130" t="s">
        <v>4436</v>
      </c>
      <c r="P384" s="130" t="s">
        <v>492</v>
      </c>
      <c r="Q384" s="130">
        <v>29157010</v>
      </c>
      <c r="R384" s="136">
        <v>78.11</v>
      </c>
      <c r="S384" s="130" t="s">
        <v>70</v>
      </c>
      <c r="T384" s="136" t="s">
        <v>44</v>
      </c>
      <c r="U384" s="136" t="s">
        <v>53</v>
      </c>
      <c r="V384" s="136">
        <v>860</v>
      </c>
      <c r="W384" s="133">
        <f t="shared" si="17"/>
        <v>67174.600000000006</v>
      </c>
      <c r="X384" s="136">
        <v>22.17</v>
      </c>
      <c r="Y384" s="136">
        <v>1200</v>
      </c>
      <c r="Z384" s="136">
        <v>0</v>
      </c>
      <c r="AA384" s="136">
        <v>0</v>
      </c>
      <c r="AB384" s="131"/>
      <c r="AC384" s="134">
        <f t="shared" si="15"/>
        <v>65952.429952456412</v>
      </c>
      <c r="AD384" s="135">
        <v>63.1</v>
      </c>
      <c r="AE384" s="136">
        <f t="shared" si="16"/>
        <v>4238717.2600000007</v>
      </c>
      <c r="AF384" s="137">
        <v>4161598.33</v>
      </c>
      <c r="AG384" s="138">
        <v>63.1</v>
      </c>
      <c r="AH384" s="136" t="s">
        <v>5471</v>
      </c>
      <c r="AI384" s="136">
        <v>67174.600000000006</v>
      </c>
      <c r="AJ384" s="132" t="s">
        <v>4805</v>
      </c>
      <c r="AK384" s="136" t="s">
        <v>5473</v>
      </c>
      <c r="AL384" s="132" t="s">
        <v>5112</v>
      </c>
      <c r="AM384" s="131" t="s">
        <v>49</v>
      </c>
      <c r="AN384" s="136" t="s">
        <v>4440</v>
      </c>
    </row>
    <row r="385" spans="1:40" s="129" customFormat="1" x14ac:dyDescent="0.25">
      <c r="A385" s="136">
        <v>384</v>
      </c>
      <c r="B385" s="130" t="s">
        <v>4428</v>
      </c>
      <c r="C385" s="130" t="s">
        <v>38</v>
      </c>
      <c r="D385" s="136">
        <v>9103650351</v>
      </c>
      <c r="E385" s="132">
        <v>42216</v>
      </c>
      <c r="F385" s="132" t="s">
        <v>5248</v>
      </c>
      <c r="G385" s="132" t="s">
        <v>496</v>
      </c>
      <c r="H385" s="130" t="s">
        <v>4564</v>
      </c>
      <c r="I385" s="132" t="s">
        <v>40</v>
      </c>
      <c r="J385" s="131" t="s">
        <v>4432</v>
      </c>
      <c r="K385" s="132" t="s">
        <v>4433</v>
      </c>
      <c r="L385" s="136">
        <v>2022652</v>
      </c>
      <c r="M385" s="132" t="s">
        <v>5470</v>
      </c>
      <c r="N385" s="136" t="s">
        <v>4899</v>
      </c>
      <c r="O385" s="130" t="s">
        <v>4436</v>
      </c>
      <c r="P385" s="130" t="s">
        <v>257</v>
      </c>
      <c r="Q385" s="130">
        <v>38237090</v>
      </c>
      <c r="R385" s="136">
        <v>12</v>
      </c>
      <c r="S385" s="130" t="s">
        <v>70</v>
      </c>
      <c r="T385" s="136" t="s">
        <v>67</v>
      </c>
      <c r="U385" s="136" t="s">
        <v>53</v>
      </c>
      <c r="V385" s="136">
        <v>2050</v>
      </c>
      <c r="W385" s="133">
        <f t="shared" si="17"/>
        <v>24600</v>
      </c>
      <c r="X385" s="136">
        <v>0</v>
      </c>
      <c r="Y385" s="136">
        <v>0</v>
      </c>
      <c r="Z385" s="136">
        <v>0</v>
      </c>
      <c r="AA385" s="136">
        <v>0</v>
      </c>
      <c r="AB385" s="131">
        <v>42212</v>
      </c>
      <c r="AC385" s="134">
        <f t="shared" si="15"/>
        <v>24600</v>
      </c>
      <c r="AD385" s="135">
        <v>63.1</v>
      </c>
      <c r="AE385" s="136">
        <f t="shared" si="16"/>
        <v>1552260</v>
      </c>
      <c r="AF385" s="137">
        <v>1552260</v>
      </c>
      <c r="AG385" s="138">
        <v>63.1</v>
      </c>
      <c r="AH385" s="136" t="s">
        <v>5474</v>
      </c>
      <c r="AI385" s="133">
        <v>24585</v>
      </c>
      <c r="AJ385" s="132" t="s">
        <v>5411</v>
      </c>
      <c r="AK385" s="136" t="s">
        <v>5475</v>
      </c>
      <c r="AL385" s="132" t="s">
        <v>5476</v>
      </c>
      <c r="AM385" s="131" t="s">
        <v>49</v>
      </c>
      <c r="AN385" s="136" t="s">
        <v>4440</v>
      </c>
    </row>
    <row r="386" spans="1:40" s="129" customFormat="1" x14ac:dyDescent="0.25">
      <c r="A386" s="130">
        <v>385</v>
      </c>
      <c r="B386" s="130" t="s">
        <v>4428</v>
      </c>
      <c r="C386" s="130" t="s">
        <v>38</v>
      </c>
      <c r="D386" s="136">
        <v>9103650353</v>
      </c>
      <c r="E386" s="132">
        <v>42216</v>
      </c>
      <c r="F386" s="132" t="s">
        <v>5248</v>
      </c>
      <c r="G386" s="132" t="s">
        <v>503</v>
      </c>
      <c r="H386" s="130" t="s">
        <v>4456</v>
      </c>
      <c r="I386" s="132" t="s">
        <v>40</v>
      </c>
      <c r="J386" s="131" t="s">
        <v>4432</v>
      </c>
      <c r="K386" s="132" t="s">
        <v>4433</v>
      </c>
      <c r="L386" s="136">
        <v>2024390</v>
      </c>
      <c r="M386" s="132" t="s">
        <v>5470</v>
      </c>
      <c r="N386" s="136" t="s">
        <v>4527</v>
      </c>
      <c r="O386" s="130" t="s">
        <v>4436</v>
      </c>
      <c r="P386" s="130" t="s">
        <v>2657</v>
      </c>
      <c r="Q386" s="130">
        <v>38237090</v>
      </c>
      <c r="R386" s="136">
        <v>32</v>
      </c>
      <c r="S386" s="130" t="s">
        <v>70</v>
      </c>
      <c r="T386" s="136" t="s">
        <v>52</v>
      </c>
      <c r="U386" s="136" t="s">
        <v>53</v>
      </c>
      <c r="V386" s="136">
        <v>1255</v>
      </c>
      <c r="W386" s="133">
        <f t="shared" si="17"/>
        <v>40160</v>
      </c>
      <c r="X386" s="136">
        <v>0</v>
      </c>
      <c r="Y386" s="136">
        <v>900</v>
      </c>
      <c r="Z386" s="136">
        <v>0</v>
      </c>
      <c r="AA386" s="136">
        <v>0</v>
      </c>
      <c r="AB386" s="131">
        <v>42212</v>
      </c>
      <c r="AC386" s="134">
        <f t="shared" ref="AC386:AC445" si="18">AF386/AD386</f>
        <v>39260</v>
      </c>
      <c r="AD386" s="135">
        <v>63.1</v>
      </c>
      <c r="AE386" s="136">
        <f t="shared" ref="AE386:AE445" si="19">AD386*W386</f>
        <v>2534096</v>
      </c>
      <c r="AF386" s="137">
        <v>2477306</v>
      </c>
      <c r="AG386" s="138">
        <v>63.1</v>
      </c>
      <c r="AH386" s="136" t="s">
        <v>5477</v>
      </c>
      <c r="AI386" s="133">
        <v>40148</v>
      </c>
      <c r="AJ386" s="132" t="s">
        <v>4962</v>
      </c>
      <c r="AK386" s="136" t="s">
        <v>5478</v>
      </c>
      <c r="AL386" s="132" t="s">
        <v>4962</v>
      </c>
      <c r="AM386" s="131" t="s">
        <v>49</v>
      </c>
      <c r="AN386" s="133" t="s">
        <v>4440</v>
      </c>
    </row>
    <row r="387" spans="1:40" s="129" customFormat="1" x14ac:dyDescent="0.25">
      <c r="A387" s="136">
        <v>386</v>
      </c>
      <c r="B387" s="130" t="s">
        <v>4428</v>
      </c>
      <c r="C387" s="130" t="s">
        <v>38</v>
      </c>
      <c r="D387" s="136">
        <v>9103650354</v>
      </c>
      <c r="E387" s="132">
        <v>42216</v>
      </c>
      <c r="F387" s="132" t="s">
        <v>5248</v>
      </c>
      <c r="G387" s="132" t="s">
        <v>508</v>
      </c>
      <c r="H387" s="130" t="s">
        <v>4564</v>
      </c>
      <c r="I387" s="132" t="s">
        <v>40</v>
      </c>
      <c r="J387" s="131" t="s">
        <v>4432</v>
      </c>
      <c r="K387" s="132" t="s">
        <v>4433</v>
      </c>
      <c r="L387" s="136">
        <v>2022712</v>
      </c>
      <c r="M387" s="132" t="s">
        <v>5470</v>
      </c>
      <c r="N387" s="136" t="s">
        <v>4899</v>
      </c>
      <c r="O387" s="130" t="s">
        <v>4436</v>
      </c>
      <c r="P387" s="130" t="s">
        <v>257</v>
      </c>
      <c r="Q387" s="130">
        <v>38237090</v>
      </c>
      <c r="R387" s="136">
        <v>12</v>
      </c>
      <c r="S387" s="130" t="s">
        <v>70</v>
      </c>
      <c r="T387" s="136" t="s">
        <v>67</v>
      </c>
      <c r="U387" s="136" t="s">
        <v>53</v>
      </c>
      <c r="V387" s="136">
        <v>2050</v>
      </c>
      <c r="W387" s="133">
        <f t="shared" si="17"/>
        <v>24600</v>
      </c>
      <c r="X387" s="136">
        <v>0</v>
      </c>
      <c r="Y387" s="136">
        <v>0</v>
      </c>
      <c r="Z387" s="136">
        <v>0</v>
      </c>
      <c r="AA387" s="136">
        <v>0</v>
      </c>
      <c r="AB387" s="131">
        <v>42213</v>
      </c>
      <c r="AC387" s="134">
        <f t="shared" si="18"/>
        <v>24600</v>
      </c>
      <c r="AD387" s="135">
        <v>63.1</v>
      </c>
      <c r="AE387" s="136">
        <f t="shared" si="19"/>
        <v>1552260</v>
      </c>
      <c r="AF387" s="137">
        <v>1552260</v>
      </c>
      <c r="AG387" s="138">
        <v>63.1</v>
      </c>
      <c r="AH387" s="136" t="s">
        <v>5479</v>
      </c>
      <c r="AI387" s="133">
        <v>24585</v>
      </c>
      <c r="AJ387" s="132" t="s">
        <v>4654</v>
      </c>
      <c r="AK387" s="136" t="s">
        <v>5480</v>
      </c>
      <c r="AL387" s="132" t="s">
        <v>5227</v>
      </c>
      <c r="AM387" s="131" t="s">
        <v>49</v>
      </c>
      <c r="AN387" s="133" t="s">
        <v>4440</v>
      </c>
    </row>
    <row r="388" spans="1:40" s="129" customFormat="1" x14ac:dyDescent="0.25">
      <c r="A388" s="130">
        <v>387</v>
      </c>
      <c r="B388" s="130" t="s">
        <v>4428</v>
      </c>
      <c r="C388" s="130" t="s">
        <v>38</v>
      </c>
      <c r="D388" s="136">
        <v>9103650355</v>
      </c>
      <c r="E388" s="132">
        <v>42216</v>
      </c>
      <c r="F388" s="132" t="s">
        <v>5248</v>
      </c>
      <c r="G388" s="132" t="s">
        <v>500</v>
      </c>
      <c r="H388" s="130" t="s">
        <v>4556</v>
      </c>
      <c r="I388" s="132" t="s">
        <v>40</v>
      </c>
      <c r="J388" s="131" t="s">
        <v>4432</v>
      </c>
      <c r="K388" s="132" t="s">
        <v>4433</v>
      </c>
      <c r="L388" s="136">
        <v>2025118</v>
      </c>
      <c r="M388" s="132" t="s">
        <v>5470</v>
      </c>
      <c r="N388" s="136" t="s">
        <v>5002</v>
      </c>
      <c r="O388" s="130" t="s">
        <v>4436</v>
      </c>
      <c r="P388" s="130" t="s">
        <v>123</v>
      </c>
      <c r="Q388" s="130" t="s">
        <v>4559</v>
      </c>
      <c r="R388" s="136">
        <v>24</v>
      </c>
      <c r="S388" s="130" t="s">
        <v>70</v>
      </c>
      <c r="T388" s="136" t="s">
        <v>52</v>
      </c>
      <c r="U388" s="136" t="s">
        <v>53</v>
      </c>
      <c r="V388" s="136">
        <v>0</v>
      </c>
      <c r="W388" s="133">
        <f>(18*1550+6*1902)</f>
        <v>39312</v>
      </c>
      <c r="X388" s="136">
        <v>0</v>
      </c>
      <c r="Y388" s="136">
        <v>1103.77</v>
      </c>
      <c r="Z388" s="136">
        <v>0</v>
      </c>
      <c r="AA388" s="136">
        <v>0</v>
      </c>
      <c r="AB388" s="131">
        <v>42212</v>
      </c>
      <c r="AC388" s="134">
        <f t="shared" si="18"/>
        <v>38208.229952456415</v>
      </c>
      <c r="AD388" s="135">
        <v>63.1</v>
      </c>
      <c r="AE388" s="136">
        <f t="shared" si="19"/>
        <v>2480587.2000000002</v>
      </c>
      <c r="AF388" s="137">
        <v>2410939.31</v>
      </c>
      <c r="AG388" s="138">
        <v>63.1</v>
      </c>
      <c r="AH388" s="136" t="s">
        <v>5481</v>
      </c>
      <c r="AI388" s="133">
        <v>39252.5</v>
      </c>
      <c r="AJ388" s="132" t="s">
        <v>4906</v>
      </c>
      <c r="AK388" s="136" t="s">
        <v>5482</v>
      </c>
      <c r="AL388" s="132">
        <v>42280</v>
      </c>
      <c r="AM388" s="131" t="s">
        <v>49</v>
      </c>
      <c r="AN388" s="133" t="s">
        <v>4440</v>
      </c>
    </row>
    <row r="389" spans="1:40" s="129" customFormat="1" x14ac:dyDescent="0.25">
      <c r="A389" s="136">
        <v>388</v>
      </c>
      <c r="B389" s="130" t="s">
        <v>4428</v>
      </c>
      <c r="C389" s="130" t="s">
        <v>38</v>
      </c>
      <c r="D389" s="136" t="s">
        <v>5483</v>
      </c>
      <c r="E389" s="132">
        <v>42215</v>
      </c>
      <c r="F389" s="132" t="s">
        <v>5248</v>
      </c>
      <c r="G389" s="132" t="s">
        <v>504</v>
      </c>
      <c r="H389" s="130" t="s">
        <v>4564</v>
      </c>
      <c r="I389" s="132" t="s">
        <v>40</v>
      </c>
      <c r="J389" s="131" t="s">
        <v>4432</v>
      </c>
      <c r="K389" s="132" t="s">
        <v>4433</v>
      </c>
      <c r="L389" s="136">
        <v>2042678</v>
      </c>
      <c r="M389" s="132" t="s">
        <v>5484</v>
      </c>
      <c r="N389" s="136" t="s">
        <v>5485</v>
      </c>
      <c r="O389" s="130" t="s">
        <v>4436</v>
      </c>
      <c r="P389" s="130" t="s">
        <v>223</v>
      </c>
      <c r="Q389" s="130">
        <v>38231900</v>
      </c>
      <c r="R389" s="136">
        <v>39.619999999999997</v>
      </c>
      <c r="S389" s="130" t="s">
        <v>70</v>
      </c>
      <c r="T389" s="136" t="s">
        <v>44</v>
      </c>
      <c r="U389" s="136" t="s">
        <v>53</v>
      </c>
      <c r="V389" s="136">
        <v>3750</v>
      </c>
      <c r="W389" s="133">
        <f t="shared" ref="W389:W448" si="20">V389*R389</f>
        <v>148575</v>
      </c>
      <c r="X389" s="136">
        <v>49.03</v>
      </c>
      <c r="Y389" s="136">
        <v>1900</v>
      </c>
      <c r="Z389" s="136">
        <v>0</v>
      </c>
      <c r="AA389" s="136">
        <v>0</v>
      </c>
      <c r="AB389" s="131">
        <v>42213</v>
      </c>
      <c r="AC389" s="134">
        <f t="shared" si="18"/>
        <v>146625.97004754358</v>
      </c>
      <c r="AD389" s="135">
        <v>63.1</v>
      </c>
      <c r="AE389" s="136">
        <f t="shared" si="19"/>
        <v>9375082.5</v>
      </c>
      <c r="AF389" s="137">
        <v>9252098.7100000009</v>
      </c>
      <c r="AG389" s="138">
        <v>63.1</v>
      </c>
      <c r="AH389" s="136" t="s">
        <v>5486</v>
      </c>
      <c r="AI389" s="136">
        <v>148475</v>
      </c>
      <c r="AJ389" s="132" t="s">
        <v>5205</v>
      </c>
      <c r="AK389" s="136" t="s">
        <v>5487</v>
      </c>
      <c r="AL389" s="132">
        <v>42275</v>
      </c>
      <c r="AM389" s="131" t="s">
        <v>49</v>
      </c>
      <c r="AN389" s="136" t="s">
        <v>4440</v>
      </c>
    </row>
    <row r="390" spans="1:40" s="129" customFormat="1" x14ac:dyDescent="0.25">
      <c r="A390" s="130">
        <v>389</v>
      </c>
      <c r="B390" s="130" t="s">
        <v>4428</v>
      </c>
      <c r="C390" s="130" t="s">
        <v>38</v>
      </c>
      <c r="D390" s="136" t="s">
        <v>5488</v>
      </c>
      <c r="E390" s="132">
        <v>42216</v>
      </c>
      <c r="F390" s="132" t="s">
        <v>5248</v>
      </c>
      <c r="G390" s="132" t="s">
        <v>505</v>
      </c>
      <c r="H390" s="130" t="s">
        <v>4564</v>
      </c>
      <c r="I390" s="132" t="s">
        <v>40</v>
      </c>
      <c r="J390" s="131" t="s">
        <v>4432</v>
      </c>
      <c r="K390" s="132" t="s">
        <v>4433</v>
      </c>
      <c r="L390" s="136">
        <v>2049871</v>
      </c>
      <c r="M390" s="132" t="s">
        <v>5484</v>
      </c>
      <c r="N390" s="136" t="s">
        <v>5337</v>
      </c>
      <c r="O390" s="130" t="s">
        <v>4436</v>
      </c>
      <c r="P390" s="130" t="s">
        <v>143</v>
      </c>
      <c r="Q390" s="130">
        <v>38237090</v>
      </c>
      <c r="R390" s="136">
        <v>48</v>
      </c>
      <c r="S390" s="130" t="s">
        <v>70</v>
      </c>
      <c r="T390" s="136" t="s">
        <v>52</v>
      </c>
      <c r="U390" s="136" t="s">
        <v>53</v>
      </c>
      <c r="V390" s="136">
        <v>1325</v>
      </c>
      <c r="W390" s="133">
        <f t="shared" si="20"/>
        <v>63600</v>
      </c>
      <c r="X390" s="136">
        <v>0</v>
      </c>
      <c r="Y390" s="136">
        <v>2400</v>
      </c>
      <c r="Z390" s="136">
        <v>0</v>
      </c>
      <c r="AA390" s="136">
        <v>720</v>
      </c>
      <c r="AB390" s="131">
        <v>42215</v>
      </c>
      <c r="AC390" s="134">
        <f t="shared" si="18"/>
        <v>61200</v>
      </c>
      <c r="AD390" s="135">
        <v>63.1</v>
      </c>
      <c r="AE390" s="136">
        <f t="shared" si="19"/>
        <v>4013160</v>
      </c>
      <c r="AF390" s="137">
        <v>3861720</v>
      </c>
      <c r="AG390" s="138">
        <v>63.1</v>
      </c>
      <c r="AH390" s="136" t="s">
        <v>5489</v>
      </c>
      <c r="AI390" s="136">
        <v>63600</v>
      </c>
      <c r="AJ390" s="132">
        <v>42262</v>
      </c>
      <c r="AK390" s="136" t="s">
        <v>5490</v>
      </c>
      <c r="AL390" s="132">
        <v>42331</v>
      </c>
      <c r="AM390" s="131" t="s">
        <v>49</v>
      </c>
      <c r="AN390" s="136" t="s">
        <v>4440</v>
      </c>
    </row>
    <row r="391" spans="1:40" s="129" customFormat="1" x14ac:dyDescent="0.25">
      <c r="A391" s="136">
        <v>390</v>
      </c>
      <c r="B391" s="130" t="s">
        <v>4428</v>
      </c>
      <c r="C391" s="130" t="s">
        <v>38</v>
      </c>
      <c r="D391" s="136" t="s">
        <v>5488</v>
      </c>
      <c r="E391" s="132">
        <v>42216</v>
      </c>
      <c r="F391" s="132" t="s">
        <v>5248</v>
      </c>
      <c r="G391" s="132" t="s">
        <v>544</v>
      </c>
      <c r="H391" s="130" t="s">
        <v>4564</v>
      </c>
      <c r="I391" s="132" t="s">
        <v>40</v>
      </c>
      <c r="J391" s="131" t="s">
        <v>4432</v>
      </c>
      <c r="K391" s="132" t="s">
        <v>4433</v>
      </c>
      <c r="L391" s="136">
        <v>2071285</v>
      </c>
      <c r="M391" s="132">
        <v>42213</v>
      </c>
      <c r="N391" s="136" t="s">
        <v>5337</v>
      </c>
      <c r="O391" s="130" t="s">
        <v>4436</v>
      </c>
      <c r="P391" s="130" t="s">
        <v>143</v>
      </c>
      <c r="Q391" s="130">
        <v>38237090</v>
      </c>
      <c r="R391" s="136">
        <v>12</v>
      </c>
      <c r="S391" s="130" t="s">
        <v>70</v>
      </c>
      <c r="T391" s="136" t="s">
        <v>52</v>
      </c>
      <c r="U391" s="136" t="s">
        <v>53</v>
      </c>
      <c r="V391" s="136">
        <v>1325</v>
      </c>
      <c r="W391" s="133">
        <f t="shared" si="20"/>
        <v>15900</v>
      </c>
      <c r="X391" s="136">
        <v>0</v>
      </c>
      <c r="Y391" s="136">
        <v>600</v>
      </c>
      <c r="Z391" s="136">
        <v>0</v>
      </c>
      <c r="AA391" s="136">
        <v>180</v>
      </c>
      <c r="AB391" s="131">
        <v>42215</v>
      </c>
      <c r="AC391" s="134">
        <f t="shared" si="18"/>
        <v>15300</v>
      </c>
      <c r="AD391" s="135">
        <v>63.1</v>
      </c>
      <c r="AE391" s="136">
        <f t="shared" si="19"/>
        <v>1003290</v>
      </c>
      <c r="AF391" s="137">
        <v>965430</v>
      </c>
      <c r="AG391" s="138">
        <v>63.1</v>
      </c>
      <c r="AH391" s="136" t="s">
        <v>5489</v>
      </c>
      <c r="AI391" s="136">
        <v>15900</v>
      </c>
      <c r="AJ391" s="132">
        <v>42262</v>
      </c>
      <c r="AK391" s="136" t="s">
        <v>5491</v>
      </c>
      <c r="AL391" s="132">
        <v>42331</v>
      </c>
      <c r="AM391" s="131" t="s">
        <v>49</v>
      </c>
      <c r="AN391" s="136" t="s">
        <v>4440</v>
      </c>
    </row>
    <row r="392" spans="1:40" s="129" customFormat="1" x14ac:dyDescent="0.25">
      <c r="A392" s="130">
        <v>391</v>
      </c>
      <c r="B392" s="130" t="s">
        <v>4428</v>
      </c>
      <c r="C392" s="130" t="s">
        <v>38</v>
      </c>
      <c r="D392" s="136">
        <v>9103650363</v>
      </c>
      <c r="E392" s="132">
        <v>42216</v>
      </c>
      <c r="F392" s="132" t="s">
        <v>5248</v>
      </c>
      <c r="G392" s="132" t="s">
        <v>509</v>
      </c>
      <c r="H392" s="130" t="s">
        <v>4564</v>
      </c>
      <c r="I392" s="132" t="s">
        <v>40</v>
      </c>
      <c r="J392" s="131" t="s">
        <v>4432</v>
      </c>
      <c r="K392" s="132" t="s">
        <v>4433</v>
      </c>
      <c r="L392" s="136">
        <v>2071293</v>
      </c>
      <c r="M392" s="132">
        <v>42213</v>
      </c>
      <c r="N392" s="136" t="s">
        <v>4848</v>
      </c>
      <c r="O392" s="130" t="s">
        <v>4436</v>
      </c>
      <c r="P392" s="130" t="s">
        <v>143</v>
      </c>
      <c r="Q392" s="130">
        <v>38237090</v>
      </c>
      <c r="R392" s="136">
        <v>16</v>
      </c>
      <c r="S392" s="130" t="s">
        <v>70</v>
      </c>
      <c r="T392" s="136" t="s">
        <v>52</v>
      </c>
      <c r="U392" s="136" t="s">
        <v>53</v>
      </c>
      <c r="V392" s="136">
        <v>1280</v>
      </c>
      <c r="W392" s="133">
        <f t="shared" si="20"/>
        <v>20480</v>
      </c>
      <c r="X392" s="136">
        <v>0</v>
      </c>
      <c r="Y392" s="136">
        <v>600</v>
      </c>
      <c r="Z392" s="136">
        <v>0</v>
      </c>
      <c r="AA392" s="136">
        <v>0</v>
      </c>
      <c r="AB392" s="131">
        <v>42215</v>
      </c>
      <c r="AC392" s="134">
        <f t="shared" si="18"/>
        <v>19880</v>
      </c>
      <c r="AD392" s="135">
        <v>63.1</v>
      </c>
      <c r="AE392" s="136">
        <f t="shared" si="19"/>
        <v>1292288</v>
      </c>
      <c r="AF392" s="137">
        <v>1254428</v>
      </c>
      <c r="AG392" s="138">
        <v>63.1</v>
      </c>
      <c r="AH392" s="136" t="s">
        <v>5492</v>
      </c>
      <c r="AI392" s="136">
        <v>20455</v>
      </c>
      <c r="AJ392" s="132">
        <v>42235</v>
      </c>
      <c r="AK392" s="136" t="s">
        <v>5493</v>
      </c>
      <c r="AL392" s="132">
        <v>42236</v>
      </c>
      <c r="AM392" s="131" t="s">
        <v>49</v>
      </c>
      <c r="AN392" s="136" t="s">
        <v>4440</v>
      </c>
    </row>
    <row r="393" spans="1:40" s="129" customFormat="1" x14ac:dyDescent="0.25">
      <c r="A393" s="136">
        <v>392</v>
      </c>
      <c r="B393" s="130" t="s">
        <v>4428</v>
      </c>
      <c r="C393" s="130" t="s">
        <v>38</v>
      </c>
      <c r="D393" s="136">
        <v>9103650364</v>
      </c>
      <c r="E393" s="132">
        <v>42216</v>
      </c>
      <c r="F393" s="132" t="s">
        <v>5248</v>
      </c>
      <c r="G393" s="132" t="s">
        <v>539</v>
      </c>
      <c r="H393" s="130" t="s">
        <v>4431</v>
      </c>
      <c r="I393" s="132" t="s">
        <v>40</v>
      </c>
      <c r="J393" s="131" t="s">
        <v>4432</v>
      </c>
      <c r="K393" s="132" t="s">
        <v>4433</v>
      </c>
      <c r="L393" s="136">
        <v>2049154</v>
      </c>
      <c r="M393" s="132" t="s">
        <v>5484</v>
      </c>
      <c r="N393" s="136" t="s">
        <v>4655</v>
      </c>
      <c r="O393" s="130" t="s">
        <v>4436</v>
      </c>
      <c r="P393" s="130" t="s">
        <v>143</v>
      </c>
      <c r="Q393" s="130">
        <v>29051700</v>
      </c>
      <c r="R393" s="136">
        <v>16</v>
      </c>
      <c r="S393" s="130" t="s">
        <v>70</v>
      </c>
      <c r="T393" s="136" t="s">
        <v>52</v>
      </c>
      <c r="U393" s="136" t="s">
        <v>53</v>
      </c>
      <c r="V393" s="136">
        <v>1565</v>
      </c>
      <c r="W393" s="133">
        <f t="shared" si="20"/>
        <v>25040</v>
      </c>
      <c r="X393" s="136">
        <v>0</v>
      </c>
      <c r="Y393" s="136">
        <v>600</v>
      </c>
      <c r="Z393" s="136">
        <v>0</v>
      </c>
      <c r="AA393" s="136">
        <v>0</v>
      </c>
      <c r="AB393" s="131">
        <v>42214</v>
      </c>
      <c r="AC393" s="134">
        <f t="shared" si="18"/>
        <v>24440</v>
      </c>
      <c r="AD393" s="135">
        <v>63.1</v>
      </c>
      <c r="AE393" s="136">
        <f t="shared" si="19"/>
        <v>1580024</v>
      </c>
      <c r="AF393" s="137">
        <v>1542164</v>
      </c>
      <c r="AG393" s="138">
        <v>63.1</v>
      </c>
      <c r="AH393" s="136" t="s">
        <v>5494</v>
      </c>
      <c r="AI393" s="133">
        <v>24811</v>
      </c>
      <c r="AJ393" s="132" t="s">
        <v>5017</v>
      </c>
      <c r="AK393" s="136" t="s">
        <v>5495</v>
      </c>
      <c r="AL393" s="132">
        <v>42236</v>
      </c>
      <c r="AM393" s="131" t="s">
        <v>49</v>
      </c>
      <c r="AN393" s="133" t="s">
        <v>4440</v>
      </c>
    </row>
    <row r="394" spans="1:40" s="129" customFormat="1" x14ac:dyDescent="0.25">
      <c r="A394" s="130">
        <v>393</v>
      </c>
      <c r="B394" s="130" t="s">
        <v>4428</v>
      </c>
      <c r="C394" s="130" t="s">
        <v>38</v>
      </c>
      <c r="D394" s="136">
        <v>9103650365</v>
      </c>
      <c r="E394" s="132">
        <v>42216</v>
      </c>
      <c r="F394" s="132" t="s">
        <v>5248</v>
      </c>
      <c r="G394" s="132" t="s">
        <v>541</v>
      </c>
      <c r="H394" s="130" t="s">
        <v>4564</v>
      </c>
      <c r="I394" s="132" t="s">
        <v>40</v>
      </c>
      <c r="J394" s="131" t="s">
        <v>4432</v>
      </c>
      <c r="K394" s="132" t="s">
        <v>4433</v>
      </c>
      <c r="L394" s="136">
        <v>2103051</v>
      </c>
      <c r="M394" s="132" t="s">
        <v>4536</v>
      </c>
      <c r="N394" s="136" t="s">
        <v>5496</v>
      </c>
      <c r="O394" s="130" t="s">
        <v>4436</v>
      </c>
      <c r="P394" s="130" t="s">
        <v>47</v>
      </c>
      <c r="Q394" s="130">
        <v>29161990</v>
      </c>
      <c r="R394" s="136">
        <v>14.4</v>
      </c>
      <c r="S394" s="130" t="s">
        <v>70</v>
      </c>
      <c r="T394" s="136" t="s">
        <v>44</v>
      </c>
      <c r="U394" s="136" t="s">
        <v>53</v>
      </c>
      <c r="V394" s="136">
        <v>3000</v>
      </c>
      <c r="W394" s="133">
        <f t="shared" si="20"/>
        <v>43200</v>
      </c>
      <c r="X394" s="136">
        <v>14.26</v>
      </c>
      <c r="Y394" s="136">
        <v>450</v>
      </c>
      <c r="Z394" s="136">
        <v>0</v>
      </c>
      <c r="AA394" s="136">
        <v>786.82</v>
      </c>
      <c r="AB394" s="131">
        <v>42215</v>
      </c>
      <c r="AC394" s="134">
        <f t="shared" si="18"/>
        <v>42735.736925515055</v>
      </c>
      <c r="AD394" s="135">
        <v>63.1</v>
      </c>
      <c r="AE394" s="136">
        <f t="shared" si="19"/>
        <v>2725920</v>
      </c>
      <c r="AF394" s="137">
        <v>2696625</v>
      </c>
      <c r="AG394" s="138">
        <v>63.1</v>
      </c>
      <c r="AH394" s="136" t="s">
        <v>5497</v>
      </c>
      <c r="AI394" s="133">
        <v>43185</v>
      </c>
      <c r="AJ394" s="132" t="s">
        <v>5013</v>
      </c>
      <c r="AK394" s="136" t="s">
        <v>5498</v>
      </c>
      <c r="AL394" s="132">
        <v>42249</v>
      </c>
      <c r="AM394" s="131" t="s">
        <v>49</v>
      </c>
      <c r="AN394" s="136" t="s">
        <v>4440</v>
      </c>
    </row>
    <row r="395" spans="1:40" s="129" customFormat="1" x14ac:dyDescent="0.25">
      <c r="A395" s="136">
        <v>394</v>
      </c>
      <c r="B395" s="130" t="s">
        <v>4428</v>
      </c>
      <c r="C395" s="130" t="s">
        <v>38</v>
      </c>
      <c r="D395" s="136">
        <v>9103650366</v>
      </c>
      <c r="E395" s="132">
        <v>42216</v>
      </c>
      <c r="F395" s="132" t="s">
        <v>5248</v>
      </c>
      <c r="G395" s="132" t="s">
        <v>507</v>
      </c>
      <c r="H395" s="130" t="s">
        <v>4463</v>
      </c>
      <c r="I395" s="132" t="s">
        <v>40</v>
      </c>
      <c r="J395" s="131" t="s">
        <v>4432</v>
      </c>
      <c r="K395" s="132" t="s">
        <v>4433</v>
      </c>
      <c r="L395" s="136">
        <v>2088470</v>
      </c>
      <c r="M395" s="132">
        <v>42214</v>
      </c>
      <c r="N395" s="136" t="s">
        <v>5499</v>
      </c>
      <c r="O395" s="130" t="s">
        <v>4436</v>
      </c>
      <c r="P395" s="130" t="s">
        <v>54</v>
      </c>
      <c r="Q395" s="130">
        <v>38237090</v>
      </c>
      <c r="R395" s="136">
        <v>2</v>
      </c>
      <c r="S395" s="130" t="s">
        <v>70</v>
      </c>
      <c r="T395" s="136" t="s">
        <v>52</v>
      </c>
      <c r="U395" s="136" t="s">
        <v>53</v>
      </c>
      <c r="V395" s="136">
        <v>5950</v>
      </c>
      <c r="W395" s="133">
        <f t="shared" si="20"/>
        <v>11900</v>
      </c>
      <c r="X395" s="136">
        <v>0</v>
      </c>
      <c r="Y395" s="136">
        <v>1660</v>
      </c>
      <c r="Z395" s="136">
        <v>0</v>
      </c>
      <c r="AA395" s="136">
        <v>0</v>
      </c>
      <c r="AB395" s="131"/>
      <c r="AC395" s="134">
        <f t="shared" si="18"/>
        <v>13409.572107765451</v>
      </c>
      <c r="AD395" s="135">
        <v>63.1</v>
      </c>
      <c r="AE395" s="136">
        <f t="shared" si="19"/>
        <v>750890</v>
      </c>
      <c r="AF395" s="137">
        <v>846144</v>
      </c>
      <c r="AG395" s="138">
        <v>63.1</v>
      </c>
      <c r="AH395" s="136" t="s">
        <v>5500</v>
      </c>
      <c r="AI395" s="136">
        <v>11900</v>
      </c>
      <c r="AJ395" s="132">
        <v>42208</v>
      </c>
      <c r="AK395" s="136" t="s">
        <v>5501</v>
      </c>
      <c r="AL395" s="132">
        <v>42208</v>
      </c>
      <c r="AM395" s="131" t="s">
        <v>49</v>
      </c>
      <c r="AN395" s="136" t="s">
        <v>4440</v>
      </c>
    </row>
    <row r="396" spans="1:40" s="129" customFormat="1" x14ac:dyDescent="0.25">
      <c r="A396" s="130">
        <v>395</v>
      </c>
      <c r="B396" s="130" t="s">
        <v>4428</v>
      </c>
      <c r="C396" s="130" t="s">
        <v>38</v>
      </c>
      <c r="D396" s="136" t="s">
        <v>5502</v>
      </c>
      <c r="E396" s="132">
        <v>42216</v>
      </c>
      <c r="F396" s="132" t="s">
        <v>5248</v>
      </c>
      <c r="G396" s="132" t="s">
        <v>516</v>
      </c>
      <c r="H396" s="130" t="s">
        <v>4456</v>
      </c>
      <c r="I396" s="132" t="s">
        <v>40</v>
      </c>
      <c r="J396" s="131" t="s">
        <v>4432</v>
      </c>
      <c r="K396" s="132" t="s">
        <v>4433</v>
      </c>
      <c r="L396" s="136">
        <v>2046104</v>
      </c>
      <c r="M396" s="132" t="s">
        <v>5484</v>
      </c>
      <c r="N396" s="136" t="s">
        <v>4876</v>
      </c>
      <c r="O396" s="130" t="s">
        <v>4436</v>
      </c>
      <c r="P396" s="130" t="s">
        <v>90</v>
      </c>
      <c r="Q396" s="130">
        <v>34021900</v>
      </c>
      <c r="R396" s="136">
        <v>16.649999999999999</v>
      </c>
      <c r="S396" s="130" t="s">
        <v>70</v>
      </c>
      <c r="T396" s="136" t="s">
        <v>67</v>
      </c>
      <c r="U396" s="136" t="s">
        <v>53</v>
      </c>
      <c r="V396" s="136">
        <v>2227</v>
      </c>
      <c r="W396" s="133">
        <f t="shared" si="20"/>
        <v>37079.549999999996</v>
      </c>
      <c r="X396" s="136">
        <v>0</v>
      </c>
      <c r="Y396" s="136">
        <v>0</v>
      </c>
      <c r="Z396" s="136">
        <v>0</v>
      </c>
      <c r="AA396" s="136">
        <v>0</v>
      </c>
      <c r="AB396" s="131">
        <v>42213</v>
      </c>
      <c r="AC396" s="134">
        <f t="shared" si="18"/>
        <v>37079.5500792393</v>
      </c>
      <c r="AD396" s="135">
        <v>63.1</v>
      </c>
      <c r="AE396" s="136">
        <f t="shared" si="19"/>
        <v>2339719.605</v>
      </c>
      <c r="AF396" s="137">
        <v>2339719.61</v>
      </c>
      <c r="AG396" s="138">
        <v>63.1</v>
      </c>
      <c r="AH396" s="136" t="s">
        <v>5503</v>
      </c>
      <c r="AI396" s="136">
        <v>37079.550000000003</v>
      </c>
      <c r="AJ396" s="132" t="s">
        <v>4999</v>
      </c>
      <c r="AK396" s="136" t="s">
        <v>5504</v>
      </c>
      <c r="AL396" s="132">
        <v>42289</v>
      </c>
      <c r="AM396" s="131" t="s">
        <v>49</v>
      </c>
      <c r="AN396" s="136" t="s">
        <v>4440</v>
      </c>
    </row>
    <row r="397" spans="1:40" s="129" customFormat="1" x14ac:dyDescent="0.25">
      <c r="A397" s="136">
        <v>396</v>
      </c>
      <c r="B397" s="130" t="s">
        <v>4428</v>
      </c>
      <c r="C397" s="130" t="s">
        <v>38</v>
      </c>
      <c r="D397" s="136" t="s">
        <v>5502</v>
      </c>
      <c r="E397" s="132">
        <v>42216</v>
      </c>
      <c r="F397" s="132" t="s">
        <v>5248</v>
      </c>
      <c r="G397" s="132" t="s">
        <v>497</v>
      </c>
      <c r="H397" s="130" t="s">
        <v>4456</v>
      </c>
      <c r="I397" s="132" t="s">
        <v>40</v>
      </c>
      <c r="J397" s="131" t="s">
        <v>4432</v>
      </c>
      <c r="K397" s="132" t="s">
        <v>4433</v>
      </c>
      <c r="L397" s="136">
        <v>2023464</v>
      </c>
      <c r="M397" s="132">
        <v>42210</v>
      </c>
      <c r="N397" s="136" t="s">
        <v>4876</v>
      </c>
      <c r="O397" s="130" t="s">
        <v>4436</v>
      </c>
      <c r="P397" s="130" t="s">
        <v>90</v>
      </c>
      <c r="Q397" s="130">
        <v>34021900</v>
      </c>
      <c r="R397" s="136">
        <v>33.6</v>
      </c>
      <c r="S397" s="130" t="s">
        <v>70</v>
      </c>
      <c r="T397" s="136" t="s">
        <v>67</v>
      </c>
      <c r="U397" s="136" t="s">
        <v>53</v>
      </c>
      <c r="V397" s="136">
        <v>2227</v>
      </c>
      <c r="W397" s="133">
        <f t="shared" si="20"/>
        <v>74827.199999999997</v>
      </c>
      <c r="X397" s="136">
        <v>0</v>
      </c>
      <c r="Y397" s="136">
        <v>0</v>
      </c>
      <c r="Z397" s="136">
        <v>0</v>
      </c>
      <c r="AA397" s="136">
        <v>0</v>
      </c>
      <c r="AB397" s="131">
        <v>42212</v>
      </c>
      <c r="AC397" s="134">
        <f t="shared" si="18"/>
        <v>74827.199999999997</v>
      </c>
      <c r="AD397" s="135">
        <v>63.1</v>
      </c>
      <c r="AE397" s="136">
        <f t="shared" si="19"/>
        <v>4721596.32</v>
      </c>
      <c r="AF397" s="137">
        <v>4721596.32</v>
      </c>
      <c r="AG397" s="138">
        <v>63.1</v>
      </c>
      <c r="AH397" s="136" t="s">
        <v>5503</v>
      </c>
      <c r="AI397" s="136">
        <v>74827.199999999997</v>
      </c>
      <c r="AJ397" s="132" t="s">
        <v>4999</v>
      </c>
      <c r="AK397" s="136" t="s">
        <v>5505</v>
      </c>
      <c r="AL397" s="132">
        <v>42289</v>
      </c>
      <c r="AM397" s="131" t="s">
        <v>49</v>
      </c>
      <c r="AN397" s="136" t="s">
        <v>4440</v>
      </c>
    </row>
    <row r="398" spans="1:40" s="129" customFormat="1" x14ac:dyDescent="0.25">
      <c r="A398" s="130">
        <v>397</v>
      </c>
      <c r="B398" s="130" t="s">
        <v>4428</v>
      </c>
      <c r="C398" s="130" t="s">
        <v>38</v>
      </c>
      <c r="D398" s="136">
        <v>9116650003</v>
      </c>
      <c r="E398" s="132">
        <v>42201</v>
      </c>
      <c r="F398" s="132" t="s">
        <v>5248</v>
      </c>
      <c r="G398" s="132" t="s">
        <v>5506</v>
      </c>
      <c r="H398" s="130" t="s">
        <v>4456</v>
      </c>
      <c r="I398" s="132" t="s">
        <v>40</v>
      </c>
      <c r="J398" s="131" t="s">
        <v>5507</v>
      </c>
      <c r="K398" s="132" t="s">
        <v>4433</v>
      </c>
      <c r="L398" s="136">
        <v>1708789</v>
      </c>
      <c r="M398" s="132" t="s">
        <v>5508</v>
      </c>
      <c r="N398" s="136" t="s">
        <v>5509</v>
      </c>
      <c r="O398" s="130" t="s">
        <v>4436</v>
      </c>
      <c r="P398" s="130" t="s">
        <v>4492</v>
      </c>
      <c r="Q398" s="130">
        <v>34011190</v>
      </c>
      <c r="R398" s="136" t="s">
        <v>5510</v>
      </c>
      <c r="S398" s="130" t="s">
        <v>70</v>
      </c>
      <c r="T398" s="136" t="s">
        <v>5412</v>
      </c>
      <c r="U398" s="136" t="s">
        <v>53</v>
      </c>
      <c r="V398" s="136">
        <v>0.25</v>
      </c>
      <c r="W398" s="133">
        <f t="shared" si="20"/>
        <v>28800</v>
      </c>
      <c r="X398" s="136">
        <v>9.5</v>
      </c>
      <c r="Y398" s="136">
        <v>4850</v>
      </c>
      <c r="Z398" s="136">
        <v>0</v>
      </c>
      <c r="AA398" s="136">
        <v>0</v>
      </c>
      <c r="AB398" s="131">
        <v>42200</v>
      </c>
      <c r="AC398" s="134">
        <f t="shared" si="18"/>
        <v>23940.5</v>
      </c>
      <c r="AD398" s="135">
        <v>63.2</v>
      </c>
      <c r="AE398" s="136">
        <f t="shared" si="19"/>
        <v>1820160</v>
      </c>
      <c r="AF398" s="130">
        <v>1513039.6</v>
      </c>
      <c r="AG398" s="138">
        <v>63.2</v>
      </c>
      <c r="AH398" s="136" t="s">
        <v>5511</v>
      </c>
      <c r="AI398" s="133">
        <v>28765</v>
      </c>
      <c r="AJ398" s="132">
        <v>42318</v>
      </c>
      <c r="AK398" s="136" t="s">
        <v>5512</v>
      </c>
      <c r="AL398" s="132">
        <v>42321</v>
      </c>
      <c r="AM398" s="131" t="s">
        <v>49</v>
      </c>
      <c r="AN398" s="133" t="s">
        <v>4440</v>
      </c>
    </row>
    <row r="399" spans="1:40" s="129" customFormat="1" x14ac:dyDescent="0.25">
      <c r="A399" s="136">
        <v>398</v>
      </c>
      <c r="B399" s="130" t="s">
        <v>4428</v>
      </c>
      <c r="C399" s="130" t="s">
        <v>38</v>
      </c>
      <c r="D399" s="136">
        <v>9103650316</v>
      </c>
      <c r="E399" s="132">
        <v>42220</v>
      </c>
      <c r="F399" s="132" t="s">
        <v>5513</v>
      </c>
      <c r="G399" s="132" t="s">
        <v>457</v>
      </c>
      <c r="H399" s="130" t="s">
        <v>4456</v>
      </c>
      <c r="I399" s="132" t="s">
        <v>40</v>
      </c>
      <c r="J399" s="131" t="s">
        <v>4432</v>
      </c>
      <c r="K399" s="132" t="s">
        <v>4433</v>
      </c>
      <c r="L399" s="136">
        <v>1873490</v>
      </c>
      <c r="M399" s="132" t="s">
        <v>5514</v>
      </c>
      <c r="N399" s="136" t="s">
        <v>4527</v>
      </c>
      <c r="O399" s="130" t="s">
        <v>4436</v>
      </c>
      <c r="P399" s="130" t="s">
        <v>2657</v>
      </c>
      <c r="Q399" s="130">
        <v>38237090</v>
      </c>
      <c r="R399" s="136">
        <v>16</v>
      </c>
      <c r="S399" s="130" t="s">
        <v>70</v>
      </c>
      <c r="T399" s="136" t="s">
        <v>52</v>
      </c>
      <c r="U399" s="136" t="s">
        <v>53</v>
      </c>
      <c r="V399" s="136">
        <v>1275</v>
      </c>
      <c r="W399" s="133">
        <f t="shared" si="20"/>
        <v>20400</v>
      </c>
      <c r="X399" s="136">
        <v>0</v>
      </c>
      <c r="Y399" s="136">
        <v>450</v>
      </c>
      <c r="Z399" s="136">
        <v>0</v>
      </c>
      <c r="AA399" s="136">
        <v>0</v>
      </c>
      <c r="AB399" s="131">
        <v>42205</v>
      </c>
      <c r="AC399" s="134">
        <f t="shared" si="18"/>
        <v>19950</v>
      </c>
      <c r="AD399" s="135">
        <v>63.1</v>
      </c>
      <c r="AE399" s="136">
        <f t="shared" si="19"/>
        <v>1287240</v>
      </c>
      <c r="AF399" s="137">
        <v>1258845</v>
      </c>
      <c r="AG399" s="138">
        <v>63.1</v>
      </c>
      <c r="AH399" s="136" t="s">
        <v>5515</v>
      </c>
      <c r="AI399" s="133">
        <v>20400</v>
      </c>
      <c r="AJ399" s="132" t="s">
        <v>4962</v>
      </c>
      <c r="AK399" s="136" t="s">
        <v>5516</v>
      </c>
      <c r="AL399" s="132">
        <v>42284</v>
      </c>
      <c r="AM399" s="131" t="s">
        <v>49</v>
      </c>
      <c r="AN399" s="133" t="s">
        <v>4440</v>
      </c>
    </row>
    <row r="400" spans="1:40" s="129" customFormat="1" x14ac:dyDescent="0.25">
      <c r="A400" s="130">
        <v>399</v>
      </c>
      <c r="B400" s="130" t="s">
        <v>4428</v>
      </c>
      <c r="C400" s="130" t="s">
        <v>38</v>
      </c>
      <c r="D400" s="136">
        <v>9103650317</v>
      </c>
      <c r="E400" s="132">
        <v>42220</v>
      </c>
      <c r="F400" s="132" t="s">
        <v>5513</v>
      </c>
      <c r="G400" s="132" t="s">
        <v>458</v>
      </c>
      <c r="H400" s="130" t="s">
        <v>4456</v>
      </c>
      <c r="I400" s="132" t="s">
        <v>40</v>
      </c>
      <c r="J400" s="131" t="s">
        <v>4432</v>
      </c>
      <c r="K400" s="132" t="s">
        <v>4433</v>
      </c>
      <c r="L400" s="136">
        <v>1858909</v>
      </c>
      <c r="M400" s="132" t="s">
        <v>4798</v>
      </c>
      <c r="N400" s="136" t="s">
        <v>4527</v>
      </c>
      <c r="O400" s="130" t="s">
        <v>4436</v>
      </c>
      <c r="P400" s="130" t="s">
        <v>2657</v>
      </c>
      <c r="Q400" s="130">
        <v>29051700</v>
      </c>
      <c r="R400" s="136">
        <v>16</v>
      </c>
      <c r="S400" s="130" t="s">
        <v>70</v>
      </c>
      <c r="T400" s="136" t="s">
        <v>52</v>
      </c>
      <c r="U400" s="136" t="s">
        <v>53</v>
      </c>
      <c r="V400" s="136">
        <v>1430</v>
      </c>
      <c r="W400" s="133">
        <f t="shared" si="20"/>
        <v>22880</v>
      </c>
      <c r="X400" s="136">
        <v>0</v>
      </c>
      <c r="Y400" s="136">
        <v>450</v>
      </c>
      <c r="Z400" s="136">
        <v>0</v>
      </c>
      <c r="AA400" s="136">
        <v>0</v>
      </c>
      <c r="AB400" s="131">
        <v>42205</v>
      </c>
      <c r="AC400" s="134">
        <f t="shared" si="18"/>
        <v>22430</v>
      </c>
      <c r="AD400" s="135">
        <v>63.1</v>
      </c>
      <c r="AE400" s="136">
        <f t="shared" si="19"/>
        <v>1443728</v>
      </c>
      <c r="AF400" s="137">
        <v>1415333</v>
      </c>
      <c r="AG400" s="138">
        <v>63.1</v>
      </c>
      <c r="AH400" s="136" t="s">
        <v>5517</v>
      </c>
      <c r="AI400" s="133">
        <v>22880</v>
      </c>
      <c r="AJ400" s="132" t="s">
        <v>4962</v>
      </c>
      <c r="AK400" s="136" t="s">
        <v>5518</v>
      </c>
      <c r="AL400" s="132">
        <v>42284</v>
      </c>
      <c r="AM400" s="131" t="s">
        <v>49</v>
      </c>
      <c r="AN400" s="133" t="s">
        <v>4440</v>
      </c>
    </row>
    <row r="401" spans="1:40" s="129" customFormat="1" x14ac:dyDescent="0.25">
      <c r="A401" s="136">
        <v>400</v>
      </c>
      <c r="B401" s="130" t="s">
        <v>4428</v>
      </c>
      <c r="C401" s="130" t="s">
        <v>38</v>
      </c>
      <c r="D401" s="136">
        <v>9103650318</v>
      </c>
      <c r="E401" s="132">
        <v>42220</v>
      </c>
      <c r="F401" s="132" t="s">
        <v>5513</v>
      </c>
      <c r="G401" s="132" t="s">
        <v>459</v>
      </c>
      <c r="H401" s="130" t="s">
        <v>4456</v>
      </c>
      <c r="I401" s="132" t="s">
        <v>40</v>
      </c>
      <c r="J401" s="131" t="s">
        <v>4432</v>
      </c>
      <c r="K401" s="132" t="s">
        <v>4433</v>
      </c>
      <c r="L401" s="136">
        <v>1858603</v>
      </c>
      <c r="M401" s="132" t="s">
        <v>4798</v>
      </c>
      <c r="N401" s="136" t="s">
        <v>4527</v>
      </c>
      <c r="O401" s="130" t="s">
        <v>4436</v>
      </c>
      <c r="P401" s="130" t="s">
        <v>62</v>
      </c>
      <c r="Q401" s="130">
        <v>38237090</v>
      </c>
      <c r="R401" s="136">
        <v>12</v>
      </c>
      <c r="S401" s="130" t="s">
        <v>70</v>
      </c>
      <c r="T401" s="136" t="s">
        <v>52</v>
      </c>
      <c r="U401" s="136" t="s">
        <v>53</v>
      </c>
      <c r="V401" s="136">
        <v>1280</v>
      </c>
      <c r="W401" s="133">
        <f t="shared" si="20"/>
        <v>15360</v>
      </c>
      <c r="X401" s="136">
        <v>0</v>
      </c>
      <c r="Y401" s="136">
        <v>650</v>
      </c>
      <c r="Z401" s="136">
        <v>0</v>
      </c>
      <c r="AA401" s="136">
        <v>0</v>
      </c>
      <c r="AB401" s="131">
        <v>42205</v>
      </c>
      <c r="AC401" s="134">
        <f t="shared" si="18"/>
        <v>14710</v>
      </c>
      <c r="AD401" s="135">
        <v>63.1</v>
      </c>
      <c r="AE401" s="136">
        <f t="shared" si="19"/>
        <v>969216</v>
      </c>
      <c r="AF401" s="137">
        <v>928201</v>
      </c>
      <c r="AG401" s="138">
        <v>63.1</v>
      </c>
      <c r="AH401" s="136" t="s">
        <v>5519</v>
      </c>
      <c r="AI401" s="133">
        <v>15360</v>
      </c>
      <c r="AJ401" s="132" t="s">
        <v>4962</v>
      </c>
      <c r="AK401" s="136" t="s">
        <v>5520</v>
      </c>
      <c r="AL401" s="132">
        <v>42284</v>
      </c>
      <c r="AM401" s="131" t="s">
        <v>49</v>
      </c>
      <c r="AN401" s="133" t="s">
        <v>4440</v>
      </c>
    </row>
    <row r="402" spans="1:40" s="129" customFormat="1" x14ac:dyDescent="0.25">
      <c r="A402" s="130">
        <v>401</v>
      </c>
      <c r="B402" s="130" t="s">
        <v>4428</v>
      </c>
      <c r="C402" s="130" t="s">
        <v>38</v>
      </c>
      <c r="D402" s="136">
        <v>9103650319</v>
      </c>
      <c r="E402" s="132">
        <v>42220</v>
      </c>
      <c r="F402" s="132" t="s">
        <v>5513</v>
      </c>
      <c r="G402" s="132" t="s">
        <v>460</v>
      </c>
      <c r="H402" s="130" t="s">
        <v>4456</v>
      </c>
      <c r="I402" s="132" t="s">
        <v>40</v>
      </c>
      <c r="J402" s="131" t="s">
        <v>4432</v>
      </c>
      <c r="K402" s="132" t="s">
        <v>4433</v>
      </c>
      <c r="L402" s="136">
        <v>1859734</v>
      </c>
      <c r="M402" s="132" t="s">
        <v>4798</v>
      </c>
      <c r="N402" s="136" t="s">
        <v>4527</v>
      </c>
      <c r="O402" s="130" t="s">
        <v>4436</v>
      </c>
      <c r="P402" s="130" t="s">
        <v>62</v>
      </c>
      <c r="Q402" s="130">
        <v>38237090</v>
      </c>
      <c r="R402" s="136">
        <v>10.4</v>
      </c>
      <c r="S402" s="130" t="s">
        <v>70</v>
      </c>
      <c r="T402" s="136" t="s">
        <v>52</v>
      </c>
      <c r="U402" s="136" t="s">
        <v>53</v>
      </c>
      <c r="V402" s="136">
        <v>0</v>
      </c>
      <c r="W402" s="133">
        <f>(8*1390+2.4*1280)</f>
        <v>14192</v>
      </c>
      <c r="X402" s="136">
        <v>0</v>
      </c>
      <c r="Y402" s="136">
        <v>650</v>
      </c>
      <c r="Z402" s="136">
        <v>0</v>
      </c>
      <c r="AA402" s="136">
        <v>0</v>
      </c>
      <c r="AB402" s="131">
        <v>42205</v>
      </c>
      <c r="AC402" s="134">
        <f t="shared" si="18"/>
        <v>13541.999999999998</v>
      </c>
      <c r="AD402" s="135">
        <v>63.1</v>
      </c>
      <c r="AE402" s="136">
        <f t="shared" si="19"/>
        <v>895515.20000000007</v>
      </c>
      <c r="AF402" s="137">
        <v>854500.2</v>
      </c>
      <c r="AG402" s="138">
        <v>63.1</v>
      </c>
      <c r="AH402" s="136" t="s">
        <v>5521</v>
      </c>
      <c r="AI402" s="133">
        <v>14192</v>
      </c>
      <c r="AJ402" s="132" t="s">
        <v>4962</v>
      </c>
      <c r="AK402" s="136" t="s">
        <v>5522</v>
      </c>
      <c r="AL402" s="132">
        <v>42284</v>
      </c>
      <c r="AM402" s="131" t="s">
        <v>49</v>
      </c>
      <c r="AN402" s="133" t="s">
        <v>4440</v>
      </c>
    </row>
    <row r="403" spans="1:40" s="129" customFormat="1" x14ac:dyDescent="0.25">
      <c r="A403" s="136">
        <v>402</v>
      </c>
      <c r="B403" s="130" t="s">
        <v>4428</v>
      </c>
      <c r="C403" s="130" t="s">
        <v>38</v>
      </c>
      <c r="D403" s="136">
        <v>9103650348</v>
      </c>
      <c r="E403" s="132">
        <v>42219</v>
      </c>
      <c r="F403" s="132" t="s">
        <v>5513</v>
      </c>
      <c r="G403" s="132" t="s">
        <v>488</v>
      </c>
      <c r="H403" s="130" t="s">
        <v>4564</v>
      </c>
      <c r="I403" s="132" t="s">
        <v>40</v>
      </c>
      <c r="J403" s="131" t="s">
        <v>4432</v>
      </c>
      <c r="K403" s="132" t="s">
        <v>4433</v>
      </c>
      <c r="L403" s="136">
        <v>1989543</v>
      </c>
      <c r="M403" s="132" t="s">
        <v>4886</v>
      </c>
      <c r="N403" s="136" t="s">
        <v>4815</v>
      </c>
      <c r="O403" s="130" t="s">
        <v>4436</v>
      </c>
      <c r="P403" s="130" t="s">
        <v>61</v>
      </c>
      <c r="Q403" s="130">
        <v>38231900</v>
      </c>
      <c r="R403" s="136">
        <v>39.61</v>
      </c>
      <c r="S403" s="130" t="s">
        <v>70</v>
      </c>
      <c r="T403" s="136" t="s">
        <v>44</v>
      </c>
      <c r="U403" s="136" t="s">
        <v>53</v>
      </c>
      <c r="V403" s="136">
        <v>3730</v>
      </c>
      <c r="W403" s="133">
        <f t="shared" si="20"/>
        <v>147745.29999999999</v>
      </c>
      <c r="X403" s="136">
        <v>48.76</v>
      </c>
      <c r="Y403" s="136">
        <v>1200</v>
      </c>
      <c r="Z403" s="136">
        <v>0</v>
      </c>
      <c r="AA403" s="136">
        <v>0</v>
      </c>
      <c r="AB403" s="131">
        <v>42210</v>
      </c>
      <c r="AC403" s="134">
        <f t="shared" si="18"/>
        <v>146496.53993660855</v>
      </c>
      <c r="AD403" s="135">
        <v>63.1</v>
      </c>
      <c r="AE403" s="136">
        <f t="shared" si="19"/>
        <v>9322728.4299999997</v>
      </c>
      <c r="AF403" s="137">
        <v>9243931.6699999999</v>
      </c>
      <c r="AG403" s="138">
        <v>63.1</v>
      </c>
      <c r="AH403" s="136" t="s">
        <v>5523</v>
      </c>
      <c r="AI403" s="136">
        <v>147694.29999999999</v>
      </c>
      <c r="AJ403" s="132" t="s">
        <v>5013</v>
      </c>
      <c r="AK403" s="136" t="s">
        <v>5524</v>
      </c>
      <c r="AL403" s="132">
        <v>42249</v>
      </c>
      <c r="AM403" s="131" t="s">
        <v>49</v>
      </c>
      <c r="AN403" s="133" t="s">
        <v>4440</v>
      </c>
    </row>
    <row r="404" spans="1:40" s="129" customFormat="1" x14ac:dyDescent="0.25">
      <c r="A404" s="130">
        <v>403</v>
      </c>
      <c r="B404" s="130" t="s">
        <v>4428</v>
      </c>
      <c r="C404" s="130" t="s">
        <v>38</v>
      </c>
      <c r="D404" s="136">
        <v>9103650352</v>
      </c>
      <c r="E404" s="132">
        <v>42219</v>
      </c>
      <c r="F404" s="132" t="s">
        <v>5513</v>
      </c>
      <c r="G404" s="132" t="s">
        <v>498</v>
      </c>
      <c r="H404" s="130" t="s">
        <v>4456</v>
      </c>
      <c r="I404" s="132" t="s">
        <v>40</v>
      </c>
      <c r="J404" s="131" t="s">
        <v>4432</v>
      </c>
      <c r="K404" s="132" t="s">
        <v>4433</v>
      </c>
      <c r="L404" s="136">
        <v>2027956</v>
      </c>
      <c r="M404" s="132" t="s">
        <v>5470</v>
      </c>
      <c r="N404" s="136" t="s">
        <v>4527</v>
      </c>
      <c r="O404" s="130" t="s">
        <v>4436</v>
      </c>
      <c r="P404" s="130" t="s">
        <v>2657</v>
      </c>
      <c r="Q404" s="130">
        <v>38237090</v>
      </c>
      <c r="R404" s="136">
        <v>57.05</v>
      </c>
      <c r="S404" s="130" t="s">
        <v>70</v>
      </c>
      <c r="T404" s="136" t="s">
        <v>52</v>
      </c>
      <c r="U404" s="136" t="s">
        <v>4528</v>
      </c>
      <c r="V404" s="136">
        <v>1170</v>
      </c>
      <c r="W404" s="133">
        <f t="shared" si="20"/>
        <v>66748.5</v>
      </c>
      <c r="X404" s="136">
        <v>0</v>
      </c>
      <c r="Y404" s="136">
        <v>1655.69</v>
      </c>
      <c r="Z404" s="136">
        <v>0</v>
      </c>
      <c r="AA404" s="136">
        <v>0</v>
      </c>
      <c r="AB404" s="131">
        <v>42212</v>
      </c>
      <c r="AC404" s="134">
        <f t="shared" si="18"/>
        <v>65092.810058309035</v>
      </c>
      <c r="AD404" s="135">
        <v>68.599999999999994</v>
      </c>
      <c r="AE404" s="136">
        <f t="shared" si="19"/>
        <v>4578947.0999999996</v>
      </c>
      <c r="AF404" s="130">
        <v>4465366.7699999996</v>
      </c>
      <c r="AG404" s="138">
        <v>68.599999999999994</v>
      </c>
      <c r="AH404" s="136" t="s">
        <v>5525</v>
      </c>
      <c r="AI404" s="133">
        <v>66748.5</v>
      </c>
      <c r="AJ404" s="132" t="s">
        <v>5211</v>
      </c>
      <c r="AK404" s="136" t="s">
        <v>5526</v>
      </c>
      <c r="AL404" s="132">
        <v>42282</v>
      </c>
      <c r="AM404" s="131" t="s">
        <v>49</v>
      </c>
      <c r="AN404" s="133" t="s">
        <v>4440</v>
      </c>
    </row>
    <row r="405" spans="1:40" s="129" customFormat="1" x14ac:dyDescent="0.25">
      <c r="A405" s="136">
        <v>404</v>
      </c>
      <c r="B405" s="130" t="s">
        <v>4428</v>
      </c>
      <c r="C405" s="130" t="s">
        <v>38</v>
      </c>
      <c r="D405" s="136" t="s">
        <v>5527</v>
      </c>
      <c r="E405" s="132">
        <v>42219</v>
      </c>
      <c r="F405" s="132" t="s">
        <v>5513</v>
      </c>
      <c r="G405" s="132" t="s">
        <v>501</v>
      </c>
      <c r="H405" s="130" t="s">
        <v>4564</v>
      </c>
      <c r="I405" s="132" t="s">
        <v>40</v>
      </c>
      <c r="J405" s="131" t="s">
        <v>4432</v>
      </c>
      <c r="K405" s="132" t="s">
        <v>4433</v>
      </c>
      <c r="L405" s="136">
        <v>1999522</v>
      </c>
      <c r="M405" s="132" t="s">
        <v>4886</v>
      </c>
      <c r="N405" s="136" t="s">
        <v>4848</v>
      </c>
      <c r="O405" s="130" t="s">
        <v>4436</v>
      </c>
      <c r="P405" s="130" t="s">
        <v>59</v>
      </c>
      <c r="Q405" s="130">
        <v>38231900</v>
      </c>
      <c r="R405" s="136">
        <v>19.84</v>
      </c>
      <c r="S405" s="130" t="s">
        <v>70</v>
      </c>
      <c r="T405" s="136" t="s">
        <v>5412</v>
      </c>
      <c r="U405" s="136" t="s">
        <v>4528</v>
      </c>
      <c r="V405" s="136">
        <v>3426</v>
      </c>
      <c r="W405" s="133">
        <f t="shared" si="20"/>
        <v>67971.839999999997</v>
      </c>
      <c r="X405" s="136">
        <v>22.43</v>
      </c>
      <c r="Y405" s="136">
        <v>1793.66</v>
      </c>
      <c r="Z405" s="136">
        <v>0</v>
      </c>
      <c r="AA405" s="136">
        <v>0</v>
      </c>
      <c r="AB405" s="131">
        <v>42210</v>
      </c>
      <c r="AC405" s="134">
        <f t="shared" si="18"/>
        <v>66155.750000000015</v>
      </c>
      <c r="AD405" s="135">
        <v>68.599999999999994</v>
      </c>
      <c r="AE405" s="136">
        <f t="shared" si="19"/>
        <v>4662868.2239999995</v>
      </c>
      <c r="AF405" s="130">
        <v>4538284.45</v>
      </c>
      <c r="AG405" s="138">
        <v>68.599999999999994</v>
      </c>
      <c r="AH405" s="136" t="s">
        <v>5528</v>
      </c>
      <c r="AI405" s="136">
        <v>67971.839999999997</v>
      </c>
      <c r="AJ405" s="132" t="s">
        <v>5011</v>
      </c>
      <c r="AK405" s="136" t="s">
        <v>5529</v>
      </c>
      <c r="AL405" s="132">
        <v>42248</v>
      </c>
      <c r="AM405" s="131" t="s">
        <v>49</v>
      </c>
      <c r="AN405" s="133" t="s">
        <v>4440</v>
      </c>
    </row>
    <row r="406" spans="1:40" s="129" customFormat="1" x14ac:dyDescent="0.25">
      <c r="A406" s="130">
        <v>405</v>
      </c>
      <c r="B406" s="130" t="s">
        <v>4428</v>
      </c>
      <c r="C406" s="130" t="s">
        <v>38</v>
      </c>
      <c r="D406" s="136" t="s">
        <v>5527</v>
      </c>
      <c r="E406" s="132">
        <v>42219</v>
      </c>
      <c r="F406" s="132" t="s">
        <v>5513</v>
      </c>
      <c r="G406" s="132" t="s">
        <v>498</v>
      </c>
      <c r="H406" s="130" t="s">
        <v>4456</v>
      </c>
      <c r="I406" s="132" t="s">
        <v>40</v>
      </c>
      <c r="J406" s="131" t="s">
        <v>4432</v>
      </c>
      <c r="K406" s="132" t="s">
        <v>4433</v>
      </c>
      <c r="L406" s="136">
        <v>1999522</v>
      </c>
      <c r="M406" s="132" t="s">
        <v>4886</v>
      </c>
      <c r="N406" s="136" t="s">
        <v>4848</v>
      </c>
      <c r="O406" s="130" t="s">
        <v>4436</v>
      </c>
      <c r="P406" s="130" t="s">
        <v>59</v>
      </c>
      <c r="Q406" s="130">
        <v>38231900</v>
      </c>
      <c r="R406" s="136">
        <v>19.84</v>
      </c>
      <c r="S406" s="130" t="s">
        <v>70</v>
      </c>
      <c r="T406" s="136" t="s">
        <v>5412</v>
      </c>
      <c r="U406" s="136" t="s">
        <v>4528</v>
      </c>
      <c r="V406" s="136">
        <v>3426</v>
      </c>
      <c r="W406" s="133">
        <f t="shared" si="20"/>
        <v>67971.839999999997</v>
      </c>
      <c r="X406" s="136">
        <v>22.43</v>
      </c>
      <c r="Y406" s="136">
        <v>1793.66</v>
      </c>
      <c r="Z406" s="136">
        <v>0</v>
      </c>
      <c r="AA406" s="136">
        <v>0</v>
      </c>
      <c r="AB406" s="131">
        <v>42212</v>
      </c>
      <c r="AC406" s="134">
        <f t="shared" si="18"/>
        <v>66155.750000000015</v>
      </c>
      <c r="AD406" s="135">
        <v>68.599999999999994</v>
      </c>
      <c r="AE406" s="136">
        <f t="shared" si="19"/>
        <v>4662868.2239999995</v>
      </c>
      <c r="AF406" s="130">
        <v>4538284.45</v>
      </c>
      <c r="AG406" s="138">
        <v>68.599999999999994</v>
      </c>
      <c r="AH406" s="136" t="s">
        <v>5528</v>
      </c>
      <c r="AI406" s="136">
        <v>67971.839999999997</v>
      </c>
      <c r="AJ406" s="132" t="s">
        <v>5011</v>
      </c>
      <c r="AK406" s="136" t="s">
        <v>5529</v>
      </c>
      <c r="AL406" s="132">
        <v>42248</v>
      </c>
      <c r="AM406" s="131" t="s">
        <v>49</v>
      </c>
      <c r="AN406" s="133" t="s">
        <v>4440</v>
      </c>
    </row>
    <row r="407" spans="1:40" s="129" customFormat="1" x14ac:dyDescent="0.25">
      <c r="A407" s="136">
        <v>406</v>
      </c>
      <c r="B407" s="130" t="s">
        <v>4428</v>
      </c>
      <c r="C407" s="130" t="s">
        <v>38</v>
      </c>
      <c r="D407" s="136">
        <v>9103650358</v>
      </c>
      <c r="E407" s="132">
        <v>42229</v>
      </c>
      <c r="F407" s="132" t="s">
        <v>5513</v>
      </c>
      <c r="G407" s="132" t="s">
        <v>535</v>
      </c>
      <c r="H407" s="130" t="s">
        <v>4431</v>
      </c>
      <c r="I407" s="132" t="s">
        <v>40</v>
      </c>
      <c r="J407" s="131" t="s">
        <v>4432</v>
      </c>
      <c r="K407" s="132" t="s">
        <v>4433</v>
      </c>
      <c r="L407" s="136">
        <v>2046047</v>
      </c>
      <c r="M407" s="132" t="s">
        <v>5484</v>
      </c>
      <c r="N407" s="136" t="s">
        <v>5530</v>
      </c>
      <c r="O407" s="130" t="s">
        <v>4436</v>
      </c>
      <c r="P407" s="130" t="s">
        <v>205</v>
      </c>
      <c r="Q407" s="130">
        <v>38237090</v>
      </c>
      <c r="R407" s="136">
        <v>10</v>
      </c>
      <c r="S407" s="130" t="s">
        <v>70</v>
      </c>
      <c r="T407" s="136" t="s">
        <v>67</v>
      </c>
      <c r="U407" s="136" t="s">
        <v>53</v>
      </c>
      <c r="V407" s="136">
        <v>1455</v>
      </c>
      <c r="W407" s="133">
        <f t="shared" si="20"/>
        <v>14550</v>
      </c>
      <c r="X407" s="136">
        <v>0</v>
      </c>
      <c r="Y407" s="136">
        <v>0</v>
      </c>
      <c r="Z407" s="136">
        <v>0</v>
      </c>
      <c r="AA407" s="136">
        <v>0</v>
      </c>
      <c r="AB407" s="131">
        <v>42214</v>
      </c>
      <c r="AC407" s="134">
        <f t="shared" si="18"/>
        <v>14550</v>
      </c>
      <c r="AD407" s="135">
        <v>63.1</v>
      </c>
      <c r="AE407" s="136">
        <f t="shared" si="19"/>
        <v>918105</v>
      </c>
      <c r="AF407" s="137">
        <v>918105</v>
      </c>
      <c r="AG407" s="138">
        <v>63.1</v>
      </c>
      <c r="AH407" s="136" t="s">
        <v>5531</v>
      </c>
      <c r="AI407" s="133">
        <v>14371</v>
      </c>
      <c r="AJ407" s="132" t="s">
        <v>5532</v>
      </c>
      <c r="AK407" s="136" t="s">
        <v>5533</v>
      </c>
      <c r="AL407" s="132">
        <v>42255</v>
      </c>
      <c r="AM407" s="131" t="s">
        <v>49</v>
      </c>
      <c r="AN407" s="136" t="s">
        <v>4440</v>
      </c>
    </row>
    <row r="408" spans="1:40" s="129" customFormat="1" x14ac:dyDescent="0.25">
      <c r="A408" s="130">
        <v>407</v>
      </c>
      <c r="B408" s="130" t="s">
        <v>4428</v>
      </c>
      <c r="C408" s="130" t="s">
        <v>38</v>
      </c>
      <c r="D408" s="136">
        <v>9103650369</v>
      </c>
      <c r="E408" s="132">
        <v>42219</v>
      </c>
      <c r="F408" s="132" t="s">
        <v>5513</v>
      </c>
      <c r="G408" s="132" t="s">
        <v>523</v>
      </c>
      <c r="H408" s="130" t="s">
        <v>4491</v>
      </c>
      <c r="I408" s="132" t="s">
        <v>40</v>
      </c>
      <c r="J408" s="131" t="s">
        <v>4432</v>
      </c>
      <c r="K408" s="132" t="s">
        <v>4433</v>
      </c>
      <c r="L408" s="136">
        <v>2120959</v>
      </c>
      <c r="M408" s="132">
        <v>42215</v>
      </c>
      <c r="N408" s="136" t="s">
        <v>3741</v>
      </c>
      <c r="O408" s="130" t="s">
        <v>4436</v>
      </c>
      <c r="P408" s="130" t="s">
        <v>4492</v>
      </c>
      <c r="Q408" s="130">
        <v>29051700</v>
      </c>
      <c r="R408" s="136">
        <v>18.399999999999999</v>
      </c>
      <c r="S408" s="130" t="s">
        <v>70</v>
      </c>
      <c r="T408" s="136" t="s">
        <v>44</v>
      </c>
      <c r="U408" s="136" t="s">
        <v>53</v>
      </c>
      <c r="V408" s="136">
        <v>1820</v>
      </c>
      <c r="W408" s="133">
        <f t="shared" si="20"/>
        <v>33488</v>
      </c>
      <c r="X408" s="136">
        <v>11.05</v>
      </c>
      <c r="Y408" s="136">
        <v>4300</v>
      </c>
      <c r="Z408" s="136">
        <v>0</v>
      </c>
      <c r="AA408" s="136">
        <v>0</v>
      </c>
      <c r="AB408" s="131">
        <v>42216</v>
      </c>
      <c r="AC408" s="134">
        <f t="shared" si="18"/>
        <v>29176.950079239301</v>
      </c>
      <c r="AD408" s="135">
        <v>63.1</v>
      </c>
      <c r="AE408" s="136">
        <f t="shared" si="19"/>
        <v>2113092.8000000003</v>
      </c>
      <c r="AF408" s="137">
        <v>1841065.55</v>
      </c>
      <c r="AG408" s="138">
        <v>63.1</v>
      </c>
      <c r="AH408" s="136" t="s">
        <v>5534</v>
      </c>
      <c r="AI408" s="136">
        <v>33488</v>
      </c>
      <c r="AJ408" s="132">
        <v>42262</v>
      </c>
      <c r="AK408" s="136" t="s">
        <v>5535</v>
      </c>
      <c r="AL408" s="132">
        <v>42290</v>
      </c>
      <c r="AM408" s="131" t="s">
        <v>49</v>
      </c>
      <c r="AN408" s="136" t="s">
        <v>4440</v>
      </c>
    </row>
    <row r="409" spans="1:40" s="129" customFormat="1" x14ac:dyDescent="0.25">
      <c r="A409" s="136">
        <v>408</v>
      </c>
      <c r="B409" s="130" t="s">
        <v>4428</v>
      </c>
      <c r="C409" s="130" t="s">
        <v>38</v>
      </c>
      <c r="D409" s="136">
        <v>9103650370</v>
      </c>
      <c r="E409" s="132">
        <v>42219</v>
      </c>
      <c r="F409" s="132" t="s">
        <v>5513</v>
      </c>
      <c r="G409" s="132" t="s">
        <v>511</v>
      </c>
      <c r="H409" s="130" t="s">
        <v>4491</v>
      </c>
      <c r="I409" s="132" t="s">
        <v>40</v>
      </c>
      <c r="J409" s="131" t="s">
        <v>4432</v>
      </c>
      <c r="K409" s="132" t="s">
        <v>4433</v>
      </c>
      <c r="L409" s="136">
        <v>2129744</v>
      </c>
      <c r="M409" s="132">
        <v>42215</v>
      </c>
      <c r="N409" s="136" t="s">
        <v>3741</v>
      </c>
      <c r="O409" s="130" t="s">
        <v>4436</v>
      </c>
      <c r="P409" s="130" t="s">
        <v>4492</v>
      </c>
      <c r="Q409" s="130">
        <v>38237090</v>
      </c>
      <c r="R409" s="136">
        <v>18.23</v>
      </c>
      <c r="S409" s="130" t="s">
        <v>70</v>
      </c>
      <c r="T409" s="136" t="s">
        <v>44</v>
      </c>
      <c r="U409" s="136" t="s">
        <v>53</v>
      </c>
      <c r="V409" s="136">
        <v>1564</v>
      </c>
      <c r="W409" s="133">
        <f t="shared" si="20"/>
        <v>28511.72</v>
      </c>
      <c r="X409" s="136">
        <v>9.41</v>
      </c>
      <c r="Y409" s="136">
        <v>4300</v>
      </c>
      <c r="Z409" s="136">
        <v>0</v>
      </c>
      <c r="AA409" s="136">
        <v>0</v>
      </c>
      <c r="AB409" s="131">
        <v>42216</v>
      </c>
      <c r="AC409" s="134">
        <f t="shared" si="18"/>
        <v>24202.30998415214</v>
      </c>
      <c r="AD409" s="135">
        <v>63.1</v>
      </c>
      <c r="AE409" s="136">
        <f t="shared" si="19"/>
        <v>1799089.5320000001</v>
      </c>
      <c r="AF409" s="137">
        <v>1527165.76</v>
      </c>
      <c r="AG409" s="138">
        <v>63.1</v>
      </c>
      <c r="AH409" s="136" t="s">
        <v>5536</v>
      </c>
      <c r="AI409" s="136">
        <v>28511.72</v>
      </c>
      <c r="AJ409" s="132">
        <v>42262</v>
      </c>
      <c r="AK409" s="136" t="s">
        <v>5537</v>
      </c>
      <c r="AL409" s="132">
        <v>42290</v>
      </c>
      <c r="AM409" s="131" t="s">
        <v>49</v>
      </c>
      <c r="AN409" s="136" t="s">
        <v>4440</v>
      </c>
    </row>
    <row r="410" spans="1:40" s="129" customFormat="1" x14ac:dyDescent="0.25">
      <c r="A410" s="130">
        <v>409</v>
      </c>
      <c r="B410" s="130" t="s">
        <v>4428</v>
      </c>
      <c r="C410" s="130" t="s">
        <v>38</v>
      </c>
      <c r="D410" s="136">
        <v>9103650371</v>
      </c>
      <c r="E410" s="132">
        <v>42239</v>
      </c>
      <c r="F410" s="132" t="s">
        <v>5513</v>
      </c>
      <c r="G410" s="132" t="s">
        <v>506</v>
      </c>
      <c r="H410" s="130" t="s">
        <v>5201</v>
      </c>
      <c r="I410" s="132" t="s">
        <v>40</v>
      </c>
      <c r="J410" s="131" t="s">
        <v>4432</v>
      </c>
      <c r="K410" s="132" t="s">
        <v>4433</v>
      </c>
      <c r="L410" s="136">
        <v>2127270</v>
      </c>
      <c r="M410" s="132" t="s">
        <v>4952</v>
      </c>
      <c r="N410" s="136" t="s">
        <v>5538</v>
      </c>
      <c r="O410" s="130" t="s">
        <v>4436</v>
      </c>
      <c r="P410" s="130" t="s">
        <v>64</v>
      </c>
      <c r="Q410" s="130">
        <v>38231900</v>
      </c>
      <c r="R410" s="136">
        <v>19.690000000000001</v>
      </c>
      <c r="S410" s="130" t="s">
        <v>70</v>
      </c>
      <c r="T410" s="136" t="s">
        <v>44</v>
      </c>
      <c r="U410" s="136" t="s">
        <v>53</v>
      </c>
      <c r="V410" s="136">
        <v>1150</v>
      </c>
      <c r="W410" s="133">
        <f t="shared" si="20"/>
        <v>22643.5</v>
      </c>
      <c r="X410" s="136">
        <v>7.47</v>
      </c>
      <c r="Y410" s="136">
        <v>360</v>
      </c>
      <c r="Z410" s="136">
        <v>444.99</v>
      </c>
      <c r="AA410" s="136">
        <v>0</v>
      </c>
      <c r="AB410" s="131">
        <v>42217</v>
      </c>
      <c r="AC410" s="134">
        <f t="shared" si="18"/>
        <v>22276.029952456418</v>
      </c>
      <c r="AD410" s="135">
        <v>63.1</v>
      </c>
      <c r="AE410" s="136">
        <f t="shared" si="19"/>
        <v>1428804.85</v>
      </c>
      <c r="AF410" s="137">
        <v>1405617.49</v>
      </c>
      <c r="AG410" s="138">
        <v>63.1</v>
      </c>
      <c r="AH410" s="136" t="s">
        <v>5539</v>
      </c>
      <c r="AI410" s="136">
        <v>22268.5</v>
      </c>
      <c r="AJ410" s="132" t="s">
        <v>5540</v>
      </c>
      <c r="AK410" s="136" t="s">
        <v>5541</v>
      </c>
      <c r="AL410" s="132" t="s">
        <v>5542</v>
      </c>
      <c r="AM410" s="131" t="s">
        <v>49</v>
      </c>
      <c r="AN410" s="136" t="s">
        <v>4440</v>
      </c>
    </row>
    <row r="411" spans="1:40" s="129" customFormat="1" x14ac:dyDescent="0.25">
      <c r="A411" s="136">
        <v>410</v>
      </c>
      <c r="B411" s="130" t="s">
        <v>4428</v>
      </c>
      <c r="C411" s="130" t="s">
        <v>38</v>
      </c>
      <c r="D411" s="136">
        <v>9103650372</v>
      </c>
      <c r="E411" s="132">
        <v>42239</v>
      </c>
      <c r="F411" s="132" t="s">
        <v>5513</v>
      </c>
      <c r="G411" s="132" t="s">
        <v>2010</v>
      </c>
      <c r="H411" s="130" t="s">
        <v>4446</v>
      </c>
      <c r="I411" s="132" t="s">
        <v>40</v>
      </c>
      <c r="J411" s="131" t="s">
        <v>4432</v>
      </c>
      <c r="K411" s="132" t="s">
        <v>4433</v>
      </c>
      <c r="L411" s="136">
        <v>2127320</v>
      </c>
      <c r="M411" s="132">
        <v>42215</v>
      </c>
      <c r="N411" s="136" t="s">
        <v>4532</v>
      </c>
      <c r="O411" s="130" t="s">
        <v>4436</v>
      </c>
      <c r="P411" s="130" t="s">
        <v>64</v>
      </c>
      <c r="Q411" s="130">
        <v>38231200</v>
      </c>
      <c r="R411" s="136">
        <v>39.33</v>
      </c>
      <c r="S411" s="130" t="s">
        <v>70</v>
      </c>
      <c r="T411" s="136" t="s">
        <v>44</v>
      </c>
      <c r="U411" s="136" t="s">
        <v>53</v>
      </c>
      <c r="V411" s="136">
        <v>1070</v>
      </c>
      <c r="W411" s="133">
        <f t="shared" si="20"/>
        <v>42083.1</v>
      </c>
      <c r="X411" s="136">
        <v>13.89</v>
      </c>
      <c r="Y411" s="136">
        <v>720</v>
      </c>
      <c r="Z411" s="136">
        <v>0</v>
      </c>
      <c r="AA411" s="136">
        <v>0</v>
      </c>
      <c r="AB411" s="131">
        <v>42217</v>
      </c>
      <c r="AC411" s="134">
        <f t="shared" si="18"/>
        <v>41349.209984152134</v>
      </c>
      <c r="AD411" s="135">
        <v>63.1</v>
      </c>
      <c r="AE411" s="136">
        <f t="shared" si="19"/>
        <v>2655443.61</v>
      </c>
      <c r="AF411" s="137">
        <v>2609135.15</v>
      </c>
      <c r="AG411" s="138">
        <v>63.1</v>
      </c>
      <c r="AH411" s="136" t="s">
        <v>5543</v>
      </c>
      <c r="AI411" s="136">
        <v>42083.1</v>
      </c>
      <c r="AJ411" s="132" t="s">
        <v>5405</v>
      </c>
      <c r="AK411" s="136" t="s">
        <v>5544</v>
      </c>
      <c r="AL411" s="132" t="s">
        <v>5407</v>
      </c>
      <c r="AM411" s="131" t="s">
        <v>49</v>
      </c>
      <c r="AN411" s="136" t="s">
        <v>4440</v>
      </c>
    </row>
    <row r="412" spans="1:40" s="129" customFormat="1" x14ac:dyDescent="0.25">
      <c r="A412" s="130">
        <v>411</v>
      </c>
      <c r="B412" s="130" t="s">
        <v>4428</v>
      </c>
      <c r="C412" s="130" t="s">
        <v>38</v>
      </c>
      <c r="D412" s="136">
        <v>9103650373</v>
      </c>
      <c r="E412" s="132">
        <v>42225</v>
      </c>
      <c r="F412" s="132" t="s">
        <v>5513</v>
      </c>
      <c r="G412" s="132" t="s">
        <v>513</v>
      </c>
      <c r="H412" s="130" t="s">
        <v>4431</v>
      </c>
      <c r="I412" s="132" t="s">
        <v>40</v>
      </c>
      <c r="J412" s="131" t="s">
        <v>4432</v>
      </c>
      <c r="K412" s="132" t="s">
        <v>4433</v>
      </c>
      <c r="L412" s="141">
        <v>2149655</v>
      </c>
      <c r="M412" s="136" t="s">
        <v>4954</v>
      </c>
      <c r="N412" s="136" t="s">
        <v>5545</v>
      </c>
      <c r="O412" s="130" t="s">
        <v>4436</v>
      </c>
      <c r="P412" s="130" t="s">
        <v>5546</v>
      </c>
      <c r="Q412" s="130" t="s">
        <v>4559</v>
      </c>
      <c r="R412" s="136">
        <v>16</v>
      </c>
      <c r="S412" s="130" t="s">
        <v>70</v>
      </c>
      <c r="T412" s="136" t="s">
        <v>52</v>
      </c>
      <c r="U412" s="133" t="s">
        <v>53</v>
      </c>
      <c r="V412" s="136">
        <v>1570</v>
      </c>
      <c r="W412" s="133">
        <f t="shared" si="20"/>
        <v>25120</v>
      </c>
      <c r="X412" s="136">
        <v>0</v>
      </c>
      <c r="Y412" s="136">
        <v>1150</v>
      </c>
      <c r="Z412" s="136">
        <v>0</v>
      </c>
      <c r="AA412" s="136">
        <v>0</v>
      </c>
      <c r="AB412" s="131">
        <v>42217</v>
      </c>
      <c r="AC412" s="134">
        <f t="shared" si="18"/>
        <v>23770</v>
      </c>
      <c r="AD412" s="135">
        <v>63.1</v>
      </c>
      <c r="AE412" s="136">
        <f t="shared" si="19"/>
        <v>1585072</v>
      </c>
      <c r="AF412" s="137">
        <v>1499887</v>
      </c>
      <c r="AG412" s="138">
        <v>63.1</v>
      </c>
      <c r="AH412" s="132" t="s">
        <v>5547</v>
      </c>
      <c r="AI412" s="136">
        <v>24920</v>
      </c>
      <c r="AJ412" s="132">
        <v>42312</v>
      </c>
      <c r="AK412" s="132" t="s">
        <v>5548</v>
      </c>
      <c r="AL412" s="132" t="s">
        <v>5549</v>
      </c>
      <c r="AM412" s="131" t="s">
        <v>49</v>
      </c>
      <c r="AN412" s="133" t="s">
        <v>4440</v>
      </c>
    </row>
    <row r="413" spans="1:40" s="129" customFormat="1" x14ac:dyDescent="0.25">
      <c r="A413" s="136">
        <v>412</v>
      </c>
      <c r="B413" s="130" t="s">
        <v>4428</v>
      </c>
      <c r="C413" s="130" t="s">
        <v>38</v>
      </c>
      <c r="D413" s="136">
        <v>9103650374</v>
      </c>
      <c r="E413" s="132">
        <v>42232</v>
      </c>
      <c r="F413" s="132" t="s">
        <v>5513</v>
      </c>
      <c r="G413" s="132" t="s">
        <v>512</v>
      </c>
      <c r="H413" s="130" t="s">
        <v>4564</v>
      </c>
      <c r="I413" s="132" t="s">
        <v>40</v>
      </c>
      <c r="J413" s="131" t="s">
        <v>4432</v>
      </c>
      <c r="K413" s="132" t="s">
        <v>4433</v>
      </c>
      <c r="L413" s="136">
        <v>2148844</v>
      </c>
      <c r="M413" s="132" t="s">
        <v>4954</v>
      </c>
      <c r="N413" s="136" t="s">
        <v>4537</v>
      </c>
      <c r="O413" s="130" t="s">
        <v>4436</v>
      </c>
      <c r="P413" s="130" t="s">
        <v>5550</v>
      </c>
      <c r="Q413" s="130">
        <v>38231900</v>
      </c>
      <c r="R413" s="136">
        <v>28.8</v>
      </c>
      <c r="S413" s="130" t="s">
        <v>70</v>
      </c>
      <c r="T413" s="136" t="s">
        <v>67</v>
      </c>
      <c r="U413" s="136" t="s">
        <v>53</v>
      </c>
      <c r="V413" s="136">
        <v>915</v>
      </c>
      <c r="W413" s="133">
        <f t="shared" si="20"/>
        <v>26352</v>
      </c>
      <c r="X413" s="136">
        <v>0</v>
      </c>
      <c r="Y413" s="136">
        <v>0</v>
      </c>
      <c r="Z413" s="136">
        <v>0</v>
      </c>
      <c r="AA413" s="136">
        <v>0</v>
      </c>
      <c r="AB413" s="131"/>
      <c r="AC413" s="134">
        <f t="shared" si="18"/>
        <v>26352</v>
      </c>
      <c r="AD413" s="135">
        <v>63.1</v>
      </c>
      <c r="AE413" s="136">
        <f t="shared" si="19"/>
        <v>1662811.2</v>
      </c>
      <c r="AF413" s="137">
        <v>1662811.2</v>
      </c>
      <c r="AG413" s="138">
        <v>63.1</v>
      </c>
      <c r="AH413" s="136" t="s">
        <v>5551</v>
      </c>
      <c r="AI413" s="136">
        <v>26300</v>
      </c>
      <c r="AJ413" s="132" t="s">
        <v>5211</v>
      </c>
      <c r="AK413" s="136" t="s">
        <v>5552</v>
      </c>
      <c r="AL413" s="132" t="s">
        <v>4960</v>
      </c>
      <c r="AM413" s="131" t="s">
        <v>49</v>
      </c>
      <c r="AN413" s="136" t="s">
        <v>4440</v>
      </c>
    </row>
    <row r="414" spans="1:40" s="129" customFormat="1" x14ac:dyDescent="0.25">
      <c r="A414" s="130">
        <v>413</v>
      </c>
      <c r="B414" s="130" t="s">
        <v>4428</v>
      </c>
      <c r="C414" s="130" t="s">
        <v>38</v>
      </c>
      <c r="D414" s="136">
        <v>9103650375</v>
      </c>
      <c r="E414" s="132">
        <v>42226</v>
      </c>
      <c r="F414" s="132" t="s">
        <v>5513</v>
      </c>
      <c r="G414" s="132" t="s">
        <v>520</v>
      </c>
      <c r="H414" s="130" t="s">
        <v>4564</v>
      </c>
      <c r="I414" s="132" t="s">
        <v>40</v>
      </c>
      <c r="J414" s="131" t="s">
        <v>4432</v>
      </c>
      <c r="K414" s="132" t="s">
        <v>4433</v>
      </c>
      <c r="L414" s="136">
        <v>2152243</v>
      </c>
      <c r="M414" s="132">
        <v>42216</v>
      </c>
      <c r="N414" s="136" t="s">
        <v>4604</v>
      </c>
      <c r="O414" s="130" t="s">
        <v>4436</v>
      </c>
      <c r="P414" s="130" t="s">
        <v>205</v>
      </c>
      <c r="Q414" s="130">
        <v>38237090</v>
      </c>
      <c r="R414" s="136">
        <v>5</v>
      </c>
      <c r="S414" s="130" t="s">
        <v>70</v>
      </c>
      <c r="T414" s="136" t="s">
        <v>67</v>
      </c>
      <c r="U414" s="136" t="s">
        <v>53</v>
      </c>
      <c r="V414" s="136">
        <v>1553</v>
      </c>
      <c r="W414" s="133">
        <f t="shared" si="20"/>
        <v>7765</v>
      </c>
      <c r="X414" s="136">
        <v>0</v>
      </c>
      <c r="Y414" s="136">
        <v>0</v>
      </c>
      <c r="Z414" s="136">
        <v>0</v>
      </c>
      <c r="AA414" s="136">
        <v>0</v>
      </c>
      <c r="AB414" s="131">
        <v>42217</v>
      </c>
      <c r="AC414" s="134">
        <f t="shared" si="18"/>
        <v>7765</v>
      </c>
      <c r="AD414" s="135">
        <v>63.1</v>
      </c>
      <c r="AE414" s="136">
        <f t="shared" si="19"/>
        <v>489971.5</v>
      </c>
      <c r="AF414" s="137">
        <v>489971.5</v>
      </c>
      <c r="AG414" s="138">
        <v>63.1</v>
      </c>
      <c r="AH414" s="136" t="s">
        <v>5553</v>
      </c>
      <c r="AI414" s="133">
        <v>7752</v>
      </c>
      <c r="AJ414" s="132">
        <v>42244</v>
      </c>
      <c r="AK414" s="136" t="s">
        <v>5554</v>
      </c>
      <c r="AL414" s="132">
        <v>42244</v>
      </c>
      <c r="AM414" s="131" t="s">
        <v>49</v>
      </c>
      <c r="AN414" s="133" t="s">
        <v>4440</v>
      </c>
    </row>
    <row r="415" spans="1:40" s="129" customFormat="1" x14ac:dyDescent="0.25">
      <c r="A415" s="136">
        <v>414</v>
      </c>
      <c r="B415" s="130" t="s">
        <v>4428</v>
      </c>
      <c r="C415" s="130" t="s">
        <v>38</v>
      </c>
      <c r="D415" s="136" t="s">
        <v>5555</v>
      </c>
      <c r="E415" s="132">
        <v>42229</v>
      </c>
      <c r="F415" s="132" t="s">
        <v>5513</v>
      </c>
      <c r="G415" s="132" t="s">
        <v>515</v>
      </c>
      <c r="H415" s="130" t="s">
        <v>4456</v>
      </c>
      <c r="I415" s="132" t="s">
        <v>40</v>
      </c>
      <c r="J415" s="131" t="s">
        <v>4432</v>
      </c>
      <c r="K415" s="132" t="s">
        <v>4433</v>
      </c>
      <c r="L415" s="136">
        <v>2155307</v>
      </c>
      <c r="M415" s="132">
        <v>42216</v>
      </c>
      <c r="N415" s="136" t="s">
        <v>4457</v>
      </c>
      <c r="O415" s="130" t="s">
        <v>4436</v>
      </c>
      <c r="P415" s="130" t="s">
        <v>241</v>
      </c>
      <c r="Q415" s="130">
        <v>38231190</v>
      </c>
      <c r="R415" s="136">
        <v>55.4</v>
      </c>
      <c r="S415" s="130" t="s">
        <v>70</v>
      </c>
      <c r="T415" s="136" t="s">
        <v>44</v>
      </c>
      <c r="U415" s="136" t="s">
        <v>53</v>
      </c>
      <c r="V415" s="136">
        <v>915</v>
      </c>
      <c r="W415" s="133">
        <f t="shared" si="20"/>
        <v>50691</v>
      </c>
      <c r="X415" s="136">
        <v>16.73</v>
      </c>
      <c r="Y415" s="136">
        <v>1500</v>
      </c>
      <c r="Z415" s="136">
        <v>0</v>
      </c>
      <c r="AA415" s="136">
        <v>0</v>
      </c>
      <c r="AB415" s="131">
        <v>42219</v>
      </c>
      <c r="AC415" s="134">
        <f t="shared" si="18"/>
        <v>49174.270047543578</v>
      </c>
      <c r="AD415" s="135">
        <v>63.1</v>
      </c>
      <c r="AE415" s="136">
        <f t="shared" si="19"/>
        <v>3198602.1</v>
      </c>
      <c r="AF415" s="137">
        <v>3102896.44</v>
      </c>
      <c r="AG415" s="138">
        <v>63.1</v>
      </c>
      <c r="AH415" s="136" t="s">
        <v>5556</v>
      </c>
      <c r="AI415" s="136">
        <v>50691</v>
      </c>
      <c r="AJ415" s="132">
        <v>42430</v>
      </c>
      <c r="AK415" s="136" t="s">
        <v>5557</v>
      </c>
      <c r="AL415" s="132">
        <v>42431</v>
      </c>
      <c r="AM415" s="131" t="s">
        <v>49</v>
      </c>
      <c r="AN415" s="136" t="s">
        <v>4440</v>
      </c>
    </row>
    <row r="416" spans="1:40" s="129" customFormat="1" x14ac:dyDescent="0.25">
      <c r="A416" s="130">
        <v>415</v>
      </c>
      <c r="B416" s="130" t="s">
        <v>4428</v>
      </c>
      <c r="C416" s="130" t="s">
        <v>38</v>
      </c>
      <c r="D416" s="136" t="s">
        <v>5555</v>
      </c>
      <c r="E416" s="132">
        <v>42229</v>
      </c>
      <c r="F416" s="132" t="s">
        <v>5513</v>
      </c>
      <c r="G416" s="132" t="s">
        <v>515</v>
      </c>
      <c r="H416" s="130" t="s">
        <v>4456</v>
      </c>
      <c r="I416" s="132" t="s">
        <v>40</v>
      </c>
      <c r="J416" s="131" t="s">
        <v>4432</v>
      </c>
      <c r="K416" s="132" t="s">
        <v>4433</v>
      </c>
      <c r="L416" s="136">
        <v>2166205</v>
      </c>
      <c r="M416" s="132">
        <v>42217</v>
      </c>
      <c r="N416" s="136" t="s">
        <v>4457</v>
      </c>
      <c r="O416" s="130" t="s">
        <v>4436</v>
      </c>
      <c r="P416" s="130" t="s">
        <v>241</v>
      </c>
      <c r="Q416" s="130">
        <v>38231190</v>
      </c>
      <c r="R416" s="136">
        <v>34.646000000000001</v>
      </c>
      <c r="S416" s="130" t="s">
        <v>70</v>
      </c>
      <c r="T416" s="136" t="s">
        <v>44</v>
      </c>
      <c r="U416" s="136" t="s">
        <v>53</v>
      </c>
      <c r="V416" s="136">
        <v>915</v>
      </c>
      <c r="W416" s="133">
        <f t="shared" si="20"/>
        <v>31701.09</v>
      </c>
      <c r="X416" s="136">
        <v>10.46</v>
      </c>
      <c r="Y416" s="136">
        <v>1000</v>
      </c>
      <c r="Z416" s="136">
        <v>0</v>
      </c>
      <c r="AA416" s="136">
        <v>0</v>
      </c>
      <c r="AB416" s="131">
        <v>42219</v>
      </c>
      <c r="AC416" s="134">
        <f t="shared" si="18"/>
        <v>30685.139936608557</v>
      </c>
      <c r="AD416" s="135">
        <v>63.1</v>
      </c>
      <c r="AE416" s="136">
        <f t="shared" si="19"/>
        <v>2000338.7790000001</v>
      </c>
      <c r="AF416" s="137">
        <v>1936232.33</v>
      </c>
      <c r="AG416" s="138">
        <v>63.1</v>
      </c>
      <c r="AH416" s="136" t="s">
        <v>5556</v>
      </c>
      <c r="AI416" s="136">
        <v>26889.15</v>
      </c>
      <c r="AJ416" s="132">
        <v>42430</v>
      </c>
      <c r="AK416" s="136" t="s">
        <v>5558</v>
      </c>
      <c r="AL416" s="132">
        <v>42431</v>
      </c>
      <c r="AM416" s="131" t="s">
        <v>49</v>
      </c>
      <c r="AN416" s="136" t="s">
        <v>4440</v>
      </c>
    </row>
    <row r="417" spans="1:40" s="129" customFormat="1" x14ac:dyDescent="0.25">
      <c r="A417" s="136">
        <v>416</v>
      </c>
      <c r="B417" s="130" t="s">
        <v>4428</v>
      </c>
      <c r="C417" s="130" t="s">
        <v>38</v>
      </c>
      <c r="D417" s="136">
        <v>9103650382</v>
      </c>
      <c r="E417" s="132">
        <v>42223</v>
      </c>
      <c r="F417" s="132" t="s">
        <v>5513</v>
      </c>
      <c r="G417" s="132" t="s">
        <v>514</v>
      </c>
      <c r="H417" s="130" t="s">
        <v>4564</v>
      </c>
      <c r="I417" s="132" t="s">
        <v>40</v>
      </c>
      <c r="J417" s="131" t="s">
        <v>4432</v>
      </c>
      <c r="K417" s="132" t="s">
        <v>4433</v>
      </c>
      <c r="L417" s="136">
        <v>2174850</v>
      </c>
      <c r="M417" s="132">
        <v>42217</v>
      </c>
      <c r="N417" s="136" t="s">
        <v>5337</v>
      </c>
      <c r="O417" s="130" t="s">
        <v>4436</v>
      </c>
      <c r="P417" s="130" t="s">
        <v>143</v>
      </c>
      <c r="Q417" s="130">
        <v>38237090</v>
      </c>
      <c r="R417" s="136">
        <v>60</v>
      </c>
      <c r="S417" s="130" t="s">
        <v>70</v>
      </c>
      <c r="T417" s="136" t="s">
        <v>52</v>
      </c>
      <c r="U417" s="136" t="s">
        <v>53</v>
      </c>
      <c r="V417" s="136">
        <v>1325</v>
      </c>
      <c r="W417" s="133">
        <f t="shared" si="20"/>
        <v>79500</v>
      </c>
      <c r="X417" s="136">
        <v>0</v>
      </c>
      <c r="Y417" s="136">
        <v>3000</v>
      </c>
      <c r="Z417" s="136">
        <v>0</v>
      </c>
      <c r="AA417" s="136">
        <v>900</v>
      </c>
      <c r="AB417" s="131">
        <v>42220</v>
      </c>
      <c r="AC417" s="134">
        <f t="shared" si="18"/>
        <v>76500</v>
      </c>
      <c r="AD417" s="135">
        <v>63.1</v>
      </c>
      <c r="AE417" s="136">
        <f t="shared" si="19"/>
        <v>5016450</v>
      </c>
      <c r="AF417" s="137">
        <v>4827150</v>
      </c>
      <c r="AG417" s="138">
        <v>63.1</v>
      </c>
      <c r="AH417" s="136" t="s">
        <v>5559</v>
      </c>
      <c r="AI417" s="136">
        <v>79500</v>
      </c>
      <c r="AJ417" s="132">
        <v>42249</v>
      </c>
      <c r="AK417" s="136" t="s">
        <v>5560</v>
      </c>
      <c r="AL417" s="132">
        <v>42331</v>
      </c>
      <c r="AM417" s="131" t="s">
        <v>49</v>
      </c>
      <c r="AN417" s="133" t="s">
        <v>4440</v>
      </c>
    </row>
    <row r="418" spans="1:40" s="129" customFormat="1" x14ac:dyDescent="0.25">
      <c r="A418" s="130">
        <v>417</v>
      </c>
      <c r="B418" s="130" t="s">
        <v>4428</v>
      </c>
      <c r="C418" s="130" t="s">
        <v>38</v>
      </c>
      <c r="D418" s="136">
        <v>9103650383</v>
      </c>
      <c r="E418" s="132">
        <v>42226</v>
      </c>
      <c r="F418" s="132" t="s">
        <v>5513</v>
      </c>
      <c r="G418" s="132" t="s">
        <v>526</v>
      </c>
      <c r="H418" s="130" t="s">
        <v>4491</v>
      </c>
      <c r="I418" s="132" t="s">
        <v>40</v>
      </c>
      <c r="J418" s="131" t="s">
        <v>4432</v>
      </c>
      <c r="K418" s="132" t="s">
        <v>4433</v>
      </c>
      <c r="L418" s="136">
        <v>2223816</v>
      </c>
      <c r="M418" s="132">
        <v>42220</v>
      </c>
      <c r="N418" s="136" t="s">
        <v>4448</v>
      </c>
      <c r="O418" s="130" t="s">
        <v>4436</v>
      </c>
      <c r="P418" s="130" t="s">
        <v>47</v>
      </c>
      <c r="Q418" s="130">
        <v>38231900</v>
      </c>
      <c r="R418" s="136">
        <v>39.54</v>
      </c>
      <c r="S418" s="130" t="s">
        <v>70</v>
      </c>
      <c r="T418" s="136" t="s">
        <v>44</v>
      </c>
      <c r="U418" s="136" t="s">
        <v>53</v>
      </c>
      <c r="V418" s="136">
        <v>3850</v>
      </c>
      <c r="W418" s="133">
        <f t="shared" si="20"/>
        <v>152229</v>
      </c>
      <c r="X418" s="136">
        <v>50.24</v>
      </c>
      <c r="Y418" s="136">
        <v>1400</v>
      </c>
      <c r="Z418" s="136">
        <v>0</v>
      </c>
      <c r="AA418" s="136">
        <v>0</v>
      </c>
      <c r="AB418" s="131">
        <v>42221</v>
      </c>
      <c r="AC418" s="134">
        <f t="shared" si="18"/>
        <v>150778.76006339144</v>
      </c>
      <c r="AD418" s="135">
        <v>63.1</v>
      </c>
      <c r="AE418" s="136">
        <f t="shared" si="19"/>
        <v>9605649.9000000004</v>
      </c>
      <c r="AF418" s="137">
        <v>9514139.7599999998</v>
      </c>
      <c r="AG418" s="138">
        <v>63.1</v>
      </c>
      <c r="AH418" s="136" t="s">
        <v>5561</v>
      </c>
      <c r="AI418" s="136">
        <v>152229</v>
      </c>
      <c r="AJ418" s="132">
        <v>42268</v>
      </c>
      <c r="AK418" s="136" t="s">
        <v>5562</v>
      </c>
      <c r="AL418" s="132">
        <v>42269</v>
      </c>
      <c r="AM418" s="131" t="s">
        <v>49</v>
      </c>
      <c r="AN418" s="136" t="s">
        <v>4440</v>
      </c>
    </row>
    <row r="419" spans="1:40" s="129" customFormat="1" x14ac:dyDescent="0.25">
      <c r="A419" s="136">
        <v>418</v>
      </c>
      <c r="B419" s="130" t="s">
        <v>4428</v>
      </c>
      <c r="C419" s="130" t="s">
        <v>38</v>
      </c>
      <c r="D419" s="136">
        <v>9103650384</v>
      </c>
      <c r="E419" s="132">
        <v>42226</v>
      </c>
      <c r="F419" s="132" t="s">
        <v>5513</v>
      </c>
      <c r="G419" s="132" t="s">
        <v>527</v>
      </c>
      <c r="H419" s="130" t="s">
        <v>4446</v>
      </c>
      <c r="I419" s="132" t="s">
        <v>40</v>
      </c>
      <c r="J419" s="131" t="s">
        <v>4432</v>
      </c>
      <c r="K419" s="132" t="s">
        <v>4433</v>
      </c>
      <c r="L419" s="136">
        <v>2223798</v>
      </c>
      <c r="M419" s="132">
        <v>42220</v>
      </c>
      <c r="N419" s="136" t="s">
        <v>4448</v>
      </c>
      <c r="O419" s="130" t="s">
        <v>4436</v>
      </c>
      <c r="P419" s="130" t="s">
        <v>47</v>
      </c>
      <c r="Q419" s="130">
        <v>38231900</v>
      </c>
      <c r="R419" s="136">
        <v>19.899999999999999</v>
      </c>
      <c r="S419" s="130" t="s">
        <v>70</v>
      </c>
      <c r="T419" s="136" t="s">
        <v>44</v>
      </c>
      <c r="U419" s="136" t="s">
        <v>53</v>
      </c>
      <c r="V419" s="136">
        <v>3850</v>
      </c>
      <c r="W419" s="133">
        <f t="shared" si="20"/>
        <v>76615</v>
      </c>
      <c r="X419" s="136">
        <v>25.28</v>
      </c>
      <c r="Y419" s="136">
        <v>650</v>
      </c>
      <c r="Z419" s="136">
        <v>0</v>
      </c>
      <c r="AA419" s="136">
        <v>0</v>
      </c>
      <c r="AB419" s="131">
        <v>42221</v>
      </c>
      <c r="AC419" s="134">
        <f t="shared" si="18"/>
        <v>75939.719968304285</v>
      </c>
      <c r="AD419" s="135">
        <v>63.1</v>
      </c>
      <c r="AE419" s="136">
        <f t="shared" si="19"/>
        <v>4834406.5</v>
      </c>
      <c r="AF419" s="137">
        <v>4791796.33</v>
      </c>
      <c r="AG419" s="138">
        <v>63.1</v>
      </c>
      <c r="AH419" s="136" t="s">
        <v>5563</v>
      </c>
      <c r="AI419" s="136">
        <v>76595</v>
      </c>
      <c r="AJ419" s="132">
        <v>42268</v>
      </c>
      <c r="AK419" s="136" t="s">
        <v>5564</v>
      </c>
      <c r="AL419" s="132">
        <v>42269</v>
      </c>
      <c r="AM419" s="131" t="s">
        <v>49</v>
      </c>
      <c r="AN419" s="136" t="s">
        <v>4440</v>
      </c>
    </row>
    <row r="420" spans="1:40" s="129" customFormat="1" x14ac:dyDescent="0.25">
      <c r="A420" s="130">
        <v>419</v>
      </c>
      <c r="B420" s="130" t="s">
        <v>4428</v>
      </c>
      <c r="C420" s="130" t="s">
        <v>38</v>
      </c>
      <c r="D420" s="136" t="s">
        <v>5565</v>
      </c>
      <c r="E420" s="132">
        <v>42223</v>
      </c>
      <c r="F420" s="132" t="s">
        <v>5513</v>
      </c>
      <c r="G420" s="132" t="s">
        <v>580</v>
      </c>
      <c r="H420" s="130" t="s">
        <v>4456</v>
      </c>
      <c r="I420" s="132" t="s">
        <v>40</v>
      </c>
      <c r="J420" s="131" t="s">
        <v>4432</v>
      </c>
      <c r="K420" s="132" t="s">
        <v>4433</v>
      </c>
      <c r="L420" s="136">
        <v>2199208</v>
      </c>
      <c r="M420" s="132">
        <v>42219</v>
      </c>
      <c r="N420" s="136" t="s">
        <v>5009</v>
      </c>
      <c r="O420" s="130" t="s">
        <v>4436</v>
      </c>
      <c r="P420" s="130" t="s">
        <v>90</v>
      </c>
      <c r="Q420" s="130">
        <v>29051700</v>
      </c>
      <c r="R420" s="136">
        <v>3.2250000000000001</v>
      </c>
      <c r="S420" s="130" t="s">
        <v>70</v>
      </c>
      <c r="T420" s="136" t="s">
        <v>44</v>
      </c>
      <c r="U420" s="136" t="s">
        <v>53</v>
      </c>
      <c r="V420" s="136">
        <v>0</v>
      </c>
      <c r="W420" s="133">
        <f>(1600*0.8+1700*1.5+2000*0.925)</f>
        <v>5680</v>
      </c>
      <c r="X420" s="136">
        <v>1.87</v>
      </c>
      <c r="Y420" s="136">
        <v>600</v>
      </c>
      <c r="Z420" s="136">
        <v>0</v>
      </c>
      <c r="AA420" s="136">
        <v>0</v>
      </c>
      <c r="AB420" s="131">
        <v>42220</v>
      </c>
      <c r="AC420" s="134">
        <f t="shared" si="18"/>
        <v>5078.1299524564183</v>
      </c>
      <c r="AD420" s="135">
        <v>63.1</v>
      </c>
      <c r="AE420" s="136">
        <f t="shared" si="19"/>
        <v>358408</v>
      </c>
      <c r="AF420" s="137">
        <v>320430</v>
      </c>
      <c r="AG420" s="138">
        <v>63.1</v>
      </c>
      <c r="AH420" s="136" t="s">
        <v>5566</v>
      </c>
      <c r="AI420" s="136">
        <v>5637</v>
      </c>
      <c r="AJ420" s="132">
        <v>42402</v>
      </c>
      <c r="AK420" s="136" t="s">
        <v>5567</v>
      </c>
      <c r="AL420" s="132">
        <v>42403</v>
      </c>
      <c r="AM420" s="131" t="s">
        <v>49</v>
      </c>
      <c r="AN420" s="136" t="s">
        <v>4440</v>
      </c>
    </row>
    <row r="421" spans="1:40" s="129" customFormat="1" x14ac:dyDescent="0.25">
      <c r="A421" s="136">
        <v>420</v>
      </c>
      <c r="B421" s="130" t="s">
        <v>4428</v>
      </c>
      <c r="C421" s="130" t="s">
        <v>38</v>
      </c>
      <c r="D421" s="136">
        <v>9103650388</v>
      </c>
      <c r="E421" s="132">
        <v>42225</v>
      </c>
      <c r="F421" s="132" t="s">
        <v>5513</v>
      </c>
      <c r="G421" s="132" t="s">
        <v>521</v>
      </c>
      <c r="H421" s="130" t="s">
        <v>4491</v>
      </c>
      <c r="I421" s="132" t="s">
        <v>40</v>
      </c>
      <c r="J421" s="131" t="s">
        <v>4432</v>
      </c>
      <c r="K421" s="132" t="s">
        <v>4433</v>
      </c>
      <c r="L421" s="136">
        <v>2214624</v>
      </c>
      <c r="M421" s="132">
        <v>42220</v>
      </c>
      <c r="N421" s="136" t="s">
        <v>3741</v>
      </c>
      <c r="O421" s="130" t="s">
        <v>4436</v>
      </c>
      <c r="P421" s="130" t="s">
        <v>4492</v>
      </c>
      <c r="Q421" s="130">
        <v>29051700</v>
      </c>
      <c r="R421" s="136">
        <v>36.28</v>
      </c>
      <c r="S421" s="130" t="s">
        <v>70</v>
      </c>
      <c r="T421" s="136" t="s">
        <v>44</v>
      </c>
      <c r="U421" s="136" t="s">
        <v>53</v>
      </c>
      <c r="V421" s="136">
        <v>1563</v>
      </c>
      <c r="W421" s="133">
        <f t="shared" si="20"/>
        <v>56705.64</v>
      </c>
      <c r="X421" s="136">
        <v>18.71</v>
      </c>
      <c r="Y421" s="136">
        <v>3220</v>
      </c>
      <c r="Z421" s="136">
        <v>0</v>
      </c>
      <c r="AA421" s="136">
        <v>0</v>
      </c>
      <c r="AB421" s="131">
        <v>42221</v>
      </c>
      <c r="AC421" s="134">
        <f t="shared" si="18"/>
        <v>53466.929952456412</v>
      </c>
      <c r="AD421" s="135">
        <v>63.1</v>
      </c>
      <c r="AE421" s="136">
        <f t="shared" si="19"/>
        <v>3578125.8840000001</v>
      </c>
      <c r="AF421" s="137">
        <v>3373763.28</v>
      </c>
      <c r="AG421" s="138">
        <v>63.1</v>
      </c>
      <c r="AH421" s="136" t="s">
        <v>5568</v>
      </c>
      <c r="AI421" s="136">
        <v>56705.64</v>
      </c>
      <c r="AJ421" s="132">
        <v>42262</v>
      </c>
      <c r="AK421" s="136" t="s">
        <v>5569</v>
      </c>
      <c r="AL421" s="132">
        <v>42290</v>
      </c>
      <c r="AM421" s="131" t="s">
        <v>49</v>
      </c>
      <c r="AN421" s="136" t="s">
        <v>4440</v>
      </c>
    </row>
    <row r="422" spans="1:40" s="129" customFormat="1" x14ac:dyDescent="0.25">
      <c r="A422" s="130">
        <v>421</v>
      </c>
      <c r="B422" s="130" t="s">
        <v>4428</v>
      </c>
      <c r="C422" s="130" t="s">
        <v>38</v>
      </c>
      <c r="D422" s="136">
        <v>9103650389</v>
      </c>
      <c r="E422" s="132">
        <v>42225</v>
      </c>
      <c r="F422" s="132" t="s">
        <v>5513</v>
      </c>
      <c r="G422" s="132" t="s">
        <v>5570</v>
      </c>
      <c r="H422" s="130" t="s">
        <v>4456</v>
      </c>
      <c r="I422" s="132" t="s">
        <v>40</v>
      </c>
      <c r="J422" s="131" t="s">
        <v>4432</v>
      </c>
      <c r="K422" s="132" t="s">
        <v>4433</v>
      </c>
      <c r="L422" s="136">
        <v>2240642</v>
      </c>
      <c r="M422" s="132" t="s">
        <v>5059</v>
      </c>
      <c r="N422" s="136" t="s">
        <v>5106</v>
      </c>
      <c r="O422" s="130" t="s">
        <v>4436</v>
      </c>
      <c r="P422" s="130" t="s">
        <v>127</v>
      </c>
      <c r="Q422" s="130">
        <v>38237090</v>
      </c>
      <c r="R422" s="136">
        <v>14</v>
      </c>
      <c r="S422" s="130" t="s">
        <v>70</v>
      </c>
      <c r="T422" s="136" t="s">
        <v>44</v>
      </c>
      <c r="U422" s="136" t="s">
        <v>53</v>
      </c>
      <c r="V422" s="136">
        <v>3517</v>
      </c>
      <c r="W422" s="133">
        <f t="shared" si="20"/>
        <v>49238</v>
      </c>
      <c r="X422" s="136">
        <v>16.25</v>
      </c>
      <c r="Y422" s="136">
        <v>75</v>
      </c>
      <c r="Z422" s="136">
        <v>0</v>
      </c>
      <c r="AA422" s="136">
        <v>0</v>
      </c>
      <c r="AB422" s="131">
        <v>42222</v>
      </c>
      <c r="AC422" s="134">
        <f t="shared" si="18"/>
        <v>49688.906497622818</v>
      </c>
      <c r="AD422" s="135">
        <v>63.1</v>
      </c>
      <c r="AE422" s="136">
        <f t="shared" si="19"/>
        <v>3106917.8000000003</v>
      </c>
      <c r="AF422" s="137">
        <v>3135370</v>
      </c>
      <c r="AG422" s="138">
        <v>63.1</v>
      </c>
      <c r="AH422" s="136" t="s">
        <v>5571</v>
      </c>
      <c r="AI422" s="133">
        <v>49191</v>
      </c>
      <c r="AJ422" s="132" t="s">
        <v>5572</v>
      </c>
      <c r="AK422" s="136" t="s">
        <v>5573</v>
      </c>
      <c r="AL422" s="132" t="s">
        <v>5574</v>
      </c>
      <c r="AM422" s="131" t="s">
        <v>49</v>
      </c>
      <c r="AN422" s="133" t="s">
        <v>4440</v>
      </c>
    </row>
    <row r="423" spans="1:40" s="129" customFormat="1" x14ac:dyDescent="0.25">
      <c r="A423" s="136">
        <v>422</v>
      </c>
      <c r="B423" s="130" t="s">
        <v>4428</v>
      </c>
      <c r="C423" s="130" t="s">
        <v>38</v>
      </c>
      <c r="D423" s="136">
        <v>9103650390</v>
      </c>
      <c r="E423" s="132">
        <v>42226</v>
      </c>
      <c r="F423" s="132" t="s">
        <v>5513</v>
      </c>
      <c r="G423" s="132" t="s">
        <v>525</v>
      </c>
      <c r="H423" s="130" t="s">
        <v>4491</v>
      </c>
      <c r="I423" s="132" t="s">
        <v>40</v>
      </c>
      <c r="J423" s="131" t="s">
        <v>4432</v>
      </c>
      <c r="K423" s="132" t="s">
        <v>4433</v>
      </c>
      <c r="L423" s="136">
        <v>2237694</v>
      </c>
      <c r="M423" s="132">
        <v>42221</v>
      </c>
      <c r="N423" s="136" t="s">
        <v>3741</v>
      </c>
      <c r="O423" s="130" t="s">
        <v>4436</v>
      </c>
      <c r="P423" s="130" t="s">
        <v>4492</v>
      </c>
      <c r="Q423" s="130">
        <v>38237090</v>
      </c>
      <c r="R423" s="136">
        <v>18.32</v>
      </c>
      <c r="S423" s="130" t="s">
        <v>70</v>
      </c>
      <c r="T423" s="136" t="s">
        <v>44</v>
      </c>
      <c r="U423" s="136" t="s">
        <v>53</v>
      </c>
      <c r="V423" s="136">
        <v>1564</v>
      </c>
      <c r="W423" s="133">
        <f t="shared" si="20"/>
        <v>28652.48</v>
      </c>
      <c r="X423" s="136">
        <v>9.4600000000000009</v>
      </c>
      <c r="Y423" s="136">
        <v>4350</v>
      </c>
      <c r="Z423" s="136">
        <v>0</v>
      </c>
      <c r="AA423" s="136">
        <v>0</v>
      </c>
      <c r="AB423" s="131">
        <v>42222</v>
      </c>
      <c r="AC423" s="134">
        <f t="shared" si="18"/>
        <v>24293.019968304281</v>
      </c>
      <c r="AD423" s="135">
        <v>63.1</v>
      </c>
      <c r="AE423" s="136">
        <f t="shared" si="19"/>
        <v>1807971.4880000001</v>
      </c>
      <c r="AF423" s="137">
        <v>1532889.56</v>
      </c>
      <c r="AG423" s="138">
        <v>63.1</v>
      </c>
      <c r="AH423" s="136" t="s">
        <v>5575</v>
      </c>
      <c r="AI423" s="136">
        <v>28617.48</v>
      </c>
      <c r="AJ423" s="132">
        <v>42262</v>
      </c>
      <c r="AK423" s="136" t="s">
        <v>5576</v>
      </c>
      <c r="AL423" s="132">
        <v>42290</v>
      </c>
      <c r="AM423" s="131" t="s">
        <v>49</v>
      </c>
      <c r="AN423" s="136" t="s">
        <v>4440</v>
      </c>
    </row>
    <row r="424" spans="1:40" s="129" customFormat="1" x14ac:dyDescent="0.25">
      <c r="A424" s="130">
        <v>423</v>
      </c>
      <c r="B424" s="130" t="s">
        <v>4428</v>
      </c>
      <c r="C424" s="130" t="s">
        <v>38</v>
      </c>
      <c r="D424" s="136">
        <v>9103650391</v>
      </c>
      <c r="E424" s="132">
        <v>42226</v>
      </c>
      <c r="F424" s="132" t="s">
        <v>5513</v>
      </c>
      <c r="G424" s="132" t="s">
        <v>536</v>
      </c>
      <c r="H424" s="130" t="s">
        <v>4491</v>
      </c>
      <c r="I424" s="132" t="s">
        <v>40</v>
      </c>
      <c r="J424" s="131" t="s">
        <v>4432</v>
      </c>
      <c r="K424" s="132" t="s">
        <v>4433</v>
      </c>
      <c r="L424" s="136">
        <v>2241967</v>
      </c>
      <c r="M424" s="132">
        <v>42221</v>
      </c>
      <c r="N424" s="136" t="s">
        <v>4650</v>
      </c>
      <c r="O424" s="130" t="s">
        <v>4436</v>
      </c>
      <c r="P424" s="130" t="s">
        <v>308</v>
      </c>
      <c r="Q424" s="130">
        <v>38237090</v>
      </c>
      <c r="R424" s="136">
        <v>8.4</v>
      </c>
      <c r="S424" s="130" t="s">
        <v>70</v>
      </c>
      <c r="T424" s="136" t="s">
        <v>52</v>
      </c>
      <c r="U424" s="136" t="s">
        <v>53</v>
      </c>
      <c r="V424" s="136">
        <v>3669</v>
      </c>
      <c r="W424" s="133">
        <f t="shared" si="20"/>
        <v>30819.600000000002</v>
      </c>
      <c r="X424" s="136">
        <v>0</v>
      </c>
      <c r="Y424" s="136">
        <v>550</v>
      </c>
      <c r="Z424" s="136">
        <v>0</v>
      </c>
      <c r="AA424" s="136">
        <v>0</v>
      </c>
      <c r="AB424" s="131">
        <v>42222</v>
      </c>
      <c r="AC424" s="134">
        <f t="shared" si="18"/>
        <v>30269.599999999999</v>
      </c>
      <c r="AD424" s="135">
        <v>63.1</v>
      </c>
      <c r="AE424" s="136">
        <f t="shared" si="19"/>
        <v>1944716.7600000002</v>
      </c>
      <c r="AF424" s="137">
        <v>1910011.76</v>
      </c>
      <c r="AG424" s="138">
        <v>63.1</v>
      </c>
      <c r="AH424" s="136" t="s">
        <v>5577</v>
      </c>
      <c r="AI424" s="136">
        <v>30799.599999999999</v>
      </c>
      <c r="AJ424" s="132">
        <v>42335</v>
      </c>
      <c r="AK424" s="136" t="s">
        <v>5578</v>
      </c>
      <c r="AL424" s="132">
        <v>42338</v>
      </c>
      <c r="AM424" s="131" t="s">
        <v>49</v>
      </c>
      <c r="AN424" s="133" t="s">
        <v>4440</v>
      </c>
    </row>
    <row r="425" spans="1:40" s="129" customFormat="1" x14ac:dyDescent="0.25">
      <c r="A425" s="136">
        <v>424</v>
      </c>
      <c r="B425" s="130" t="s">
        <v>4428</v>
      </c>
      <c r="C425" s="130" t="s">
        <v>38</v>
      </c>
      <c r="D425" s="136">
        <v>9103650392</v>
      </c>
      <c r="E425" s="132">
        <v>42222</v>
      </c>
      <c r="F425" s="132" t="s">
        <v>5513</v>
      </c>
      <c r="G425" s="132" t="s">
        <v>518</v>
      </c>
      <c r="H425" s="130" t="s">
        <v>5579</v>
      </c>
      <c r="I425" s="132" t="s">
        <v>40</v>
      </c>
      <c r="J425" s="131" t="s">
        <v>4432</v>
      </c>
      <c r="K425" s="132" t="s">
        <v>4433</v>
      </c>
      <c r="L425" s="136">
        <v>2192298</v>
      </c>
      <c r="M425" s="132">
        <v>42219</v>
      </c>
      <c r="N425" s="136" t="s">
        <v>5580</v>
      </c>
      <c r="O425" s="130" t="s">
        <v>4436</v>
      </c>
      <c r="P425" s="130" t="s">
        <v>4566</v>
      </c>
      <c r="Q425" s="130" t="s">
        <v>5581</v>
      </c>
      <c r="R425" s="136">
        <v>0.60000000000000009</v>
      </c>
      <c r="S425" s="130" t="s">
        <v>70</v>
      </c>
      <c r="T425" s="136" t="s">
        <v>44</v>
      </c>
      <c r="U425" s="136" t="s">
        <v>53</v>
      </c>
      <c r="V425" s="136">
        <v>0</v>
      </c>
      <c r="W425" s="133">
        <f>(2672*0.4+1325*0.2)</f>
        <v>1333.8</v>
      </c>
      <c r="X425" s="136">
        <v>0.44</v>
      </c>
      <c r="Y425" s="136">
        <v>50</v>
      </c>
      <c r="Z425" s="136">
        <v>0</v>
      </c>
      <c r="AA425" s="136">
        <v>0</v>
      </c>
      <c r="AB425" s="131">
        <v>42220</v>
      </c>
      <c r="AC425" s="134">
        <f t="shared" si="18"/>
        <v>1283.3600633914423</v>
      </c>
      <c r="AD425" s="135">
        <v>63.1</v>
      </c>
      <c r="AE425" s="136">
        <f t="shared" si="19"/>
        <v>84162.78</v>
      </c>
      <c r="AF425" s="137">
        <v>80980.02</v>
      </c>
      <c r="AG425" s="138">
        <v>63.1</v>
      </c>
      <c r="AH425" s="136" t="s">
        <v>5582</v>
      </c>
      <c r="AI425" s="136">
        <v>1333.8</v>
      </c>
      <c r="AJ425" s="132" t="s">
        <v>5405</v>
      </c>
      <c r="AK425" s="136" t="s">
        <v>5583</v>
      </c>
      <c r="AL425" s="132" t="s">
        <v>5407</v>
      </c>
      <c r="AM425" s="131" t="s">
        <v>49</v>
      </c>
      <c r="AN425" s="136" t="s">
        <v>4440</v>
      </c>
    </row>
    <row r="426" spans="1:40" s="129" customFormat="1" x14ac:dyDescent="0.25">
      <c r="A426" s="130">
        <v>425</v>
      </c>
      <c r="B426" s="130" t="s">
        <v>4428</v>
      </c>
      <c r="C426" s="130" t="s">
        <v>38</v>
      </c>
      <c r="D426" s="136">
        <v>9103650393</v>
      </c>
      <c r="E426" s="132">
        <v>42222</v>
      </c>
      <c r="F426" s="132" t="s">
        <v>5513</v>
      </c>
      <c r="G426" s="132" t="s">
        <v>543</v>
      </c>
      <c r="H426" s="130" t="s">
        <v>4463</v>
      </c>
      <c r="I426" s="132" t="s">
        <v>40</v>
      </c>
      <c r="J426" s="131" t="s">
        <v>4432</v>
      </c>
      <c r="K426" s="132" t="s">
        <v>4433</v>
      </c>
      <c r="L426" s="136">
        <v>2190410</v>
      </c>
      <c r="M426" s="132">
        <v>42219</v>
      </c>
      <c r="N426" s="136" t="s">
        <v>4662</v>
      </c>
      <c r="O426" s="130" t="s">
        <v>4436</v>
      </c>
      <c r="P426" s="130" t="s">
        <v>4566</v>
      </c>
      <c r="Q426" s="130">
        <v>38231190</v>
      </c>
      <c r="R426" s="136">
        <v>1</v>
      </c>
      <c r="S426" s="130" t="s">
        <v>70</v>
      </c>
      <c r="T426" s="136" t="s">
        <v>44</v>
      </c>
      <c r="U426" s="136" t="s">
        <v>4528</v>
      </c>
      <c r="V426" s="136">
        <v>1550</v>
      </c>
      <c r="W426" s="133">
        <f t="shared" si="20"/>
        <v>1550</v>
      </c>
      <c r="X426" s="136">
        <v>0.51</v>
      </c>
      <c r="Y426" s="136">
        <v>45.99</v>
      </c>
      <c r="Z426" s="136">
        <v>0</v>
      </c>
      <c r="AA426" s="136">
        <v>0</v>
      </c>
      <c r="AB426" s="131">
        <v>42220</v>
      </c>
      <c r="AC426" s="134">
        <f t="shared" si="18"/>
        <v>1503.5000000000002</v>
      </c>
      <c r="AD426" s="135">
        <v>68.599999999999994</v>
      </c>
      <c r="AE426" s="136">
        <f t="shared" si="19"/>
        <v>106329.99999999999</v>
      </c>
      <c r="AF426" s="130">
        <v>103140.1</v>
      </c>
      <c r="AG426" s="138">
        <v>68.599999999999994</v>
      </c>
      <c r="AH426" s="136" t="s">
        <v>5584</v>
      </c>
      <c r="AI426" s="133">
        <v>1534</v>
      </c>
      <c r="AJ426" s="132">
        <v>42201</v>
      </c>
      <c r="AK426" s="136" t="s">
        <v>5585</v>
      </c>
      <c r="AL426" s="132">
        <v>42251</v>
      </c>
      <c r="AM426" s="131" t="s">
        <v>49</v>
      </c>
      <c r="AN426" s="133" t="s">
        <v>4440</v>
      </c>
    </row>
    <row r="427" spans="1:40" s="129" customFormat="1" x14ac:dyDescent="0.25">
      <c r="A427" s="136">
        <v>426</v>
      </c>
      <c r="B427" s="130" t="s">
        <v>4428</v>
      </c>
      <c r="C427" s="130" t="s">
        <v>38</v>
      </c>
      <c r="D427" s="136">
        <v>9103650394</v>
      </c>
      <c r="E427" s="132">
        <v>42232</v>
      </c>
      <c r="F427" s="132" t="s">
        <v>5513</v>
      </c>
      <c r="G427" s="132" t="s">
        <v>528</v>
      </c>
      <c r="H427" s="130" t="s">
        <v>4446</v>
      </c>
      <c r="I427" s="132" t="s">
        <v>40</v>
      </c>
      <c r="J427" s="131" t="s">
        <v>4432</v>
      </c>
      <c r="K427" s="132" t="s">
        <v>4433</v>
      </c>
      <c r="L427" s="136">
        <v>2260279</v>
      </c>
      <c r="M427" s="132">
        <v>42222</v>
      </c>
      <c r="N427" s="136" t="s">
        <v>4452</v>
      </c>
      <c r="O427" s="130" t="s">
        <v>4436</v>
      </c>
      <c r="P427" s="130" t="s">
        <v>75</v>
      </c>
      <c r="Q427" s="130">
        <v>29161990</v>
      </c>
      <c r="R427" s="136">
        <v>14.4</v>
      </c>
      <c r="S427" s="130" t="s">
        <v>70</v>
      </c>
      <c r="T427" s="136" t="s">
        <v>52</v>
      </c>
      <c r="U427" s="136" t="s">
        <v>53</v>
      </c>
      <c r="V427" s="136">
        <v>3050</v>
      </c>
      <c r="W427" s="133">
        <f t="shared" si="20"/>
        <v>43920</v>
      </c>
      <c r="X427" s="136">
        <v>0</v>
      </c>
      <c r="Y427" s="136">
        <v>1000</v>
      </c>
      <c r="Z427" s="136">
        <v>0</v>
      </c>
      <c r="AA427" s="136">
        <v>0</v>
      </c>
      <c r="AB427" s="131">
        <v>42226</v>
      </c>
      <c r="AC427" s="134">
        <f t="shared" si="18"/>
        <v>43820</v>
      </c>
      <c r="AD427" s="135">
        <v>63.1</v>
      </c>
      <c r="AE427" s="136">
        <f t="shared" si="19"/>
        <v>2771352</v>
      </c>
      <c r="AF427" s="137">
        <v>2765042</v>
      </c>
      <c r="AG427" s="138">
        <v>63.3</v>
      </c>
      <c r="AH427" s="136" t="s">
        <v>5586</v>
      </c>
      <c r="AI427" s="136">
        <v>43920</v>
      </c>
      <c r="AJ427" s="132">
        <v>42276</v>
      </c>
      <c r="AK427" s="136" t="s">
        <v>5587</v>
      </c>
      <c r="AL427" s="132">
        <v>42277</v>
      </c>
      <c r="AM427" s="131" t="s">
        <v>49</v>
      </c>
      <c r="AN427" s="136" t="s">
        <v>4440</v>
      </c>
    </row>
    <row r="428" spans="1:40" s="129" customFormat="1" x14ac:dyDescent="0.25">
      <c r="A428" s="130">
        <v>427</v>
      </c>
      <c r="B428" s="130" t="s">
        <v>4428</v>
      </c>
      <c r="C428" s="130" t="s">
        <v>38</v>
      </c>
      <c r="D428" s="136">
        <v>9103650397</v>
      </c>
      <c r="E428" s="132">
        <v>42228</v>
      </c>
      <c r="F428" s="132" t="s">
        <v>5513</v>
      </c>
      <c r="G428" s="132" t="s">
        <v>531</v>
      </c>
      <c r="H428" s="130" t="s">
        <v>4491</v>
      </c>
      <c r="I428" s="132" t="s">
        <v>40</v>
      </c>
      <c r="J428" s="131" t="s">
        <v>4432</v>
      </c>
      <c r="K428" s="132" t="s">
        <v>4433</v>
      </c>
      <c r="L428" s="136">
        <v>2328068</v>
      </c>
      <c r="M428" s="132" t="s">
        <v>5588</v>
      </c>
      <c r="N428" s="136" t="s">
        <v>3741</v>
      </c>
      <c r="O428" s="130" t="s">
        <v>4436</v>
      </c>
      <c r="P428" s="130" t="s">
        <v>4492</v>
      </c>
      <c r="Q428" s="130">
        <v>38237090</v>
      </c>
      <c r="R428" s="136">
        <v>5</v>
      </c>
      <c r="S428" s="130" t="s">
        <v>70</v>
      </c>
      <c r="T428" s="136" t="s">
        <v>44</v>
      </c>
      <c r="U428" s="136" t="s">
        <v>53</v>
      </c>
      <c r="V428" s="136"/>
      <c r="W428" s="133">
        <f t="shared" si="20"/>
        <v>0</v>
      </c>
      <c r="X428" s="136"/>
      <c r="Y428" s="136"/>
      <c r="Z428" s="136"/>
      <c r="AA428" s="136"/>
      <c r="AB428" s="131"/>
      <c r="AC428" s="134">
        <f t="shared" si="18"/>
        <v>118460.60995260664</v>
      </c>
      <c r="AD428" s="135">
        <v>63.3</v>
      </c>
      <c r="AE428" s="136">
        <f>AD428*W428</f>
        <v>0</v>
      </c>
      <c r="AF428" s="137">
        <v>7498556.6100000003</v>
      </c>
      <c r="AG428" s="138">
        <v>63.3</v>
      </c>
      <c r="AH428" s="136" t="s">
        <v>5589</v>
      </c>
      <c r="AI428" s="133">
        <v>132980</v>
      </c>
      <c r="AJ428" s="132" t="s">
        <v>4803</v>
      </c>
      <c r="AK428" s="136" t="s">
        <v>5590</v>
      </c>
      <c r="AL428" s="132" t="s">
        <v>4805</v>
      </c>
      <c r="AM428" s="131" t="s">
        <v>49</v>
      </c>
      <c r="AN428" s="136" t="s">
        <v>4440</v>
      </c>
    </row>
    <row r="429" spans="1:40" s="129" customFormat="1" x14ac:dyDescent="0.25">
      <c r="A429" s="136">
        <v>428</v>
      </c>
      <c r="B429" s="130" t="s">
        <v>4428</v>
      </c>
      <c r="C429" s="130" t="s">
        <v>38</v>
      </c>
      <c r="D429" s="136" t="s">
        <v>5591</v>
      </c>
      <c r="E429" s="132">
        <v>42233</v>
      </c>
      <c r="F429" s="132" t="s">
        <v>5513</v>
      </c>
      <c r="G429" s="132" t="s">
        <v>540</v>
      </c>
      <c r="H429" s="130" t="s">
        <v>4491</v>
      </c>
      <c r="I429" s="132" t="s">
        <v>40</v>
      </c>
      <c r="J429" s="131" t="s">
        <v>4432</v>
      </c>
      <c r="K429" s="132" t="s">
        <v>4433</v>
      </c>
      <c r="L429" s="136">
        <v>2324299</v>
      </c>
      <c r="M429" s="132">
        <v>42226</v>
      </c>
      <c r="N429" s="136" t="s">
        <v>3741</v>
      </c>
      <c r="O429" s="130" t="s">
        <v>4436</v>
      </c>
      <c r="P429" s="130" t="s">
        <v>4492</v>
      </c>
      <c r="Q429" s="130">
        <v>29051700</v>
      </c>
      <c r="R429" s="136">
        <v>72.56</v>
      </c>
      <c r="S429" s="130" t="s">
        <v>70</v>
      </c>
      <c r="T429" s="136" t="s">
        <v>44</v>
      </c>
      <c r="U429" s="136" t="s">
        <v>53</v>
      </c>
      <c r="V429" s="136">
        <v>1613</v>
      </c>
      <c r="W429" s="133">
        <f t="shared" si="20"/>
        <v>117039.28</v>
      </c>
      <c r="X429" s="136">
        <v>38.619999999999997</v>
      </c>
      <c r="Y429" s="136">
        <v>13000</v>
      </c>
      <c r="Z429" s="136">
        <v>0</v>
      </c>
      <c r="AA429" s="136">
        <v>0</v>
      </c>
      <c r="AB429" s="131">
        <v>42227</v>
      </c>
      <c r="AC429" s="134">
        <f t="shared" si="18"/>
        <v>104000.6598736177</v>
      </c>
      <c r="AD429" s="135">
        <v>63.3</v>
      </c>
      <c r="AE429" s="136">
        <f t="shared" si="19"/>
        <v>7408586.4239999996</v>
      </c>
      <c r="AF429" s="137">
        <v>6583241.7699999996</v>
      </c>
      <c r="AG429" s="138">
        <v>63.3</v>
      </c>
      <c r="AH429" s="136" t="s">
        <v>5592</v>
      </c>
      <c r="AI429" s="136">
        <v>117039.28</v>
      </c>
      <c r="AJ429" s="132" t="s">
        <v>4803</v>
      </c>
      <c r="AK429" s="136" t="s">
        <v>5593</v>
      </c>
      <c r="AL429" s="132" t="s">
        <v>4805</v>
      </c>
      <c r="AM429" s="131" t="s">
        <v>49</v>
      </c>
      <c r="AN429" s="133" t="s">
        <v>4440</v>
      </c>
    </row>
    <row r="430" spans="1:40" s="129" customFormat="1" x14ac:dyDescent="0.25">
      <c r="A430" s="130">
        <v>429</v>
      </c>
      <c r="B430" s="130" t="s">
        <v>4428</v>
      </c>
      <c r="C430" s="130" t="s">
        <v>38</v>
      </c>
      <c r="D430" s="136">
        <v>9103650399</v>
      </c>
      <c r="E430" s="132">
        <v>42230</v>
      </c>
      <c r="F430" s="132" t="s">
        <v>5513</v>
      </c>
      <c r="G430" s="132" t="s">
        <v>530</v>
      </c>
      <c r="H430" s="130" t="s">
        <v>4564</v>
      </c>
      <c r="I430" s="132" t="s">
        <v>40</v>
      </c>
      <c r="J430" s="131" t="s">
        <v>4432</v>
      </c>
      <c r="K430" s="132" t="s">
        <v>4433</v>
      </c>
      <c r="L430" s="136">
        <v>2315410</v>
      </c>
      <c r="M430" s="132">
        <v>42226</v>
      </c>
      <c r="N430" s="136" t="s">
        <v>5215</v>
      </c>
      <c r="O430" s="130" t="s">
        <v>4436</v>
      </c>
      <c r="P430" s="130" t="s">
        <v>205</v>
      </c>
      <c r="Q430" s="130" t="s">
        <v>4645</v>
      </c>
      <c r="R430" s="136">
        <v>16</v>
      </c>
      <c r="S430" s="130" t="s">
        <v>70</v>
      </c>
      <c r="T430" s="136" t="s">
        <v>44</v>
      </c>
      <c r="U430" s="136" t="s">
        <v>53</v>
      </c>
      <c r="V430" s="136">
        <v>1507.5</v>
      </c>
      <c r="W430" s="133">
        <f t="shared" si="20"/>
        <v>24120</v>
      </c>
      <c r="X430" s="136">
        <v>8.06</v>
      </c>
      <c r="Y430" s="136">
        <v>580</v>
      </c>
      <c r="Z430" s="136">
        <v>0</v>
      </c>
      <c r="AA430" s="136">
        <v>0</v>
      </c>
      <c r="AB430" s="131">
        <v>42227</v>
      </c>
      <c r="AC430" s="134">
        <f t="shared" si="18"/>
        <v>23829.939968404422</v>
      </c>
      <c r="AD430" s="135">
        <v>63.3</v>
      </c>
      <c r="AE430" s="136">
        <f t="shared" si="19"/>
        <v>1526796</v>
      </c>
      <c r="AF430" s="137">
        <v>1508435.2</v>
      </c>
      <c r="AG430" s="138">
        <v>63.3</v>
      </c>
      <c r="AH430" s="136" t="s">
        <v>5594</v>
      </c>
      <c r="AI430" s="133">
        <v>24403</v>
      </c>
      <c r="AJ430" s="132" t="s">
        <v>5595</v>
      </c>
      <c r="AK430" s="136" t="s">
        <v>5596</v>
      </c>
      <c r="AL430" s="132" t="s">
        <v>5597</v>
      </c>
      <c r="AM430" s="131" t="s">
        <v>49</v>
      </c>
      <c r="AN430" s="133" t="s">
        <v>4440</v>
      </c>
    </row>
    <row r="431" spans="1:40" s="129" customFormat="1" x14ac:dyDescent="0.25">
      <c r="A431" s="136">
        <v>430</v>
      </c>
      <c r="B431" s="130" t="s">
        <v>4428</v>
      </c>
      <c r="C431" s="130" t="s">
        <v>38</v>
      </c>
      <c r="D431" s="136">
        <v>9103650400</v>
      </c>
      <c r="E431" s="132">
        <v>42235</v>
      </c>
      <c r="F431" s="132" t="s">
        <v>5513</v>
      </c>
      <c r="G431" s="132" t="s">
        <v>532</v>
      </c>
      <c r="H431" s="130" t="s">
        <v>4564</v>
      </c>
      <c r="I431" s="132" t="s">
        <v>40</v>
      </c>
      <c r="J431" s="131" t="s">
        <v>4432</v>
      </c>
      <c r="K431" s="132" t="s">
        <v>4433</v>
      </c>
      <c r="L431" s="136">
        <v>2295078</v>
      </c>
      <c r="M431" s="132" t="s">
        <v>5598</v>
      </c>
      <c r="N431" s="136" t="s">
        <v>4565</v>
      </c>
      <c r="O431" s="130" t="s">
        <v>4436</v>
      </c>
      <c r="P431" s="130" t="s">
        <v>4566</v>
      </c>
      <c r="Q431" s="130" t="s">
        <v>4559</v>
      </c>
      <c r="R431" s="136">
        <v>22</v>
      </c>
      <c r="S431" s="130" t="s">
        <v>70</v>
      </c>
      <c r="T431" s="136" t="s">
        <v>44</v>
      </c>
      <c r="U431" s="136" t="s">
        <v>53</v>
      </c>
      <c r="V431" s="136">
        <v>1385</v>
      </c>
      <c r="W431" s="133">
        <f t="shared" si="20"/>
        <v>30470</v>
      </c>
      <c r="X431" s="136">
        <v>9.84</v>
      </c>
      <c r="Y431" s="136">
        <v>160</v>
      </c>
      <c r="Z431" s="136">
        <v>0</v>
      </c>
      <c r="AA431" s="136">
        <v>0</v>
      </c>
      <c r="AB431" s="131">
        <v>42227</v>
      </c>
      <c r="AC431" s="134">
        <f t="shared" si="18"/>
        <v>29744.138351822501</v>
      </c>
      <c r="AD431" s="135">
        <v>63.1</v>
      </c>
      <c r="AE431" s="136">
        <f t="shared" si="19"/>
        <v>1922657</v>
      </c>
      <c r="AF431" s="137">
        <v>1876855.13</v>
      </c>
      <c r="AG431" s="138">
        <v>63.3</v>
      </c>
      <c r="AH431" s="136" t="s">
        <v>5599</v>
      </c>
      <c r="AI431" s="133">
        <v>29820</v>
      </c>
      <c r="AJ431" s="132">
        <v>42312</v>
      </c>
      <c r="AK431" s="136" t="s">
        <v>5600</v>
      </c>
      <c r="AL431" s="132" t="s">
        <v>5549</v>
      </c>
      <c r="AM431" s="131" t="s">
        <v>49</v>
      </c>
      <c r="AN431" s="133" t="s">
        <v>4440</v>
      </c>
    </row>
    <row r="432" spans="1:40" s="129" customFormat="1" x14ac:dyDescent="0.25">
      <c r="A432" s="130">
        <v>431</v>
      </c>
      <c r="B432" s="130" t="s">
        <v>4428</v>
      </c>
      <c r="C432" s="130" t="s">
        <v>38</v>
      </c>
      <c r="D432" s="136">
        <v>9103650401</v>
      </c>
      <c r="E432" s="132">
        <v>42230</v>
      </c>
      <c r="F432" s="132" t="s">
        <v>5513</v>
      </c>
      <c r="G432" s="132" t="s">
        <v>537</v>
      </c>
      <c r="H432" s="130" t="s">
        <v>4446</v>
      </c>
      <c r="I432" s="132" t="s">
        <v>40</v>
      </c>
      <c r="J432" s="131" t="s">
        <v>4432</v>
      </c>
      <c r="K432" s="132" t="s">
        <v>4433</v>
      </c>
      <c r="L432" s="136">
        <v>2294204</v>
      </c>
      <c r="M432" s="132">
        <v>42225</v>
      </c>
      <c r="N432" s="136" t="s">
        <v>4532</v>
      </c>
      <c r="O432" s="130" t="s">
        <v>4436</v>
      </c>
      <c r="P432" s="130" t="s">
        <v>205</v>
      </c>
      <c r="Q432" s="130">
        <v>38237090</v>
      </c>
      <c r="R432" s="136">
        <v>16</v>
      </c>
      <c r="S432" s="130" t="s">
        <v>70</v>
      </c>
      <c r="T432" s="136" t="s">
        <v>44</v>
      </c>
      <c r="U432" s="136" t="s">
        <v>53</v>
      </c>
      <c r="V432" s="136">
        <v>1380</v>
      </c>
      <c r="W432" s="133">
        <f t="shared" si="20"/>
        <v>22080</v>
      </c>
      <c r="X432" s="136">
        <v>7.29</v>
      </c>
      <c r="Y432" s="136">
        <v>580</v>
      </c>
      <c r="Z432" s="136">
        <v>0</v>
      </c>
      <c r="AA432" s="136">
        <v>0</v>
      </c>
      <c r="AB432" s="131">
        <v>42226</v>
      </c>
      <c r="AC432" s="134">
        <f t="shared" si="18"/>
        <v>21492.709952606638</v>
      </c>
      <c r="AD432" s="135">
        <v>63.3</v>
      </c>
      <c r="AE432" s="136">
        <f t="shared" si="19"/>
        <v>1397664</v>
      </c>
      <c r="AF432" s="137">
        <v>1360488.54</v>
      </c>
      <c r="AG432" s="138">
        <v>63.3</v>
      </c>
      <c r="AH432" s="136" t="s">
        <v>5601</v>
      </c>
      <c r="AI432" s="136">
        <v>22080</v>
      </c>
      <c r="AJ432" s="132" t="s">
        <v>5405</v>
      </c>
      <c r="AK432" s="136" t="s">
        <v>5602</v>
      </c>
      <c r="AL432" s="132" t="s">
        <v>5407</v>
      </c>
      <c r="AM432" s="131" t="s">
        <v>49</v>
      </c>
      <c r="AN432" s="136" t="s">
        <v>4440</v>
      </c>
    </row>
    <row r="433" spans="1:40" s="129" customFormat="1" x14ac:dyDescent="0.25">
      <c r="A433" s="136">
        <v>432</v>
      </c>
      <c r="B433" s="130" t="s">
        <v>4428</v>
      </c>
      <c r="C433" s="130" t="s">
        <v>38</v>
      </c>
      <c r="D433" s="136">
        <v>9103650402</v>
      </c>
      <c r="E433" s="132">
        <v>42232</v>
      </c>
      <c r="F433" s="132" t="s">
        <v>5513</v>
      </c>
      <c r="G433" s="132" t="s">
        <v>533</v>
      </c>
      <c r="H433" s="130" t="s">
        <v>4431</v>
      </c>
      <c r="I433" s="132" t="s">
        <v>40</v>
      </c>
      <c r="J433" s="131" t="s">
        <v>4432</v>
      </c>
      <c r="K433" s="132" t="s">
        <v>4433</v>
      </c>
      <c r="L433" s="136">
        <v>2318705</v>
      </c>
      <c r="M433" s="132">
        <v>42226</v>
      </c>
      <c r="N433" s="136" t="s">
        <v>4832</v>
      </c>
      <c r="O433" s="130" t="s">
        <v>4436</v>
      </c>
      <c r="P433" s="130" t="s">
        <v>54</v>
      </c>
      <c r="Q433" s="130">
        <v>29161990</v>
      </c>
      <c r="R433" s="136">
        <v>86.4</v>
      </c>
      <c r="S433" s="130" t="s">
        <v>70</v>
      </c>
      <c r="T433" s="136" t="s">
        <v>44</v>
      </c>
      <c r="U433" s="136" t="s">
        <v>53</v>
      </c>
      <c r="V433" s="136">
        <v>2850</v>
      </c>
      <c r="W433" s="133">
        <f t="shared" si="20"/>
        <v>246240.00000000003</v>
      </c>
      <c r="X433" s="136">
        <v>81.260000000000005</v>
      </c>
      <c r="Y433" s="136">
        <v>1050</v>
      </c>
      <c r="Z433" s="136">
        <v>0</v>
      </c>
      <c r="AA433" s="136">
        <v>0</v>
      </c>
      <c r="AB433" s="131">
        <v>42227</v>
      </c>
      <c r="AC433" s="134">
        <f t="shared" si="18"/>
        <v>245108.73996840444</v>
      </c>
      <c r="AD433" s="135">
        <v>63.3</v>
      </c>
      <c r="AE433" s="136">
        <f t="shared" si="19"/>
        <v>15586992.000000002</v>
      </c>
      <c r="AF433" s="137">
        <v>15515383.24</v>
      </c>
      <c r="AG433" s="138">
        <v>63.3</v>
      </c>
      <c r="AH433" s="136" t="s">
        <v>5603</v>
      </c>
      <c r="AI433" s="136">
        <v>246010</v>
      </c>
      <c r="AJ433" s="132">
        <v>42256</v>
      </c>
      <c r="AK433" s="136" t="s">
        <v>5604</v>
      </c>
      <c r="AL433" s="132">
        <v>42257</v>
      </c>
      <c r="AM433" s="131" t="s">
        <v>49</v>
      </c>
      <c r="AN433" s="133" t="s">
        <v>4440</v>
      </c>
    </row>
    <row r="434" spans="1:40" s="129" customFormat="1" x14ac:dyDescent="0.25">
      <c r="A434" s="130">
        <v>433</v>
      </c>
      <c r="B434" s="130" t="s">
        <v>4428</v>
      </c>
      <c r="C434" s="130" t="s">
        <v>38</v>
      </c>
      <c r="D434" s="136" t="s">
        <v>5591</v>
      </c>
      <c r="E434" s="132">
        <v>42233</v>
      </c>
      <c r="F434" s="132" t="s">
        <v>5513</v>
      </c>
      <c r="G434" s="132" t="s">
        <v>540</v>
      </c>
      <c r="H434" s="130" t="s">
        <v>4491</v>
      </c>
      <c r="I434" s="132" t="s">
        <v>40</v>
      </c>
      <c r="J434" s="131" t="s">
        <v>4432</v>
      </c>
      <c r="K434" s="132" t="s">
        <v>4433</v>
      </c>
      <c r="L434" s="136">
        <v>2339540</v>
      </c>
      <c r="M434" s="132" t="s">
        <v>4860</v>
      </c>
      <c r="N434" s="136" t="s">
        <v>3741</v>
      </c>
      <c r="O434" s="130" t="s">
        <v>4436</v>
      </c>
      <c r="P434" s="130" t="s">
        <v>4492</v>
      </c>
      <c r="Q434" s="130">
        <v>29051700</v>
      </c>
      <c r="R434" s="136">
        <v>18.14</v>
      </c>
      <c r="S434" s="130" t="s">
        <v>70</v>
      </c>
      <c r="T434" s="136" t="s">
        <v>44</v>
      </c>
      <c r="U434" s="136" t="s">
        <v>53</v>
      </c>
      <c r="V434" s="136">
        <v>1613</v>
      </c>
      <c r="W434" s="133">
        <f t="shared" si="20"/>
        <v>29259.82</v>
      </c>
      <c r="X434" s="136">
        <v>9.66</v>
      </c>
      <c r="Y434" s="136">
        <v>3250</v>
      </c>
      <c r="Z434" s="136">
        <v>0</v>
      </c>
      <c r="AA434" s="136">
        <v>0</v>
      </c>
      <c r="AB434" s="131">
        <v>42228</v>
      </c>
      <c r="AC434" s="134">
        <f t="shared" si="18"/>
        <v>26000.160031595577</v>
      </c>
      <c r="AD434" s="135">
        <v>63.3</v>
      </c>
      <c r="AE434" s="136">
        <f t="shared" si="19"/>
        <v>1852146.6059999999</v>
      </c>
      <c r="AF434" s="137">
        <v>1645810.13</v>
      </c>
      <c r="AG434" s="138">
        <v>63.3</v>
      </c>
      <c r="AH434" s="136" t="s">
        <v>5592</v>
      </c>
      <c r="AI434" s="136">
        <v>29259.82</v>
      </c>
      <c r="AJ434" s="132" t="s">
        <v>4803</v>
      </c>
      <c r="AK434" s="136" t="s">
        <v>5605</v>
      </c>
      <c r="AL434" s="132" t="s">
        <v>4805</v>
      </c>
      <c r="AM434" s="131" t="s">
        <v>49</v>
      </c>
      <c r="AN434" s="133" t="s">
        <v>4440</v>
      </c>
    </row>
    <row r="435" spans="1:40" s="129" customFormat="1" x14ac:dyDescent="0.25">
      <c r="A435" s="136">
        <v>434</v>
      </c>
      <c r="B435" s="130" t="s">
        <v>4428</v>
      </c>
      <c r="C435" s="130" t="s">
        <v>38</v>
      </c>
      <c r="D435" s="136">
        <v>9103650404</v>
      </c>
      <c r="E435" s="132">
        <v>42233</v>
      </c>
      <c r="F435" s="132" t="s">
        <v>5513</v>
      </c>
      <c r="G435" s="132" t="s">
        <v>553</v>
      </c>
      <c r="H435" s="130" t="s">
        <v>4456</v>
      </c>
      <c r="I435" s="132" t="s">
        <v>40</v>
      </c>
      <c r="J435" s="131" t="s">
        <v>4432</v>
      </c>
      <c r="K435" s="132" t="s">
        <v>4433</v>
      </c>
      <c r="L435" s="136">
        <v>2343314</v>
      </c>
      <c r="M435" s="132">
        <v>42227</v>
      </c>
      <c r="N435" s="136" t="s">
        <v>4527</v>
      </c>
      <c r="O435" s="130" t="s">
        <v>4436</v>
      </c>
      <c r="P435" s="130" t="s">
        <v>62</v>
      </c>
      <c r="Q435" s="130">
        <v>38237090</v>
      </c>
      <c r="R435" s="136">
        <v>12</v>
      </c>
      <c r="S435" s="130" t="s">
        <v>70</v>
      </c>
      <c r="T435" s="136" t="s">
        <v>52</v>
      </c>
      <c r="U435" s="136" t="s">
        <v>53</v>
      </c>
      <c r="V435" s="136">
        <v>1280</v>
      </c>
      <c r="W435" s="133">
        <f t="shared" si="20"/>
        <v>15360</v>
      </c>
      <c r="X435" s="136">
        <v>0</v>
      </c>
      <c r="Y435" s="136">
        <v>600</v>
      </c>
      <c r="Z435" s="136">
        <v>0</v>
      </c>
      <c r="AA435" s="136">
        <v>0</v>
      </c>
      <c r="AB435" s="131">
        <v>42229</v>
      </c>
      <c r="AC435" s="134">
        <f t="shared" si="18"/>
        <v>14760</v>
      </c>
      <c r="AD435" s="135">
        <v>63.3</v>
      </c>
      <c r="AE435" s="136">
        <f t="shared" si="19"/>
        <v>972288</v>
      </c>
      <c r="AF435" s="137">
        <v>934308</v>
      </c>
      <c r="AG435" s="138">
        <v>63.3</v>
      </c>
      <c r="AH435" s="136" t="s">
        <v>5606</v>
      </c>
      <c r="AI435" s="133">
        <v>15360</v>
      </c>
      <c r="AJ435" s="132">
        <v>42304</v>
      </c>
      <c r="AK435" s="136" t="s">
        <v>5607</v>
      </c>
      <c r="AL435" s="132">
        <v>42304</v>
      </c>
      <c r="AM435" s="131" t="s">
        <v>49</v>
      </c>
      <c r="AN435" s="133" t="s">
        <v>4440</v>
      </c>
    </row>
    <row r="436" spans="1:40" s="129" customFormat="1" x14ac:dyDescent="0.25">
      <c r="A436" s="130">
        <v>435</v>
      </c>
      <c r="B436" s="130" t="s">
        <v>4428</v>
      </c>
      <c r="C436" s="130" t="s">
        <v>38</v>
      </c>
      <c r="D436" s="136">
        <v>9103650405</v>
      </c>
      <c r="E436" s="132">
        <v>42233</v>
      </c>
      <c r="F436" s="132" t="s">
        <v>5513</v>
      </c>
      <c r="G436" s="132" t="s">
        <v>552</v>
      </c>
      <c r="H436" s="130" t="s">
        <v>4491</v>
      </c>
      <c r="I436" s="132" t="s">
        <v>40</v>
      </c>
      <c r="J436" s="131" t="s">
        <v>4432</v>
      </c>
      <c r="K436" s="132" t="s">
        <v>4433</v>
      </c>
      <c r="L436" s="136">
        <v>2349004</v>
      </c>
      <c r="M436" s="132" t="s">
        <v>4860</v>
      </c>
      <c r="N436" s="136" t="s">
        <v>3741</v>
      </c>
      <c r="O436" s="130" t="s">
        <v>4436</v>
      </c>
      <c r="P436" s="130" t="s">
        <v>188</v>
      </c>
      <c r="Q436" s="130">
        <v>38237090</v>
      </c>
      <c r="R436" s="136">
        <v>36.28</v>
      </c>
      <c r="S436" s="130" t="s">
        <v>70</v>
      </c>
      <c r="T436" s="136" t="s">
        <v>44</v>
      </c>
      <c r="U436" s="136" t="s">
        <v>53</v>
      </c>
      <c r="V436" s="136">
        <v>1705</v>
      </c>
      <c r="W436" s="133">
        <f t="shared" si="20"/>
        <v>61857.4</v>
      </c>
      <c r="X436" s="136">
        <v>20.41</v>
      </c>
      <c r="Y436" s="136">
        <v>5812</v>
      </c>
      <c r="Z436" s="136">
        <v>0</v>
      </c>
      <c r="AA436" s="136">
        <v>0</v>
      </c>
      <c r="AB436" s="131">
        <v>42229</v>
      </c>
      <c r="AC436" s="134">
        <f t="shared" si="18"/>
        <v>56024.990047393367</v>
      </c>
      <c r="AD436" s="135">
        <v>63.3</v>
      </c>
      <c r="AE436" s="136">
        <f t="shared" si="19"/>
        <v>3915573.42</v>
      </c>
      <c r="AF436" s="137">
        <v>3546381.87</v>
      </c>
      <c r="AG436" s="138">
        <v>63.3</v>
      </c>
      <c r="AH436" s="136" t="s">
        <v>5608</v>
      </c>
      <c r="AI436" s="133">
        <v>61857.4</v>
      </c>
      <c r="AJ436" s="132" t="s">
        <v>4803</v>
      </c>
      <c r="AK436" s="136" t="s">
        <v>5609</v>
      </c>
      <c r="AL436" s="132" t="s">
        <v>4805</v>
      </c>
      <c r="AM436" s="131" t="s">
        <v>49</v>
      </c>
      <c r="AN436" s="133" t="s">
        <v>4440</v>
      </c>
    </row>
    <row r="437" spans="1:40" s="129" customFormat="1" x14ac:dyDescent="0.25">
      <c r="A437" s="136">
        <v>436</v>
      </c>
      <c r="B437" s="130" t="s">
        <v>4428</v>
      </c>
      <c r="C437" s="130" t="s">
        <v>38</v>
      </c>
      <c r="D437" s="136">
        <v>9103650406</v>
      </c>
      <c r="E437" s="132">
        <v>42233</v>
      </c>
      <c r="F437" s="132" t="s">
        <v>5513</v>
      </c>
      <c r="G437" s="132" t="s">
        <v>522</v>
      </c>
      <c r="H437" s="130" t="s">
        <v>4564</v>
      </c>
      <c r="I437" s="132" t="s">
        <v>40</v>
      </c>
      <c r="J437" s="131" t="s">
        <v>4432</v>
      </c>
      <c r="K437" s="132" t="s">
        <v>4433</v>
      </c>
      <c r="L437" s="136">
        <v>2343227</v>
      </c>
      <c r="M437" s="132">
        <v>42227</v>
      </c>
      <c r="N437" s="136" t="s">
        <v>5610</v>
      </c>
      <c r="O437" s="130" t="s">
        <v>4436</v>
      </c>
      <c r="P437" s="130" t="s">
        <v>3290</v>
      </c>
      <c r="Q437" s="130" t="s">
        <v>4559</v>
      </c>
      <c r="R437" s="136">
        <v>16</v>
      </c>
      <c r="S437" s="130" t="s">
        <v>70</v>
      </c>
      <c r="T437" s="136" t="s">
        <v>52</v>
      </c>
      <c r="U437" s="136" t="s">
        <v>53</v>
      </c>
      <c r="V437" s="136">
        <v>1547.75</v>
      </c>
      <c r="W437" s="136">
        <f>(1454*1+1554*15)</f>
        <v>24764</v>
      </c>
      <c r="X437" s="136">
        <v>0</v>
      </c>
      <c r="Y437" s="136">
        <v>1250</v>
      </c>
      <c r="Z437" s="136">
        <v>0</v>
      </c>
      <c r="AA437" s="136">
        <v>0</v>
      </c>
      <c r="AB437" s="131">
        <v>42230</v>
      </c>
      <c r="AC437" s="134">
        <f t="shared" si="18"/>
        <v>23514</v>
      </c>
      <c r="AD437" s="135">
        <v>63.3</v>
      </c>
      <c r="AE437" s="136">
        <f t="shared" si="19"/>
        <v>1567561.2</v>
      </c>
      <c r="AF437" s="137">
        <v>1488436.2</v>
      </c>
      <c r="AG437" s="138">
        <v>63.3</v>
      </c>
      <c r="AH437" s="136" t="s">
        <v>5611</v>
      </c>
      <c r="AI437" s="136">
        <v>24752</v>
      </c>
      <c r="AJ437" s="132">
        <v>42261</v>
      </c>
      <c r="AK437" s="136" t="s">
        <v>5612</v>
      </c>
      <c r="AL437" s="132">
        <v>42290</v>
      </c>
      <c r="AM437" s="131" t="s">
        <v>49</v>
      </c>
      <c r="AN437" s="136" t="s">
        <v>4440</v>
      </c>
    </row>
    <row r="438" spans="1:40" s="129" customFormat="1" x14ac:dyDescent="0.25">
      <c r="A438" s="130">
        <v>437</v>
      </c>
      <c r="B438" s="130" t="s">
        <v>4428</v>
      </c>
      <c r="C438" s="130" t="s">
        <v>38</v>
      </c>
      <c r="D438" s="136">
        <v>9103650407</v>
      </c>
      <c r="E438" s="132">
        <v>42233</v>
      </c>
      <c r="F438" s="132" t="s">
        <v>5513</v>
      </c>
      <c r="G438" s="132" t="s">
        <v>551</v>
      </c>
      <c r="H438" s="130" t="s">
        <v>4491</v>
      </c>
      <c r="I438" s="132" t="s">
        <v>40</v>
      </c>
      <c r="J438" s="131" t="s">
        <v>4432</v>
      </c>
      <c r="K438" s="132" t="s">
        <v>4433</v>
      </c>
      <c r="L438" s="136">
        <v>2369437</v>
      </c>
      <c r="M438" s="132" t="s">
        <v>4627</v>
      </c>
      <c r="N438" s="136" t="s">
        <v>3741</v>
      </c>
      <c r="O438" s="130" t="s">
        <v>4436</v>
      </c>
      <c r="P438" s="130" t="s">
        <v>4492</v>
      </c>
      <c r="Q438" s="130">
        <v>29051700</v>
      </c>
      <c r="R438" s="136">
        <v>18.579999999999998</v>
      </c>
      <c r="S438" s="130" t="s">
        <v>70</v>
      </c>
      <c r="T438" s="136" t="s">
        <v>44</v>
      </c>
      <c r="U438" s="136" t="s">
        <v>53</v>
      </c>
      <c r="V438" s="136">
        <v>1820</v>
      </c>
      <c r="W438" s="133">
        <f t="shared" si="20"/>
        <v>33815.599999999999</v>
      </c>
      <c r="X438" s="136">
        <v>11.16</v>
      </c>
      <c r="Y438" s="136">
        <v>4350</v>
      </c>
      <c r="Z438" s="136">
        <v>0</v>
      </c>
      <c r="AA438" s="136">
        <v>0</v>
      </c>
      <c r="AB438" s="131">
        <v>42230</v>
      </c>
      <c r="AC438" s="134">
        <f t="shared" si="18"/>
        <v>29454.439968404426</v>
      </c>
      <c r="AD438" s="135">
        <v>63.3</v>
      </c>
      <c r="AE438" s="136">
        <f t="shared" si="19"/>
        <v>2140527.48</v>
      </c>
      <c r="AF438" s="137">
        <v>1864466.05</v>
      </c>
      <c r="AG438" s="138">
        <v>63.3</v>
      </c>
      <c r="AH438" s="136" t="s">
        <v>5613</v>
      </c>
      <c r="AI438" s="133">
        <v>33815.599999999999</v>
      </c>
      <c r="AJ438" s="132" t="s">
        <v>4803</v>
      </c>
      <c r="AK438" s="136" t="s">
        <v>5614</v>
      </c>
      <c r="AL438" s="132" t="s">
        <v>4805</v>
      </c>
      <c r="AM438" s="131" t="s">
        <v>49</v>
      </c>
      <c r="AN438" s="136" t="s">
        <v>4440</v>
      </c>
    </row>
    <row r="439" spans="1:40" s="129" customFormat="1" x14ac:dyDescent="0.25">
      <c r="A439" s="136">
        <v>438</v>
      </c>
      <c r="B439" s="130" t="s">
        <v>4428</v>
      </c>
      <c r="C439" s="130" t="s">
        <v>38</v>
      </c>
      <c r="D439" s="136">
        <v>9103650408</v>
      </c>
      <c r="E439" s="132">
        <v>42242</v>
      </c>
      <c r="F439" s="132" t="s">
        <v>5513</v>
      </c>
      <c r="G439" s="132" t="s">
        <v>550</v>
      </c>
      <c r="H439" s="130" t="s">
        <v>4463</v>
      </c>
      <c r="I439" s="132" t="s">
        <v>40</v>
      </c>
      <c r="J439" s="131" t="s">
        <v>4432</v>
      </c>
      <c r="K439" s="132" t="s">
        <v>4433</v>
      </c>
      <c r="L439" s="136">
        <v>2369535</v>
      </c>
      <c r="M439" s="132">
        <v>42228</v>
      </c>
      <c r="N439" s="136" t="s">
        <v>5615</v>
      </c>
      <c r="O439" s="130" t="s">
        <v>4436</v>
      </c>
      <c r="P439" s="130" t="s">
        <v>123</v>
      </c>
      <c r="Q439" s="130">
        <v>38237090</v>
      </c>
      <c r="R439" s="136">
        <v>24</v>
      </c>
      <c r="S439" s="130" t="s">
        <v>70</v>
      </c>
      <c r="T439" s="136" t="s">
        <v>44</v>
      </c>
      <c r="U439" s="136" t="s">
        <v>53</v>
      </c>
      <c r="V439" s="136">
        <v>1440</v>
      </c>
      <c r="W439" s="133">
        <f t="shared" si="20"/>
        <v>34560</v>
      </c>
      <c r="X439" s="136"/>
      <c r="Y439" s="136"/>
      <c r="Z439" s="136"/>
      <c r="AA439" s="136"/>
      <c r="AB439" s="131"/>
      <c r="AC439" s="134">
        <f t="shared" si="18"/>
        <v>33548.6</v>
      </c>
      <c r="AD439" s="135">
        <v>63.3</v>
      </c>
      <c r="AE439" s="136">
        <f t="shared" si="19"/>
        <v>2187648</v>
      </c>
      <c r="AF439" s="137">
        <v>2123626.38</v>
      </c>
      <c r="AG439" s="138">
        <v>63.3</v>
      </c>
      <c r="AH439" s="136" t="s">
        <v>5616</v>
      </c>
      <c r="AI439" s="136">
        <v>34459</v>
      </c>
      <c r="AJ439" s="132">
        <v>42261</v>
      </c>
      <c r="AK439" s="136" t="s">
        <v>5617</v>
      </c>
      <c r="AL439" s="132">
        <v>42549</v>
      </c>
      <c r="AM439" s="131" t="s">
        <v>49</v>
      </c>
      <c r="AN439" s="136" t="s">
        <v>4440</v>
      </c>
    </row>
    <row r="440" spans="1:40" s="129" customFormat="1" x14ac:dyDescent="0.25">
      <c r="A440" s="130">
        <v>439</v>
      </c>
      <c r="B440" s="130" t="s">
        <v>4428</v>
      </c>
      <c r="C440" s="130" t="s">
        <v>38</v>
      </c>
      <c r="D440" s="136">
        <v>9103650409</v>
      </c>
      <c r="E440" s="132">
        <v>42235</v>
      </c>
      <c r="F440" s="132" t="s">
        <v>5513</v>
      </c>
      <c r="G440" s="132" t="s">
        <v>5618</v>
      </c>
      <c r="H440" s="130" t="s">
        <v>4446</v>
      </c>
      <c r="I440" s="132" t="s">
        <v>40</v>
      </c>
      <c r="J440" s="131" t="s">
        <v>4432</v>
      </c>
      <c r="K440" s="132" t="s">
        <v>4433</v>
      </c>
      <c r="L440" s="136">
        <v>2371434</v>
      </c>
      <c r="M440" s="132" t="s">
        <v>4627</v>
      </c>
      <c r="N440" s="136" t="s">
        <v>4733</v>
      </c>
      <c r="O440" s="130" t="s">
        <v>4436</v>
      </c>
      <c r="P440" s="130" t="s">
        <v>492</v>
      </c>
      <c r="Q440" s="130">
        <v>29157010</v>
      </c>
      <c r="R440" s="136">
        <v>118.97</v>
      </c>
      <c r="S440" s="130" t="s">
        <v>70</v>
      </c>
      <c r="T440" s="136" t="s">
        <v>44</v>
      </c>
      <c r="U440" s="136" t="s">
        <v>53</v>
      </c>
      <c r="V440" s="136">
        <v>794</v>
      </c>
      <c r="W440" s="133">
        <f t="shared" si="20"/>
        <v>94462.18</v>
      </c>
      <c r="X440" s="136">
        <v>31.17</v>
      </c>
      <c r="Y440" s="136">
        <v>1500</v>
      </c>
      <c r="Z440" s="136">
        <v>0</v>
      </c>
      <c r="AA440" s="136">
        <v>0</v>
      </c>
      <c r="AB440" s="131">
        <v>42230</v>
      </c>
      <c r="AC440" s="134">
        <f t="shared" si="18"/>
        <v>92931.009952606633</v>
      </c>
      <c r="AD440" s="135">
        <v>63.3</v>
      </c>
      <c r="AE440" s="136">
        <f t="shared" si="19"/>
        <v>5979455.993999999</v>
      </c>
      <c r="AF440" s="137">
        <v>5882532.9299999997</v>
      </c>
      <c r="AG440" s="138">
        <v>63.3</v>
      </c>
      <c r="AH440" s="136" t="s">
        <v>5619</v>
      </c>
      <c r="AI440" s="133">
        <v>94462.18</v>
      </c>
      <c r="AJ440" s="132" t="s">
        <v>5572</v>
      </c>
      <c r="AK440" s="136" t="s">
        <v>5620</v>
      </c>
      <c r="AL440" s="132" t="s">
        <v>5574</v>
      </c>
      <c r="AM440" s="131" t="s">
        <v>49</v>
      </c>
      <c r="AN440" s="133" t="s">
        <v>4440</v>
      </c>
    </row>
    <row r="441" spans="1:40" s="129" customFormat="1" x14ac:dyDescent="0.25">
      <c r="A441" s="136">
        <v>440</v>
      </c>
      <c r="B441" s="130" t="s">
        <v>4428</v>
      </c>
      <c r="C441" s="130" t="s">
        <v>38</v>
      </c>
      <c r="D441" s="136">
        <v>9103650411</v>
      </c>
      <c r="E441" s="132">
        <v>42226</v>
      </c>
      <c r="F441" s="132" t="s">
        <v>5513</v>
      </c>
      <c r="G441" s="132" t="s">
        <v>534</v>
      </c>
      <c r="H441" s="130" t="s">
        <v>4431</v>
      </c>
      <c r="I441" s="132" t="s">
        <v>40</v>
      </c>
      <c r="J441" s="131" t="s">
        <v>4432</v>
      </c>
      <c r="K441" s="132" t="s">
        <v>4433</v>
      </c>
      <c r="L441" s="136">
        <v>2281574</v>
      </c>
      <c r="M441" s="132">
        <v>42223</v>
      </c>
      <c r="N441" s="136" t="s">
        <v>5621</v>
      </c>
      <c r="O441" s="130" t="s">
        <v>4436</v>
      </c>
      <c r="P441" s="130" t="s">
        <v>361</v>
      </c>
      <c r="Q441" s="130">
        <v>38237090</v>
      </c>
      <c r="R441" s="136">
        <v>94.11</v>
      </c>
      <c r="S441" s="130" t="s">
        <v>70</v>
      </c>
      <c r="T441" s="136" t="s">
        <v>52</v>
      </c>
      <c r="U441" s="136" t="s">
        <v>1117</v>
      </c>
      <c r="V441" s="136">
        <v>87289</v>
      </c>
      <c r="W441" s="133">
        <f t="shared" si="20"/>
        <v>8214767.79</v>
      </c>
      <c r="X441" s="136">
        <v>0</v>
      </c>
      <c r="Y441" s="136">
        <v>237375</v>
      </c>
      <c r="Z441" s="136">
        <v>0</v>
      </c>
      <c r="AA441" s="136">
        <v>119935.61</v>
      </c>
      <c r="AB441" s="131">
        <v>42225</v>
      </c>
      <c r="AC441" s="134">
        <f t="shared" si="18"/>
        <v>7977392.79</v>
      </c>
      <c r="AD441" s="135">
        <v>1</v>
      </c>
      <c r="AE441" s="136">
        <f t="shared" si="19"/>
        <v>8214767.79</v>
      </c>
      <c r="AF441" s="130">
        <v>7977392.79</v>
      </c>
      <c r="AG441" s="138">
        <v>1</v>
      </c>
      <c r="AH441" s="136" t="s">
        <v>5622</v>
      </c>
      <c r="AI441" s="136">
        <v>8198820.9299999997</v>
      </c>
      <c r="AJ441" s="132">
        <v>42276</v>
      </c>
      <c r="AK441" s="136" t="s">
        <v>5623</v>
      </c>
      <c r="AL441" s="132">
        <v>42277</v>
      </c>
      <c r="AM441" s="131" t="s">
        <v>49</v>
      </c>
      <c r="AN441" s="133" t="s">
        <v>4440</v>
      </c>
    </row>
    <row r="442" spans="1:40" s="129" customFormat="1" x14ac:dyDescent="0.25">
      <c r="A442" s="130">
        <v>441</v>
      </c>
      <c r="B442" s="130" t="s">
        <v>4428</v>
      </c>
      <c r="C442" s="130" t="s">
        <v>38</v>
      </c>
      <c r="D442" s="136">
        <v>9103650412</v>
      </c>
      <c r="E442" s="132">
        <v>42233</v>
      </c>
      <c r="F442" s="132" t="s">
        <v>5513</v>
      </c>
      <c r="G442" s="132" t="s">
        <v>519</v>
      </c>
      <c r="H442" s="130" t="s">
        <v>4431</v>
      </c>
      <c r="I442" s="132" t="s">
        <v>40</v>
      </c>
      <c r="J442" s="131" t="s">
        <v>4432</v>
      </c>
      <c r="K442" s="132" t="s">
        <v>4433</v>
      </c>
      <c r="L442" s="136">
        <v>2289348</v>
      </c>
      <c r="M442" s="132">
        <v>42223</v>
      </c>
      <c r="N442" s="136" t="s">
        <v>5621</v>
      </c>
      <c r="O442" s="130" t="s">
        <v>4436</v>
      </c>
      <c r="P442" s="130" t="s">
        <v>361</v>
      </c>
      <c r="Q442" s="130">
        <v>38237090</v>
      </c>
      <c r="R442" s="136">
        <v>111.83</v>
      </c>
      <c r="S442" s="130" t="s">
        <v>70</v>
      </c>
      <c r="T442" s="136" t="s">
        <v>52</v>
      </c>
      <c r="U442" s="136" t="s">
        <v>1117</v>
      </c>
      <c r="V442" s="136">
        <v>87289</v>
      </c>
      <c r="W442" s="133">
        <f t="shared" si="20"/>
        <v>9761528.8699999992</v>
      </c>
      <c r="X442" s="136">
        <v>0</v>
      </c>
      <c r="Y442" s="136">
        <v>284850</v>
      </c>
      <c r="Z442" s="136">
        <v>0</v>
      </c>
      <c r="AA442" s="136">
        <v>142518.32</v>
      </c>
      <c r="AB442" s="131">
        <v>42226</v>
      </c>
      <c r="AC442" s="134">
        <f t="shared" si="18"/>
        <v>8476678.8699999992</v>
      </c>
      <c r="AD442" s="135">
        <v>1</v>
      </c>
      <c r="AE442" s="136">
        <f t="shared" si="19"/>
        <v>9761528.8699999992</v>
      </c>
      <c r="AF442" s="130">
        <v>8476678.8699999992</v>
      </c>
      <c r="AG442" s="138">
        <v>1</v>
      </c>
      <c r="AH442" s="136" t="s">
        <v>5624</v>
      </c>
      <c r="AI442" s="136">
        <v>9743262.6400000006</v>
      </c>
      <c r="AJ442" s="132">
        <v>42276</v>
      </c>
      <c r="AK442" s="136" t="s">
        <v>5625</v>
      </c>
      <c r="AL442" s="132">
        <v>42277</v>
      </c>
      <c r="AM442" s="131" t="s">
        <v>49</v>
      </c>
      <c r="AN442" s="133" t="s">
        <v>4440</v>
      </c>
    </row>
    <row r="443" spans="1:40" s="129" customFormat="1" x14ac:dyDescent="0.25">
      <c r="A443" s="136">
        <v>442</v>
      </c>
      <c r="B443" s="130" t="s">
        <v>4428</v>
      </c>
      <c r="C443" s="130" t="s">
        <v>38</v>
      </c>
      <c r="D443" s="136">
        <v>9103650413</v>
      </c>
      <c r="E443" s="132">
        <v>42232</v>
      </c>
      <c r="F443" s="132" t="s">
        <v>5513</v>
      </c>
      <c r="G443" s="132" t="s">
        <v>557</v>
      </c>
      <c r="H443" s="130" t="s">
        <v>4564</v>
      </c>
      <c r="I443" s="132" t="s">
        <v>40</v>
      </c>
      <c r="J443" s="131" t="s">
        <v>4432</v>
      </c>
      <c r="K443" s="132" t="s">
        <v>4433</v>
      </c>
      <c r="L443" s="136">
        <v>2370855</v>
      </c>
      <c r="M443" s="132">
        <v>42228</v>
      </c>
      <c r="N443" s="136" t="s">
        <v>5337</v>
      </c>
      <c r="O443" s="130" t="s">
        <v>4436</v>
      </c>
      <c r="P443" s="130" t="s">
        <v>143</v>
      </c>
      <c r="Q443" s="130">
        <v>38237090</v>
      </c>
      <c r="R443" s="136">
        <v>48</v>
      </c>
      <c r="S443" s="130" t="s">
        <v>70</v>
      </c>
      <c r="T443" s="136" t="s">
        <v>52</v>
      </c>
      <c r="U443" s="136" t="s">
        <v>53</v>
      </c>
      <c r="V443" s="136">
        <v>1325</v>
      </c>
      <c r="W443" s="133">
        <f t="shared" si="20"/>
        <v>63600</v>
      </c>
      <c r="X443" s="136">
        <v>0</v>
      </c>
      <c r="Y443" s="136">
        <v>2400</v>
      </c>
      <c r="Z443" s="136">
        <v>0</v>
      </c>
      <c r="AA443" s="136">
        <v>720</v>
      </c>
      <c r="AB443" s="131">
        <v>42230</v>
      </c>
      <c r="AC443" s="134">
        <f t="shared" si="18"/>
        <v>61200</v>
      </c>
      <c r="AD443" s="135">
        <v>63.3</v>
      </c>
      <c r="AE443" s="136">
        <f t="shared" si="19"/>
        <v>4025880</v>
      </c>
      <c r="AF443" s="137">
        <v>3873960</v>
      </c>
      <c r="AG443" s="138">
        <v>63.3</v>
      </c>
      <c r="AH443" s="136" t="s">
        <v>5626</v>
      </c>
      <c r="AI443" s="136">
        <v>63588</v>
      </c>
      <c r="AJ443" s="132">
        <v>42249</v>
      </c>
      <c r="AK443" s="136" t="s">
        <v>5627</v>
      </c>
      <c r="AL443" s="132">
        <v>42290</v>
      </c>
      <c r="AM443" s="131" t="s">
        <v>49</v>
      </c>
      <c r="AN443" s="136" t="s">
        <v>4440</v>
      </c>
    </row>
    <row r="444" spans="1:40" s="129" customFormat="1" x14ac:dyDescent="0.25">
      <c r="A444" s="130">
        <v>443</v>
      </c>
      <c r="B444" s="130" t="s">
        <v>4428</v>
      </c>
      <c r="C444" s="130" t="s">
        <v>38</v>
      </c>
      <c r="D444" s="136">
        <v>9103650414</v>
      </c>
      <c r="E444" s="132">
        <v>42238</v>
      </c>
      <c r="F444" s="132" t="s">
        <v>5513</v>
      </c>
      <c r="G444" s="132" t="s">
        <v>567</v>
      </c>
      <c r="H444" s="130" t="s">
        <v>4456</v>
      </c>
      <c r="I444" s="132" t="s">
        <v>40</v>
      </c>
      <c r="J444" s="131" t="s">
        <v>4432</v>
      </c>
      <c r="K444" s="132" t="s">
        <v>4433</v>
      </c>
      <c r="L444" s="136">
        <v>2388631</v>
      </c>
      <c r="M444" s="132">
        <v>42229</v>
      </c>
      <c r="N444" s="136" t="s">
        <v>4527</v>
      </c>
      <c r="O444" s="130" t="s">
        <v>4436</v>
      </c>
      <c r="P444" s="130" t="s">
        <v>2657</v>
      </c>
      <c r="Q444" s="130">
        <v>38237090</v>
      </c>
      <c r="R444" s="136">
        <v>18.97</v>
      </c>
      <c r="S444" s="130" t="s">
        <v>70</v>
      </c>
      <c r="T444" s="136" t="s">
        <v>52</v>
      </c>
      <c r="U444" s="136" t="s">
        <v>4528</v>
      </c>
      <c r="V444" s="136">
        <v>1170</v>
      </c>
      <c r="W444" s="133">
        <f t="shared" si="20"/>
        <v>22194.899999999998</v>
      </c>
      <c r="X444" s="136">
        <v>0</v>
      </c>
      <c r="Y444" s="136">
        <v>551.63</v>
      </c>
      <c r="Z444" s="136">
        <v>0</v>
      </c>
      <c r="AA444" s="136">
        <v>0</v>
      </c>
      <c r="AB444" s="131">
        <v>42233</v>
      </c>
      <c r="AC444" s="134">
        <f t="shared" si="18"/>
        <v>21643.270007262163</v>
      </c>
      <c r="AD444" s="135">
        <v>68.849999999999994</v>
      </c>
      <c r="AE444" s="136">
        <f t="shared" si="19"/>
        <v>1528118.8649999998</v>
      </c>
      <c r="AF444" s="130">
        <v>1490139.14</v>
      </c>
      <c r="AG444" s="138">
        <v>68.849999999999994</v>
      </c>
      <c r="AH444" s="136" t="s">
        <v>5628</v>
      </c>
      <c r="AI444" s="133">
        <v>22194.9</v>
      </c>
      <c r="AJ444" s="132">
        <v>42303</v>
      </c>
      <c r="AK444" s="136" t="s">
        <v>5629</v>
      </c>
      <c r="AL444" s="132">
        <v>42303</v>
      </c>
      <c r="AM444" s="131" t="s">
        <v>49</v>
      </c>
      <c r="AN444" s="133" t="s">
        <v>4440</v>
      </c>
    </row>
    <row r="445" spans="1:40" s="129" customFormat="1" x14ac:dyDescent="0.25">
      <c r="A445" s="136">
        <v>444</v>
      </c>
      <c r="B445" s="130" t="s">
        <v>4428</v>
      </c>
      <c r="C445" s="130" t="s">
        <v>38</v>
      </c>
      <c r="D445" s="136" t="s">
        <v>5630</v>
      </c>
      <c r="E445" s="132">
        <v>42236</v>
      </c>
      <c r="F445" s="132" t="s">
        <v>5513</v>
      </c>
      <c r="G445" s="132" t="s">
        <v>554</v>
      </c>
      <c r="H445" s="130" t="s">
        <v>4446</v>
      </c>
      <c r="I445" s="132" t="s">
        <v>40</v>
      </c>
      <c r="J445" s="131" t="s">
        <v>4432</v>
      </c>
      <c r="K445" s="132" t="s">
        <v>4433</v>
      </c>
      <c r="L445" s="136">
        <v>2374662</v>
      </c>
      <c r="M445" s="132" t="s">
        <v>4627</v>
      </c>
      <c r="N445" s="136" t="s">
        <v>4733</v>
      </c>
      <c r="O445" s="130" t="s">
        <v>4436</v>
      </c>
      <c r="P445" s="130" t="s">
        <v>492</v>
      </c>
      <c r="Q445" s="130">
        <v>29157010</v>
      </c>
      <c r="R445" s="136">
        <v>39.26</v>
      </c>
      <c r="S445" s="130" t="s">
        <v>70</v>
      </c>
      <c r="T445" s="136" t="s">
        <v>44</v>
      </c>
      <c r="U445" s="136" t="s">
        <v>53</v>
      </c>
      <c r="V445" s="136">
        <v>794</v>
      </c>
      <c r="W445" s="133">
        <f t="shared" si="20"/>
        <v>31172.44</v>
      </c>
      <c r="X445" s="136">
        <v>10.29</v>
      </c>
      <c r="Y445" s="136">
        <v>500</v>
      </c>
      <c r="Z445" s="136">
        <v>0</v>
      </c>
      <c r="AA445" s="136">
        <v>0</v>
      </c>
      <c r="AB445" s="131"/>
      <c r="AC445" s="134">
        <f t="shared" si="18"/>
        <v>31019.339968404423</v>
      </c>
      <c r="AD445" s="135">
        <v>63.3</v>
      </c>
      <c r="AE445" s="136">
        <f t="shared" si="19"/>
        <v>1973215.4519999998</v>
      </c>
      <c r="AF445" s="137">
        <v>1963524.22</v>
      </c>
      <c r="AG445" s="138">
        <v>63.3</v>
      </c>
      <c r="AH445" s="136" t="s">
        <v>5631</v>
      </c>
      <c r="AI445" s="136">
        <v>31172.44</v>
      </c>
      <c r="AJ445" s="132" t="s">
        <v>4805</v>
      </c>
      <c r="AK445" s="136" t="s">
        <v>5632</v>
      </c>
      <c r="AL445" s="132" t="s">
        <v>5112</v>
      </c>
      <c r="AM445" s="131" t="s">
        <v>49</v>
      </c>
      <c r="AN445" s="136" t="s">
        <v>4440</v>
      </c>
    </row>
    <row r="446" spans="1:40" s="129" customFormat="1" x14ac:dyDescent="0.25">
      <c r="A446" s="130">
        <v>445</v>
      </c>
      <c r="B446" s="130" t="s">
        <v>4428</v>
      </c>
      <c r="C446" s="130" t="s">
        <v>38</v>
      </c>
      <c r="D446" s="136" t="s">
        <v>5630</v>
      </c>
      <c r="E446" s="132">
        <v>42236</v>
      </c>
      <c r="F446" s="132" t="s">
        <v>5513</v>
      </c>
      <c r="G446" s="132" t="s">
        <v>546</v>
      </c>
      <c r="H446" s="130" t="s">
        <v>4446</v>
      </c>
      <c r="I446" s="132" t="s">
        <v>40</v>
      </c>
      <c r="J446" s="131" t="s">
        <v>4432</v>
      </c>
      <c r="K446" s="132" t="s">
        <v>4433</v>
      </c>
      <c r="L446" s="136">
        <v>2388668</v>
      </c>
      <c r="M446" s="132" t="s">
        <v>4629</v>
      </c>
      <c r="N446" s="136" t="s">
        <v>4733</v>
      </c>
      <c r="O446" s="130" t="s">
        <v>4436</v>
      </c>
      <c r="P446" s="130" t="s">
        <v>492</v>
      </c>
      <c r="Q446" s="130">
        <v>29157010</v>
      </c>
      <c r="R446" s="136">
        <v>39.71</v>
      </c>
      <c r="S446" s="130" t="s">
        <v>70</v>
      </c>
      <c r="T446" s="136" t="s">
        <v>44</v>
      </c>
      <c r="U446" s="136" t="s">
        <v>53</v>
      </c>
      <c r="V446" s="136">
        <v>794</v>
      </c>
      <c r="W446" s="133">
        <f t="shared" si="20"/>
        <v>31529.74</v>
      </c>
      <c r="X446" s="136">
        <v>10.4</v>
      </c>
      <c r="Y446" s="136">
        <v>500</v>
      </c>
      <c r="Z446" s="136">
        <v>0</v>
      </c>
      <c r="AA446" s="136">
        <v>0</v>
      </c>
      <c r="AB446" s="131"/>
      <c r="AC446" s="134">
        <f t="shared" ref="AC446:AC513" si="21">AF446/AD446</f>
        <v>30662.14992101106</v>
      </c>
      <c r="AD446" s="135">
        <v>63.3</v>
      </c>
      <c r="AE446" s="136">
        <f t="shared" ref="AE446:AE513" si="22">AD446*W446</f>
        <v>1995832.5419999999</v>
      </c>
      <c r="AF446" s="137">
        <v>1940914.09</v>
      </c>
      <c r="AG446" s="138">
        <v>63.3</v>
      </c>
      <c r="AH446" s="136" t="s">
        <v>5631</v>
      </c>
      <c r="AI446" s="136">
        <v>31529.74</v>
      </c>
      <c r="AJ446" s="132" t="s">
        <v>4805</v>
      </c>
      <c r="AK446" s="136" t="s">
        <v>5633</v>
      </c>
      <c r="AL446" s="132" t="s">
        <v>5112</v>
      </c>
      <c r="AM446" s="131" t="s">
        <v>49</v>
      </c>
      <c r="AN446" s="136" t="s">
        <v>4440</v>
      </c>
    </row>
    <row r="447" spans="1:40" s="129" customFormat="1" x14ac:dyDescent="0.25">
      <c r="A447" s="136">
        <v>446</v>
      </c>
      <c r="B447" s="130" t="s">
        <v>4428</v>
      </c>
      <c r="C447" s="130" t="s">
        <v>38</v>
      </c>
      <c r="D447" s="136">
        <v>9103650417</v>
      </c>
      <c r="E447" s="132">
        <v>42235</v>
      </c>
      <c r="F447" s="132" t="s">
        <v>5513</v>
      </c>
      <c r="G447" s="132" t="s">
        <v>549</v>
      </c>
      <c r="H447" s="130" t="s">
        <v>4491</v>
      </c>
      <c r="I447" s="132" t="s">
        <v>40</v>
      </c>
      <c r="J447" s="131" t="s">
        <v>4432</v>
      </c>
      <c r="K447" s="132" t="s">
        <v>4433</v>
      </c>
      <c r="L447" s="136">
        <v>2397442</v>
      </c>
      <c r="M447" s="132" t="s">
        <v>4629</v>
      </c>
      <c r="N447" s="136" t="s">
        <v>3741</v>
      </c>
      <c r="O447" s="130" t="s">
        <v>4436</v>
      </c>
      <c r="P447" s="130" t="s">
        <v>4492</v>
      </c>
      <c r="Q447" s="130">
        <v>29051700</v>
      </c>
      <c r="R447" s="136">
        <v>18.14</v>
      </c>
      <c r="S447" s="130" t="s">
        <v>70</v>
      </c>
      <c r="T447" s="136" t="s">
        <v>44</v>
      </c>
      <c r="U447" s="136" t="s">
        <v>53</v>
      </c>
      <c r="V447" s="136">
        <v>1872</v>
      </c>
      <c r="W447" s="133">
        <f t="shared" si="20"/>
        <v>33958.080000000002</v>
      </c>
      <c r="X447" s="136">
        <v>11.21</v>
      </c>
      <c r="Y447" s="136">
        <v>2350</v>
      </c>
      <c r="Z447" s="136">
        <v>0</v>
      </c>
      <c r="AA447" s="136">
        <v>0</v>
      </c>
      <c r="AB447" s="131">
        <v>42233</v>
      </c>
      <c r="AC447" s="134">
        <f t="shared" si="21"/>
        <v>31596.871563981043</v>
      </c>
      <c r="AD447" s="135">
        <v>63.3</v>
      </c>
      <c r="AE447" s="136">
        <f t="shared" si="22"/>
        <v>2149546.4640000002</v>
      </c>
      <c r="AF447" s="137">
        <v>2000081.97</v>
      </c>
      <c r="AG447" s="138">
        <v>63.3</v>
      </c>
      <c r="AH447" s="136" t="s">
        <v>5634</v>
      </c>
      <c r="AI447" s="133">
        <v>33958.080000000002</v>
      </c>
      <c r="AJ447" s="132" t="s">
        <v>4803</v>
      </c>
      <c r="AK447" s="136" t="s">
        <v>5635</v>
      </c>
      <c r="AL447" s="132" t="s">
        <v>4805</v>
      </c>
      <c r="AM447" s="131" t="s">
        <v>49</v>
      </c>
      <c r="AN447" s="133" t="s">
        <v>4440</v>
      </c>
    </row>
    <row r="448" spans="1:40" s="129" customFormat="1" x14ac:dyDescent="0.25">
      <c r="A448" s="130">
        <v>447</v>
      </c>
      <c r="B448" s="130" t="s">
        <v>4428</v>
      </c>
      <c r="C448" s="130" t="s">
        <v>38</v>
      </c>
      <c r="D448" s="136">
        <v>9103650418</v>
      </c>
      <c r="E448" s="132">
        <v>42235</v>
      </c>
      <c r="F448" s="132" t="s">
        <v>5513</v>
      </c>
      <c r="G448" s="132" t="s">
        <v>545</v>
      </c>
      <c r="H448" s="130" t="s">
        <v>4491</v>
      </c>
      <c r="I448" s="132" t="s">
        <v>40</v>
      </c>
      <c r="J448" s="131" t="s">
        <v>4432</v>
      </c>
      <c r="K448" s="132" t="s">
        <v>4433</v>
      </c>
      <c r="L448" s="136">
        <v>2397522</v>
      </c>
      <c r="M448" s="132" t="s">
        <v>4629</v>
      </c>
      <c r="N448" s="136" t="s">
        <v>3741</v>
      </c>
      <c r="O448" s="130" t="s">
        <v>4436</v>
      </c>
      <c r="P448" s="130" t="s">
        <v>4492</v>
      </c>
      <c r="Q448" s="130">
        <v>29161990</v>
      </c>
      <c r="R448" s="136">
        <v>32</v>
      </c>
      <c r="S448" s="130" t="s">
        <v>70</v>
      </c>
      <c r="T448" s="136" t="s">
        <v>44</v>
      </c>
      <c r="U448" s="136" t="s">
        <v>53</v>
      </c>
      <c r="V448" s="136">
        <v>3244</v>
      </c>
      <c r="W448" s="133">
        <f t="shared" si="20"/>
        <v>103808</v>
      </c>
      <c r="X448" s="136">
        <v>34.26</v>
      </c>
      <c r="Y448" s="136">
        <v>5000</v>
      </c>
      <c r="Z448" s="136">
        <v>0</v>
      </c>
      <c r="AA448" s="136">
        <v>0</v>
      </c>
      <c r="AB448" s="131">
        <v>42230</v>
      </c>
      <c r="AC448" s="134">
        <f t="shared" si="21"/>
        <v>98773.739968404436</v>
      </c>
      <c r="AD448" s="135">
        <v>63.3</v>
      </c>
      <c r="AE448" s="136">
        <f t="shared" si="22"/>
        <v>6571046.3999999994</v>
      </c>
      <c r="AF448" s="137">
        <v>6252377.7400000002</v>
      </c>
      <c r="AG448" s="138">
        <v>63.3</v>
      </c>
      <c r="AH448" s="136" t="s">
        <v>5636</v>
      </c>
      <c r="AI448" s="133">
        <v>103808</v>
      </c>
      <c r="AJ448" s="132" t="s">
        <v>4803</v>
      </c>
      <c r="AK448" s="136" t="s">
        <v>5637</v>
      </c>
      <c r="AL448" s="132" t="s">
        <v>4805</v>
      </c>
      <c r="AM448" s="131" t="s">
        <v>49</v>
      </c>
      <c r="AN448" s="136" t="s">
        <v>4440</v>
      </c>
    </row>
    <row r="449" spans="1:40" s="129" customFormat="1" x14ac:dyDescent="0.25">
      <c r="A449" s="136">
        <v>448</v>
      </c>
      <c r="B449" s="130" t="s">
        <v>4428</v>
      </c>
      <c r="C449" s="130" t="s">
        <v>38</v>
      </c>
      <c r="D449" s="136">
        <v>9103650419</v>
      </c>
      <c r="E449" s="132">
        <v>42235</v>
      </c>
      <c r="F449" s="132" t="s">
        <v>5513</v>
      </c>
      <c r="G449" s="132" t="s">
        <v>571</v>
      </c>
      <c r="H449" s="130" t="s">
        <v>4564</v>
      </c>
      <c r="I449" s="132" t="s">
        <v>40</v>
      </c>
      <c r="J449" s="131" t="s">
        <v>4432</v>
      </c>
      <c r="K449" s="132" t="s">
        <v>4433</v>
      </c>
      <c r="L449" s="136">
        <v>2413609</v>
      </c>
      <c r="M449" s="132" t="s">
        <v>5015</v>
      </c>
      <c r="N449" s="136" t="s">
        <v>4867</v>
      </c>
      <c r="O449" s="130" t="s">
        <v>4436</v>
      </c>
      <c r="P449" s="130" t="s">
        <v>90</v>
      </c>
      <c r="Q449" s="130">
        <v>38231190</v>
      </c>
      <c r="R449" s="136">
        <v>10</v>
      </c>
      <c r="S449" s="130" t="s">
        <v>70</v>
      </c>
      <c r="T449" s="136" t="s">
        <v>67</v>
      </c>
      <c r="U449" s="136" t="s">
        <v>53</v>
      </c>
      <c r="V449" s="136">
        <v>820</v>
      </c>
      <c r="W449" s="133">
        <f t="shared" ref="W449:W507" si="23">V449*R449</f>
        <v>8200</v>
      </c>
      <c r="X449" s="136">
        <v>0</v>
      </c>
      <c r="Y449" s="136">
        <v>0</v>
      </c>
      <c r="Z449" s="136">
        <v>0</v>
      </c>
      <c r="AA449" s="136">
        <v>0</v>
      </c>
      <c r="AB449" s="131">
        <v>42233</v>
      </c>
      <c r="AC449" s="134">
        <f t="shared" si="21"/>
        <v>8200</v>
      </c>
      <c r="AD449" s="135">
        <v>63.3</v>
      </c>
      <c r="AE449" s="136">
        <f t="shared" si="22"/>
        <v>519060</v>
      </c>
      <c r="AF449" s="137">
        <v>519060</v>
      </c>
      <c r="AG449" s="138">
        <v>63.3</v>
      </c>
      <c r="AH449" s="136" t="s">
        <v>5638</v>
      </c>
      <c r="AI449" s="133">
        <v>8185</v>
      </c>
      <c r="AJ449" s="132" t="s">
        <v>5013</v>
      </c>
      <c r="AK449" s="136" t="s">
        <v>5639</v>
      </c>
      <c r="AL449" s="132" t="s">
        <v>5021</v>
      </c>
      <c r="AM449" s="131" t="s">
        <v>49</v>
      </c>
      <c r="AN449" s="136" t="s">
        <v>4440</v>
      </c>
    </row>
    <row r="450" spans="1:40" s="129" customFormat="1" x14ac:dyDescent="0.25">
      <c r="A450" s="130">
        <v>449</v>
      </c>
      <c r="B450" s="130" t="s">
        <v>4428</v>
      </c>
      <c r="C450" s="130" t="s">
        <v>38</v>
      </c>
      <c r="D450" s="136">
        <v>9103650420</v>
      </c>
      <c r="E450" s="132">
        <v>42237</v>
      </c>
      <c r="F450" s="132" t="s">
        <v>5513</v>
      </c>
      <c r="G450" s="132" t="s">
        <v>555</v>
      </c>
      <c r="H450" s="130" t="s">
        <v>4556</v>
      </c>
      <c r="I450" s="132" t="s">
        <v>40</v>
      </c>
      <c r="J450" s="131" t="s">
        <v>4432</v>
      </c>
      <c r="K450" s="132" t="s">
        <v>4433</v>
      </c>
      <c r="L450" s="136">
        <v>2418720</v>
      </c>
      <c r="M450" s="132">
        <v>42230</v>
      </c>
      <c r="N450" s="136" t="s">
        <v>4557</v>
      </c>
      <c r="O450" s="130" t="s">
        <v>4436</v>
      </c>
      <c r="P450" s="130" t="s">
        <v>137</v>
      </c>
      <c r="Q450" s="130" t="s">
        <v>4559</v>
      </c>
      <c r="R450" s="136">
        <v>37.875</v>
      </c>
      <c r="S450" s="130" t="s">
        <v>70</v>
      </c>
      <c r="T450" s="136" t="s">
        <v>44</v>
      </c>
      <c r="U450" s="136" t="s">
        <v>53</v>
      </c>
      <c r="V450" s="129">
        <v>0</v>
      </c>
      <c r="W450" s="136">
        <f>(1365*30.375+1415*7.5)</f>
        <v>52074.375</v>
      </c>
      <c r="X450" s="136">
        <v>17.18</v>
      </c>
      <c r="Y450" s="136">
        <v>1120</v>
      </c>
      <c r="Z450" s="136">
        <v>0</v>
      </c>
      <c r="AA450" s="136">
        <v>0</v>
      </c>
      <c r="AB450" s="131">
        <v>42233</v>
      </c>
      <c r="AC450" s="134">
        <f t="shared" si="21"/>
        <v>50937.2</v>
      </c>
      <c r="AD450" s="135">
        <v>63.3</v>
      </c>
      <c r="AE450" s="136">
        <f t="shared" si="22"/>
        <v>3296307.9375</v>
      </c>
      <c r="AF450" s="137">
        <v>3224324.76</v>
      </c>
      <c r="AG450" s="138">
        <v>63.3</v>
      </c>
      <c r="AH450" s="136" t="s">
        <v>5640</v>
      </c>
      <c r="AI450" s="133">
        <v>52029.38</v>
      </c>
      <c r="AJ450" s="132" t="s">
        <v>5440</v>
      </c>
      <c r="AK450" s="136" t="s">
        <v>5641</v>
      </c>
      <c r="AL450" s="132" t="s">
        <v>5006</v>
      </c>
      <c r="AM450" s="131" t="s">
        <v>49</v>
      </c>
      <c r="AN450" s="133" t="s">
        <v>4440</v>
      </c>
    </row>
    <row r="451" spans="1:40" s="129" customFormat="1" x14ac:dyDescent="0.25">
      <c r="A451" s="136">
        <v>450</v>
      </c>
      <c r="B451" s="130" t="s">
        <v>4428</v>
      </c>
      <c r="C451" s="130" t="s">
        <v>38</v>
      </c>
      <c r="D451" s="136">
        <v>9103650421</v>
      </c>
      <c r="E451" s="132">
        <v>42235</v>
      </c>
      <c r="F451" s="132" t="s">
        <v>5513</v>
      </c>
      <c r="G451" s="132" t="s">
        <v>573</v>
      </c>
      <c r="H451" s="130" t="s">
        <v>4463</v>
      </c>
      <c r="I451" s="132" t="s">
        <v>40</v>
      </c>
      <c r="J451" s="131" t="s">
        <v>4432</v>
      </c>
      <c r="K451" s="132" t="s">
        <v>4433</v>
      </c>
      <c r="L451" s="136">
        <v>2419587</v>
      </c>
      <c r="M451" s="132">
        <v>42230</v>
      </c>
      <c r="N451" s="136" t="s">
        <v>4532</v>
      </c>
      <c r="O451" s="130" t="s">
        <v>4436</v>
      </c>
      <c r="P451" s="130" t="s">
        <v>64</v>
      </c>
      <c r="Q451" s="130">
        <v>29161990</v>
      </c>
      <c r="R451" s="136">
        <v>38.840000000000003</v>
      </c>
      <c r="S451" s="130" t="s">
        <v>70</v>
      </c>
      <c r="T451" s="136" t="s">
        <v>44</v>
      </c>
      <c r="U451" s="136" t="s">
        <v>53</v>
      </c>
      <c r="V451" s="136">
        <v>2710</v>
      </c>
      <c r="W451" s="133">
        <f t="shared" si="23"/>
        <v>105256.40000000001</v>
      </c>
      <c r="X451" s="136">
        <v>34.729999999999997</v>
      </c>
      <c r="Y451" s="136">
        <v>720</v>
      </c>
      <c r="Z451" s="136">
        <v>0</v>
      </c>
      <c r="AA451" s="136">
        <v>0</v>
      </c>
      <c r="AB451" s="131">
        <v>42233</v>
      </c>
      <c r="AC451" s="134">
        <f t="shared" si="21"/>
        <v>104501.66998420222</v>
      </c>
      <c r="AD451" s="135">
        <v>63.3</v>
      </c>
      <c r="AE451" s="136">
        <f t="shared" si="22"/>
        <v>6662730.1200000001</v>
      </c>
      <c r="AF451" s="137">
        <v>6614955.71</v>
      </c>
      <c r="AG451" s="138">
        <v>63.3</v>
      </c>
      <c r="AH451" s="136" t="s">
        <v>5642</v>
      </c>
      <c r="AI451" s="136">
        <v>105216.4</v>
      </c>
      <c r="AJ451" s="132" t="s">
        <v>5643</v>
      </c>
      <c r="AK451" s="136" t="s">
        <v>5644</v>
      </c>
      <c r="AL451" s="132" t="s">
        <v>5645</v>
      </c>
      <c r="AM451" s="131" t="s">
        <v>49</v>
      </c>
      <c r="AN451" s="136" t="s">
        <v>4440</v>
      </c>
    </row>
    <row r="452" spans="1:40" s="129" customFormat="1" x14ac:dyDescent="0.25">
      <c r="A452" s="130">
        <v>451</v>
      </c>
      <c r="B452" s="130" t="s">
        <v>4428</v>
      </c>
      <c r="C452" s="130" t="s">
        <v>38</v>
      </c>
      <c r="D452" s="136">
        <v>9103650422</v>
      </c>
      <c r="E452" s="132">
        <v>42235</v>
      </c>
      <c r="F452" s="132" t="s">
        <v>5513</v>
      </c>
      <c r="G452" s="132" t="s">
        <v>569</v>
      </c>
      <c r="H452" s="130" t="s">
        <v>4463</v>
      </c>
      <c r="I452" s="132" t="s">
        <v>40</v>
      </c>
      <c r="J452" s="131" t="s">
        <v>4432</v>
      </c>
      <c r="K452" s="132" t="s">
        <v>4433</v>
      </c>
      <c r="L452" s="136">
        <v>2421953</v>
      </c>
      <c r="M452" s="132">
        <v>42230</v>
      </c>
      <c r="N452" s="136" t="s">
        <v>4532</v>
      </c>
      <c r="O452" s="130" t="s">
        <v>4436</v>
      </c>
      <c r="P452" s="130" t="s">
        <v>64</v>
      </c>
      <c r="Q452" s="130">
        <v>29161990</v>
      </c>
      <c r="R452" s="136">
        <v>38.94</v>
      </c>
      <c r="S452" s="130" t="s">
        <v>70</v>
      </c>
      <c r="T452" s="136" t="s">
        <v>44</v>
      </c>
      <c r="U452" s="136" t="s">
        <v>53</v>
      </c>
      <c r="V452" s="136">
        <v>2710</v>
      </c>
      <c r="W452" s="133">
        <f t="shared" si="23"/>
        <v>105527.4</v>
      </c>
      <c r="X452" s="136">
        <v>34.82</v>
      </c>
      <c r="Y452" s="136">
        <v>720</v>
      </c>
      <c r="Z452" s="136">
        <v>0</v>
      </c>
      <c r="AA452" s="136">
        <v>0</v>
      </c>
      <c r="AB452" s="131">
        <v>42233</v>
      </c>
      <c r="AC452" s="134">
        <f t="shared" si="21"/>
        <v>105271.49698412698</v>
      </c>
      <c r="AD452" s="135">
        <v>63</v>
      </c>
      <c r="AE452" s="136">
        <f t="shared" si="22"/>
        <v>6648226.1999999993</v>
      </c>
      <c r="AF452" s="137">
        <v>6632104.3099999996</v>
      </c>
      <c r="AG452" s="138">
        <v>63.3</v>
      </c>
      <c r="AH452" s="136" t="s">
        <v>5646</v>
      </c>
      <c r="AI452" s="136">
        <v>105527.4</v>
      </c>
      <c r="AJ452" s="132" t="s">
        <v>5405</v>
      </c>
      <c r="AK452" s="136" t="s">
        <v>5647</v>
      </c>
      <c r="AL452" s="132" t="s">
        <v>5407</v>
      </c>
      <c r="AM452" s="131" t="s">
        <v>49</v>
      </c>
      <c r="AN452" s="133" t="s">
        <v>4440</v>
      </c>
    </row>
    <row r="453" spans="1:40" s="129" customFormat="1" x14ac:dyDescent="0.25">
      <c r="A453" s="136">
        <v>452</v>
      </c>
      <c r="B453" s="130" t="s">
        <v>4428</v>
      </c>
      <c r="C453" s="130" t="s">
        <v>38</v>
      </c>
      <c r="D453" s="136">
        <v>9103650423</v>
      </c>
      <c r="E453" s="132">
        <v>42242</v>
      </c>
      <c r="F453" s="132" t="s">
        <v>5513</v>
      </c>
      <c r="G453" s="132" t="s">
        <v>566</v>
      </c>
      <c r="H453" s="130" t="s">
        <v>4463</v>
      </c>
      <c r="I453" s="132" t="s">
        <v>40</v>
      </c>
      <c r="J453" s="131" t="s">
        <v>4432</v>
      </c>
      <c r="K453" s="132" t="s">
        <v>4433</v>
      </c>
      <c r="L453" s="136">
        <v>2421563</v>
      </c>
      <c r="M453" s="132">
        <v>42230</v>
      </c>
      <c r="N453" s="136" t="s">
        <v>5193</v>
      </c>
      <c r="O453" s="130" t="s">
        <v>4436</v>
      </c>
      <c r="P453" s="130" t="s">
        <v>64</v>
      </c>
      <c r="Q453" s="130">
        <v>29051700</v>
      </c>
      <c r="R453" s="136">
        <v>12</v>
      </c>
      <c r="S453" s="130" t="s">
        <v>70</v>
      </c>
      <c r="T453" s="136" t="s">
        <v>44</v>
      </c>
      <c r="U453" s="136" t="s">
        <v>53</v>
      </c>
      <c r="V453" s="136">
        <v>1515</v>
      </c>
      <c r="W453" s="133">
        <f t="shared" si="23"/>
        <v>18180</v>
      </c>
      <c r="X453" s="136">
        <v>8</v>
      </c>
      <c r="Y453" s="136">
        <v>20</v>
      </c>
      <c r="Z453" s="136">
        <v>0</v>
      </c>
      <c r="AA453" s="136">
        <v>360</v>
      </c>
      <c r="AB453" s="131">
        <v>42233</v>
      </c>
      <c r="AC453" s="134">
        <f t="shared" si="21"/>
        <v>18154</v>
      </c>
      <c r="AD453" s="135">
        <v>63.3</v>
      </c>
      <c r="AE453" s="136">
        <f t="shared" si="22"/>
        <v>1150794</v>
      </c>
      <c r="AF453" s="137">
        <v>1149148.2</v>
      </c>
      <c r="AG453" s="138">
        <v>63.3</v>
      </c>
      <c r="AH453" s="136" t="s">
        <v>5648</v>
      </c>
      <c r="AI453" s="136">
        <v>18148.5</v>
      </c>
      <c r="AJ453" s="132" t="s">
        <v>5649</v>
      </c>
      <c r="AK453" s="136" t="s">
        <v>5650</v>
      </c>
      <c r="AL453" s="132" t="s">
        <v>5651</v>
      </c>
      <c r="AM453" s="131" t="s">
        <v>49</v>
      </c>
      <c r="AN453" s="136" t="s">
        <v>4440</v>
      </c>
    </row>
    <row r="454" spans="1:40" s="129" customFormat="1" x14ac:dyDescent="0.25">
      <c r="A454" s="130">
        <v>453</v>
      </c>
      <c r="B454" s="130" t="s">
        <v>4428</v>
      </c>
      <c r="C454" s="130" t="s">
        <v>38</v>
      </c>
      <c r="D454" s="136">
        <v>9103650424</v>
      </c>
      <c r="E454" s="132">
        <v>42235</v>
      </c>
      <c r="F454" s="132" t="s">
        <v>5513</v>
      </c>
      <c r="G454" s="132" t="s">
        <v>561</v>
      </c>
      <c r="H454" s="130" t="s">
        <v>5024</v>
      </c>
      <c r="I454" s="132" t="s">
        <v>40</v>
      </c>
      <c r="J454" s="131" t="s">
        <v>4432</v>
      </c>
      <c r="K454" s="132" t="s">
        <v>4433</v>
      </c>
      <c r="L454" s="136">
        <v>2424208</v>
      </c>
      <c r="M454" s="132">
        <v>42230</v>
      </c>
      <c r="N454" s="136" t="s">
        <v>4473</v>
      </c>
      <c r="O454" s="130" t="s">
        <v>4436</v>
      </c>
      <c r="P454" s="130" t="s">
        <v>2263</v>
      </c>
      <c r="Q454" s="130">
        <v>38237090</v>
      </c>
      <c r="R454" s="136">
        <v>204.82</v>
      </c>
      <c r="S454" s="130" t="s">
        <v>70</v>
      </c>
      <c r="T454" s="136" t="s">
        <v>67</v>
      </c>
      <c r="U454" s="136" t="s">
        <v>1117</v>
      </c>
      <c r="V454" s="136">
        <v>88880</v>
      </c>
      <c r="W454" s="133">
        <f t="shared" si="23"/>
        <v>18204401.599999998</v>
      </c>
      <c r="X454" s="136">
        <v>0</v>
      </c>
      <c r="Y454" s="136">
        <v>0</v>
      </c>
      <c r="Z454" s="136">
        <v>0</v>
      </c>
      <c r="AA454" s="136">
        <v>0</v>
      </c>
      <c r="AB454" s="131">
        <v>42233</v>
      </c>
      <c r="AC454" s="134">
        <f t="shared" si="21"/>
        <v>18204401.600000001</v>
      </c>
      <c r="AD454" s="135">
        <v>1</v>
      </c>
      <c r="AE454" s="136">
        <f t="shared" si="22"/>
        <v>18204401.599999998</v>
      </c>
      <c r="AF454" s="130">
        <v>18204401.600000001</v>
      </c>
      <c r="AG454" s="138">
        <v>1</v>
      </c>
      <c r="AH454" s="136" t="s">
        <v>5652</v>
      </c>
      <c r="AI454" s="136">
        <v>18204401.600000001</v>
      </c>
      <c r="AJ454" s="132">
        <v>42243</v>
      </c>
      <c r="AK454" s="136" t="s">
        <v>5653</v>
      </c>
      <c r="AL454" s="132">
        <v>42244</v>
      </c>
      <c r="AM454" s="132" t="s">
        <v>49</v>
      </c>
      <c r="AN454" s="136" t="s">
        <v>4440</v>
      </c>
    </row>
    <row r="455" spans="1:40" s="129" customFormat="1" x14ac:dyDescent="0.25">
      <c r="A455" s="136">
        <v>454</v>
      </c>
      <c r="B455" s="130" t="s">
        <v>4428</v>
      </c>
      <c r="C455" s="130" t="s">
        <v>38</v>
      </c>
      <c r="D455" s="136">
        <v>9103650425</v>
      </c>
      <c r="E455" s="132">
        <v>42245</v>
      </c>
      <c r="F455" s="132" t="s">
        <v>5513</v>
      </c>
      <c r="G455" s="132" t="s">
        <v>562</v>
      </c>
      <c r="H455" s="130" t="s">
        <v>4446</v>
      </c>
      <c r="I455" s="132" t="s">
        <v>40</v>
      </c>
      <c r="J455" s="131" t="s">
        <v>4432</v>
      </c>
      <c r="K455" s="132" t="s">
        <v>4433</v>
      </c>
      <c r="L455" s="136">
        <v>2440421</v>
      </c>
      <c r="M455" s="132">
        <v>42233</v>
      </c>
      <c r="N455" s="136" t="s">
        <v>4741</v>
      </c>
      <c r="O455" s="130" t="s">
        <v>4436</v>
      </c>
      <c r="P455" s="130" t="s">
        <v>47</v>
      </c>
      <c r="Q455" s="130">
        <v>29051700</v>
      </c>
      <c r="R455" s="136">
        <v>3.6</v>
      </c>
      <c r="S455" s="130" t="s">
        <v>70</v>
      </c>
      <c r="T455" s="136" t="s">
        <v>67</v>
      </c>
      <c r="U455" s="136" t="s">
        <v>53</v>
      </c>
      <c r="V455" s="136">
        <v>1450</v>
      </c>
      <c r="W455" s="133">
        <f t="shared" si="23"/>
        <v>5220</v>
      </c>
      <c r="X455" s="136">
        <v>0</v>
      </c>
      <c r="Y455" s="136">
        <v>0</v>
      </c>
      <c r="Z455" s="136">
        <v>0</v>
      </c>
      <c r="AA455" s="136">
        <v>0</v>
      </c>
      <c r="AB455" s="131">
        <v>42234</v>
      </c>
      <c r="AC455" s="134">
        <f t="shared" si="21"/>
        <v>5220</v>
      </c>
      <c r="AD455" s="135">
        <v>63.3</v>
      </c>
      <c r="AE455" s="136">
        <f t="shared" si="22"/>
        <v>330426</v>
      </c>
      <c r="AF455" s="137">
        <v>330426</v>
      </c>
      <c r="AG455" s="138">
        <v>63.3</v>
      </c>
      <c r="AH455" s="136" t="s">
        <v>5654</v>
      </c>
      <c r="AI455" s="136">
        <v>5210</v>
      </c>
      <c r="AJ455" s="132">
        <v>42411</v>
      </c>
      <c r="AK455" s="136" t="s">
        <v>5655</v>
      </c>
      <c r="AL455" s="132">
        <v>42412</v>
      </c>
      <c r="AM455" s="131" t="s">
        <v>49</v>
      </c>
      <c r="AN455" s="136" t="s">
        <v>4440</v>
      </c>
    </row>
    <row r="456" spans="1:40" s="129" customFormat="1" x14ac:dyDescent="0.25">
      <c r="A456" s="130">
        <v>455</v>
      </c>
      <c r="B456" s="130" t="s">
        <v>4428</v>
      </c>
      <c r="C456" s="130" t="s">
        <v>38</v>
      </c>
      <c r="D456" s="136">
        <v>9103650426</v>
      </c>
      <c r="E456" s="132">
        <v>42239</v>
      </c>
      <c r="F456" s="132" t="s">
        <v>5513</v>
      </c>
      <c r="G456" s="132" t="s">
        <v>570</v>
      </c>
      <c r="H456" s="130" t="s">
        <v>4564</v>
      </c>
      <c r="I456" s="132" t="s">
        <v>40</v>
      </c>
      <c r="J456" s="131" t="s">
        <v>4432</v>
      </c>
      <c r="K456" s="132" t="s">
        <v>4433</v>
      </c>
      <c r="L456" s="136">
        <v>2444980</v>
      </c>
      <c r="M456" s="132">
        <v>42233</v>
      </c>
      <c r="N456" s="136" t="s">
        <v>5337</v>
      </c>
      <c r="O456" s="130" t="s">
        <v>4436</v>
      </c>
      <c r="P456" s="130" t="s">
        <v>143</v>
      </c>
      <c r="Q456" s="130">
        <v>38237090</v>
      </c>
      <c r="R456" s="136">
        <v>12</v>
      </c>
      <c r="S456" s="130" t="s">
        <v>70</v>
      </c>
      <c r="T456" s="136" t="s">
        <v>52</v>
      </c>
      <c r="U456" s="136" t="s">
        <v>53</v>
      </c>
      <c r="V456" s="136">
        <v>1325</v>
      </c>
      <c r="W456" s="133">
        <f t="shared" si="23"/>
        <v>15900</v>
      </c>
      <c r="X456" s="136">
        <v>0</v>
      </c>
      <c r="Y456" s="136">
        <v>567</v>
      </c>
      <c r="Z456" s="136">
        <v>0</v>
      </c>
      <c r="AA456" s="136">
        <v>180</v>
      </c>
      <c r="AB456" s="131">
        <v>42234</v>
      </c>
      <c r="AC456" s="134">
        <f t="shared" si="21"/>
        <v>15333.000000000002</v>
      </c>
      <c r="AD456" s="135">
        <v>63.3</v>
      </c>
      <c r="AE456" s="136">
        <f t="shared" si="22"/>
        <v>1006470</v>
      </c>
      <c r="AF456" s="137">
        <v>970578.9</v>
      </c>
      <c r="AG456" s="138">
        <v>63.3</v>
      </c>
      <c r="AH456" s="136" t="s">
        <v>5656</v>
      </c>
      <c r="AI456" s="136">
        <v>15888</v>
      </c>
      <c r="AJ456" s="132">
        <v>42262</v>
      </c>
      <c r="AK456" s="136" t="s">
        <v>5657</v>
      </c>
      <c r="AL456" s="132">
        <v>42290</v>
      </c>
      <c r="AM456" s="131" t="s">
        <v>49</v>
      </c>
      <c r="AN456" s="133" t="s">
        <v>4440</v>
      </c>
    </row>
    <row r="457" spans="1:40" s="129" customFormat="1" x14ac:dyDescent="0.25">
      <c r="A457" s="136">
        <v>456</v>
      </c>
      <c r="B457" s="130" t="s">
        <v>4428</v>
      </c>
      <c r="C457" s="130" t="s">
        <v>38</v>
      </c>
      <c r="D457" s="136">
        <v>9103650427</v>
      </c>
      <c r="E457" s="132">
        <v>42244</v>
      </c>
      <c r="F457" s="132" t="s">
        <v>5513</v>
      </c>
      <c r="G457" s="132" t="s">
        <v>565</v>
      </c>
      <c r="H457" s="130" t="s">
        <v>4463</v>
      </c>
      <c r="I457" s="132" t="s">
        <v>40</v>
      </c>
      <c r="J457" s="131" t="s">
        <v>4432</v>
      </c>
      <c r="K457" s="132" t="s">
        <v>4433</v>
      </c>
      <c r="L457" s="136">
        <v>2469405</v>
      </c>
      <c r="M457" s="132">
        <v>42234</v>
      </c>
      <c r="N457" s="136" t="s">
        <v>4443</v>
      </c>
      <c r="O457" s="130" t="s">
        <v>4436</v>
      </c>
      <c r="P457" s="130" t="s">
        <v>790</v>
      </c>
      <c r="Q457" s="130">
        <v>38237090</v>
      </c>
      <c r="R457" s="136">
        <v>26</v>
      </c>
      <c r="S457" s="130" t="s">
        <v>70</v>
      </c>
      <c r="T457" s="136" t="s">
        <v>44</v>
      </c>
      <c r="U457" s="136" t="s">
        <v>53</v>
      </c>
      <c r="V457" s="136">
        <v>1442.5</v>
      </c>
      <c r="W457" s="133">
        <f t="shared" si="23"/>
        <v>37505</v>
      </c>
      <c r="X457" s="136">
        <v>12.38</v>
      </c>
      <c r="Y457" s="136">
        <v>900</v>
      </c>
      <c r="Z457" s="136">
        <v>0</v>
      </c>
      <c r="AA457" s="136">
        <v>0</v>
      </c>
      <c r="AB457" s="131">
        <v>42235</v>
      </c>
      <c r="AC457" s="134">
        <f t="shared" si="21"/>
        <v>36592.620063191156</v>
      </c>
      <c r="AD457" s="135">
        <v>63.3</v>
      </c>
      <c r="AE457" s="136">
        <f t="shared" si="22"/>
        <v>2374066.5</v>
      </c>
      <c r="AF457" s="137">
        <v>2316312.85</v>
      </c>
      <c r="AG457" s="138">
        <v>63.3</v>
      </c>
      <c r="AH457" s="136" t="s">
        <v>5658</v>
      </c>
      <c r="AI457" s="136">
        <v>37505</v>
      </c>
      <c r="AJ457" s="132">
        <v>42290</v>
      </c>
      <c r="AK457" s="136" t="s">
        <v>5659</v>
      </c>
      <c r="AL457" s="132" t="s">
        <v>5660</v>
      </c>
      <c r="AM457" s="131" t="s">
        <v>49</v>
      </c>
      <c r="AN457" s="136" t="s">
        <v>4440</v>
      </c>
    </row>
    <row r="458" spans="1:40" s="129" customFormat="1" x14ac:dyDescent="0.25">
      <c r="A458" s="130">
        <v>457</v>
      </c>
      <c r="B458" s="130" t="s">
        <v>4428</v>
      </c>
      <c r="C458" s="130" t="s">
        <v>38</v>
      </c>
      <c r="D458" s="136">
        <v>9103650428</v>
      </c>
      <c r="E458" s="132">
        <v>42244</v>
      </c>
      <c r="F458" s="132" t="s">
        <v>5513</v>
      </c>
      <c r="G458" s="132" t="s">
        <v>572</v>
      </c>
      <c r="H458" s="130" t="s">
        <v>4463</v>
      </c>
      <c r="I458" s="132" t="s">
        <v>40</v>
      </c>
      <c r="J458" s="131" t="s">
        <v>4432</v>
      </c>
      <c r="K458" s="132" t="s">
        <v>4433</v>
      </c>
      <c r="L458" s="136">
        <v>2469378</v>
      </c>
      <c r="M458" s="132">
        <v>42234</v>
      </c>
      <c r="N458" s="136" t="s">
        <v>5661</v>
      </c>
      <c r="O458" s="130" t="s">
        <v>4436</v>
      </c>
      <c r="P458" s="130" t="s">
        <v>790</v>
      </c>
      <c r="Q458" s="130">
        <v>38237090</v>
      </c>
      <c r="R458" s="136">
        <v>24</v>
      </c>
      <c r="S458" s="130" t="s">
        <v>70</v>
      </c>
      <c r="T458" s="136" t="s">
        <v>44</v>
      </c>
      <c r="U458" s="136" t="s">
        <v>53</v>
      </c>
      <c r="V458" s="136">
        <v>1440</v>
      </c>
      <c r="W458" s="133">
        <f t="shared" si="23"/>
        <v>34560</v>
      </c>
      <c r="X458" s="136">
        <v>11.4</v>
      </c>
      <c r="Y458" s="136">
        <v>900</v>
      </c>
      <c r="Z458" s="136">
        <v>0</v>
      </c>
      <c r="AA458" s="136">
        <v>0</v>
      </c>
      <c r="AB458" s="131">
        <v>42235</v>
      </c>
      <c r="AC458" s="134">
        <f t="shared" si="21"/>
        <v>33648.6</v>
      </c>
      <c r="AD458" s="135">
        <v>63.3</v>
      </c>
      <c r="AE458" s="136">
        <f t="shared" si="22"/>
        <v>2187648</v>
      </c>
      <c r="AF458" s="137">
        <v>2129956.38</v>
      </c>
      <c r="AG458" s="138">
        <v>63.3</v>
      </c>
      <c r="AH458" s="136" t="s">
        <v>5662</v>
      </c>
      <c r="AI458" s="136">
        <v>34560</v>
      </c>
      <c r="AJ458" s="132">
        <v>42297</v>
      </c>
      <c r="AK458" s="136" t="s">
        <v>5663</v>
      </c>
      <c r="AL458" s="132">
        <v>42297</v>
      </c>
      <c r="AM458" s="131" t="s">
        <v>49</v>
      </c>
      <c r="AN458" s="136" t="s">
        <v>4440</v>
      </c>
    </row>
    <row r="459" spans="1:40" s="129" customFormat="1" x14ac:dyDescent="0.25">
      <c r="A459" s="136">
        <v>458</v>
      </c>
      <c r="B459" s="130" t="s">
        <v>4428</v>
      </c>
      <c r="C459" s="130" t="s">
        <v>38</v>
      </c>
      <c r="D459" s="136">
        <v>9103650429</v>
      </c>
      <c r="E459" s="132">
        <v>42239</v>
      </c>
      <c r="F459" s="132" t="s">
        <v>5513</v>
      </c>
      <c r="G459" s="132" t="s">
        <v>556</v>
      </c>
      <c r="H459" s="130" t="s">
        <v>4456</v>
      </c>
      <c r="I459" s="132" t="s">
        <v>40</v>
      </c>
      <c r="J459" s="131" t="s">
        <v>4432</v>
      </c>
      <c r="K459" s="132" t="s">
        <v>4433</v>
      </c>
      <c r="L459" s="136">
        <v>2474524</v>
      </c>
      <c r="M459" s="132">
        <v>42234</v>
      </c>
      <c r="N459" s="136" t="s">
        <v>4527</v>
      </c>
      <c r="O459" s="130" t="s">
        <v>4436</v>
      </c>
      <c r="P459" s="130" t="s">
        <v>62</v>
      </c>
      <c r="Q459" s="130" t="s">
        <v>4559</v>
      </c>
      <c r="R459" s="136">
        <v>12</v>
      </c>
      <c r="S459" s="130" t="s">
        <v>70</v>
      </c>
      <c r="T459" s="136" t="s">
        <v>52</v>
      </c>
      <c r="U459" s="136" t="s">
        <v>53</v>
      </c>
      <c r="W459" s="136">
        <f>(1315*7.8+1474*4.2)</f>
        <v>16447.8</v>
      </c>
      <c r="X459" s="136">
        <v>0</v>
      </c>
      <c r="Y459" s="136">
        <v>600</v>
      </c>
      <c r="Z459" s="136">
        <v>0</v>
      </c>
      <c r="AA459" s="136">
        <v>0</v>
      </c>
      <c r="AB459" s="131">
        <v>42237</v>
      </c>
      <c r="AC459" s="134">
        <f t="shared" si="21"/>
        <v>15847.800000000001</v>
      </c>
      <c r="AD459" s="135">
        <v>63.3</v>
      </c>
      <c r="AE459" s="136">
        <f t="shared" si="22"/>
        <v>1041145.7399999999</v>
      </c>
      <c r="AF459" s="137">
        <v>1003165.74</v>
      </c>
      <c r="AG459" s="138">
        <v>64.7</v>
      </c>
      <c r="AH459" s="136" t="s">
        <v>5664</v>
      </c>
      <c r="AI459" s="133">
        <v>16437.8</v>
      </c>
      <c r="AJ459" s="132">
        <v>42304</v>
      </c>
      <c r="AK459" s="136" t="s">
        <v>5665</v>
      </c>
      <c r="AL459" s="132">
        <v>42304</v>
      </c>
      <c r="AM459" s="131" t="s">
        <v>49</v>
      </c>
      <c r="AN459" s="133" t="s">
        <v>4440</v>
      </c>
    </row>
    <row r="460" spans="1:40" s="129" customFormat="1" x14ac:dyDescent="0.25">
      <c r="A460" s="130">
        <v>459</v>
      </c>
      <c r="B460" s="130" t="s">
        <v>4428</v>
      </c>
      <c r="C460" s="130" t="s">
        <v>38</v>
      </c>
      <c r="D460" s="136">
        <v>9103650430</v>
      </c>
      <c r="E460" s="132">
        <v>42240</v>
      </c>
      <c r="F460" s="132" t="s">
        <v>5513</v>
      </c>
      <c r="G460" s="132" t="s">
        <v>2922</v>
      </c>
      <c r="H460" s="130" t="s">
        <v>4431</v>
      </c>
      <c r="I460" s="132" t="s">
        <v>40</v>
      </c>
      <c r="J460" s="131" t="s">
        <v>4432</v>
      </c>
      <c r="K460" s="132" t="s">
        <v>4433</v>
      </c>
      <c r="L460" s="136">
        <v>2474531</v>
      </c>
      <c r="M460" s="132">
        <v>42234</v>
      </c>
      <c r="N460" s="136" t="s">
        <v>5666</v>
      </c>
      <c r="O460" s="130" t="s">
        <v>4436</v>
      </c>
      <c r="P460" s="130" t="s">
        <v>4474</v>
      </c>
      <c r="Q460" s="130">
        <v>38237090</v>
      </c>
      <c r="R460" s="136">
        <v>168.7</v>
      </c>
      <c r="S460" s="130" t="s">
        <v>70</v>
      </c>
      <c r="T460" s="136" t="s">
        <v>52</v>
      </c>
      <c r="U460" s="136" t="s">
        <v>1117</v>
      </c>
      <c r="V460" s="136">
        <v>87832</v>
      </c>
      <c r="W460" s="133">
        <f t="shared" si="23"/>
        <v>14817258.399999999</v>
      </c>
      <c r="X460" s="136">
        <v>0</v>
      </c>
      <c r="Y460" s="136">
        <v>398790</v>
      </c>
      <c r="Z460" s="136">
        <v>0</v>
      </c>
      <c r="AA460" s="136">
        <v>216331.97</v>
      </c>
      <c r="AB460" s="131">
        <v>42235</v>
      </c>
      <c r="AC460" s="134">
        <f t="shared" si="21"/>
        <v>14418468.4</v>
      </c>
      <c r="AD460" s="135">
        <v>1</v>
      </c>
      <c r="AE460" s="136">
        <f t="shared" si="22"/>
        <v>14817258.399999999</v>
      </c>
      <c r="AF460" s="130">
        <v>14418468.4</v>
      </c>
      <c r="AG460" s="138">
        <v>1</v>
      </c>
      <c r="AH460" s="136" t="s">
        <v>5667</v>
      </c>
      <c r="AI460" s="136">
        <v>14817258.4</v>
      </c>
      <c r="AJ460" s="132">
        <v>42278</v>
      </c>
      <c r="AK460" s="136" t="s">
        <v>5668</v>
      </c>
      <c r="AL460" s="132">
        <v>42280</v>
      </c>
      <c r="AM460" s="131" t="s">
        <v>49</v>
      </c>
      <c r="AN460" s="136" t="s">
        <v>4440</v>
      </c>
    </row>
    <row r="461" spans="1:40" s="129" customFormat="1" x14ac:dyDescent="0.25">
      <c r="A461" s="136">
        <v>460</v>
      </c>
      <c r="B461" s="130" t="s">
        <v>4428</v>
      </c>
      <c r="C461" s="130" t="s">
        <v>38</v>
      </c>
      <c r="D461" s="136">
        <v>9103650430</v>
      </c>
      <c r="E461" s="132">
        <v>42240</v>
      </c>
      <c r="F461" s="132" t="s">
        <v>5513</v>
      </c>
      <c r="G461" s="132" t="s">
        <v>560</v>
      </c>
      <c r="H461" s="130" t="s">
        <v>4431</v>
      </c>
      <c r="I461" s="132" t="s">
        <v>40</v>
      </c>
      <c r="J461" s="131" t="s">
        <v>4432</v>
      </c>
      <c r="K461" s="132" t="s">
        <v>4433</v>
      </c>
      <c r="L461" s="136">
        <v>2475827</v>
      </c>
      <c r="M461" s="132">
        <v>42234</v>
      </c>
      <c r="N461" s="136" t="s">
        <v>5666</v>
      </c>
      <c r="O461" s="130" t="s">
        <v>4436</v>
      </c>
      <c r="P461" s="130" t="s">
        <v>4474</v>
      </c>
      <c r="Q461" s="130">
        <v>38237090</v>
      </c>
      <c r="R461" s="136">
        <v>37.36</v>
      </c>
      <c r="S461" s="130" t="s">
        <v>70</v>
      </c>
      <c r="T461" s="136" t="s">
        <v>52</v>
      </c>
      <c r="U461" s="136" t="s">
        <v>1117</v>
      </c>
      <c r="V461" s="136">
        <v>87832</v>
      </c>
      <c r="W461" s="133">
        <f t="shared" si="23"/>
        <v>3281403.52</v>
      </c>
      <c r="X461" s="136">
        <v>0</v>
      </c>
      <c r="Y461" s="136">
        <v>88620</v>
      </c>
      <c r="Z461" s="136">
        <v>0</v>
      </c>
      <c r="AA461" s="136">
        <v>47908.49</v>
      </c>
      <c r="AB461" s="131">
        <v>42235</v>
      </c>
      <c r="AC461" s="134">
        <v>3192783.52</v>
      </c>
      <c r="AD461" s="135">
        <v>1</v>
      </c>
      <c r="AE461" s="136">
        <f t="shared" si="22"/>
        <v>3281403.52</v>
      </c>
      <c r="AF461" s="130">
        <v>3192783.52</v>
      </c>
      <c r="AG461" s="138">
        <v>1</v>
      </c>
      <c r="AH461" s="136" t="s">
        <v>5667</v>
      </c>
      <c r="AI461" s="136">
        <v>3259985.36</v>
      </c>
      <c r="AJ461" s="132">
        <v>42278</v>
      </c>
      <c r="AK461" s="136" t="s">
        <v>5669</v>
      </c>
      <c r="AL461" s="132">
        <v>42280</v>
      </c>
      <c r="AM461" s="131" t="s">
        <v>49</v>
      </c>
      <c r="AN461" s="136" t="s">
        <v>4440</v>
      </c>
    </row>
    <row r="462" spans="1:40" s="129" customFormat="1" x14ac:dyDescent="0.25">
      <c r="A462" s="130">
        <v>461</v>
      </c>
      <c r="B462" s="130" t="s">
        <v>4428</v>
      </c>
      <c r="C462" s="130" t="s">
        <v>38</v>
      </c>
      <c r="D462" s="136">
        <v>9103650431</v>
      </c>
      <c r="E462" s="132">
        <v>42240</v>
      </c>
      <c r="F462" s="132" t="s">
        <v>5513</v>
      </c>
      <c r="G462" s="132" t="s">
        <v>588</v>
      </c>
      <c r="H462" s="130" t="s">
        <v>4564</v>
      </c>
      <c r="I462" s="132" t="s">
        <v>40</v>
      </c>
      <c r="J462" s="131" t="s">
        <v>4432</v>
      </c>
      <c r="K462" s="132" t="s">
        <v>4433</v>
      </c>
      <c r="L462" s="136">
        <v>2495594</v>
      </c>
      <c r="M462" s="132">
        <v>42235</v>
      </c>
      <c r="N462" s="136" t="s">
        <v>4579</v>
      </c>
      <c r="O462" s="130" t="s">
        <v>4436</v>
      </c>
      <c r="P462" s="130" t="s">
        <v>4566</v>
      </c>
      <c r="Q462" s="130">
        <v>38231200</v>
      </c>
      <c r="R462" s="136">
        <v>19.53</v>
      </c>
      <c r="S462" s="130" t="s">
        <v>70</v>
      </c>
      <c r="T462" s="136" t="s">
        <v>44</v>
      </c>
      <c r="U462" s="136" t="s">
        <v>53</v>
      </c>
      <c r="V462" s="136">
        <v>1145</v>
      </c>
      <c r="W462" s="133">
        <f t="shared" si="23"/>
        <v>22361.850000000002</v>
      </c>
      <c r="X462" s="136">
        <v>7.38</v>
      </c>
      <c r="Y462" s="136">
        <v>425</v>
      </c>
      <c r="Z462" s="136">
        <v>0</v>
      </c>
      <c r="AA462" s="136">
        <v>0</v>
      </c>
      <c r="AB462" s="131">
        <v>42236</v>
      </c>
      <c r="AC462" s="134">
        <f t="shared" si="21"/>
        <v>21929.470142180096</v>
      </c>
      <c r="AD462" s="135">
        <v>63.3</v>
      </c>
      <c r="AE462" s="136">
        <f t="shared" si="22"/>
        <v>1415505.105</v>
      </c>
      <c r="AF462" s="137">
        <v>1388135.46</v>
      </c>
      <c r="AG462" s="138">
        <v>63.3</v>
      </c>
      <c r="AH462" s="136" t="s">
        <v>5670</v>
      </c>
      <c r="AI462" s="136">
        <v>22349.85</v>
      </c>
      <c r="AJ462" s="132">
        <v>42261</v>
      </c>
      <c r="AK462" s="136" t="s">
        <v>5671</v>
      </c>
      <c r="AL462" s="132">
        <v>42311</v>
      </c>
      <c r="AM462" s="131" t="s">
        <v>49</v>
      </c>
      <c r="AN462" s="136" t="s">
        <v>4440</v>
      </c>
    </row>
    <row r="463" spans="1:40" s="129" customFormat="1" x14ac:dyDescent="0.25">
      <c r="A463" s="136">
        <v>462</v>
      </c>
      <c r="B463" s="130" t="s">
        <v>4428</v>
      </c>
      <c r="C463" s="130" t="s">
        <v>38</v>
      </c>
      <c r="D463" s="136">
        <v>9103650432</v>
      </c>
      <c r="E463" s="132">
        <v>42239</v>
      </c>
      <c r="F463" s="132" t="s">
        <v>5513</v>
      </c>
      <c r="G463" s="132" t="s">
        <v>585</v>
      </c>
      <c r="H463" s="130" t="s">
        <v>4463</v>
      </c>
      <c r="I463" s="132" t="s">
        <v>40</v>
      </c>
      <c r="J463" s="131" t="s">
        <v>4432</v>
      </c>
      <c r="K463" s="132" t="s">
        <v>4433</v>
      </c>
      <c r="L463" s="136">
        <v>2498271</v>
      </c>
      <c r="M463" s="132">
        <v>42235</v>
      </c>
      <c r="N463" s="136" t="s">
        <v>4570</v>
      </c>
      <c r="O463" s="130" t="s">
        <v>4436</v>
      </c>
      <c r="P463" s="130" t="s">
        <v>143</v>
      </c>
      <c r="Q463" s="130" t="s">
        <v>4559</v>
      </c>
      <c r="R463" s="136">
        <v>16</v>
      </c>
      <c r="S463" s="130" t="s">
        <v>70</v>
      </c>
      <c r="T463" s="136" t="s">
        <v>44</v>
      </c>
      <c r="U463" s="136" t="s">
        <v>53</v>
      </c>
      <c r="V463" s="136"/>
      <c r="W463" s="133">
        <f>(1407*14+1508*2)</f>
        <v>22714</v>
      </c>
      <c r="X463" s="136">
        <v>7.5</v>
      </c>
      <c r="Y463" s="136">
        <v>567</v>
      </c>
      <c r="Z463" s="136">
        <v>0</v>
      </c>
      <c r="AA463" s="136">
        <v>0</v>
      </c>
      <c r="AB463" s="131">
        <v>42237</v>
      </c>
      <c r="AC463" s="134">
        <f t="shared" si="21"/>
        <v>22139.500000000004</v>
      </c>
      <c r="AD463" s="135">
        <v>63.3</v>
      </c>
      <c r="AE463" s="136">
        <f t="shared" si="22"/>
        <v>1437796.2</v>
      </c>
      <c r="AF463" s="137">
        <v>1401430.35</v>
      </c>
      <c r="AG463" s="138">
        <v>64.7</v>
      </c>
      <c r="AH463" s="136" t="s">
        <v>5672</v>
      </c>
      <c r="AI463" s="136">
        <v>22714</v>
      </c>
      <c r="AJ463" s="132" t="s">
        <v>5001</v>
      </c>
      <c r="AK463" s="136" t="s">
        <v>5673</v>
      </c>
      <c r="AL463" s="132" t="s">
        <v>5399</v>
      </c>
      <c r="AM463" s="131" t="s">
        <v>49</v>
      </c>
      <c r="AN463" s="136" t="s">
        <v>4440</v>
      </c>
    </row>
    <row r="464" spans="1:40" s="129" customFormat="1" x14ac:dyDescent="0.25">
      <c r="A464" s="130">
        <v>463</v>
      </c>
      <c r="B464" s="130" t="s">
        <v>4428</v>
      </c>
      <c r="C464" s="130" t="s">
        <v>38</v>
      </c>
      <c r="D464" s="136" t="s">
        <v>5674</v>
      </c>
      <c r="E464" s="132">
        <v>42242</v>
      </c>
      <c r="F464" s="132" t="s">
        <v>5513</v>
      </c>
      <c r="G464" s="132" t="s">
        <v>563</v>
      </c>
      <c r="H464" s="130" t="s">
        <v>4446</v>
      </c>
      <c r="I464" s="132" t="s">
        <v>40</v>
      </c>
      <c r="J464" s="131" t="s">
        <v>4432</v>
      </c>
      <c r="K464" s="132" t="s">
        <v>4433</v>
      </c>
      <c r="L464" s="136">
        <v>2498262</v>
      </c>
      <c r="M464" s="132">
        <v>42235</v>
      </c>
      <c r="N464" s="136" t="s">
        <v>4733</v>
      </c>
      <c r="O464" s="130" t="s">
        <v>4436</v>
      </c>
      <c r="P464" s="130" t="s">
        <v>492</v>
      </c>
      <c r="Q464" s="130">
        <v>29157010</v>
      </c>
      <c r="R464" s="136">
        <v>38.82</v>
      </c>
      <c r="S464" s="130" t="s">
        <v>70</v>
      </c>
      <c r="T464" s="136" t="s">
        <v>44</v>
      </c>
      <c r="U464" s="136" t="s">
        <v>53</v>
      </c>
      <c r="V464" s="136">
        <v>794</v>
      </c>
      <c r="W464" s="133">
        <f t="shared" si="23"/>
        <v>30823.08</v>
      </c>
      <c r="X464" s="136">
        <v>10.17</v>
      </c>
      <c r="Y464" s="136">
        <v>600</v>
      </c>
      <c r="Z464" s="136">
        <v>0</v>
      </c>
      <c r="AA464" s="136">
        <v>0</v>
      </c>
      <c r="AB464" s="131"/>
      <c r="AC464" s="134">
        <f t="shared" si="21"/>
        <v>30212.909952606635</v>
      </c>
      <c r="AD464" s="135">
        <v>63.3</v>
      </c>
      <c r="AE464" s="136">
        <f t="shared" si="22"/>
        <v>1951100.9639999999</v>
      </c>
      <c r="AF464" s="137">
        <v>1912477.2</v>
      </c>
      <c r="AG464" s="138">
        <v>63.3</v>
      </c>
      <c r="AH464" s="136" t="s">
        <v>5675</v>
      </c>
      <c r="AI464" s="136">
        <v>30823.08</v>
      </c>
      <c r="AJ464" s="132" t="s">
        <v>5676</v>
      </c>
      <c r="AK464" s="136" t="s">
        <v>5677</v>
      </c>
      <c r="AL464" s="132" t="s">
        <v>5678</v>
      </c>
      <c r="AM464" s="131" t="s">
        <v>49</v>
      </c>
      <c r="AN464" s="136" t="s">
        <v>4440</v>
      </c>
    </row>
    <row r="465" spans="1:40" s="129" customFormat="1" x14ac:dyDescent="0.25">
      <c r="A465" s="136">
        <v>464</v>
      </c>
      <c r="B465" s="130" t="s">
        <v>4428</v>
      </c>
      <c r="C465" s="130" t="s">
        <v>38</v>
      </c>
      <c r="D465" s="136" t="s">
        <v>5674</v>
      </c>
      <c r="E465" s="132">
        <v>42242</v>
      </c>
      <c r="F465" s="132" t="s">
        <v>5513</v>
      </c>
      <c r="G465" s="132" t="s">
        <v>575</v>
      </c>
      <c r="H465" s="130" t="s">
        <v>4446</v>
      </c>
      <c r="I465" s="132" t="s">
        <v>40</v>
      </c>
      <c r="J465" s="131" t="s">
        <v>4432</v>
      </c>
      <c r="K465" s="132" t="s">
        <v>4433</v>
      </c>
      <c r="L465" s="136">
        <v>2509654</v>
      </c>
      <c r="M465" s="132" t="s">
        <v>5132</v>
      </c>
      <c r="N465" s="136" t="s">
        <v>4733</v>
      </c>
      <c r="O465" s="130" t="s">
        <v>4436</v>
      </c>
      <c r="P465" s="130" t="s">
        <v>492</v>
      </c>
      <c r="Q465" s="130">
        <v>29157010</v>
      </c>
      <c r="R465" s="136">
        <v>19.61</v>
      </c>
      <c r="S465" s="130" t="s">
        <v>70</v>
      </c>
      <c r="T465" s="136" t="s">
        <v>44</v>
      </c>
      <c r="U465" s="136" t="s">
        <v>53</v>
      </c>
      <c r="V465" s="136">
        <v>794</v>
      </c>
      <c r="W465" s="133">
        <f t="shared" si="23"/>
        <v>15570.34</v>
      </c>
      <c r="X465" s="136">
        <v>5.14</v>
      </c>
      <c r="Y465" s="136">
        <v>300</v>
      </c>
      <c r="Z465" s="136">
        <v>0</v>
      </c>
      <c r="AA465" s="136">
        <v>0</v>
      </c>
      <c r="AB465" s="131"/>
      <c r="AC465" s="134">
        <f t="shared" si="21"/>
        <v>15265.2</v>
      </c>
      <c r="AD465" s="135">
        <v>63.3</v>
      </c>
      <c r="AE465" s="136">
        <f t="shared" si="22"/>
        <v>985602.522</v>
      </c>
      <c r="AF465" s="137">
        <v>966287.16</v>
      </c>
      <c r="AG465" s="138">
        <v>63.3</v>
      </c>
      <c r="AH465" s="136" t="s">
        <v>5675</v>
      </c>
      <c r="AI465" s="136">
        <v>15570.34</v>
      </c>
      <c r="AJ465" s="132" t="s">
        <v>5676</v>
      </c>
      <c r="AK465" s="136" t="s">
        <v>5679</v>
      </c>
      <c r="AL465" s="132" t="s">
        <v>5678</v>
      </c>
      <c r="AM465" s="131" t="s">
        <v>49</v>
      </c>
      <c r="AN465" s="136" t="s">
        <v>4440</v>
      </c>
    </row>
    <row r="466" spans="1:40" s="129" customFormat="1" x14ac:dyDescent="0.25">
      <c r="A466" s="130">
        <v>465</v>
      </c>
      <c r="B466" s="130" t="s">
        <v>4428</v>
      </c>
      <c r="C466" s="130" t="s">
        <v>38</v>
      </c>
      <c r="D466" s="136" t="s">
        <v>5674</v>
      </c>
      <c r="E466" s="132">
        <v>42242</v>
      </c>
      <c r="F466" s="132" t="s">
        <v>5513</v>
      </c>
      <c r="G466" s="132" t="s">
        <v>576</v>
      </c>
      <c r="H466" s="130" t="s">
        <v>4446</v>
      </c>
      <c r="I466" s="132" t="s">
        <v>40</v>
      </c>
      <c r="J466" s="131" t="s">
        <v>4432</v>
      </c>
      <c r="K466" s="132" t="s">
        <v>4433</v>
      </c>
      <c r="L466" s="136">
        <v>2517350</v>
      </c>
      <c r="M466" s="132" t="s">
        <v>5132</v>
      </c>
      <c r="N466" s="136" t="s">
        <v>4733</v>
      </c>
      <c r="O466" s="130" t="s">
        <v>4436</v>
      </c>
      <c r="P466" s="130" t="s">
        <v>492</v>
      </c>
      <c r="Q466" s="130">
        <v>29157010</v>
      </c>
      <c r="R466" s="136">
        <v>19.420000000000002</v>
      </c>
      <c r="S466" s="130" t="s">
        <v>70</v>
      </c>
      <c r="T466" s="136" t="s">
        <v>44</v>
      </c>
      <c r="U466" s="136" t="s">
        <v>53</v>
      </c>
      <c r="V466" s="136">
        <v>794</v>
      </c>
      <c r="W466" s="133">
        <f t="shared" si="23"/>
        <v>15419.480000000001</v>
      </c>
      <c r="X466" s="136">
        <v>5.09</v>
      </c>
      <c r="Y466" s="136">
        <v>300</v>
      </c>
      <c r="Z466" s="136">
        <v>0</v>
      </c>
      <c r="AA466" s="136">
        <v>0</v>
      </c>
      <c r="AB466" s="131"/>
      <c r="AC466" s="134">
        <f t="shared" si="21"/>
        <v>15114.389889415483</v>
      </c>
      <c r="AD466" s="135">
        <v>63.3</v>
      </c>
      <c r="AE466" s="136">
        <f t="shared" si="22"/>
        <v>976053.08400000003</v>
      </c>
      <c r="AF466" s="137">
        <v>956740.88</v>
      </c>
      <c r="AG466" s="138">
        <v>63.3</v>
      </c>
      <c r="AH466" s="136" t="s">
        <v>5675</v>
      </c>
      <c r="AI466" s="136">
        <v>15419.48</v>
      </c>
      <c r="AJ466" s="132" t="s">
        <v>5676</v>
      </c>
      <c r="AK466" s="136" t="s">
        <v>5680</v>
      </c>
      <c r="AL466" s="132" t="s">
        <v>5678</v>
      </c>
      <c r="AM466" s="131" t="s">
        <v>49</v>
      </c>
      <c r="AN466" s="136" t="s">
        <v>4440</v>
      </c>
    </row>
    <row r="467" spans="1:40" s="129" customFormat="1" x14ac:dyDescent="0.25">
      <c r="A467" s="136">
        <v>466</v>
      </c>
      <c r="B467" s="130" t="s">
        <v>4428</v>
      </c>
      <c r="C467" s="130" t="s">
        <v>38</v>
      </c>
      <c r="D467" s="136" t="s">
        <v>5681</v>
      </c>
      <c r="E467" s="132">
        <v>42242</v>
      </c>
      <c r="F467" s="132" t="s">
        <v>5513</v>
      </c>
      <c r="G467" s="132" t="s">
        <v>568</v>
      </c>
      <c r="H467" s="130" t="s">
        <v>4446</v>
      </c>
      <c r="I467" s="132" t="s">
        <v>40</v>
      </c>
      <c r="J467" s="131" t="s">
        <v>4432</v>
      </c>
      <c r="K467" s="132" t="s">
        <v>4433</v>
      </c>
      <c r="L467" s="136">
        <v>2498232</v>
      </c>
      <c r="M467" s="132">
        <v>42235</v>
      </c>
      <c r="N467" s="136" t="s">
        <v>4733</v>
      </c>
      <c r="O467" s="130" t="s">
        <v>4436</v>
      </c>
      <c r="P467" s="130" t="s">
        <v>492</v>
      </c>
      <c r="Q467" s="130">
        <v>29157010</v>
      </c>
      <c r="R467" s="136">
        <v>39.04</v>
      </c>
      <c r="S467" s="130" t="s">
        <v>70</v>
      </c>
      <c r="T467" s="136" t="s">
        <v>44</v>
      </c>
      <c r="U467" s="136" t="s">
        <v>53</v>
      </c>
      <c r="V467" s="136">
        <v>794</v>
      </c>
      <c r="W467" s="133">
        <f t="shared" si="23"/>
        <v>30997.759999999998</v>
      </c>
      <c r="X467" s="136">
        <v>10.23</v>
      </c>
      <c r="Y467" s="136">
        <v>600</v>
      </c>
      <c r="Z467" s="136">
        <v>0</v>
      </c>
      <c r="AA467" s="136">
        <v>0</v>
      </c>
      <c r="AB467" s="131"/>
      <c r="AC467" s="134">
        <f t="shared" si="21"/>
        <v>30387.530015797787</v>
      </c>
      <c r="AD467" s="135">
        <v>63.3</v>
      </c>
      <c r="AE467" s="136">
        <f t="shared" si="22"/>
        <v>1962158.2079999999</v>
      </c>
      <c r="AF467" s="137">
        <v>1923530.65</v>
      </c>
      <c r="AG467" s="138">
        <v>63.3</v>
      </c>
      <c r="AH467" s="136" t="s">
        <v>5682</v>
      </c>
      <c r="AI467" s="136">
        <v>30997.759999999998</v>
      </c>
      <c r="AJ467" s="132" t="s">
        <v>5676</v>
      </c>
      <c r="AK467" s="136" t="s">
        <v>5683</v>
      </c>
      <c r="AL467" s="132" t="s">
        <v>5678</v>
      </c>
      <c r="AM467" s="131" t="s">
        <v>49</v>
      </c>
      <c r="AN467" s="136" t="s">
        <v>4440</v>
      </c>
    </row>
    <row r="468" spans="1:40" s="129" customFormat="1" x14ac:dyDescent="0.25">
      <c r="A468" s="130">
        <v>467</v>
      </c>
      <c r="B468" s="130" t="s">
        <v>4428</v>
      </c>
      <c r="C468" s="130" t="s">
        <v>38</v>
      </c>
      <c r="D468" s="136" t="s">
        <v>5681</v>
      </c>
      <c r="E468" s="132">
        <v>42242</v>
      </c>
      <c r="F468" s="132" t="s">
        <v>5513</v>
      </c>
      <c r="G468" s="132" t="s">
        <v>2983</v>
      </c>
      <c r="H468" s="130" t="s">
        <v>4446</v>
      </c>
      <c r="I468" s="132" t="s">
        <v>40</v>
      </c>
      <c r="J468" s="131" t="s">
        <v>4432</v>
      </c>
      <c r="K468" s="132" t="s">
        <v>4433</v>
      </c>
      <c r="L468" s="136">
        <v>2506611</v>
      </c>
      <c r="M468" s="132" t="s">
        <v>5132</v>
      </c>
      <c r="N468" s="136" t="s">
        <v>4733</v>
      </c>
      <c r="O468" s="130" t="s">
        <v>4436</v>
      </c>
      <c r="P468" s="130" t="s">
        <v>492</v>
      </c>
      <c r="Q468" s="130">
        <v>29157010</v>
      </c>
      <c r="R468" s="136">
        <v>19.68</v>
      </c>
      <c r="S468" s="130" t="s">
        <v>70</v>
      </c>
      <c r="T468" s="136" t="s">
        <v>44</v>
      </c>
      <c r="U468" s="136" t="s">
        <v>53</v>
      </c>
      <c r="V468" s="136">
        <v>794</v>
      </c>
      <c r="W468" s="133">
        <f t="shared" si="23"/>
        <v>15625.92</v>
      </c>
      <c r="X468" s="136">
        <v>5.16</v>
      </c>
      <c r="Y468" s="136">
        <v>300</v>
      </c>
      <c r="Z468" s="136">
        <v>0</v>
      </c>
      <c r="AA468" s="136">
        <v>0</v>
      </c>
      <c r="AB468" s="131"/>
      <c r="AC468" s="134">
        <f t="shared" si="21"/>
        <v>15320.760031595577</v>
      </c>
      <c r="AD468" s="135">
        <v>63.3</v>
      </c>
      <c r="AE468" s="136">
        <f t="shared" si="22"/>
        <v>989120.73599999992</v>
      </c>
      <c r="AF468" s="137">
        <v>969804.11</v>
      </c>
      <c r="AG468" s="138">
        <v>63.3</v>
      </c>
      <c r="AH468" s="136" t="s">
        <v>5682</v>
      </c>
      <c r="AI468" s="136">
        <v>15625.92</v>
      </c>
      <c r="AJ468" s="132" t="s">
        <v>5676</v>
      </c>
      <c r="AK468" s="136" t="s">
        <v>5684</v>
      </c>
      <c r="AL468" s="132" t="s">
        <v>5678</v>
      </c>
      <c r="AM468" s="131" t="s">
        <v>49</v>
      </c>
      <c r="AN468" s="136" t="s">
        <v>4440</v>
      </c>
    </row>
    <row r="469" spans="1:40" s="129" customFormat="1" x14ac:dyDescent="0.25">
      <c r="A469" s="136">
        <v>468</v>
      </c>
      <c r="B469" s="130" t="s">
        <v>4428</v>
      </c>
      <c r="C469" s="130" t="s">
        <v>38</v>
      </c>
      <c r="D469" s="136" t="s">
        <v>5685</v>
      </c>
      <c r="E469" s="132">
        <v>42240</v>
      </c>
      <c r="F469" s="132" t="s">
        <v>5513</v>
      </c>
      <c r="G469" s="132" t="s">
        <v>581</v>
      </c>
      <c r="H469" s="130" t="s">
        <v>4491</v>
      </c>
      <c r="I469" s="132" t="s">
        <v>40</v>
      </c>
      <c r="J469" s="131" t="s">
        <v>4432</v>
      </c>
      <c r="K469" s="132" t="s">
        <v>4433</v>
      </c>
      <c r="L469" s="136">
        <v>2498664</v>
      </c>
      <c r="M469" s="132">
        <v>42235</v>
      </c>
      <c r="N469" s="136" t="s">
        <v>4720</v>
      </c>
      <c r="O469" s="130" t="s">
        <v>4436</v>
      </c>
      <c r="P469" s="130" t="s">
        <v>130</v>
      </c>
      <c r="Q469" s="130">
        <v>29159090</v>
      </c>
      <c r="R469" s="136">
        <v>59.42</v>
      </c>
      <c r="S469" s="130" t="s">
        <v>70</v>
      </c>
      <c r="T469" s="136" t="s">
        <v>333</v>
      </c>
      <c r="U469" s="136" t="s">
        <v>4528</v>
      </c>
      <c r="V469" s="136">
        <v>2731</v>
      </c>
      <c r="W469" s="133">
        <f t="shared" si="23"/>
        <v>162276.02000000002</v>
      </c>
      <c r="X469" s="136">
        <v>53.55</v>
      </c>
      <c r="Y469" s="136">
        <v>8412.42</v>
      </c>
      <c r="Z469" s="136">
        <v>0</v>
      </c>
      <c r="AA469" s="136">
        <v>3033.99</v>
      </c>
      <c r="AB469" s="131">
        <v>42237</v>
      </c>
      <c r="AC469" s="134">
        <f t="shared" si="21"/>
        <v>153810.05010893245</v>
      </c>
      <c r="AD469" s="135">
        <v>68.849999999999994</v>
      </c>
      <c r="AE469" s="136">
        <f t="shared" si="22"/>
        <v>11172703.977</v>
      </c>
      <c r="AF469" s="130">
        <v>10589821.949999999</v>
      </c>
      <c r="AG469" s="138">
        <v>71.650000000000006</v>
      </c>
      <c r="AH469" s="136" t="s">
        <v>5686</v>
      </c>
      <c r="AI469" s="136">
        <v>162276.01999999999</v>
      </c>
      <c r="AJ469" s="132" t="s">
        <v>5687</v>
      </c>
      <c r="AK469" s="136" t="s">
        <v>5688</v>
      </c>
      <c r="AL469" s="132" t="s">
        <v>5540</v>
      </c>
      <c r="AM469" s="131" t="s">
        <v>49</v>
      </c>
      <c r="AN469" s="133" t="s">
        <v>4440</v>
      </c>
    </row>
    <row r="470" spans="1:40" s="129" customFormat="1" x14ac:dyDescent="0.25">
      <c r="A470" s="130">
        <v>469</v>
      </c>
      <c r="B470" s="130" t="s">
        <v>4428</v>
      </c>
      <c r="C470" s="130" t="s">
        <v>38</v>
      </c>
      <c r="D470" s="136" t="s">
        <v>5685</v>
      </c>
      <c r="E470" s="132">
        <v>42240</v>
      </c>
      <c r="F470" s="132" t="s">
        <v>5513</v>
      </c>
      <c r="G470" s="132" t="s">
        <v>574</v>
      </c>
      <c r="H470" s="130" t="s">
        <v>4491</v>
      </c>
      <c r="I470" s="132" t="s">
        <v>40</v>
      </c>
      <c r="J470" s="131" t="s">
        <v>4432</v>
      </c>
      <c r="K470" s="132" t="s">
        <v>4433</v>
      </c>
      <c r="L470" s="136">
        <v>2507079</v>
      </c>
      <c r="M470" s="132" t="s">
        <v>5132</v>
      </c>
      <c r="N470" s="136" t="s">
        <v>4720</v>
      </c>
      <c r="O470" s="130" t="s">
        <v>4436</v>
      </c>
      <c r="P470" s="130" t="s">
        <v>130</v>
      </c>
      <c r="Q470" s="130">
        <v>29159090</v>
      </c>
      <c r="R470" s="136">
        <v>39.58</v>
      </c>
      <c r="S470" s="130" t="s">
        <v>70</v>
      </c>
      <c r="T470" s="136" t="s">
        <v>333</v>
      </c>
      <c r="U470" s="136" t="s">
        <v>4528</v>
      </c>
      <c r="V470" s="136">
        <v>2731</v>
      </c>
      <c r="W470" s="133">
        <f t="shared" si="23"/>
        <v>108092.98</v>
      </c>
      <c r="X470" s="136">
        <v>35.869999999999997</v>
      </c>
      <c r="Y470" s="136">
        <v>5608.28</v>
      </c>
      <c r="Z470" s="136">
        <v>0</v>
      </c>
      <c r="AA470" s="136">
        <v>2020.95</v>
      </c>
      <c r="AB470" s="131">
        <v>42238</v>
      </c>
      <c r="AC470" s="134">
        <f t="shared" si="21"/>
        <v>102449.0299201162</v>
      </c>
      <c r="AD470" s="135">
        <v>68.849999999999994</v>
      </c>
      <c r="AE470" s="136">
        <f t="shared" si="22"/>
        <v>7442201.6729999995</v>
      </c>
      <c r="AF470" s="130">
        <v>7053615.71</v>
      </c>
      <c r="AG470" s="138">
        <v>71.650000000000006</v>
      </c>
      <c r="AH470" s="136" t="s">
        <v>5686</v>
      </c>
      <c r="AI470" s="136">
        <v>108092.98</v>
      </c>
      <c r="AJ470" s="132" t="s">
        <v>5687</v>
      </c>
      <c r="AK470" s="136" t="s">
        <v>5689</v>
      </c>
      <c r="AL470" s="132" t="s">
        <v>5540</v>
      </c>
      <c r="AM470" s="131" t="s">
        <v>49</v>
      </c>
      <c r="AN470" s="133" t="s">
        <v>4440</v>
      </c>
    </row>
    <row r="471" spans="1:40" s="129" customFormat="1" ht="38.25" x14ac:dyDescent="0.25">
      <c r="A471" s="136">
        <v>470</v>
      </c>
      <c r="B471" s="130" t="s">
        <v>4428</v>
      </c>
      <c r="C471" s="130" t="s">
        <v>38</v>
      </c>
      <c r="D471" s="136">
        <v>9103650439</v>
      </c>
      <c r="E471" s="132">
        <v>42242</v>
      </c>
      <c r="F471" s="132" t="s">
        <v>5513</v>
      </c>
      <c r="G471" s="132" t="s">
        <v>584</v>
      </c>
      <c r="H471" s="130" t="s">
        <v>4446</v>
      </c>
      <c r="I471" s="132" t="s">
        <v>40</v>
      </c>
      <c r="J471" s="131" t="s">
        <v>4432</v>
      </c>
      <c r="K471" s="132" t="s">
        <v>4433</v>
      </c>
      <c r="L471" s="139" t="s">
        <v>5690</v>
      </c>
      <c r="M471" s="132">
        <v>42236</v>
      </c>
      <c r="N471" s="136" t="s">
        <v>4448</v>
      </c>
      <c r="O471" s="130" t="s">
        <v>4436</v>
      </c>
      <c r="P471" s="130" t="s">
        <v>47</v>
      </c>
      <c r="Q471" s="130">
        <v>29159020</v>
      </c>
      <c r="R471" s="136">
        <v>78.510000000000005</v>
      </c>
      <c r="S471" s="130" t="s">
        <v>70</v>
      </c>
      <c r="T471" s="136" t="s">
        <v>44</v>
      </c>
      <c r="U471" s="136" t="s">
        <v>53</v>
      </c>
      <c r="V471" s="136">
        <v>4795</v>
      </c>
      <c r="W471" s="133">
        <f t="shared" si="23"/>
        <v>376455.45</v>
      </c>
      <c r="X471" s="136">
        <v>124.23000000000002</v>
      </c>
      <c r="Y471" s="136">
        <v>2600</v>
      </c>
      <c r="Z471" s="136">
        <v>0</v>
      </c>
      <c r="AA471" s="136">
        <v>0</v>
      </c>
      <c r="AB471" s="131">
        <v>42237</v>
      </c>
      <c r="AC471" s="134">
        <f t="shared" si="21"/>
        <v>373731.2200631912</v>
      </c>
      <c r="AD471" s="135">
        <v>63.3</v>
      </c>
      <c r="AE471" s="136">
        <f t="shared" si="22"/>
        <v>23829629.984999999</v>
      </c>
      <c r="AF471" s="137">
        <v>23657186.23</v>
      </c>
      <c r="AG471" s="138">
        <v>63.3</v>
      </c>
      <c r="AH471" s="136" t="s">
        <v>5691</v>
      </c>
      <c r="AI471" s="136">
        <v>376455.45</v>
      </c>
      <c r="AJ471" s="132">
        <v>42277</v>
      </c>
      <c r="AK471" s="139" t="s">
        <v>5692</v>
      </c>
      <c r="AL471" s="132">
        <v>42278</v>
      </c>
      <c r="AM471" s="131" t="s">
        <v>49</v>
      </c>
      <c r="AN471" s="133" t="s">
        <v>4440</v>
      </c>
    </row>
    <row r="472" spans="1:40" s="129" customFormat="1" x14ac:dyDescent="0.25">
      <c r="A472" s="130">
        <v>471</v>
      </c>
      <c r="B472" s="130" t="s">
        <v>4428</v>
      </c>
      <c r="C472" s="130" t="s">
        <v>38</v>
      </c>
      <c r="D472" s="136" t="s">
        <v>5693</v>
      </c>
      <c r="E472" s="132">
        <v>42242</v>
      </c>
      <c r="F472" s="132" t="s">
        <v>5513</v>
      </c>
      <c r="G472" s="132" t="s">
        <v>586</v>
      </c>
      <c r="H472" s="130" t="s">
        <v>4446</v>
      </c>
      <c r="I472" s="132" t="s">
        <v>40</v>
      </c>
      <c r="J472" s="131" t="s">
        <v>4432</v>
      </c>
      <c r="K472" s="132" t="s">
        <v>4433</v>
      </c>
      <c r="L472" s="136">
        <v>2514289</v>
      </c>
      <c r="M472" s="132">
        <v>42236</v>
      </c>
      <c r="N472" s="136" t="s">
        <v>4733</v>
      </c>
      <c r="O472" s="130" t="s">
        <v>4436</v>
      </c>
      <c r="P472" s="130" t="s">
        <v>492</v>
      </c>
      <c r="Q472" s="130">
        <v>29157010</v>
      </c>
      <c r="R472" s="136">
        <v>39.270000000000003</v>
      </c>
      <c r="S472" s="130" t="s">
        <v>70</v>
      </c>
      <c r="T472" s="136" t="s">
        <v>44</v>
      </c>
      <c r="U472" s="136" t="s">
        <v>53</v>
      </c>
      <c r="V472" s="136">
        <v>794</v>
      </c>
      <c r="W472" s="133">
        <f t="shared" si="23"/>
        <v>31180.38</v>
      </c>
      <c r="X472" s="136">
        <v>10.29</v>
      </c>
      <c r="Y472" s="136">
        <v>500</v>
      </c>
      <c r="Z472" s="136">
        <v>0</v>
      </c>
      <c r="AA472" s="136">
        <v>0</v>
      </c>
      <c r="AB472" s="131"/>
      <c r="AC472" s="134">
        <f t="shared" si="21"/>
        <v>30670.121484992102</v>
      </c>
      <c r="AD472" s="135">
        <v>63.3</v>
      </c>
      <c r="AE472" s="136">
        <f t="shared" si="22"/>
        <v>1973718.054</v>
      </c>
      <c r="AF472" s="137">
        <v>1941418.69</v>
      </c>
      <c r="AG472" s="138">
        <v>63.3</v>
      </c>
      <c r="AH472" s="136" t="s">
        <v>5694</v>
      </c>
      <c r="AI472" s="136">
        <v>31180.38</v>
      </c>
      <c r="AJ472" s="132" t="s">
        <v>5676</v>
      </c>
      <c r="AK472" s="136" t="s">
        <v>5695</v>
      </c>
      <c r="AL472" s="132" t="s">
        <v>5678</v>
      </c>
      <c r="AM472" s="131" t="s">
        <v>49</v>
      </c>
      <c r="AN472" s="136" t="s">
        <v>4440</v>
      </c>
    </row>
    <row r="473" spans="1:40" s="129" customFormat="1" x14ac:dyDescent="0.25">
      <c r="A473" s="136">
        <v>472</v>
      </c>
      <c r="B473" s="130" t="s">
        <v>4428</v>
      </c>
      <c r="C473" s="130" t="s">
        <v>38</v>
      </c>
      <c r="D473" s="136" t="s">
        <v>5693</v>
      </c>
      <c r="E473" s="132">
        <v>42242</v>
      </c>
      <c r="F473" s="132" t="s">
        <v>5513</v>
      </c>
      <c r="G473" s="132" t="s">
        <v>589</v>
      </c>
      <c r="H473" s="130" t="s">
        <v>4446</v>
      </c>
      <c r="I473" s="132" t="s">
        <v>40</v>
      </c>
      <c r="J473" s="131" t="s">
        <v>4432</v>
      </c>
      <c r="K473" s="132" t="s">
        <v>4433</v>
      </c>
      <c r="L473" s="136">
        <v>2531378</v>
      </c>
      <c r="M473" s="132" t="s">
        <v>5354</v>
      </c>
      <c r="N473" s="136" t="s">
        <v>4733</v>
      </c>
      <c r="O473" s="130" t="s">
        <v>4436</v>
      </c>
      <c r="P473" s="130" t="s">
        <v>492</v>
      </c>
      <c r="Q473" s="130">
        <v>29157010</v>
      </c>
      <c r="R473" s="136">
        <v>19.61</v>
      </c>
      <c r="S473" s="130" t="s">
        <v>70</v>
      </c>
      <c r="T473" s="136" t="s">
        <v>44</v>
      </c>
      <c r="U473" s="136" t="s">
        <v>53</v>
      </c>
      <c r="V473" s="136">
        <v>794</v>
      </c>
      <c r="W473" s="133">
        <f t="shared" si="23"/>
        <v>15570.34</v>
      </c>
      <c r="X473" s="136">
        <v>5.14</v>
      </c>
      <c r="Y473" s="136">
        <v>250</v>
      </c>
      <c r="Z473" s="136">
        <v>0</v>
      </c>
      <c r="AA473" s="136">
        <v>0</v>
      </c>
      <c r="AB473" s="131"/>
      <c r="AC473" s="134">
        <f t="shared" si="21"/>
        <v>15315.199999999999</v>
      </c>
      <c r="AD473" s="135">
        <v>64.7</v>
      </c>
      <c r="AE473" s="136">
        <f t="shared" si="22"/>
        <v>1007400.998</v>
      </c>
      <c r="AF473" s="137">
        <v>990893.44</v>
      </c>
      <c r="AG473" s="138">
        <v>64.7</v>
      </c>
      <c r="AH473" s="136" t="s">
        <v>5694</v>
      </c>
      <c r="AI473" s="136">
        <v>15570.34</v>
      </c>
      <c r="AJ473" s="132" t="s">
        <v>5676</v>
      </c>
      <c r="AK473" s="136" t="s">
        <v>5696</v>
      </c>
      <c r="AL473" s="132" t="s">
        <v>5678</v>
      </c>
      <c r="AM473" s="131" t="s">
        <v>49</v>
      </c>
      <c r="AN473" s="136" t="s">
        <v>4440</v>
      </c>
    </row>
    <row r="474" spans="1:40" s="129" customFormat="1" x14ac:dyDescent="0.25">
      <c r="A474" s="130">
        <v>473</v>
      </c>
      <c r="B474" s="130" t="s">
        <v>4428</v>
      </c>
      <c r="C474" s="130" t="s">
        <v>38</v>
      </c>
      <c r="D474" s="136" t="s">
        <v>5693</v>
      </c>
      <c r="E474" s="132">
        <v>42242</v>
      </c>
      <c r="F474" s="132" t="s">
        <v>5513</v>
      </c>
      <c r="G474" s="132" t="s">
        <v>583</v>
      </c>
      <c r="H474" s="130" t="s">
        <v>4446</v>
      </c>
      <c r="I474" s="132" t="s">
        <v>40</v>
      </c>
      <c r="J474" s="131" t="s">
        <v>4432</v>
      </c>
      <c r="K474" s="132" t="s">
        <v>4433</v>
      </c>
      <c r="L474" s="136">
        <v>2535242</v>
      </c>
      <c r="M474" s="132" t="s">
        <v>5354</v>
      </c>
      <c r="N474" s="136" t="s">
        <v>4733</v>
      </c>
      <c r="O474" s="130" t="s">
        <v>4436</v>
      </c>
      <c r="P474" s="130" t="s">
        <v>492</v>
      </c>
      <c r="Q474" s="130">
        <v>29157010</v>
      </c>
      <c r="R474" s="136">
        <v>19.48</v>
      </c>
      <c r="S474" s="130" t="s">
        <v>70</v>
      </c>
      <c r="T474" s="136" t="s">
        <v>44</v>
      </c>
      <c r="U474" s="136" t="s">
        <v>53</v>
      </c>
      <c r="V474" s="136">
        <v>794</v>
      </c>
      <c r="W474" s="133">
        <f t="shared" si="23"/>
        <v>15467.12</v>
      </c>
      <c r="X474" s="136">
        <v>5.14</v>
      </c>
      <c r="Y474" s="136">
        <v>250</v>
      </c>
      <c r="Z474" s="136">
        <v>0</v>
      </c>
      <c r="AA474" s="136">
        <v>0</v>
      </c>
      <c r="AB474" s="131"/>
      <c r="AC474" s="134">
        <f t="shared" si="21"/>
        <v>15212.019938176196</v>
      </c>
      <c r="AD474" s="135">
        <v>64.7</v>
      </c>
      <c r="AE474" s="136">
        <f t="shared" si="22"/>
        <v>1000722.6640000001</v>
      </c>
      <c r="AF474" s="137">
        <v>984217.69</v>
      </c>
      <c r="AG474" s="138">
        <v>64.7</v>
      </c>
      <c r="AH474" s="136" t="s">
        <v>5694</v>
      </c>
      <c r="AI474" s="136">
        <v>15467.12</v>
      </c>
      <c r="AJ474" s="132" t="s">
        <v>5676</v>
      </c>
      <c r="AK474" s="136" t="s">
        <v>5697</v>
      </c>
      <c r="AL474" s="132" t="s">
        <v>5678</v>
      </c>
      <c r="AM474" s="131" t="s">
        <v>49</v>
      </c>
      <c r="AN474" s="136" t="s">
        <v>4440</v>
      </c>
    </row>
    <row r="475" spans="1:40" s="129" customFormat="1" x14ac:dyDescent="0.25">
      <c r="A475" s="136">
        <v>474</v>
      </c>
      <c r="B475" s="130" t="s">
        <v>4428</v>
      </c>
      <c r="C475" s="130" t="s">
        <v>38</v>
      </c>
      <c r="D475" s="136">
        <v>9103650442</v>
      </c>
      <c r="E475" s="132">
        <v>42242</v>
      </c>
      <c r="F475" s="132" t="s">
        <v>5513</v>
      </c>
      <c r="G475" s="132" t="s">
        <v>564</v>
      </c>
      <c r="H475" s="130" t="s">
        <v>4463</v>
      </c>
      <c r="I475" s="132" t="s">
        <v>40</v>
      </c>
      <c r="J475" s="131" t="s">
        <v>4432</v>
      </c>
      <c r="K475" s="132" t="s">
        <v>4433</v>
      </c>
      <c r="L475" s="136">
        <v>2492373</v>
      </c>
      <c r="M475" s="132">
        <v>42235</v>
      </c>
      <c r="N475" s="136" t="s">
        <v>4553</v>
      </c>
      <c r="O475" s="130" t="s">
        <v>4436</v>
      </c>
      <c r="P475" s="130" t="s">
        <v>75</v>
      </c>
      <c r="Q475" s="130">
        <v>38237090</v>
      </c>
      <c r="R475" s="136">
        <v>0.6</v>
      </c>
      <c r="S475" s="130" t="s">
        <v>70</v>
      </c>
      <c r="T475" s="136" t="s">
        <v>44</v>
      </c>
      <c r="U475" s="136" t="s">
        <v>53</v>
      </c>
      <c r="V475" s="136">
        <v>4385</v>
      </c>
      <c r="W475" s="133">
        <f t="shared" si="23"/>
        <v>2631</v>
      </c>
      <c r="X475" s="136">
        <v>0.87</v>
      </c>
      <c r="Y475" s="136">
        <v>35</v>
      </c>
      <c r="Z475" s="136">
        <v>0</v>
      </c>
      <c r="AA475" s="136">
        <v>0</v>
      </c>
      <c r="AB475" s="131">
        <v>42236</v>
      </c>
      <c r="AC475" s="134">
        <f t="shared" si="21"/>
        <v>2595.1300157977885</v>
      </c>
      <c r="AD475" s="135">
        <v>63.3</v>
      </c>
      <c r="AE475" s="136">
        <f t="shared" si="22"/>
        <v>166542.29999999999</v>
      </c>
      <c r="AF475" s="137">
        <v>164271.73000000001</v>
      </c>
      <c r="AG475" s="138">
        <v>63.3</v>
      </c>
      <c r="AH475" s="136" t="s">
        <v>5698</v>
      </c>
      <c r="AI475" s="136">
        <v>2631</v>
      </c>
      <c r="AJ475" s="132" t="s">
        <v>5211</v>
      </c>
      <c r="AK475" s="136" t="s">
        <v>5699</v>
      </c>
      <c r="AL475" s="132" t="s">
        <v>4960</v>
      </c>
      <c r="AM475" s="131" t="s">
        <v>49</v>
      </c>
      <c r="AN475" s="136" t="s">
        <v>4440</v>
      </c>
    </row>
    <row r="476" spans="1:40" s="129" customFormat="1" x14ac:dyDescent="0.25">
      <c r="A476" s="130">
        <v>475</v>
      </c>
      <c r="B476" s="130" t="s">
        <v>4428</v>
      </c>
      <c r="C476" s="130" t="s">
        <v>38</v>
      </c>
      <c r="D476" s="136" t="s">
        <v>5700</v>
      </c>
      <c r="E476" s="132">
        <v>42242</v>
      </c>
      <c r="F476" s="132" t="s">
        <v>5513</v>
      </c>
      <c r="G476" s="132" t="s">
        <v>594</v>
      </c>
      <c r="H476" s="130" t="s">
        <v>4446</v>
      </c>
      <c r="I476" s="132" t="s">
        <v>40</v>
      </c>
      <c r="J476" s="131" t="s">
        <v>4432</v>
      </c>
      <c r="K476" s="132" t="s">
        <v>4433</v>
      </c>
      <c r="L476" s="136">
        <v>2546309</v>
      </c>
      <c r="M476" s="132" t="s">
        <v>5354</v>
      </c>
      <c r="N476" s="136" t="s">
        <v>4733</v>
      </c>
      <c r="O476" s="130" t="s">
        <v>4436</v>
      </c>
      <c r="P476" s="130" t="s">
        <v>492</v>
      </c>
      <c r="Q476" s="130">
        <v>29157010</v>
      </c>
      <c r="R476" s="136">
        <v>39.22</v>
      </c>
      <c r="S476" s="130" t="s">
        <v>70</v>
      </c>
      <c r="T476" s="136" t="s">
        <v>44</v>
      </c>
      <c r="U476" s="136" t="s">
        <v>53</v>
      </c>
      <c r="V476" s="136">
        <v>794</v>
      </c>
      <c r="W476" s="133">
        <f t="shared" si="23"/>
        <v>31140.68</v>
      </c>
      <c r="X476" s="136">
        <v>10.28</v>
      </c>
      <c r="Y476" s="136">
        <v>500</v>
      </c>
      <c r="Z476" s="136">
        <v>0</v>
      </c>
      <c r="AA476" s="136">
        <v>0</v>
      </c>
      <c r="AB476" s="131"/>
      <c r="AC476" s="134">
        <f t="shared" si="21"/>
        <v>30630.399999999998</v>
      </c>
      <c r="AD476" s="135">
        <v>64.7</v>
      </c>
      <c r="AE476" s="136">
        <f t="shared" si="22"/>
        <v>2014801.996</v>
      </c>
      <c r="AF476" s="137">
        <v>1981786.88</v>
      </c>
      <c r="AG476" s="138">
        <v>64.7</v>
      </c>
      <c r="AH476" s="136" t="s">
        <v>5701</v>
      </c>
      <c r="AI476" s="136">
        <v>31140.68</v>
      </c>
      <c r="AJ476" s="132" t="s">
        <v>5676</v>
      </c>
      <c r="AK476" s="136" t="s">
        <v>5702</v>
      </c>
      <c r="AL476" s="132" t="s">
        <v>5678</v>
      </c>
      <c r="AM476" s="131" t="s">
        <v>49</v>
      </c>
      <c r="AN476" s="136" t="s">
        <v>4440</v>
      </c>
    </row>
    <row r="477" spans="1:40" s="129" customFormat="1" x14ac:dyDescent="0.25">
      <c r="A477" s="136">
        <v>476</v>
      </c>
      <c r="B477" s="130" t="s">
        <v>4428</v>
      </c>
      <c r="C477" s="130" t="s">
        <v>38</v>
      </c>
      <c r="D477" s="136" t="s">
        <v>5700</v>
      </c>
      <c r="E477" s="132">
        <v>42242</v>
      </c>
      <c r="F477" s="132" t="s">
        <v>5513</v>
      </c>
      <c r="G477" s="132" t="s">
        <v>599</v>
      </c>
      <c r="H477" s="130" t="s">
        <v>4446</v>
      </c>
      <c r="I477" s="132" t="s">
        <v>40</v>
      </c>
      <c r="J477" s="131" t="s">
        <v>4432</v>
      </c>
      <c r="K477" s="132" t="s">
        <v>4433</v>
      </c>
      <c r="L477" s="136">
        <v>2553142</v>
      </c>
      <c r="M477" s="132">
        <v>42238</v>
      </c>
      <c r="N477" s="136" t="s">
        <v>4733</v>
      </c>
      <c r="O477" s="130" t="s">
        <v>4436</v>
      </c>
      <c r="P477" s="130" t="s">
        <v>492</v>
      </c>
      <c r="Q477" s="130">
        <v>29157010</v>
      </c>
      <c r="R477" s="136">
        <v>38.799999999999997</v>
      </c>
      <c r="S477" s="130" t="s">
        <v>70</v>
      </c>
      <c r="T477" s="136" t="s">
        <v>44</v>
      </c>
      <c r="U477" s="136" t="s">
        <v>53</v>
      </c>
      <c r="V477" s="136">
        <v>794</v>
      </c>
      <c r="W477" s="133">
        <f t="shared" si="23"/>
        <v>30807.199999999997</v>
      </c>
      <c r="X477" s="136">
        <v>10.17</v>
      </c>
      <c r="Y477" s="136">
        <v>500</v>
      </c>
      <c r="Z477" s="136">
        <v>0</v>
      </c>
      <c r="AA477" s="136">
        <v>0</v>
      </c>
      <c r="AB477" s="131"/>
      <c r="AC477" s="134">
        <f t="shared" si="21"/>
        <v>30297.031530139102</v>
      </c>
      <c r="AD477" s="135">
        <v>64.7</v>
      </c>
      <c r="AE477" s="136">
        <f t="shared" si="22"/>
        <v>1993225.8399999999</v>
      </c>
      <c r="AF477" s="137">
        <v>1960217.94</v>
      </c>
      <c r="AG477" s="138">
        <v>64.7</v>
      </c>
      <c r="AH477" s="136" t="s">
        <v>5701</v>
      </c>
      <c r="AI477" s="136">
        <v>30807.200000000001</v>
      </c>
      <c r="AJ477" s="132" t="s">
        <v>5676</v>
      </c>
      <c r="AK477" s="136" t="s">
        <v>5703</v>
      </c>
      <c r="AL477" s="132" t="s">
        <v>5678</v>
      </c>
      <c r="AM477" s="131" t="s">
        <v>49</v>
      </c>
      <c r="AN477" s="136" t="s">
        <v>4440</v>
      </c>
    </row>
    <row r="478" spans="1:40" s="129" customFormat="1" x14ac:dyDescent="0.25">
      <c r="A478" s="130">
        <v>477</v>
      </c>
      <c r="B478" s="130" t="s">
        <v>4428</v>
      </c>
      <c r="C478" s="130" t="s">
        <v>38</v>
      </c>
      <c r="D478" s="136" t="s">
        <v>5704</v>
      </c>
      <c r="E478" s="132">
        <v>42242</v>
      </c>
      <c r="F478" s="132" t="s">
        <v>5513</v>
      </c>
      <c r="G478" s="132" t="s">
        <v>578</v>
      </c>
      <c r="H478" s="130" t="s">
        <v>4431</v>
      </c>
      <c r="I478" s="132" t="s">
        <v>40</v>
      </c>
      <c r="J478" s="131" t="s">
        <v>4432</v>
      </c>
      <c r="K478" s="132" t="s">
        <v>4433</v>
      </c>
      <c r="L478" s="136">
        <v>2518069</v>
      </c>
      <c r="M478" s="132" t="s">
        <v>5132</v>
      </c>
      <c r="N478" s="136" t="s">
        <v>4832</v>
      </c>
      <c r="O478" s="130" t="s">
        <v>4436</v>
      </c>
      <c r="P478" s="130" t="s">
        <v>54</v>
      </c>
      <c r="Q478" s="130">
        <v>29161990</v>
      </c>
      <c r="R478" s="136">
        <v>28.8</v>
      </c>
      <c r="S478" s="130" t="s">
        <v>70</v>
      </c>
      <c r="T478" s="136" t="s">
        <v>44</v>
      </c>
      <c r="U478" s="136" t="s">
        <v>53</v>
      </c>
      <c r="V478" s="136">
        <v>2850</v>
      </c>
      <c r="W478" s="133">
        <f t="shared" si="23"/>
        <v>82080</v>
      </c>
      <c r="X478" s="136">
        <v>27.09</v>
      </c>
      <c r="Y478" s="136">
        <v>350</v>
      </c>
      <c r="Z478" s="136">
        <v>0</v>
      </c>
      <c r="AA478" s="136">
        <v>0</v>
      </c>
      <c r="AB478" s="131">
        <v>42237</v>
      </c>
      <c r="AC478" s="134">
        <f t="shared" si="21"/>
        <v>81702.909952606642</v>
      </c>
      <c r="AD478" s="135">
        <v>63.3</v>
      </c>
      <c r="AE478" s="136">
        <f t="shared" si="22"/>
        <v>5195664</v>
      </c>
      <c r="AF478" s="137">
        <v>5171794.2</v>
      </c>
      <c r="AG478" s="138">
        <v>64.7</v>
      </c>
      <c r="AH478" s="136" t="s">
        <v>5705</v>
      </c>
      <c r="AI478" s="136">
        <v>82080</v>
      </c>
      <c r="AJ478" s="132" t="s">
        <v>5112</v>
      </c>
      <c r="AK478" s="136" t="s">
        <v>5706</v>
      </c>
      <c r="AL478" s="132" t="s">
        <v>5148</v>
      </c>
      <c r="AM478" s="131" t="s">
        <v>49</v>
      </c>
      <c r="AN478" s="133" t="s">
        <v>4440</v>
      </c>
    </row>
    <row r="479" spans="1:40" s="129" customFormat="1" x14ac:dyDescent="0.25">
      <c r="A479" s="136">
        <v>478</v>
      </c>
      <c r="B479" s="130" t="s">
        <v>4428</v>
      </c>
      <c r="C479" s="130" t="s">
        <v>38</v>
      </c>
      <c r="D479" s="136" t="s">
        <v>5704</v>
      </c>
      <c r="E479" s="132">
        <v>42242</v>
      </c>
      <c r="F479" s="132" t="s">
        <v>5513</v>
      </c>
      <c r="G479" s="132" t="s">
        <v>593</v>
      </c>
      <c r="H479" s="130" t="s">
        <v>4431</v>
      </c>
      <c r="I479" s="132" t="s">
        <v>40</v>
      </c>
      <c r="J479" s="131" t="s">
        <v>4432</v>
      </c>
      <c r="K479" s="132" t="s">
        <v>4433</v>
      </c>
      <c r="L479" s="136">
        <v>2546317</v>
      </c>
      <c r="M479" s="132">
        <v>42237</v>
      </c>
      <c r="N479" s="136" t="s">
        <v>4832</v>
      </c>
      <c r="O479" s="130" t="s">
        <v>4436</v>
      </c>
      <c r="P479" s="130" t="s">
        <v>54</v>
      </c>
      <c r="Q479" s="130">
        <v>29161990</v>
      </c>
      <c r="R479" s="136">
        <v>14.4</v>
      </c>
      <c r="S479" s="130" t="s">
        <v>70</v>
      </c>
      <c r="T479" s="136" t="s">
        <v>44</v>
      </c>
      <c r="U479" s="136" t="s">
        <v>53</v>
      </c>
      <c r="V479" s="136">
        <v>2850</v>
      </c>
      <c r="W479" s="133">
        <f t="shared" si="23"/>
        <v>41040</v>
      </c>
      <c r="X479" s="136">
        <v>13.54</v>
      </c>
      <c r="Y479" s="136">
        <v>175</v>
      </c>
      <c r="Z479" s="136">
        <v>0</v>
      </c>
      <c r="AA479" s="136">
        <v>0</v>
      </c>
      <c r="AB479" s="131">
        <v>42238</v>
      </c>
      <c r="AC479" s="134">
        <f t="shared" si="21"/>
        <v>40851.459969088093</v>
      </c>
      <c r="AD479" s="135">
        <v>64.7</v>
      </c>
      <c r="AE479" s="136">
        <f t="shared" si="22"/>
        <v>2655288</v>
      </c>
      <c r="AF479" s="137">
        <v>2643089.46</v>
      </c>
      <c r="AG479" s="138">
        <v>64.7</v>
      </c>
      <c r="AH479" s="136" t="s">
        <v>5705</v>
      </c>
      <c r="AI479" s="136">
        <v>41040</v>
      </c>
      <c r="AJ479" s="132" t="s">
        <v>5112</v>
      </c>
      <c r="AK479" s="136" t="s">
        <v>5707</v>
      </c>
      <c r="AL479" s="132" t="s">
        <v>5148</v>
      </c>
      <c r="AM479" s="131" t="s">
        <v>49</v>
      </c>
      <c r="AN479" s="133" t="s">
        <v>4440</v>
      </c>
    </row>
    <row r="480" spans="1:40" s="129" customFormat="1" x14ac:dyDescent="0.25">
      <c r="A480" s="130">
        <v>479</v>
      </c>
      <c r="B480" s="130" t="s">
        <v>4428</v>
      </c>
      <c r="C480" s="130" t="s">
        <v>38</v>
      </c>
      <c r="D480" s="136" t="s">
        <v>5704</v>
      </c>
      <c r="E480" s="132">
        <v>42242</v>
      </c>
      <c r="F480" s="132" t="s">
        <v>5513</v>
      </c>
      <c r="G480" s="132" t="s">
        <v>598</v>
      </c>
      <c r="H480" s="130" t="s">
        <v>4431</v>
      </c>
      <c r="I480" s="132" t="s">
        <v>40</v>
      </c>
      <c r="J480" s="131" t="s">
        <v>4432</v>
      </c>
      <c r="K480" s="132" t="s">
        <v>4433</v>
      </c>
      <c r="L480" s="136">
        <v>2553176</v>
      </c>
      <c r="M480" s="132">
        <v>42238</v>
      </c>
      <c r="N480" s="136" t="s">
        <v>4832</v>
      </c>
      <c r="O480" s="130" t="s">
        <v>4436</v>
      </c>
      <c r="P480" s="130" t="s">
        <v>54</v>
      </c>
      <c r="Q480" s="130">
        <v>29161990</v>
      </c>
      <c r="R480" s="136">
        <v>14.4</v>
      </c>
      <c r="S480" s="130" t="s">
        <v>70</v>
      </c>
      <c r="T480" s="136" t="s">
        <v>44</v>
      </c>
      <c r="U480" s="136" t="s">
        <v>53</v>
      </c>
      <c r="V480" s="136">
        <v>2850</v>
      </c>
      <c r="W480" s="133">
        <f t="shared" si="23"/>
        <v>41040</v>
      </c>
      <c r="X480" s="136">
        <v>13.54</v>
      </c>
      <c r="Y480" s="136">
        <v>175</v>
      </c>
      <c r="Z480" s="136">
        <v>0</v>
      </c>
      <c r="AA480" s="136">
        <v>0</v>
      </c>
      <c r="AB480" s="131">
        <v>42239</v>
      </c>
      <c r="AC480" s="134">
        <f t="shared" si="21"/>
        <v>40851.459969088093</v>
      </c>
      <c r="AD480" s="135">
        <v>64.7</v>
      </c>
      <c r="AE480" s="136">
        <f t="shared" si="22"/>
        <v>2655288</v>
      </c>
      <c r="AF480" s="137">
        <v>2643089.46</v>
      </c>
      <c r="AG480" s="138">
        <v>64.7</v>
      </c>
      <c r="AH480" s="136" t="s">
        <v>5705</v>
      </c>
      <c r="AI480" s="136">
        <v>41040</v>
      </c>
      <c r="AJ480" s="132" t="s">
        <v>5112</v>
      </c>
      <c r="AK480" s="136" t="s">
        <v>5708</v>
      </c>
      <c r="AL480" s="132" t="s">
        <v>5148</v>
      </c>
      <c r="AM480" s="131" t="s">
        <v>49</v>
      </c>
      <c r="AN480" s="133" t="s">
        <v>4440</v>
      </c>
    </row>
    <row r="481" spans="1:40" s="129" customFormat="1" x14ac:dyDescent="0.25">
      <c r="A481" s="136">
        <v>480</v>
      </c>
      <c r="B481" s="130" t="s">
        <v>4428</v>
      </c>
      <c r="C481" s="130" t="s">
        <v>38</v>
      </c>
      <c r="D481" s="136">
        <v>9103650448</v>
      </c>
      <c r="E481" s="132">
        <v>42242</v>
      </c>
      <c r="F481" s="132" t="s">
        <v>5513</v>
      </c>
      <c r="G481" s="132" t="s">
        <v>591</v>
      </c>
      <c r="H481" s="130" t="s">
        <v>4463</v>
      </c>
      <c r="I481" s="132" t="s">
        <v>40</v>
      </c>
      <c r="J481" s="131" t="s">
        <v>4432</v>
      </c>
      <c r="K481" s="132" t="s">
        <v>4433</v>
      </c>
      <c r="L481" s="136">
        <v>2546496</v>
      </c>
      <c r="M481" s="132">
        <v>42237</v>
      </c>
      <c r="N481" s="136" t="s">
        <v>4532</v>
      </c>
      <c r="O481" s="130" t="s">
        <v>4436</v>
      </c>
      <c r="P481" s="130" t="s">
        <v>64</v>
      </c>
      <c r="Q481" s="130">
        <v>29161990</v>
      </c>
      <c r="R481" s="136">
        <v>39.04</v>
      </c>
      <c r="S481" s="130" t="s">
        <v>70</v>
      </c>
      <c r="T481" s="136" t="s">
        <v>44</v>
      </c>
      <c r="U481" s="136" t="s">
        <v>53</v>
      </c>
      <c r="V481" s="136">
        <v>2710</v>
      </c>
      <c r="W481" s="133">
        <f t="shared" si="23"/>
        <v>105798.39999999999</v>
      </c>
      <c r="X481" s="136">
        <v>34.909999999999997</v>
      </c>
      <c r="Y481" s="136">
        <v>720</v>
      </c>
      <c r="Z481" s="136">
        <v>0</v>
      </c>
      <c r="AA481" s="136">
        <v>0</v>
      </c>
      <c r="AB481" s="131">
        <v>42238</v>
      </c>
      <c r="AC481" s="134">
        <f t="shared" si="21"/>
        <v>105043.48995363215</v>
      </c>
      <c r="AD481" s="135">
        <v>64.7</v>
      </c>
      <c r="AE481" s="136">
        <f t="shared" si="22"/>
        <v>6845156.4799999995</v>
      </c>
      <c r="AF481" s="137">
        <v>6796313.7999999998</v>
      </c>
      <c r="AG481" s="138">
        <v>64.7</v>
      </c>
      <c r="AH481" s="136" t="s">
        <v>5709</v>
      </c>
      <c r="AI481" s="136">
        <v>105798.40000000001</v>
      </c>
      <c r="AJ481" s="132">
        <v>42356</v>
      </c>
      <c r="AK481" s="136" t="s">
        <v>5710</v>
      </c>
      <c r="AL481" s="132">
        <v>42357</v>
      </c>
      <c r="AM481" s="131" t="s">
        <v>49</v>
      </c>
      <c r="AN481" s="133" t="s">
        <v>4440</v>
      </c>
    </row>
    <row r="482" spans="1:40" s="129" customFormat="1" x14ac:dyDescent="0.25">
      <c r="A482" s="130">
        <v>481</v>
      </c>
      <c r="B482" s="130" t="s">
        <v>4428</v>
      </c>
      <c r="C482" s="130" t="s">
        <v>38</v>
      </c>
      <c r="D482" s="136" t="s">
        <v>5711</v>
      </c>
      <c r="E482" s="132">
        <v>42240</v>
      </c>
      <c r="F482" s="132" t="s">
        <v>5513</v>
      </c>
      <c r="G482" s="141" t="s">
        <v>579</v>
      </c>
      <c r="H482" s="130" t="s">
        <v>5712</v>
      </c>
      <c r="I482" s="132" t="s">
        <v>40</v>
      </c>
      <c r="J482" s="131" t="s">
        <v>4432</v>
      </c>
      <c r="K482" s="132" t="s">
        <v>4433</v>
      </c>
      <c r="L482" s="136">
        <v>2520634</v>
      </c>
      <c r="M482" s="132" t="s">
        <v>5132</v>
      </c>
      <c r="N482" s="136" t="s">
        <v>5713</v>
      </c>
      <c r="O482" s="130" t="s">
        <v>4436</v>
      </c>
      <c r="P482" s="130" t="s">
        <v>361</v>
      </c>
      <c r="Q482" s="130">
        <v>38237090</v>
      </c>
      <c r="R482" s="136">
        <v>93.55</v>
      </c>
      <c r="S482" s="130" t="s">
        <v>70</v>
      </c>
      <c r="T482" s="136" t="s">
        <v>52</v>
      </c>
      <c r="U482" s="136" t="s">
        <v>1117</v>
      </c>
      <c r="V482" s="136">
        <v>85512</v>
      </c>
      <c r="W482" s="133">
        <f t="shared" si="23"/>
        <v>7999647.5999999996</v>
      </c>
      <c r="X482" s="136">
        <v>0</v>
      </c>
      <c r="Y482" s="136">
        <v>221550</v>
      </c>
      <c r="Z482" s="136">
        <v>0</v>
      </c>
      <c r="AA482" s="136">
        <v>0</v>
      </c>
      <c r="AB482" s="131">
        <v>42237</v>
      </c>
      <c r="AC482" s="134">
        <f t="shared" si="21"/>
        <v>7778097.5999999996</v>
      </c>
      <c r="AD482" s="135">
        <v>1</v>
      </c>
      <c r="AE482" s="136">
        <f t="shared" si="22"/>
        <v>7999647.5999999996</v>
      </c>
      <c r="AF482" s="130">
        <v>7778097.5999999996</v>
      </c>
      <c r="AG482" s="138">
        <v>1</v>
      </c>
      <c r="AH482" s="136" t="s">
        <v>5714</v>
      </c>
      <c r="AI482" s="136">
        <v>7999647.5999999996</v>
      </c>
      <c r="AJ482" s="132" t="s">
        <v>5715</v>
      </c>
      <c r="AK482" s="136" t="s">
        <v>5716</v>
      </c>
      <c r="AL482" s="132" t="s">
        <v>5717</v>
      </c>
      <c r="AM482" s="131" t="s">
        <v>49</v>
      </c>
      <c r="AN482" s="136" t="s">
        <v>4440</v>
      </c>
    </row>
    <row r="483" spans="1:40" s="129" customFormat="1" x14ac:dyDescent="0.25">
      <c r="A483" s="136">
        <v>482</v>
      </c>
      <c r="B483" s="130" t="s">
        <v>4428</v>
      </c>
      <c r="C483" s="130" t="s">
        <v>38</v>
      </c>
      <c r="D483" s="136" t="s">
        <v>5711</v>
      </c>
      <c r="E483" s="132">
        <v>42240</v>
      </c>
      <c r="F483" s="132" t="s">
        <v>5513</v>
      </c>
      <c r="G483" s="132" t="s">
        <v>2921</v>
      </c>
      <c r="H483" s="130" t="s">
        <v>5718</v>
      </c>
      <c r="I483" s="132" t="s">
        <v>40</v>
      </c>
      <c r="J483" s="131" t="s">
        <v>4432</v>
      </c>
      <c r="K483" s="132" t="s">
        <v>4433</v>
      </c>
      <c r="L483" s="136">
        <v>2542640</v>
      </c>
      <c r="M483" s="132">
        <v>42237</v>
      </c>
      <c r="N483" s="136" t="s">
        <v>5713</v>
      </c>
      <c r="O483" s="130" t="s">
        <v>4436</v>
      </c>
      <c r="P483" s="130" t="s">
        <v>361</v>
      </c>
      <c r="Q483" s="130">
        <v>38237090</v>
      </c>
      <c r="R483" s="136">
        <v>18.73</v>
      </c>
      <c r="S483" s="130" t="s">
        <v>70</v>
      </c>
      <c r="T483" s="136" t="s">
        <v>52</v>
      </c>
      <c r="U483" s="136" t="s">
        <v>1117</v>
      </c>
      <c r="V483" s="136">
        <v>85512</v>
      </c>
      <c r="W483" s="133">
        <f t="shared" si="23"/>
        <v>1601639.76</v>
      </c>
      <c r="X483" s="136">
        <v>0</v>
      </c>
      <c r="Y483" s="136">
        <v>44310</v>
      </c>
      <c r="Z483" s="136">
        <v>0</v>
      </c>
      <c r="AA483" s="136">
        <v>0</v>
      </c>
      <c r="AB483" s="131">
        <v>42238</v>
      </c>
      <c r="AC483" s="134">
        <f t="shared" si="21"/>
        <v>1557329.76</v>
      </c>
      <c r="AD483" s="135">
        <v>1</v>
      </c>
      <c r="AE483" s="136">
        <f t="shared" si="22"/>
        <v>1601639.76</v>
      </c>
      <c r="AF483" s="130">
        <v>1557329.76</v>
      </c>
      <c r="AG483" s="138">
        <v>1</v>
      </c>
      <c r="AH483" s="136" t="s">
        <v>5714</v>
      </c>
      <c r="AI483" s="136">
        <v>1601639.76</v>
      </c>
      <c r="AJ483" s="132" t="s">
        <v>5715</v>
      </c>
      <c r="AK483" s="136" t="s">
        <v>5719</v>
      </c>
      <c r="AL483" s="132" t="s">
        <v>5717</v>
      </c>
      <c r="AM483" s="131" t="s">
        <v>49</v>
      </c>
      <c r="AN483" s="136" t="s">
        <v>4440</v>
      </c>
    </row>
    <row r="484" spans="1:40" s="129" customFormat="1" x14ac:dyDescent="0.25">
      <c r="A484" s="130">
        <v>483</v>
      </c>
      <c r="B484" s="130" t="s">
        <v>4428</v>
      </c>
      <c r="C484" s="130" t="s">
        <v>38</v>
      </c>
      <c r="D484" s="136">
        <v>9103650451</v>
      </c>
      <c r="E484" s="132">
        <v>42240</v>
      </c>
      <c r="F484" s="132" t="s">
        <v>5513</v>
      </c>
      <c r="G484" s="132" t="s">
        <v>590</v>
      </c>
      <c r="H484" s="130" t="s">
        <v>4463</v>
      </c>
      <c r="I484" s="132" t="s">
        <v>40</v>
      </c>
      <c r="J484" s="131" t="s">
        <v>4432</v>
      </c>
      <c r="K484" s="132" t="s">
        <v>4433</v>
      </c>
      <c r="L484" s="136">
        <v>2542658</v>
      </c>
      <c r="M484" s="132">
        <v>42237</v>
      </c>
      <c r="N484" s="136" t="s">
        <v>5713</v>
      </c>
      <c r="O484" s="130" t="s">
        <v>4436</v>
      </c>
      <c r="P484" s="130" t="s">
        <v>361</v>
      </c>
      <c r="Q484" s="130">
        <v>38237090</v>
      </c>
      <c r="R484" s="136">
        <v>93.38</v>
      </c>
      <c r="S484" s="130" t="s">
        <v>70</v>
      </c>
      <c r="T484" s="136" t="s">
        <v>52</v>
      </c>
      <c r="U484" s="136" t="s">
        <v>1117</v>
      </c>
      <c r="V484" s="136">
        <v>85512</v>
      </c>
      <c r="W484" s="133">
        <f t="shared" si="23"/>
        <v>7985110.5599999996</v>
      </c>
      <c r="X484" s="136">
        <v>0</v>
      </c>
      <c r="Y484" s="136">
        <v>226450</v>
      </c>
      <c r="Z484" s="136">
        <v>0</v>
      </c>
      <c r="AA484" s="136">
        <v>0</v>
      </c>
      <c r="AB484" s="131">
        <v>42238</v>
      </c>
      <c r="AC484" s="134">
        <f t="shared" si="21"/>
        <v>7758660.5599999996</v>
      </c>
      <c r="AD484" s="135">
        <v>1</v>
      </c>
      <c r="AE484" s="136">
        <f t="shared" si="22"/>
        <v>7985110.5599999996</v>
      </c>
      <c r="AF484" s="130">
        <v>7758660.5599999996</v>
      </c>
      <c r="AG484" s="138">
        <v>1</v>
      </c>
      <c r="AH484" s="139" t="s">
        <v>5720</v>
      </c>
      <c r="AI484" s="152">
        <v>7985110.5599999996</v>
      </c>
      <c r="AJ484" s="132">
        <v>0</v>
      </c>
      <c r="AK484" s="136" t="s">
        <v>5721</v>
      </c>
      <c r="AL484" s="132" t="s">
        <v>5717</v>
      </c>
      <c r="AM484" s="131" t="s">
        <v>49</v>
      </c>
      <c r="AN484" s="136" t="s">
        <v>4440</v>
      </c>
    </row>
    <row r="485" spans="1:40" s="129" customFormat="1" x14ac:dyDescent="0.25">
      <c r="A485" s="136">
        <v>484</v>
      </c>
      <c r="B485" s="130" t="s">
        <v>4428</v>
      </c>
      <c r="C485" s="130" t="s">
        <v>38</v>
      </c>
      <c r="D485" s="136" t="s">
        <v>5722</v>
      </c>
      <c r="E485" s="132">
        <v>42242</v>
      </c>
      <c r="F485" s="132" t="s">
        <v>5513</v>
      </c>
      <c r="G485" s="132" t="s">
        <v>592</v>
      </c>
      <c r="H485" s="130" t="s">
        <v>4463</v>
      </c>
      <c r="I485" s="132" t="s">
        <v>40</v>
      </c>
      <c r="J485" s="131" t="s">
        <v>4432</v>
      </c>
      <c r="K485" s="132" t="s">
        <v>4433</v>
      </c>
      <c r="L485" s="136">
        <v>2546305</v>
      </c>
      <c r="M485" s="132" t="s">
        <v>5354</v>
      </c>
      <c r="N485" s="136" t="s">
        <v>4532</v>
      </c>
      <c r="O485" s="130" t="s">
        <v>4436</v>
      </c>
      <c r="P485" s="130" t="s">
        <v>64</v>
      </c>
      <c r="Q485" s="130">
        <v>29161990</v>
      </c>
      <c r="R485" s="136">
        <v>19.399999999999999</v>
      </c>
      <c r="S485" s="130" t="s">
        <v>70</v>
      </c>
      <c r="T485" s="136" t="s">
        <v>44</v>
      </c>
      <c r="U485" s="136" t="s">
        <v>53</v>
      </c>
      <c r="V485" s="136">
        <v>2710</v>
      </c>
      <c r="W485" s="133">
        <f t="shared" si="23"/>
        <v>52573.999999999993</v>
      </c>
      <c r="X485" s="136">
        <v>17.350000000000001</v>
      </c>
      <c r="Y485" s="136">
        <v>360</v>
      </c>
      <c r="Z485" s="136">
        <v>0</v>
      </c>
      <c r="AA485" s="136">
        <v>0</v>
      </c>
      <c r="AB485" s="131">
        <v>42238</v>
      </c>
      <c r="AC485" s="134">
        <f>AF485/AD485</f>
        <v>52196.650077279744</v>
      </c>
      <c r="AD485" s="135">
        <v>64.7</v>
      </c>
      <c r="AE485" s="136">
        <f t="shared" si="22"/>
        <v>3401537.8</v>
      </c>
      <c r="AF485" s="137">
        <v>3377123.26</v>
      </c>
      <c r="AG485" s="138">
        <v>64.7</v>
      </c>
      <c r="AH485" s="136" t="s">
        <v>5723</v>
      </c>
      <c r="AI485" s="136">
        <v>52574</v>
      </c>
      <c r="AJ485" s="132" t="s">
        <v>5724</v>
      </c>
      <c r="AK485" s="136" t="s">
        <v>5725</v>
      </c>
      <c r="AL485" s="132" t="s">
        <v>5726</v>
      </c>
      <c r="AM485" s="131" t="s">
        <v>49</v>
      </c>
      <c r="AN485" s="136" t="s">
        <v>4440</v>
      </c>
    </row>
    <row r="486" spans="1:40" s="129" customFormat="1" x14ac:dyDescent="0.25">
      <c r="A486" s="130">
        <v>485</v>
      </c>
      <c r="B486" s="130" t="s">
        <v>4428</v>
      </c>
      <c r="C486" s="130" t="s">
        <v>38</v>
      </c>
      <c r="D486" s="136" t="s">
        <v>5722</v>
      </c>
      <c r="E486" s="132">
        <v>42242</v>
      </c>
      <c r="F486" s="132" t="s">
        <v>5513</v>
      </c>
      <c r="G486" s="132" t="s">
        <v>607</v>
      </c>
      <c r="H486" s="130" t="s">
        <v>4463</v>
      </c>
      <c r="I486" s="132" t="s">
        <v>40</v>
      </c>
      <c r="J486" s="131" t="s">
        <v>4432</v>
      </c>
      <c r="K486" s="132" t="s">
        <v>4433</v>
      </c>
      <c r="L486" s="136">
        <v>2561161</v>
      </c>
      <c r="M486" s="132" t="s">
        <v>5727</v>
      </c>
      <c r="N486" s="136" t="s">
        <v>4532</v>
      </c>
      <c r="O486" s="130" t="s">
        <v>4436</v>
      </c>
      <c r="P486" s="130" t="s">
        <v>64</v>
      </c>
      <c r="Q486" s="130">
        <v>29161990</v>
      </c>
      <c r="R486" s="136">
        <v>19.579999999999998</v>
      </c>
      <c r="S486" s="130" t="s">
        <v>70</v>
      </c>
      <c r="T486" s="136" t="s">
        <v>44</v>
      </c>
      <c r="U486" s="136" t="s">
        <v>53</v>
      </c>
      <c r="V486" s="136">
        <v>2710</v>
      </c>
      <c r="W486" s="133">
        <f t="shared" si="23"/>
        <v>53061.799999999996</v>
      </c>
      <c r="X486" s="136">
        <v>17.510000000000002</v>
      </c>
      <c r="Y486" s="136">
        <v>360</v>
      </c>
      <c r="Z486" s="136">
        <v>0</v>
      </c>
      <c r="AA486" s="136">
        <v>0</v>
      </c>
      <c r="AB486" s="131">
        <v>42239</v>
      </c>
      <c r="AC486" s="134">
        <f>AF486/AD486</f>
        <v>52684.289953632149</v>
      </c>
      <c r="AD486" s="135">
        <v>64.7</v>
      </c>
      <c r="AE486" s="136">
        <f t="shared" si="22"/>
        <v>3433098.46</v>
      </c>
      <c r="AF486" s="137">
        <v>3408673.56</v>
      </c>
      <c r="AG486" s="138">
        <v>64.7</v>
      </c>
      <c r="AH486" s="136" t="s">
        <v>5723</v>
      </c>
      <c r="AI486" s="136">
        <v>53061.8</v>
      </c>
      <c r="AJ486" s="132" t="s">
        <v>5724</v>
      </c>
      <c r="AK486" s="136" t="s">
        <v>5728</v>
      </c>
      <c r="AL486" s="132" t="s">
        <v>5726</v>
      </c>
      <c r="AM486" s="131" t="s">
        <v>49</v>
      </c>
      <c r="AN486" s="136" t="s">
        <v>4440</v>
      </c>
    </row>
    <row r="487" spans="1:40" s="129" customFormat="1" x14ac:dyDescent="0.25">
      <c r="A487" s="136">
        <v>486</v>
      </c>
      <c r="B487" s="130" t="s">
        <v>4428</v>
      </c>
      <c r="C487" s="130" t="s">
        <v>38</v>
      </c>
      <c r="D487" s="136">
        <v>9103650454</v>
      </c>
      <c r="E487" s="132">
        <v>42244</v>
      </c>
      <c r="F487" s="132" t="s">
        <v>5513</v>
      </c>
      <c r="G487" s="132" t="s">
        <v>596</v>
      </c>
      <c r="H487" s="130" t="s">
        <v>4556</v>
      </c>
      <c r="I487" s="132" t="s">
        <v>40</v>
      </c>
      <c r="J487" s="131" t="s">
        <v>4432</v>
      </c>
      <c r="K487" s="132" t="s">
        <v>4433</v>
      </c>
      <c r="L487" s="136">
        <v>2542651</v>
      </c>
      <c r="M487" s="132">
        <v>42237</v>
      </c>
      <c r="N487" s="136" t="s">
        <v>4972</v>
      </c>
      <c r="O487" s="130" t="s">
        <v>4436</v>
      </c>
      <c r="P487" s="130" t="s">
        <v>90</v>
      </c>
      <c r="Q487" s="130" t="s">
        <v>4645</v>
      </c>
      <c r="R487" s="136">
        <v>12</v>
      </c>
      <c r="S487" s="130" t="s">
        <v>70</v>
      </c>
      <c r="T487" s="136" t="s">
        <v>44</v>
      </c>
      <c r="U487" s="136" t="s">
        <v>53</v>
      </c>
      <c r="V487" s="136">
        <v>1520</v>
      </c>
      <c r="W487" s="133">
        <f t="shared" si="23"/>
        <v>18240</v>
      </c>
      <c r="X487" s="136">
        <v>6.02</v>
      </c>
      <c r="Y487" s="136">
        <v>560</v>
      </c>
      <c r="Z487" s="136">
        <v>0</v>
      </c>
      <c r="AA487" s="136">
        <v>345.84</v>
      </c>
      <c r="AB487" s="131">
        <v>42238</v>
      </c>
      <c r="AC487" s="134">
        <f t="shared" si="21"/>
        <v>17673.9800618238</v>
      </c>
      <c r="AD487" s="135">
        <v>64.7</v>
      </c>
      <c r="AE487" s="136">
        <f t="shared" si="22"/>
        <v>1180128</v>
      </c>
      <c r="AF487" s="137">
        <v>1143506.51</v>
      </c>
      <c r="AG487" s="138">
        <v>64.7</v>
      </c>
      <c r="AH487" s="136" t="s">
        <v>5729</v>
      </c>
      <c r="AI487" s="136">
        <v>18193</v>
      </c>
      <c r="AJ487" s="132">
        <v>42290</v>
      </c>
      <c r="AK487" s="136" t="s">
        <v>5730</v>
      </c>
      <c r="AL487" s="132">
        <v>42291</v>
      </c>
      <c r="AM487" s="131" t="s">
        <v>49</v>
      </c>
      <c r="AN487" s="136" t="s">
        <v>4440</v>
      </c>
    </row>
    <row r="488" spans="1:40" s="129" customFormat="1" x14ac:dyDescent="0.25">
      <c r="A488" s="130">
        <v>487</v>
      </c>
      <c r="B488" s="130" t="s">
        <v>4428</v>
      </c>
      <c r="C488" s="130" t="s">
        <v>38</v>
      </c>
      <c r="D488" s="136">
        <v>9103650455</v>
      </c>
      <c r="E488" s="132">
        <v>42245</v>
      </c>
      <c r="F488" s="132" t="s">
        <v>5513</v>
      </c>
      <c r="G488" s="132" t="s">
        <v>601</v>
      </c>
      <c r="H488" s="130" t="s">
        <v>4491</v>
      </c>
      <c r="I488" s="132" t="s">
        <v>40</v>
      </c>
      <c r="J488" s="131" t="s">
        <v>4432</v>
      </c>
      <c r="K488" s="132" t="s">
        <v>4433</v>
      </c>
      <c r="L488" s="136">
        <v>2558893</v>
      </c>
      <c r="M488" s="132" t="s">
        <v>5727</v>
      </c>
      <c r="N488" s="136" t="s">
        <v>3741</v>
      </c>
      <c r="O488" s="130" t="s">
        <v>4436</v>
      </c>
      <c r="P488" s="130" t="s">
        <v>4492</v>
      </c>
      <c r="Q488" s="130">
        <v>38237090</v>
      </c>
      <c r="R488" s="136">
        <v>18.16</v>
      </c>
      <c r="S488" s="130" t="s">
        <v>70</v>
      </c>
      <c r="T488" s="136" t="s">
        <v>44</v>
      </c>
      <c r="U488" s="136" t="s">
        <v>53</v>
      </c>
      <c r="V488" s="136">
        <v>3644</v>
      </c>
      <c r="W488" s="133">
        <f t="shared" si="23"/>
        <v>66175.039999999994</v>
      </c>
      <c r="X488" s="136">
        <v>21.84</v>
      </c>
      <c r="Y488" s="136">
        <v>2900</v>
      </c>
      <c r="Z488" s="136">
        <v>0</v>
      </c>
      <c r="AA488" s="136">
        <v>0</v>
      </c>
      <c r="AB488" s="131">
        <v>42240</v>
      </c>
      <c r="AC488" s="134">
        <f t="shared" si="21"/>
        <v>63253.2</v>
      </c>
      <c r="AD488" s="135">
        <v>64.7</v>
      </c>
      <c r="AE488" s="136">
        <f t="shared" si="22"/>
        <v>4281525.0879999995</v>
      </c>
      <c r="AF488" s="137">
        <v>4092482.04</v>
      </c>
      <c r="AG488" s="138">
        <v>64.7</v>
      </c>
      <c r="AH488" s="136" t="s">
        <v>5731</v>
      </c>
      <c r="AI488" s="133">
        <v>66175.039999999994</v>
      </c>
      <c r="AJ488" s="132" t="s">
        <v>4803</v>
      </c>
      <c r="AK488" s="136" t="s">
        <v>5732</v>
      </c>
      <c r="AL488" s="132" t="s">
        <v>4805</v>
      </c>
      <c r="AM488" s="131" t="s">
        <v>49</v>
      </c>
      <c r="AN488" s="136" t="s">
        <v>4440</v>
      </c>
    </row>
    <row r="489" spans="1:40" s="129" customFormat="1" x14ac:dyDescent="0.25">
      <c r="A489" s="136">
        <v>488</v>
      </c>
      <c r="B489" s="130" t="s">
        <v>4428</v>
      </c>
      <c r="C489" s="130" t="s">
        <v>38</v>
      </c>
      <c r="D489" s="136">
        <v>9103650456</v>
      </c>
      <c r="E489" s="132">
        <v>42245</v>
      </c>
      <c r="F489" s="132" t="s">
        <v>5513</v>
      </c>
      <c r="G489" s="132" t="s">
        <v>600</v>
      </c>
      <c r="H489" s="130" t="s">
        <v>4446</v>
      </c>
      <c r="I489" s="132" t="s">
        <v>40</v>
      </c>
      <c r="J489" s="131" t="s">
        <v>4432</v>
      </c>
      <c r="K489" s="132" t="s">
        <v>4433</v>
      </c>
      <c r="L489" s="136">
        <v>2576951</v>
      </c>
      <c r="M489" s="132">
        <v>42240</v>
      </c>
      <c r="N489" s="136" t="s">
        <v>4448</v>
      </c>
      <c r="O489" s="130" t="s">
        <v>4436</v>
      </c>
      <c r="P489" s="130" t="s">
        <v>47</v>
      </c>
      <c r="Q489" s="130">
        <v>38231900</v>
      </c>
      <c r="R489" s="136">
        <v>139.31</v>
      </c>
      <c r="S489" s="130" t="s">
        <v>70</v>
      </c>
      <c r="T489" s="136" t="s">
        <v>44</v>
      </c>
      <c r="U489" s="136" t="s">
        <v>53</v>
      </c>
      <c r="V489" s="136">
        <v>3850</v>
      </c>
      <c r="W489" s="133">
        <f t="shared" si="23"/>
        <v>536343.5</v>
      </c>
      <c r="X489" s="136">
        <v>176.99</v>
      </c>
      <c r="Y489" s="136">
        <v>4550</v>
      </c>
      <c r="Z489" s="136">
        <v>0</v>
      </c>
      <c r="AA489" s="136">
        <v>0</v>
      </c>
      <c r="AB489" s="131">
        <v>42242</v>
      </c>
      <c r="AC489" s="134">
        <f t="shared" si="21"/>
        <v>531616.51004636788</v>
      </c>
      <c r="AD489" s="135">
        <v>64.7</v>
      </c>
      <c r="AE489" s="136">
        <f t="shared" si="22"/>
        <v>34701424.450000003</v>
      </c>
      <c r="AF489" s="137">
        <v>34395588.200000003</v>
      </c>
      <c r="AG489" s="138">
        <v>64.7</v>
      </c>
      <c r="AH489" s="136" t="s">
        <v>5733</v>
      </c>
      <c r="AI489" s="136">
        <v>536343.5</v>
      </c>
      <c r="AJ489" s="132">
        <v>42277</v>
      </c>
      <c r="AK489" s="136" t="s">
        <v>5734</v>
      </c>
      <c r="AL489" s="132">
        <v>42278</v>
      </c>
      <c r="AM489" s="131" t="s">
        <v>49</v>
      </c>
      <c r="AN489" s="136" t="s">
        <v>4440</v>
      </c>
    </row>
    <row r="490" spans="1:40" s="129" customFormat="1" x14ac:dyDescent="0.25">
      <c r="A490" s="130">
        <v>489</v>
      </c>
      <c r="B490" s="130" t="s">
        <v>4428</v>
      </c>
      <c r="C490" s="130" t="s">
        <v>38</v>
      </c>
      <c r="D490" s="136">
        <v>9103650457</v>
      </c>
      <c r="E490" s="132">
        <v>42245</v>
      </c>
      <c r="F490" s="132" t="s">
        <v>5513</v>
      </c>
      <c r="G490" s="132" t="s">
        <v>604</v>
      </c>
      <c r="H490" s="130" t="s">
        <v>4491</v>
      </c>
      <c r="I490" s="132" t="s">
        <v>40</v>
      </c>
      <c r="J490" s="131" t="s">
        <v>4432</v>
      </c>
      <c r="K490" s="132" t="s">
        <v>4433</v>
      </c>
      <c r="L490" s="136">
        <v>2561113</v>
      </c>
      <c r="M490" s="132" t="s">
        <v>5727</v>
      </c>
      <c r="N490" s="136" t="s">
        <v>3741</v>
      </c>
      <c r="O490" s="130" t="s">
        <v>4436</v>
      </c>
      <c r="P490" s="130" t="s">
        <v>4492</v>
      </c>
      <c r="Q490" s="130">
        <v>29051700</v>
      </c>
      <c r="R490" s="136">
        <v>36.28</v>
      </c>
      <c r="S490" s="130" t="s">
        <v>70</v>
      </c>
      <c r="T490" s="136" t="s">
        <v>44</v>
      </c>
      <c r="U490" s="136" t="s">
        <v>53</v>
      </c>
      <c r="V490" s="136">
        <v>1577</v>
      </c>
      <c r="W490" s="133">
        <f t="shared" si="23"/>
        <v>57213.560000000005</v>
      </c>
      <c r="X490" s="136">
        <v>18.88</v>
      </c>
      <c r="Y490" s="136">
        <v>3800</v>
      </c>
      <c r="Z490" s="136">
        <v>0</v>
      </c>
      <c r="AA490" s="136">
        <v>0</v>
      </c>
      <c r="AB490" s="131">
        <v>42240</v>
      </c>
      <c r="AC490" s="134">
        <f t="shared" si="21"/>
        <v>53394.679907264297</v>
      </c>
      <c r="AD490" s="135">
        <v>64.7</v>
      </c>
      <c r="AE490" s="136">
        <f t="shared" si="22"/>
        <v>3701717.3320000004</v>
      </c>
      <c r="AF490" s="137">
        <v>3454635.79</v>
      </c>
      <c r="AG490" s="138">
        <v>64.7</v>
      </c>
      <c r="AH490" s="136" t="s">
        <v>5735</v>
      </c>
      <c r="AI490" s="133">
        <v>57213.56</v>
      </c>
      <c r="AJ490" s="132" t="s">
        <v>4803</v>
      </c>
      <c r="AK490" s="136" t="s">
        <v>5736</v>
      </c>
      <c r="AL490" s="132" t="s">
        <v>4805</v>
      </c>
      <c r="AM490" s="131" t="s">
        <v>49</v>
      </c>
      <c r="AN490" s="136" t="s">
        <v>4440</v>
      </c>
    </row>
    <row r="491" spans="1:40" s="129" customFormat="1" x14ac:dyDescent="0.25">
      <c r="A491" s="136">
        <v>490</v>
      </c>
      <c r="B491" s="130" t="s">
        <v>4428</v>
      </c>
      <c r="C491" s="130" t="s">
        <v>38</v>
      </c>
      <c r="D491" s="136">
        <v>9103650458</v>
      </c>
      <c r="E491" s="132">
        <v>42244</v>
      </c>
      <c r="F491" s="132" t="s">
        <v>5513</v>
      </c>
      <c r="G491" s="132" t="s">
        <v>603</v>
      </c>
      <c r="H491" s="130" t="s">
        <v>4491</v>
      </c>
      <c r="I491" s="132" t="s">
        <v>40</v>
      </c>
      <c r="J491" s="131" t="s">
        <v>4432</v>
      </c>
      <c r="K491" s="132" t="s">
        <v>4433</v>
      </c>
      <c r="L491" s="136">
        <v>2559436</v>
      </c>
      <c r="M491" s="132" t="s">
        <v>5727</v>
      </c>
      <c r="N491" s="136" t="s">
        <v>3741</v>
      </c>
      <c r="O491" s="130" t="s">
        <v>4436</v>
      </c>
      <c r="P491" s="130" t="s">
        <v>4492</v>
      </c>
      <c r="Q491" s="130">
        <v>29051700</v>
      </c>
      <c r="R491" s="136">
        <v>18.14</v>
      </c>
      <c r="S491" s="130" t="s">
        <v>70</v>
      </c>
      <c r="T491" s="136" t="s">
        <v>44</v>
      </c>
      <c r="U491" s="136" t="s">
        <v>53</v>
      </c>
      <c r="V491" s="136">
        <v>1627</v>
      </c>
      <c r="W491" s="133">
        <f t="shared" si="23"/>
        <v>29513.780000000002</v>
      </c>
      <c r="X491" s="136">
        <v>9.74</v>
      </c>
      <c r="Y491" s="136">
        <v>1900</v>
      </c>
      <c r="Z491" s="136">
        <v>0</v>
      </c>
      <c r="AA491" s="136">
        <v>0</v>
      </c>
      <c r="AB491" s="131">
        <v>42240</v>
      </c>
      <c r="AC491" s="134">
        <f t="shared" si="21"/>
        <v>27604.0400309119</v>
      </c>
      <c r="AD491" s="135">
        <v>64.7</v>
      </c>
      <c r="AE491" s="136">
        <f t="shared" si="22"/>
        <v>1909541.5660000003</v>
      </c>
      <c r="AF491" s="137">
        <v>1785981.39</v>
      </c>
      <c r="AG491" s="138">
        <v>64.7</v>
      </c>
      <c r="AH491" s="136" t="s">
        <v>5737</v>
      </c>
      <c r="AI491" s="133">
        <v>29513.78</v>
      </c>
      <c r="AJ491" s="132" t="s">
        <v>4803</v>
      </c>
      <c r="AK491" s="136" t="s">
        <v>5738</v>
      </c>
      <c r="AL491" s="132" t="s">
        <v>4805</v>
      </c>
      <c r="AM491" s="131" t="s">
        <v>49</v>
      </c>
      <c r="AN491" s="136" t="s">
        <v>4440</v>
      </c>
    </row>
    <row r="492" spans="1:40" s="129" customFormat="1" x14ac:dyDescent="0.25">
      <c r="A492" s="130">
        <v>491</v>
      </c>
      <c r="B492" s="130" t="s">
        <v>4428</v>
      </c>
      <c r="C492" s="130" t="s">
        <v>38</v>
      </c>
      <c r="D492" s="136">
        <v>9103650459</v>
      </c>
      <c r="E492" s="132">
        <v>42246</v>
      </c>
      <c r="F492" s="132" t="s">
        <v>5513</v>
      </c>
      <c r="G492" s="132" t="s">
        <v>605</v>
      </c>
      <c r="H492" s="130" t="s">
        <v>4491</v>
      </c>
      <c r="I492" s="132" t="s">
        <v>40</v>
      </c>
      <c r="J492" s="131" t="s">
        <v>4432</v>
      </c>
      <c r="K492" s="132" t="s">
        <v>4433</v>
      </c>
      <c r="L492" s="136">
        <v>2580564</v>
      </c>
      <c r="M492" s="132">
        <v>42240</v>
      </c>
      <c r="N492" s="136" t="s">
        <v>3741</v>
      </c>
      <c r="O492" s="130" t="s">
        <v>4436</v>
      </c>
      <c r="P492" s="130" t="s">
        <v>4492</v>
      </c>
      <c r="Q492" s="130">
        <v>29051700</v>
      </c>
      <c r="R492" s="136">
        <v>36.283999999999999</v>
      </c>
      <c r="S492" s="130" t="s">
        <v>70</v>
      </c>
      <c r="T492" s="136" t="s">
        <v>44</v>
      </c>
      <c r="U492" s="136" t="s">
        <v>53</v>
      </c>
      <c r="V492" s="136">
        <v>1788</v>
      </c>
      <c r="W492" s="133">
        <f t="shared" si="23"/>
        <v>64875.792000000001</v>
      </c>
      <c r="X492" s="136">
        <v>21.41</v>
      </c>
      <c r="Y492" s="136">
        <v>3050</v>
      </c>
      <c r="Z492" s="136">
        <v>0</v>
      </c>
      <c r="AA492" s="136">
        <v>0</v>
      </c>
      <c r="AB492" s="131">
        <v>42241</v>
      </c>
      <c r="AC492" s="134">
        <f t="shared" si="21"/>
        <v>61804.379907264294</v>
      </c>
      <c r="AD492" s="135">
        <v>64.7</v>
      </c>
      <c r="AE492" s="136">
        <f t="shared" si="22"/>
        <v>4197463.7423999999</v>
      </c>
      <c r="AF492" s="137">
        <v>3998743.38</v>
      </c>
      <c r="AG492" s="138">
        <v>64.7</v>
      </c>
      <c r="AH492" s="136" t="s">
        <v>5739</v>
      </c>
      <c r="AI492" s="133">
        <v>64875.79</v>
      </c>
      <c r="AJ492" s="132">
        <v>42318</v>
      </c>
      <c r="AK492" s="136" t="s">
        <v>5740</v>
      </c>
      <c r="AL492" s="132">
        <v>42321</v>
      </c>
      <c r="AM492" s="131" t="s">
        <v>49</v>
      </c>
      <c r="AN492" s="133" t="s">
        <v>4440</v>
      </c>
    </row>
    <row r="493" spans="1:40" s="129" customFormat="1" x14ac:dyDescent="0.25">
      <c r="A493" s="136">
        <v>492</v>
      </c>
      <c r="B493" s="130" t="s">
        <v>4428</v>
      </c>
      <c r="C493" s="130" t="s">
        <v>38</v>
      </c>
      <c r="D493" s="136">
        <v>9103650460</v>
      </c>
      <c r="E493" s="132">
        <v>42244</v>
      </c>
      <c r="F493" s="132" t="s">
        <v>5513</v>
      </c>
      <c r="G493" s="132" t="s">
        <v>587</v>
      </c>
      <c r="H493" s="130" t="s">
        <v>5024</v>
      </c>
      <c r="I493" s="132" t="s">
        <v>40</v>
      </c>
      <c r="J493" s="131" t="s">
        <v>4432</v>
      </c>
      <c r="K493" s="132" t="s">
        <v>4433</v>
      </c>
      <c r="L493" s="136">
        <v>2588138</v>
      </c>
      <c r="M493" s="132">
        <v>42240</v>
      </c>
      <c r="N493" s="136" t="s">
        <v>4473</v>
      </c>
      <c r="O493" s="130" t="s">
        <v>4436</v>
      </c>
      <c r="P493" s="130" t="s">
        <v>2263</v>
      </c>
      <c r="Q493" s="130">
        <v>38237090</v>
      </c>
      <c r="R493" s="136">
        <v>206.63</v>
      </c>
      <c r="S493" s="130" t="s">
        <v>70</v>
      </c>
      <c r="T493" s="136" t="s">
        <v>67</v>
      </c>
      <c r="U493" s="136" t="s">
        <v>1117</v>
      </c>
      <c r="V493" s="136">
        <v>88880</v>
      </c>
      <c r="W493" s="133">
        <f t="shared" si="23"/>
        <v>18365274.399999999</v>
      </c>
      <c r="X493" s="136">
        <v>0</v>
      </c>
      <c r="Y493" s="136">
        <v>0</v>
      </c>
      <c r="Z493" s="136">
        <v>0</v>
      </c>
      <c r="AA493" s="136">
        <v>0</v>
      </c>
      <c r="AB493" s="131">
        <v>42241</v>
      </c>
      <c r="AC493" s="134">
        <f t="shared" si="21"/>
        <v>18365274.399999999</v>
      </c>
      <c r="AD493" s="135">
        <v>1</v>
      </c>
      <c r="AE493" s="136">
        <f t="shared" si="22"/>
        <v>18365274.399999999</v>
      </c>
      <c r="AF493" s="130">
        <v>18365274.399999999</v>
      </c>
      <c r="AG493" s="138">
        <v>1</v>
      </c>
      <c r="AH493" s="136" t="s">
        <v>5741</v>
      </c>
      <c r="AI493" s="136">
        <v>18365274.399999999</v>
      </c>
      <c r="AJ493" s="132">
        <v>42262</v>
      </c>
      <c r="AK493" s="136" t="s">
        <v>5742</v>
      </c>
      <c r="AL493" s="132">
        <v>42263</v>
      </c>
      <c r="AM493" s="132" t="s">
        <v>49</v>
      </c>
      <c r="AN493" s="136" t="s">
        <v>4440</v>
      </c>
    </row>
    <row r="494" spans="1:40" s="129" customFormat="1" x14ac:dyDescent="0.25">
      <c r="A494" s="130">
        <v>493</v>
      </c>
      <c r="B494" s="130" t="s">
        <v>4428</v>
      </c>
      <c r="C494" s="130" t="s">
        <v>38</v>
      </c>
      <c r="D494" s="136" t="s">
        <v>5743</v>
      </c>
      <c r="E494" s="132">
        <v>42240</v>
      </c>
      <c r="F494" s="132" t="s">
        <v>5513</v>
      </c>
      <c r="G494" s="132" t="s">
        <v>582</v>
      </c>
      <c r="H494" s="130" t="s">
        <v>44</v>
      </c>
      <c r="I494" s="132" t="s">
        <v>40</v>
      </c>
      <c r="J494" s="131" t="s">
        <v>4432</v>
      </c>
      <c r="K494" s="132" t="s">
        <v>4433</v>
      </c>
      <c r="L494" s="136">
        <v>2542726</v>
      </c>
      <c r="M494" s="132">
        <v>42237</v>
      </c>
      <c r="N494" s="136" t="s">
        <v>5744</v>
      </c>
      <c r="O494" s="130" t="s">
        <v>4436</v>
      </c>
      <c r="P494" s="130" t="s">
        <v>361</v>
      </c>
      <c r="Q494" s="130">
        <v>29051700</v>
      </c>
      <c r="R494" s="136">
        <v>48</v>
      </c>
      <c r="S494" s="130" t="s">
        <v>70</v>
      </c>
      <c r="T494" s="136" t="s">
        <v>52</v>
      </c>
      <c r="U494" s="136" t="s">
        <v>1117</v>
      </c>
      <c r="V494" s="136">
        <v>91000</v>
      </c>
      <c r="W494" s="133">
        <f>V494*R494</f>
        <v>4368000</v>
      </c>
      <c r="X494" s="136">
        <v>0</v>
      </c>
      <c r="Y494" s="136">
        <v>24262.5</v>
      </c>
      <c r="Z494" s="136">
        <v>0</v>
      </c>
      <c r="AA494" s="136">
        <v>45864</v>
      </c>
      <c r="AB494" s="131">
        <v>42238</v>
      </c>
      <c r="AC494" s="134">
        <f>AF494/AD494</f>
        <v>4343737.5</v>
      </c>
      <c r="AD494" s="135">
        <v>1</v>
      </c>
      <c r="AE494" s="136">
        <f>AD494*W494</f>
        <v>4368000</v>
      </c>
      <c r="AF494" s="130">
        <v>4343737.5</v>
      </c>
      <c r="AG494" s="138">
        <v>1</v>
      </c>
      <c r="AH494" s="136" t="s">
        <v>5745</v>
      </c>
      <c r="AI494" s="136">
        <v>4368000</v>
      </c>
      <c r="AJ494" s="132">
        <v>42268</v>
      </c>
      <c r="AK494" s="136" t="s">
        <v>5746</v>
      </c>
      <c r="AL494" s="132">
        <v>42269</v>
      </c>
      <c r="AM494" s="131" t="s">
        <v>49</v>
      </c>
      <c r="AN494" s="136" t="s">
        <v>4440</v>
      </c>
    </row>
    <row r="495" spans="1:40" s="129" customFormat="1" x14ac:dyDescent="0.25">
      <c r="A495" s="136">
        <v>494</v>
      </c>
      <c r="B495" s="130" t="s">
        <v>4428</v>
      </c>
      <c r="C495" s="130" t="s">
        <v>38</v>
      </c>
      <c r="D495" s="136" t="s">
        <v>5743</v>
      </c>
      <c r="E495" s="132">
        <v>42240</v>
      </c>
      <c r="F495" s="132" t="s">
        <v>5513</v>
      </c>
      <c r="G495" s="132" t="s">
        <v>597</v>
      </c>
      <c r="H495" s="130" t="s">
        <v>4446</v>
      </c>
      <c r="I495" s="132" t="s">
        <v>40</v>
      </c>
      <c r="J495" s="131" t="s">
        <v>4432</v>
      </c>
      <c r="K495" s="132" t="s">
        <v>4433</v>
      </c>
      <c r="L495" s="136">
        <v>2546312</v>
      </c>
      <c r="M495" s="132">
        <v>42237</v>
      </c>
      <c r="N495" s="136" t="s">
        <v>5744</v>
      </c>
      <c r="O495" s="130" t="s">
        <v>4436</v>
      </c>
      <c r="P495" s="130" t="s">
        <v>4474</v>
      </c>
      <c r="Q495" s="130">
        <v>38237090</v>
      </c>
      <c r="R495" s="136">
        <v>64</v>
      </c>
      <c r="S495" s="130" t="s">
        <v>70</v>
      </c>
      <c r="T495" s="136" t="s">
        <v>52</v>
      </c>
      <c r="U495" s="136" t="s">
        <v>1117</v>
      </c>
      <c r="V495" s="136">
        <v>88780</v>
      </c>
      <c r="W495" s="133">
        <f t="shared" si="23"/>
        <v>5681920</v>
      </c>
      <c r="X495" s="136">
        <v>0</v>
      </c>
      <c r="Y495" s="136">
        <v>32350</v>
      </c>
      <c r="Z495" s="136">
        <v>0</v>
      </c>
      <c r="AA495" s="136">
        <v>101990.46</v>
      </c>
      <c r="AB495" s="131">
        <v>42239</v>
      </c>
      <c r="AC495" s="134">
        <f t="shared" si="21"/>
        <v>5649570</v>
      </c>
      <c r="AD495" s="135">
        <v>1</v>
      </c>
      <c r="AE495" s="136">
        <f t="shared" si="22"/>
        <v>5681920</v>
      </c>
      <c r="AF495" s="130">
        <v>5649570</v>
      </c>
      <c r="AG495" s="138">
        <v>1</v>
      </c>
      <c r="AH495" s="136" t="s">
        <v>5745</v>
      </c>
      <c r="AI495" s="136">
        <v>5681920</v>
      </c>
      <c r="AJ495" s="132">
        <v>42268</v>
      </c>
      <c r="AK495" s="136" t="s">
        <v>5747</v>
      </c>
      <c r="AL495" s="132">
        <v>42269</v>
      </c>
      <c r="AM495" s="131" t="s">
        <v>49</v>
      </c>
      <c r="AN495" s="136" t="s">
        <v>4440</v>
      </c>
    </row>
    <row r="496" spans="1:40" s="129" customFormat="1" x14ac:dyDescent="0.25">
      <c r="A496" s="130">
        <v>495</v>
      </c>
      <c r="B496" s="130" t="s">
        <v>4428</v>
      </c>
      <c r="C496" s="130" t="s">
        <v>38</v>
      </c>
      <c r="D496" s="136" t="s">
        <v>5743</v>
      </c>
      <c r="E496" s="132">
        <v>42240</v>
      </c>
      <c r="F496" s="132" t="s">
        <v>5513</v>
      </c>
      <c r="G496" s="132" t="s">
        <v>602</v>
      </c>
      <c r="H496" s="130" t="s">
        <v>4564</v>
      </c>
      <c r="I496" s="132" t="s">
        <v>40</v>
      </c>
      <c r="J496" s="131" t="s">
        <v>4432</v>
      </c>
      <c r="K496" s="132" t="s">
        <v>4433</v>
      </c>
      <c r="L496" s="136">
        <v>2555230</v>
      </c>
      <c r="M496" s="132">
        <v>42238</v>
      </c>
      <c r="N496" s="136" t="s">
        <v>5744</v>
      </c>
      <c r="O496" s="130" t="s">
        <v>4436</v>
      </c>
      <c r="P496" s="130" t="s">
        <v>4474</v>
      </c>
      <c r="Q496" s="130">
        <v>38237090</v>
      </c>
      <c r="R496" s="136">
        <v>16</v>
      </c>
      <c r="S496" s="130" t="s">
        <v>70</v>
      </c>
      <c r="T496" s="136" t="s">
        <v>52</v>
      </c>
      <c r="U496" s="136" t="s">
        <v>1117</v>
      </c>
      <c r="V496" s="136">
        <v>88780</v>
      </c>
      <c r="W496" s="133">
        <f t="shared" si="23"/>
        <v>1420480</v>
      </c>
      <c r="X496" s="136">
        <v>0</v>
      </c>
      <c r="Y496" s="136">
        <v>8087.5</v>
      </c>
      <c r="Z496" s="136">
        <v>0</v>
      </c>
      <c r="AA496" s="136">
        <v>25568.639999999999</v>
      </c>
      <c r="AB496" s="131">
        <v>42239</v>
      </c>
      <c r="AC496" s="134">
        <f t="shared" si="21"/>
        <v>1412392.5</v>
      </c>
      <c r="AD496" s="135">
        <v>1</v>
      </c>
      <c r="AE496" s="136">
        <f t="shared" si="22"/>
        <v>1420480</v>
      </c>
      <c r="AF496" s="130">
        <v>1412392.5</v>
      </c>
      <c r="AG496" s="138">
        <v>1</v>
      </c>
      <c r="AH496" s="136" t="s">
        <v>5745</v>
      </c>
      <c r="AI496" s="136">
        <v>1405698.91</v>
      </c>
      <c r="AJ496" s="132">
        <v>42268</v>
      </c>
      <c r="AK496" s="136" t="s">
        <v>5748</v>
      </c>
      <c r="AL496" s="132">
        <v>42269</v>
      </c>
      <c r="AM496" s="131" t="s">
        <v>49</v>
      </c>
      <c r="AN496" s="136" t="s">
        <v>4440</v>
      </c>
    </row>
    <row r="497" spans="1:40" s="129" customFormat="1" x14ac:dyDescent="0.25">
      <c r="A497" s="136">
        <v>496</v>
      </c>
      <c r="B497" s="130" t="s">
        <v>4428</v>
      </c>
      <c r="C497" s="130" t="s">
        <v>38</v>
      </c>
      <c r="D497" s="136" t="s">
        <v>5749</v>
      </c>
      <c r="E497" s="132">
        <v>42246</v>
      </c>
      <c r="F497" s="132" t="s">
        <v>5513</v>
      </c>
      <c r="G497" s="132" t="s">
        <v>577</v>
      </c>
      <c r="H497" s="130" t="s">
        <v>4456</v>
      </c>
      <c r="I497" s="132" t="s">
        <v>40</v>
      </c>
      <c r="J497" s="131" t="s">
        <v>4432</v>
      </c>
      <c r="K497" s="132" t="s">
        <v>4433</v>
      </c>
      <c r="L497" s="136">
        <v>2510467</v>
      </c>
      <c r="M497" s="132">
        <v>42236</v>
      </c>
      <c r="N497" s="136" t="s">
        <v>4452</v>
      </c>
      <c r="O497" s="130" t="s">
        <v>4436</v>
      </c>
      <c r="P497" s="130" t="s">
        <v>75</v>
      </c>
      <c r="Q497" s="130">
        <v>29051700</v>
      </c>
      <c r="R497" s="136">
        <v>11</v>
      </c>
      <c r="S497" s="130" t="s">
        <v>70</v>
      </c>
      <c r="T497" s="136" t="s">
        <v>52</v>
      </c>
      <c r="U497" s="136" t="s">
        <v>53</v>
      </c>
      <c r="V497" s="136">
        <v>0</v>
      </c>
      <c r="W497" s="133">
        <f>(6*1435+5*1435)</f>
        <v>15785</v>
      </c>
      <c r="X497" s="136">
        <v>0</v>
      </c>
      <c r="Y497" s="136">
        <v>85</v>
      </c>
      <c r="Z497" s="136">
        <v>0</v>
      </c>
      <c r="AA497" s="136">
        <v>0</v>
      </c>
      <c r="AB497" s="131">
        <v>42237</v>
      </c>
      <c r="AC497" s="134">
        <f t="shared" si="21"/>
        <v>15700</v>
      </c>
      <c r="AD497" s="135">
        <v>63.3</v>
      </c>
      <c r="AE497" s="136">
        <f t="shared" si="22"/>
        <v>999190.5</v>
      </c>
      <c r="AF497" s="137">
        <v>993810</v>
      </c>
      <c r="AG497" s="138">
        <v>64.7</v>
      </c>
      <c r="AH497" s="136" t="s">
        <v>5750</v>
      </c>
      <c r="AI497" s="136">
        <v>15785</v>
      </c>
      <c r="AJ497" s="132" t="s">
        <v>5676</v>
      </c>
      <c r="AK497" s="136" t="s">
        <v>5751</v>
      </c>
      <c r="AL497" s="132" t="s">
        <v>5678</v>
      </c>
      <c r="AM497" s="131" t="s">
        <v>49</v>
      </c>
      <c r="AN497" s="136" t="s">
        <v>4440</v>
      </c>
    </row>
    <row r="498" spans="1:40" s="129" customFormat="1" x14ac:dyDescent="0.25">
      <c r="A498" s="130">
        <v>497</v>
      </c>
      <c r="B498" s="130" t="s">
        <v>4428</v>
      </c>
      <c r="C498" s="130" t="s">
        <v>38</v>
      </c>
      <c r="D498" s="136" t="s">
        <v>5749</v>
      </c>
      <c r="E498" s="132">
        <v>42246</v>
      </c>
      <c r="F498" s="132" t="s">
        <v>5513</v>
      </c>
      <c r="G498" s="132" t="s">
        <v>558</v>
      </c>
      <c r="H498" s="130" t="s">
        <v>4463</v>
      </c>
      <c r="I498" s="132" t="s">
        <v>40</v>
      </c>
      <c r="J498" s="131" t="s">
        <v>4432</v>
      </c>
      <c r="K498" s="132" t="s">
        <v>4433</v>
      </c>
      <c r="L498" s="136">
        <v>2492378</v>
      </c>
      <c r="M498" s="132">
        <v>42235</v>
      </c>
      <c r="N498" s="136" t="s">
        <v>4452</v>
      </c>
      <c r="O498" s="130" t="s">
        <v>4436</v>
      </c>
      <c r="P498" s="130" t="s">
        <v>75</v>
      </c>
      <c r="Q498" s="130">
        <v>29051700</v>
      </c>
      <c r="R498" s="136">
        <v>11</v>
      </c>
      <c r="S498" s="130" t="s">
        <v>70</v>
      </c>
      <c r="T498" s="136" t="s">
        <v>52</v>
      </c>
      <c r="U498" s="136" t="s">
        <v>53</v>
      </c>
      <c r="V498" s="136">
        <v>1485</v>
      </c>
      <c r="W498" s="133">
        <f t="shared" si="23"/>
        <v>16335</v>
      </c>
      <c r="X498" s="136">
        <v>0</v>
      </c>
      <c r="Y498" s="136">
        <v>85</v>
      </c>
      <c r="Z498" s="136">
        <v>0</v>
      </c>
      <c r="AA498" s="136">
        <v>0</v>
      </c>
      <c r="AB498" s="131">
        <v>42237</v>
      </c>
      <c r="AC498" s="134">
        <f t="shared" si="21"/>
        <v>16250</v>
      </c>
      <c r="AD498" s="135">
        <v>63.3</v>
      </c>
      <c r="AE498" s="136">
        <f t="shared" si="22"/>
        <v>1034005.5</v>
      </c>
      <c r="AF498" s="137">
        <v>1028625</v>
      </c>
      <c r="AG498" s="138">
        <v>64.7</v>
      </c>
      <c r="AH498" s="136" t="s">
        <v>5750</v>
      </c>
      <c r="AI498" s="136">
        <v>16335</v>
      </c>
      <c r="AJ498" s="132" t="s">
        <v>5676</v>
      </c>
      <c r="AK498" s="136" t="s">
        <v>5752</v>
      </c>
      <c r="AL498" s="132" t="s">
        <v>5678</v>
      </c>
      <c r="AM498" s="131" t="s">
        <v>49</v>
      </c>
      <c r="AN498" s="133" t="s">
        <v>4440</v>
      </c>
    </row>
    <row r="499" spans="1:40" s="129" customFormat="1" x14ac:dyDescent="0.25">
      <c r="A499" s="136">
        <v>498</v>
      </c>
      <c r="B499" s="130" t="s">
        <v>4428</v>
      </c>
      <c r="C499" s="130" t="s">
        <v>38</v>
      </c>
      <c r="D499" s="136" t="s">
        <v>5753</v>
      </c>
      <c r="E499" s="132">
        <v>42244</v>
      </c>
      <c r="F499" s="132" t="s">
        <v>5513</v>
      </c>
      <c r="G499" s="132" t="s">
        <v>620</v>
      </c>
      <c r="H499" s="130" t="s">
        <v>5712</v>
      </c>
      <c r="I499" s="132" t="s">
        <v>40</v>
      </c>
      <c r="J499" s="131" t="s">
        <v>4432</v>
      </c>
      <c r="K499" s="132" t="s">
        <v>4433</v>
      </c>
      <c r="L499" s="136">
        <v>2607686</v>
      </c>
      <c r="M499" s="132" t="s">
        <v>5754</v>
      </c>
      <c r="N499" s="136" t="s">
        <v>5009</v>
      </c>
      <c r="O499" s="130" t="s">
        <v>4436</v>
      </c>
      <c r="P499" s="130" t="s">
        <v>90</v>
      </c>
      <c r="Q499" s="130" t="s">
        <v>4645</v>
      </c>
      <c r="R499" s="136">
        <v>3.6</v>
      </c>
      <c r="S499" s="130" t="s">
        <v>70</v>
      </c>
      <c r="T499" s="136" t="s">
        <v>44</v>
      </c>
      <c r="U499" s="136" t="s">
        <v>53</v>
      </c>
      <c r="V499" s="136">
        <v>0</v>
      </c>
      <c r="W499" s="133">
        <f>(1.675*1700+1.675*1600+0.25*2000)</f>
        <v>6027.5</v>
      </c>
      <c r="X499" s="136">
        <v>1.99</v>
      </c>
      <c r="Y499" s="136">
        <v>560</v>
      </c>
      <c r="Z499" s="136">
        <v>0</v>
      </c>
      <c r="AA499" s="136">
        <v>0</v>
      </c>
      <c r="AB499" s="131">
        <v>42242</v>
      </c>
      <c r="AC499" s="134">
        <f t="shared" si="21"/>
        <v>5465.5100463678518</v>
      </c>
      <c r="AD499" s="135">
        <v>64.7</v>
      </c>
      <c r="AE499" s="136">
        <f t="shared" si="22"/>
        <v>389979.25</v>
      </c>
      <c r="AF499" s="137">
        <v>353618.5</v>
      </c>
      <c r="AG499" s="138">
        <v>64.7</v>
      </c>
      <c r="AH499" s="136" t="s">
        <v>5755</v>
      </c>
      <c r="AI499" s="136">
        <v>5984.5</v>
      </c>
      <c r="AJ499" s="132" t="s">
        <v>5438</v>
      </c>
      <c r="AK499" s="136" t="s">
        <v>5756</v>
      </c>
      <c r="AL499" s="132" t="s">
        <v>5440</v>
      </c>
      <c r="AM499" s="131" t="s">
        <v>49</v>
      </c>
      <c r="AN499" s="136" t="s">
        <v>4440</v>
      </c>
    </row>
    <row r="500" spans="1:40" s="129" customFormat="1" x14ac:dyDescent="0.25">
      <c r="A500" s="130">
        <v>499</v>
      </c>
      <c r="B500" s="130" t="s">
        <v>4428</v>
      </c>
      <c r="C500" s="130" t="s">
        <v>38</v>
      </c>
      <c r="D500" s="136" t="s">
        <v>5753</v>
      </c>
      <c r="E500" s="132">
        <v>42244</v>
      </c>
      <c r="F500" s="132" t="s">
        <v>5513</v>
      </c>
      <c r="G500" s="132" t="s">
        <v>620</v>
      </c>
      <c r="H500" s="130" t="s">
        <v>4456</v>
      </c>
      <c r="I500" s="132" t="s">
        <v>40</v>
      </c>
      <c r="J500" s="131" t="s">
        <v>4432</v>
      </c>
      <c r="K500" s="132" t="s">
        <v>4433</v>
      </c>
      <c r="L500" s="136">
        <v>2607686</v>
      </c>
      <c r="M500" s="132" t="s">
        <v>5754</v>
      </c>
      <c r="N500" s="136" t="s">
        <v>5009</v>
      </c>
      <c r="O500" s="130" t="s">
        <v>4436</v>
      </c>
      <c r="P500" s="130" t="s">
        <v>90</v>
      </c>
      <c r="Q500" s="130" t="s">
        <v>5757</v>
      </c>
      <c r="R500" s="136">
        <v>3.6</v>
      </c>
      <c r="S500" s="130" t="s">
        <v>70</v>
      </c>
      <c r="T500" s="136" t="s">
        <v>44</v>
      </c>
      <c r="U500" s="136" t="s">
        <v>53</v>
      </c>
      <c r="V500" s="136">
        <v>0</v>
      </c>
      <c r="W500" s="133">
        <f>(1.675*1700+1.675*1600+0.25*2000)</f>
        <v>6027.5</v>
      </c>
      <c r="X500" s="136">
        <v>1.99</v>
      </c>
      <c r="Y500" s="136">
        <v>560</v>
      </c>
      <c r="Z500" s="136">
        <v>0</v>
      </c>
      <c r="AA500" s="136">
        <v>0</v>
      </c>
      <c r="AB500" s="131"/>
      <c r="AC500" s="134">
        <f t="shared" si="21"/>
        <v>5465.5100463678518</v>
      </c>
      <c r="AD500" s="135">
        <v>64.7</v>
      </c>
      <c r="AE500" s="136">
        <f t="shared" si="22"/>
        <v>389979.25</v>
      </c>
      <c r="AF500" s="137">
        <v>353618.5</v>
      </c>
      <c r="AG500" s="138">
        <v>64.7</v>
      </c>
      <c r="AH500" s="136" t="s">
        <v>5755</v>
      </c>
      <c r="AI500" s="136">
        <v>5984.5</v>
      </c>
      <c r="AJ500" s="132" t="s">
        <v>5438</v>
      </c>
      <c r="AK500" s="136" t="s">
        <v>5756</v>
      </c>
      <c r="AL500" s="132" t="s">
        <v>5440</v>
      </c>
      <c r="AM500" s="131" t="s">
        <v>49</v>
      </c>
      <c r="AN500" s="136" t="s">
        <v>4440</v>
      </c>
    </row>
    <row r="501" spans="1:40" s="129" customFormat="1" x14ac:dyDescent="0.25">
      <c r="A501" s="136">
        <v>500</v>
      </c>
      <c r="B501" s="130" t="s">
        <v>4428</v>
      </c>
      <c r="C501" s="130" t="s">
        <v>38</v>
      </c>
      <c r="D501" s="136">
        <v>9103650467</v>
      </c>
      <c r="E501" s="132">
        <v>42244</v>
      </c>
      <c r="F501" s="132" t="s">
        <v>5513</v>
      </c>
      <c r="G501" s="132" t="s">
        <v>622</v>
      </c>
      <c r="H501" s="130" t="s">
        <v>4491</v>
      </c>
      <c r="I501" s="132" t="s">
        <v>40</v>
      </c>
      <c r="J501" s="131" t="s">
        <v>4432</v>
      </c>
      <c r="K501" s="132" t="s">
        <v>4433</v>
      </c>
      <c r="L501" s="136">
        <v>2608134</v>
      </c>
      <c r="M501" s="132" t="s">
        <v>5754</v>
      </c>
      <c r="N501" s="136" t="s">
        <v>3741</v>
      </c>
      <c r="O501" s="130" t="s">
        <v>4436</v>
      </c>
      <c r="P501" s="130" t="s">
        <v>4492</v>
      </c>
      <c r="Q501" s="130">
        <v>38237090</v>
      </c>
      <c r="R501" s="136">
        <v>18.14</v>
      </c>
      <c r="S501" s="130" t="s">
        <v>70</v>
      </c>
      <c r="T501" s="136" t="s">
        <v>44</v>
      </c>
      <c r="U501" s="136" t="s">
        <v>53</v>
      </c>
      <c r="V501" s="136">
        <v>1452</v>
      </c>
      <c r="W501" s="133">
        <f t="shared" si="23"/>
        <v>26339.280000000002</v>
      </c>
      <c r="X501" s="136">
        <v>8.69</v>
      </c>
      <c r="Y501" s="136">
        <v>1900</v>
      </c>
      <c r="Z501" s="136">
        <v>0</v>
      </c>
      <c r="AA501" s="136">
        <v>0</v>
      </c>
      <c r="AB501" s="131">
        <v>42242</v>
      </c>
      <c r="AC501" s="134">
        <f t="shared" si="21"/>
        <v>24430.590108191653</v>
      </c>
      <c r="AD501" s="135">
        <v>64.7</v>
      </c>
      <c r="AE501" s="136">
        <f t="shared" si="22"/>
        <v>1704151.4160000002</v>
      </c>
      <c r="AF501" s="137">
        <v>1580659.18</v>
      </c>
      <c r="AG501" s="138">
        <v>64.7</v>
      </c>
      <c r="AH501" s="136" t="s">
        <v>5758</v>
      </c>
      <c r="AI501" s="133">
        <v>26339.279999999999</v>
      </c>
      <c r="AJ501" s="132" t="s">
        <v>4803</v>
      </c>
      <c r="AK501" s="136" t="s">
        <v>5759</v>
      </c>
      <c r="AL501" s="132" t="s">
        <v>4805</v>
      </c>
      <c r="AM501" s="131" t="s">
        <v>49</v>
      </c>
      <c r="AN501" s="133" t="s">
        <v>4440</v>
      </c>
    </row>
    <row r="502" spans="1:40" s="129" customFormat="1" x14ac:dyDescent="0.25">
      <c r="A502" s="130">
        <v>501</v>
      </c>
      <c r="B502" s="130" t="s">
        <v>4428</v>
      </c>
      <c r="C502" s="130" t="s">
        <v>38</v>
      </c>
      <c r="D502" s="136">
        <v>9103650468</v>
      </c>
      <c r="E502" s="132">
        <v>42246</v>
      </c>
      <c r="F502" s="132" t="s">
        <v>5513</v>
      </c>
      <c r="G502" s="132" t="s">
        <v>621</v>
      </c>
      <c r="H502" s="130" t="s">
        <v>4463</v>
      </c>
      <c r="I502" s="132" t="s">
        <v>40</v>
      </c>
      <c r="J502" s="131" t="s">
        <v>4432</v>
      </c>
      <c r="K502" s="132" t="s">
        <v>4433</v>
      </c>
      <c r="L502" s="136">
        <v>2623001</v>
      </c>
      <c r="M502" s="132" t="s">
        <v>4652</v>
      </c>
      <c r="N502" s="136" t="s">
        <v>5760</v>
      </c>
      <c r="O502" s="130" t="s">
        <v>4436</v>
      </c>
      <c r="P502" s="130" t="s">
        <v>5761</v>
      </c>
      <c r="Q502" s="130">
        <v>38231900</v>
      </c>
      <c r="R502" s="136">
        <v>19.670000000000002</v>
      </c>
      <c r="S502" s="130" t="s">
        <v>70</v>
      </c>
      <c r="T502" s="136" t="s">
        <v>44</v>
      </c>
      <c r="U502" s="136" t="s">
        <v>4528</v>
      </c>
      <c r="V502" s="136">
        <v>1045</v>
      </c>
      <c r="W502" s="133">
        <f t="shared" si="23"/>
        <v>20555.150000000001</v>
      </c>
      <c r="X502" s="136">
        <v>6.78</v>
      </c>
      <c r="Y502" s="136">
        <v>541.79999999999995</v>
      </c>
      <c r="Z502" s="136">
        <v>0</v>
      </c>
      <c r="AA502" s="136">
        <v>0</v>
      </c>
      <c r="AB502" s="131">
        <v>42243</v>
      </c>
      <c r="AC502" s="134">
        <f t="shared" si="21"/>
        <v>20006.5700330033</v>
      </c>
      <c r="AD502" s="135">
        <v>75.75</v>
      </c>
      <c r="AE502" s="136">
        <f t="shared" si="22"/>
        <v>1557052.6125</v>
      </c>
      <c r="AF502" s="130">
        <v>1515497.68</v>
      </c>
      <c r="AG502" s="138">
        <v>75.75</v>
      </c>
      <c r="AH502" s="136" t="s">
        <v>5762</v>
      </c>
      <c r="AI502" s="136">
        <v>20555.150000000001</v>
      </c>
      <c r="AJ502" s="132" t="s">
        <v>4915</v>
      </c>
      <c r="AK502" s="136" t="s">
        <v>5763</v>
      </c>
      <c r="AL502" s="132" t="s">
        <v>4917</v>
      </c>
      <c r="AM502" s="131" t="s">
        <v>49</v>
      </c>
      <c r="AN502" s="136" t="s">
        <v>4440</v>
      </c>
    </row>
    <row r="503" spans="1:40" s="129" customFormat="1" x14ac:dyDescent="0.25">
      <c r="A503" s="136">
        <v>502</v>
      </c>
      <c r="B503" s="130" t="s">
        <v>4428</v>
      </c>
      <c r="C503" s="130" t="s">
        <v>38</v>
      </c>
      <c r="D503" s="136">
        <v>9103650469</v>
      </c>
      <c r="E503" s="132">
        <v>42247</v>
      </c>
      <c r="F503" s="132" t="s">
        <v>5513</v>
      </c>
      <c r="G503" s="132" t="s">
        <v>608</v>
      </c>
      <c r="H503" s="130" t="s">
        <v>4463</v>
      </c>
      <c r="I503" s="132" t="s">
        <v>40</v>
      </c>
      <c r="J503" s="131" t="s">
        <v>4432</v>
      </c>
      <c r="K503" s="132" t="s">
        <v>4433</v>
      </c>
      <c r="L503" s="136">
        <v>2630922</v>
      </c>
      <c r="M503" s="132">
        <v>42242</v>
      </c>
      <c r="N503" s="136" t="s">
        <v>4630</v>
      </c>
      <c r="O503" s="130" t="s">
        <v>4436</v>
      </c>
      <c r="P503" s="130" t="s">
        <v>4566</v>
      </c>
      <c r="Q503" s="130">
        <v>38237090</v>
      </c>
      <c r="R503" s="136">
        <v>10</v>
      </c>
      <c r="S503" s="130" t="s">
        <v>70</v>
      </c>
      <c r="T503" s="136" t="s">
        <v>44</v>
      </c>
      <c r="U503" s="136" t="s">
        <v>53</v>
      </c>
      <c r="V503" s="136">
        <v>1345</v>
      </c>
      <c r="W503" s="133">
        <f t="shared" si="23"/>
        <v>13450</v>
      </c>
      <c r="X503" s="136">
        <v>4.4400000000000004</v>
      </c>
      <c r="Y503" s="136">
        <v>35</v>
      </c>
      <c r="Z503" s="136">
        <v>0</v>
      </c>
      <c r="AA503" s="136">
        <v>0</v>
      </c>
      <c r="AB503" s="131">
        <v>42244</v>
      </c>
      <c r="AC503" s="134">
        <f t="shared" si="21"/>
        <v>13410.559969088097</v>
      </c>
      <c r="AD503" s="135">
        <v>64.7</v>
      </c>
      <c r="AE503" s="136">
        <f t="shared" si="22"/>
        <v>870215</v>
      </c>
      <c r="AF503" s="137">
        <v>867663.23</v>
      </c>
      <c r="AG503" s="138">
        <v>64.7</v>
      </c>
      <c r="AH503" s="136" t="s">
        <v>5764</v>
      </c>
      <c r="AI503" s="136">
        <v>13450</v>
      </c>
      <c r="AJ503" s="132">
        <v>42289</v>
      </c>
      <c r="AK503" s="136" t="s">
        <v>5765</v>
      </c>
      <c r="AL503" s="132">
        <v>42290</v>
      </c>
      <c r="AM503" s="131" t="s">
        <v>49</v>
      </c>
      <c r="AN503" s="136" t="s">
        <v>4440</v>
      </c>
    </row>
    <row r="504" spans="1:40" s="129" customFormat="1" x14ac:dyDescent="0.25">
      <c r="A504" s="130">
        <v>503</v>
      </c>
      <c r="B504" s="130" t="s">
        <v>4428</v>
      </c>
      <c r="C504" s="130" t="s">
        <v>38</v>
      </c>
      <c r="D504" s="136">
        <v>9103650470</v>
      </c>
      <c r="E504" s="132">
        <v>42247</v>
      </c>
      <c r="F504" s="132" t="s">
        <v>5513</v>
      </c>
      <c r="G504" s="132" t="s">
        <v>609</v>
      </c>
      <c r="H504" s="130" t="s">
        <v>4456</v>
      </c>
      <c r="I504" s="132" t="s">
        <v>40</v>
      </c>
      <c r="J504" s="131" t="s">
        <v>4432</v>
      </c>
      <c r="K504" s="132" t="s">
        <v>4433</v>
      </c>
      <c r="L504" s="136">
        <v>2637362</v>
      </c>
      <c r="M504" s="132">
        <v>42242</v>
      </c>
      <c r="N504" s="136" t="s">
        <v>4612</v>
      </c>
      <c r="O504" s="130" t="s">
        <v>4436</v>
      </c>
      <c r="P504" s="130" t="s">
        <v>2657</v>
      </c>
      <c r="Q504" s="130">
        <v>38231900</v>
      </c>
      <c r="R504" s="136">
        <v>39.46</v>
      </c>
      <c r="S504" s="130" t="s">
        <v>70</v>
      </c>
      <c r="T504" s="136" t="s">
        <v>44</v>
      </c>
      <c r="U504" s="136" t="s">
        <v>53</v>
      </c>
      <c r="V504" s="136">
        <v>3972</v>
      </c>
      <c r="W504" s="133">
        <f t="shared" si="23"/>
        <v>156735.12</v>
      </c>
      <c r="X504" s="136">
        <v>51.72</v>
      </c>
      <c r="Y504" s="136">
        <v>1200</v>
      </c>
      <c r="Z504" s="136">
        <v>0</v>
      </c>
      <c r="AA504" s="136">
        <v>3038.42</v>
      </c>
      <c r="AB504" s="131">
        <v>42244</v>
      </c>
      <c r="AC504" s="134">
        <f t="shared" si="21"/>
        <v>155483.4</v>
      </c>
      <c r="AD504" s="135">
        <v>64.7</v>
      </c>
      <c r="AE504" s="136">
        <f t="shared" si="22"/>
        <v>10140762.264</v>
      </c>
      <c r="AF504" s="137">
        <v>10059775.98</v>
      </c>
      <c r="AG504" s="138">
        <v>64.7</v>
      </c>
      <c r="AH504" s="136" t="s">
        <v>5766</v>
      </c>
      <c r="AI504" s="133">
        <v>156730.56</v>
      </c>
      <c r="AJ504" s="132">
        <v>42324</v>
      </c>
      <c r="AK504" s="136" t="s">
        <v>5767</v>
      </c>
      <c r="AL504" s="132">
        <v>42325</v>
      </c>
      <c r="AM504" s="131" t="s">
        <v>49</v>
      </c>
      <c r="AN504" s="133" t="s">
        <v>4440</v>
      </c>
    </row>
    <row r="505" spans="1:40" s="129" customFormat="1" x14ac:dyDescent="0.25">
      <c r="A505" s="136">
        <v>504</v>
      </c>
      <c r="B505" s="130" t="s">
        <v>4428</v>
      </c>
      <c r="C505" s="130" t="s">
        <v>38</v>
      </c>
      <c r="D505" s="136">
        <v>9103650471</v>
      </c>
      <c r="E505" s="132">
        <v>42246</v>
      </c>
      <c r="F505" s="132" t="s">
        <v>5513</v>
      </c>
      <c r="G505" s="132" t="s">
        <v>616</v>
      </c>
      <c r="H505" s="130" t="s">
        <v>4491</v>
      </c>
      <c r="I505" s="132" t="s">
        <v>40</v>
      </c>
      <c r="J505" s="131" t="s">
        <v>4432</v>
      </c>
      <c r="K505" s="132" t="s">
        <v>4433</v>
      </c>
      <c r="L505" s="136">
        <v>2633806</v>
      </c>
      <c r="M505" s="132">
        <v>42242</v>
      </c>
      <c r="N505" s="136" t="s">
        <v>3741</v>
      </c>
      <c r="O505" s="130" t="s">
        <v>4436</v>
      </c>
      <c r="P505" s="130" t="s">
        <v>188</v>
      </c>
      <c r="Q505" s="130">
        <v>38237090</v>
      </c>
      <c r="R505" s="136">
        <v>36</v>
      </c>
      <c r="S505" s="130" t="s">
        <v>70</v>
      </c>
      <c r="T505" s="136" t="s">
        <v>44</v>
      </c>
      <c r="U505" s="136" t="s">
        <v>53</v>
      </c>
      <c r="V505" s="136">
        <v>0</v>
      </c>
      <c r="W505" s="133">
        <f>(36*1274+0.001*0.01)</f>
        <v>45864.000010000003</v>
      </c>
      <c r="X505" s="136">
        <v>15.14</v>
      </c>
      <c r="Y505" s="136">
        <v>5812</v>
      </c>
      <c r="Z505" s="136">
        <v>0</v>
      </c>
      <c r="AA505" s="136">
        <v>0</v>
      </c>
      <c r="AB505" s="131">
        <v>42244</v>
      </c>
      <c r="AC505" s="134">
        <f t="shared" si="21"/>
        <v>40036.859969088095</v>
      </c>
      <c r="AD505" s="135">
        <v>64.7</v>
      </c>
      <c r="AE505" s="136">
        <f t="shared" si="22"/>
        <v>2967400.8006470003</v>
      </c>
      <c r="AF505" s="137">
        <v>2590384.84</v>
      </c>
      <c r="AG505" s="138">
        <v>64.7</v>
      </c>
      <c r="AH505" s="136" t="s">
        <v>5768</v>
      </c>
      <c r="AI505" s="133">
        <v>45864</v>
      </c>
      <c r="AJ505" s="132">
        <v>42318</v>
      </c>
      <c r="AK505" s="136" t="s">
        <v>5769</v>
      </c>
      <c r="AL505" s="132">
        <v>42321</v>
      </c>
      <c r="AM505" s="131" t="s">
        <v>49</v>
      </c>
      <c r="AN505" s="133" t="s">
        <v>4440</v>
      </c>
    </row>
    <row r="506" spans="1:40" s="129" customFormat="1" x14ac:dyDescent="0.25">
      <c r="A506" s="130">
        <v>505</v>
      </c>
      <c r="B506" s="130" t="s">
        <v>4428</v>
      </c>
      <c r="C506" s="130" t="s">
        <v>38</v>
      </c>
      <c r="D506" s="136">
        <v>9103650472</v>
      </c>
      <c r="E506" s="132">
        <v>42246</v>
      </c>
      <c r="F506" s="132" t="s">
        <v>5513</v>
      </c>
      <c r="G506" s="132" t="s">
        <v>612</v>
      </c>
      <c r="H506" s="130" t="s">
        <v>4491</v>
      </c>
      <c r="I506" s="132" t="s">
        <v>40</v>
      </c>
      <c r="J506" s="131" t="s">
        <v>4432</v>
      </c>
      <c r="K506" s="132" t="s">
        <v>4433</v>
      </c>
      <c r="L506" s="136">
        <v>2629252</v>
      </c>
      <c r="M506" s="132">
        <v>42242</v>
      </c>
      <c r="N506" s="136" t="s">
        <v>3741</v>
      </c>
      <c r="O506" s="130" t="s">
        <v>4436</v>
      </c>
      <c r="P506" s="130" t="s">
        <v>188</v>
      </c>
      <c r="Q506" s="130">
        <v>38237090</v>
      </c>
      <c r="R506" s="136">
        <v>18</v>
      </c>
      <c r="S506" s="130" t="s">
        <v>70</v>
      </c>
      <c r="T506" s="136" t="s">
        <v>44</v>
      </c>
      <c r="U506" s="136" t="s">
        <v>53</v>
      </c>
      <c r="V506" s="136">
        <v>0</v>
      </c>
      <c r="W506" s="133">
        <f>(18*1274+0.01*0.01)</f>
        <v>22932.000100000001</v>
      </c>
      <c r="X506" s="136">
        <v>7.57</v>
      </c>
      <c r="Y506" s="136">
        <v>2906</v>
      </c>
      <c r="Z506" s="136">
        <v>0</v>
      </c>
      <c r="AA506" s="136">
        <v>0</v>
      </c>
      <c r="AB506" s="131">
        <v>42244</v>
      </c>
      <c r="AC506" s="134">
        <f t="shared" si="21"/>
        <v>20018.429984544047</v>
      </c>
      <c r="AD506" s="135">
        <v>64.7</v>
      </c>
      <c r="AE506" s="136">
        <f t="shared" si="22"/>
        <v>1483700.40647</v>
      </c>
      <c r="AF506" s="137">
        <v>1295192.42</v>
      </c>
      <c r="AG506" s="138">
        <v>64.7</v>
      </c>
      <c r="AH506" s="136" t="s">
        <v>5770</v>
      </c>
      <c r="AI506" s="133">
        <v>22932</v>
      </c>
      <c r="AJ506" s="132">
        <v>42318</v>
      </c>
      <c r="AK506" s="136" t="s">
        <v>5771</v>
      </c>
      <c r="AL506" s="132">
        <v>42321</v>
      </c>
      <c r="AM506" s="131" t="s">
        <v>49</v>
      </c>
      <c r="AN506" s="133" t="s">
        <v>4440</v>
      </c>
    </row>
    <row r="507" spans="1:40" s="129" customFormat="1" x14ac:dyDescent="0.25">
      <c r="A507" s="136">
        <v>506</v>
      </c>
      <c r="B507" s="130" t="s">
        <v>4428</v>
      </c>
      <c r="C507" s="130" t="s">
        <v>38</v>
      </c>
      <c r="D507" s="136">
        <v>9103650473</v>
      </c>
      <c r="E507" s="132">
        <v>42247</v>
      </c>
      <c r="F507" s="132" t="s">
        <v>5513</v>
      </c>
      <c r="G507" s="132" t="s">
        <v>615</v>
      </c>
      <c r="H507" s="130" t="s">
        <v>4491</v>
      </c>
      <c r="I507" s="132" t="s">
        <v>40</v>
      </c>
      <c r="J507" s="131" t="s">
        <v>4432</v>
      </c>
      <c r="K507" s="132" t="s">
        <v>4433</v>
      </c>
      <c r="L507" s="136">
        <v>2652225</v>
      </c>
      <c r="M507" s="132" t="s">
        <v>4654</v>
      </c>
      <c r="N507" s="136" t="s">
        <v>4720</v>
      </c>
      <c r="O507" s="130" t="s">
        <v>4436</v>
      </c>
      <c r="P507" s="130" t="s">
        <v>130</v>
      </c>
      <c r="Q507" s="130">
        <v>29159090</v>
      </c>
      <c r="R507" s="136">
        <v>19.59</v>
      </c>
      <c r="S507" s="130" t="s">
        <v>70</v>
      </c>
      <c r="T507" s="136" t="s">
        <v>333</v>
      </c>
      <c r="U507" s="136" t="s">
        <v>4528</v>
      </c>
      <c r="V507" s="136">
        <v>2700</v>
      </c>
      <c r="W507" s="133">
        <f t="shared" si="23"/>
        <v>52893</v>
      </c>
      <c r="X507" s="136">
        <v>17.45</v>
      </c>
      <c r="Y507" s="136">
        <v>2754.15</v>
      </c>
      <c r="Z507" s="136">
        <v>0</v>
      </c>
      <c r="AA507" s="136">
        <v>970.68</v>
      </c>
      <c r="AB507" s="131">
        <v>42244</v>
      </c>
      <c r="AC507" s="134">
        <f t="shared" si="21"/>
        <v>50121.399999999994</v>
      </c>
      <c r="AD507" s="135">
        <v>75.75</v>
      </c>
      <c r="AE507" s="136">
        <f t="shared" si="22"/>
        <v>4006644.75</v>
      </c>
      <c r="AF507" s="130">
        <v>3796696.05</v>
      </c>
      <c r="AG507" s="138">
        <v>75.75</v>
      </c>
      <c r="AH507" s="136" t="s">
        <v>5772</v>
      </c>
      <c r="AI507" s="136">
        <v>52818</v>
      </c>
      <c r="AJ507" s="132" t="s">
        <v>5687</v>
      </c>
      <c r="AK507" s="136" t="s">
        <v>5773</v>
      </c>
      <c r="AL507" s="132" t="s">
        <v>5540</v>
      </c>
      <c r="AM507" s="131" t="s">
        <v>49</v>
      </c>
      <c r="AN507" s="136" t="s">
        <v>4440</v>
      </c>
    </row>
    <row r="508" spans="1:40" s="129" customFormat="1" x14ac:dyDescent="0.25">
      <c r="A508" s="130">
        <v>507</v>
      </c>
      <c r="B508" s="130" t="s">
        <v>4428</v>
      </c>
      <c r="C508" s="130" t="s">
        <v>38</v>
      </c>
      <c r="D508" s="136">
        <v>9103650474</v>
      </c>
      <c r="E508" s="132">
        <v>42247</v>
      </c>
      <c r="F508" s="132" t="s">
        <v>5513</v>
      </c>
      <c r="G508" s="132" t="s">
        <v>618</v>
      </c>
      <c r="H508" s="130" t="s">
        <v>4463</v>
      </c>
      <c r="I508" s="132" t="s">
        <v>40</v>
      </c>
      <c r="J508" s="131" t="s">
        <v>4432</v>
      </c>
      <c r="K508" s="132" t="s">
        <v>4433</v>
      </c>
      <c r="L508" s="136">
        <v>2637377</v>
      </c>
      <c r="M508" s="132">
        <v>42242</v>
      </c>
      <c r="N508" s="136" t="s">
        <v>5162</v>
      </c>
      <c r="O508" s="130" t="s">
        <v>4436</v>
      </c>
      <c r="P508" s="130" t="s">
        <v>4566</v>
      </c>
      <c r="Q508" s="130">
        <v>38237090</v>
      </c>
      <c r="R508" s="136">
        <v>15</v>
      </c>
      <c r="S508" s="130" t="s">
        <v>70</v>
      </c>
      <c r="T508" s="136" t="s">
        <v>44</v>
      </c>
      <c r="U508" s="136" t="s">
        <v>53</v>
      </c>
      <c r="V508" s="136">
        <v>0</v>
      </c>
      <c r="W508" s="133">
        <f>(11*1300+4*1425)</f>
        <v>20000</v>
      </c>
      <c r="X508" s="136">
        <v>6.6</v>
      </c>
      <c r="Y508" s="136">
        <v>35</v>
      </c>
      <c r="Z508" s="136">
        <v>0</v>
      </c>
      <c r="AA508" s="136">
        <v>0</v>
      </c>
      <c r="AB508" s="131">
        <v>42244</v>
      </c>
      <c r="AC508" s="134">
        <f t="shared" si="21"/>
        <v>19958.399999999998</v>
      </c>
      <c r="AD508" s="135">
        <v>64.7</v>
      </c>
      <c r="AE508" s="136">
        <f t="shared" si="22"/>
        <v>1294000</v>
      </c>
      <c r="AF508" s="137">
        <v>1291308.48</v>
      </c>
      <c r="AG508" s="138">
        <v>64.7</v>
      </c>
      <c r="AH508" s="136" t="s">
        <v>5774</v>
      </c>
      <c r="AI508" s="136">
        <v>19953</v>
      </c>
      <c r="AJ508" s="132" t="s">
        <v>5001</v>
      </c>
      <c r="AK508" s="136" t="s">
        <v>5775</v>
      </c>
      <c r="AL508" s="132" t="s">
        <v>5399</v>
      </c>
      <c r="AM508" s="131" t="s">
        <v>49</v>
      </c>
      <c r="AN508" s="136" t="s">
        <v>4440</v>
      </c>
    </row>
    <row r="509" spans="1:40" s="129" customFormat="1" x14ac:dyDescent="0.25">
      <c r="A509" s="136">
        <v>508</v>
      </c>
      <c r="B509" s="130" t="s">
        <v>4428</v>
      </c>
      <c r="C509" s="130" t="s">
        <v>38</v>
      </c>
      <c r="D509" s="136">
        <v>9103650476</v>
      </c>
      <c r="E509" s="132">
        <v>42247</v>
      </c>
      <c r="F509" s="132" t="s">
        <v>5513</v>
      </c>
      <c r="G509" s="132" t="s">
        <v>614</v>
      </c>
      <c r="H509" s="130" t="s">
        <v>4491</v>
      </c>
      <c r="I509" s="132" t="s">
        <v>40</v>
      </c>
      <c r="J509" s="131" t="s">
        <v>4432</v>
      </c>
      <c r="K509" s="132" t="s">
        <v>4433</v>
      </c>
      <c r="L509" s="136">
        <v>2659353</v>
      </c>
      <c r="M509" s="132">
        <v>42243</v>
      </c>
      <c r="N509" s="136" t="s">
        <v>3741</v>
      </c>
      <c r="O509" s="130" t="s">
        <v>4436</v>
      </c>
      <c r="P509" s="130" t="s">
        <v>4492</v>
      </c>
      <c r="Q509" s="130">
        <v>29051700</v>
      </c>
      <c r="R509" s="136">
        <v>18.309999999999999</v>
      </c>
      <c r="S509" s="130" t="s">
        <v>70</v>
      </c>
      <c r="T509" s="136" t="s">
        <v>44</v>
      </c>
      <c r="U509" s="136" t="s">
        <v>53</v>
      </c>
      <c r="V509" s="136">
        <v>1820</v>
      </c>
      <c r="W509" s="133">
        <f t="shared" ref="W509:W572" si="24">V509*R509</f>
        <v>33324.199999999997</v>
      </c>
      <c r="X509" s="136">
        <v>11</v>
      </c>
      <c r="Y509" s="136">
        <v>4300</v>
      </c>
      <c r="Z509" s="136">
        <v>0</v>
      </c>
      <c r="AA509" s="136">
        <v>0</v>
      </c>
      <c r="AB509" s="131">
        <v>42244</v>
      </c>
      <c r="AC509" s="134">
        <f t="shared" si="21"/>
        <v>29013.200000000001</v>
      </c>
      <c r="AD509" s="135">
        <v>64.7</v>
      </c>
      <c r="AE509" s="136">
        <f t="shared" si="22"/>
        <v>2156075.7399999998</v>
      </c>
      <c r="AF509" s="137">
        <v>1877154.04</v>
      </c>
      <c r="AG509" s="138">
        <v>64.7</v>
      </c>
      <c r="AH509" s="136" t="s">
        <v>5776</v>
      </c>
      <c r="AI509" s="133">
        <v>33324.199999999997</v>
      </c>
      <c r="AJ509" s="132">
        <v>42318</v>
      </c>
      <c r="AK509" s="136" t="s">
        <v>5777</v>
      </c>
      <c r="AL509" s="132">
        <v>42321</v>
      </c>
      <c r="AM509" s="131" t="s">
        <v>49</v>
      </c>
      <c r="AN509" s="133" t="s">
        <v>4440</v>
      </c>
    </row>
    <row r="510" spans="1:40" s="129" customFormat="1" x14ac:dyDescent="0.25">
      <c r="A510" s="130">
        <v>509</v>
      </c>
      <c r="B510" s="130" t="s">
        <v>4428</v>
      </c>
      <c r="C510" s="130" t="s">
        <v>38</v>
      </c>
      <c r="D510" s="136">
        <v>9103650477</v>
      </c>
      <c r="E510" s="132">
        <v>42246</v>
      </c>
      <c r="F510" s="132" t="s">
        <v>5513</v>
      </c>
      <c r="G510" s="132" t="s">
        <v>606</v>
      </c>
      <c r="H510" s="130" t="s">
        <v>4463</v>
      </c>
      <c r="I510" s="132" t="s">
        <v>40</v>
      </c>
      <c r="J510" s="131" t="s">
        <v>4432</v>
      </c>
      <c r="K510" s="132" t="s">
        <v>4433</v>
      </c>
      <c r="L510" s="136">
        <v>2608213</v>
      </c>
      <c r="M510" s="132">
        <v>42241</v>
      </c>
      <c r="N510" s="136" t="s">
        <v>5306</v>
      </c>
      <c r="O510" s="130" t="s">
        <v>4436</v>
      </c>
      <c r="P510" s="130" t="s">
        <v>5778</v>
      </c>
      <c r="Q510" s="130">
        <v>38237090</v>
      </c>
      <c r="R510" s="136">
        <v>4.8</v>
      </c>
      <c r="S510" s="130" t="s">
        <v>70</v>
      </c>
      <c r="T510" s="136" t="s">
        <v>67</v>
      </c>
      <c r="U510" s="136" t="s">
        <v>53</v>
      </c>
      <c r="V510" s="136">
        <v>1423</v>
      </c>
      <c r="W510" s="133">
        <f t="shared" si="24"/>
        <v>6830.4</v>
      </c>
      <c r="X510" s="136">
        <v>0</v>
      </c>
      <c r="Y510" s="136">
        <v>0</v>
      </c>
      <c r="Z510" s="136">
        <v>0</v>
      </c>
      <c r="AA510" s="136">
        <v>0</v>
      </c>
      <c r="AB510" s="131">
        <v>42242</v>
      </c>
      <c r="AC510" s="134">
        <f t="shared" si="21"/>
        <v>6830.4</v>
      </c>
      <c r="AD510" s="135">
        <v>64.7</v>
      </c>
      <c r="AE510" s="136">
        <f t="shared" si="22"/>
        <v>441926.88</v>
      </c>
      <c r="AF510" s="137">
        <v>441926.88</v>
      </c>
      <c r="AG510" s="138">
        <v>64.7</v>
      </c>
      <c r="AH510" s="136" t="s">
        <v>5779</v>
      </c>
      <c r="AI510" s="133">
        <v>6815.4</v>
      </c>
      <c r="AJ510" s="132">
        <v>42262</v>
      </c>
      <c r="AK510" s="136" t="s">
        <v>5780</v>
      </c>
      <c r="AL510" s="132">
        <v>42262</v>
      </c>
      <c r="AM510" s="131" t="s">
        <v>49</v>
      </c>
      <c r="AN510" s="136" t="s">
        <v>4440</v>
      </c>
    </row>
    <row r="511" spans="1:40" s="129" customFormat="1" x14ac:dyDescent="0.25">
      <c r="A511" s="136">
        <v>510</v>
      </c>
      <c r="B511" s="130" t="s">
        <v>4428</v>
      </c>
      <c r="C511" s="130" t="s">
        <v>38</v>
      </c>
      <c r="D511" s="136">
        <v>9103650478</v>
      </c>
      <c r="E511" s="132">
        <v>42245</v>
      </c>
      <c r="F511" s="132" t="s">
        <v>5513</v>
      </c>
      <c r="G511" s="132" t="s">
        <v>619</v>
      </c>
      <c r="H511" s="130" t="s">
        <v>4491</v>
      </c>
      <c r="I511" s="132" t="s">
        <v>40</v>
      </c>
      <c r="J511" s="131" t="s">
        <v>4432</v>
      </c>
      <c r="K511" s="132" t="s">
        <v>4433</v>
      </c>
      <c r="L511" s="136">
        <v>2637285</v>
      </c>
      <c r="M511" s="132">
        <v>42242</v>
      </c>
      <c r="N511" s="136" t="s">
        <v>4858</v>
      </c>
      <c r="O511" s="130" t="s">
        <v>4436</v>
      </c>
      <c r="P511" s="130" t="s">
        <v>54</v>
      </c>
      <c r="Q511" s="130">
        <v>38237090</v>
      </c>
      <c r="R511" s="136">
        <v>12</v>
      </c>
      <c r="S511" s="130" t="s">
        <v>70</v>
      </c>
      <c r="T511" s="136" t="s">
        <v>44</v>
      </c>
      <c r="U511" s="136" t="s">
        <v>53</v>
      </c>
      <c r="V511" s="136">
        <v>3700</v>
      </c>
      <c r="W511" s="133">
        <f t="shared" si="24"/>
        <v>44400</v>
      </c>
      <c r="X511" s="136">
        <v>14.65</v>
      </c>
      <c r="Y511" s="136">
        <v>55</v>
      </c>
      <c r="Z511" s="136">
        <v>0</v>
      </c>
      <c r="AA511" s="136">
        <v>0</v>
      </c>
      <c r="AB511" s="131">
        <v>42243</v>
      </c>
      <c r="AC511" s="134">
        <f t="shared" si="21"/>
        <v>44330.350077279749</v>
      </c>
      <c r="AD511" s="135">
        <v>64.7</v>
      </c>
      <c r="AE511" s="136">
        <f t="shared" si="22"/>
        <v>2872680</v>
      </c>
      <c r="AF511" s="137">
        <v>2868173.65</v>
      </c>
      <c r="AG511" s="138">
        <v>64.7</v>
      </c>
      <c r="AH511" s="136" t="s">
        <v>5781</v>
      </c>
      <c r="AI511" s="133">
        <v>44250</v>
      </c>
      <c r="AJ511" s="132">
        <v>42339</v>
      </c>
      <c r="AK511" s="136" t="s">
        <v>5782</v>
      </c>
      <c r="AL511" s="132">
        <v>42340</v>
      </c>
      <c r="AM511" s="131" t="s">
        <v>49</v>
      </c>
      <c r="AN511" s="136" t="s">
        <v>4440</v>
      </c>
    </row>
    <row r="512" spans="1:40" s="129" customFormat="1" x14ac:dyDescent="0.25">
      <c r="A512" s="130">
        <v>511</v>
      </c>
      <c r="B512" s="130" t="s">
        <v>4428</v>
      </c>
      <c r="C512" s="130" t="s">
        <v>38</v>
      </c>
      <c r="D512" s="136">
        <v>9114650008</v>
      </c>
      <c r="E512" s="132">
        <v>42235</v>
      </c>
      <c r="F512" s="132" t="s">
        <v>5513</v>
      </c>
      <c r="G512" s="132" t="s">
        <v>5783</v>
      </c>
      <c r="H512" s="130"/>
      <c r="I512" s="132" t="s">
        <v>40</v>
      </c>
      <c r="J512" s="131" t="s">
        <v>4432</v>
      </c>
      <c r="K512" s="132" t="s">
        <v>4433</v>
      </c>
      <c r="L512" s="136"/>
      <c r="M512" s="132"/>
      <c r="N512" s="136" t="s">
        <v>5784</v>
      </c>
      <c r="O512" s="130" t="s">
        <v>4436</v>
      </c>
      <c r="P512" s="130"/>
      <c r="Q512" s="130"/>
      <c r="R512" s="136"/>
      <c r="S512" s="130"/>
      <c r="T512" s="136"/>
      <c r="U512" s="136"/>
      <c r="V512" s="136"/>
      <c r="W512" s="133">
        <f t="shared" si="24"/>
        <v>0</v>
      </c>
      <c r="X512" s="136"/>
      <c r="Y512" s="136"/>
      <c r="Z512" s="136"/>
      <c r="AA512" s="136"/>
      <c r="AB512" s="131"/>
      <c r="AC512" s="134"/>
      <c r="AD512" s="135"/>
      <c r="AE512" s="136"/>
      <c r="AF512" s="130"/>
      <c r="AG512" s="138"/>
      <c r="AH512" s="136"/>
      <c r="AI512" s="136"/>
      <c r="AJ512" s="132"/>
      <c r="AL512" s="132"/>
      <c r="AM512" s="136" t="s">
        <v>5785</v>
      </c>
      <c r="AN512" s="136" t="s">
        <v>5785</v>
      </c>
    </row>
    <row r="513" spans="1:40" s="129" customFormat="1" x14ac:dyDescent="0.25">
      <c r="A513" s="136">
        <v>512</v>
      </c>
      <c r="B513" s="130" t="s">
        <v>4428</v>
      </c>
      <c r="C513" s="130" t="s">
        <v>38</v>
      </c>
      <c r="D513" s="136">
        <v>9116650004</v>
      </c>
      <c r="E513" s="132">
        <v>42226</v>
      </c>
      <c r="F513" s="132" t="s">
        <v>5513</v>
      </c>
      <c r="G513" s="132" t="s">
        <v>5786</v>
      </c>
      <c r="H513" s="130" t="s">
        <v>4456</v>
      </c>
      <c r="I513" s="132" t="s">
        <v>65</v>
      </c>
      <c r="J513" s="131" t="s">
        <v>5507</v>
      </c>
      <c r="K513" s="132" t="s">
        <v>4433</v>
      </c>
      <c r="L513" s="136">
        <v>2078089</v>
      </c>
      <c r="M513" s="132" t="s">
        <v>4534</v>
      </c>
      <c r="N513" s="136" t="s">
        <v>3741</v>
      </c>
      <c r="O513" s="130" t="s">
        <v>4436</v>
      </c>
      <c r="P513" s="130" t="s">
        <v>4492</v>
      </c>
      <c r="Q513" s="130">
        <v>34011190</v>
      </c>
      <c r="R513" s="136" t="s">
        <v>5787</v>
      </c>
      <c r="S513" s="130" t="s">
        <v>70</v>
      </c>
      <c r="T513" s="136" t="s">
        <v>5788</v>
      </c>
      <c r="U513" s="136" t="s">
        <v>53</v>
      </c>
      <c r="V513" s="136">
        <v>0.25</v>
      </c>
      <c r="W513" s="133">
        <f t="shared" si="24"/>
        <v>43200</v>
      </c>
      <c r="X513" s="136">
        <v>14.26</v>
      </c>
      <c r="Y513" s="136">
        <v>9700</v>
      </c>
      <c r="Z513" s="136">
        <v>0</v>
      </c>
      <c r="AA513" s="136">
        <v>0</v>
      </c>
      <c r="AB513" s="131">
        <v>42222</v>
      </c>
      <c r="AC513" s="134">
        <f t="shared" si="21"/>
        <v>33485.739936608559</v>
      </c>
      <c r="AD513" s="135">
        <v>63.1</v>
      </c>
      <c r="AE513" s="136">
        <f t="shared" si="22"/>
        <v>2725920</v>
      </c>
      <c r="AF513" s="130">
        <v>2112950.19</v>
      </c>
      <c r="AG513" s="138">
        <v>63.1</v>
      </c>
      <c r="AH513" s="136" t="s">
        <v>5789</v>
      </c>
      <c r="AI513" s="133">
        <v>43200</v>
      </c>
      <c r="AJ513" s="132" t="s">
        <v>4803</v>
      </c>
      <c r="AK513" s="136" t="s">
        <v>5790</v>
      </c>
      <c r="AL513" s="132" t="s">
        <v>4805</v>
      </c>
      <c r="AM513" s="131" t="s">
        <v>49</v>
      </c>
      <c r="AN513" s="136" t="s">
        <v>4440</v>
      </c>
    </row>
    <row r="514" spans="1:40" s="129" customFormat="1" x14ac:dyDescent="0.25">
      <c r="A514" s="130">
        <v>513</v>
      </c>
      <c r="B514" s="130" t="s">
        <v>4428</v>
      </c>
      <c r="C514" s="130" t="s">
        <v>38</v>
      </c>
      <c r="D514" s="136" t="s">
        <v>5791</v>
      </c>
      <c r="E514" s="132">
        <v>42226</v>
      </c>
      <c r="F514" s="132" t="s">
        <v>5513</v>
      </c>
      <c r="G514" s="132" t="s">
        <v>5792</v>
      </c>
      <c r="H514" s="130" t="s">
        <v>4456</v>
      </c>
      <c r="I514" s="132" t="s">
        <v>65</v>
      </c>
      <c r="J514" s="131" t="s">
        <v>5507</v>
      </c>
      <c r="K514" s="132" t="s">
        <v>4433</v>
      </c>
      <c r="L514" s="136">
        <v>2143031</v>
      </c>
      <c r="M514" s="132" t="s">
        <v>4954</v>
      </c>
      <c r="N514" s="136" t="s">
        <v>3741</v>
      </c>
      <c r="O514" s="130" t="s">
        <v>4436</v>
      </c>
      <c r="P514" s="130" t="s">
        <v>4492</v>
      </c>
      <c r="Q514" s="130">
        <v>34011190</v>
      </c>
      <c r="R514" s="136" t="s">
        <v>5510</v>
      </c>
      <c r="S514" s="130" t="s">
        <v>70</v>
      </c>
      <c r="T514" s="136" t="s">
        <v>5788</v>
      </c>
      <c r="U514" s="136" t="s">
        <v>53</v>
      </c>
      <c r="V514" s="136">
        <v>0.25</v>
      </c>
      <c r="W514" s="133">
        <f t="shared" si="24"/>
        <v>28800</v>
      </c>
      <c r="X514" s="136">
        <v>9.5</v>
      </c>
      <c r="Y514" s="136">
        <v>4850</v>
      </c>
      <c r="Z514" s="136">
        <v>0</v>
      </c>
      <c r="AA514" s="136">
        <v>0</v>
      </c>
      <c r="AB514" s="131">
        <v>42221</v>
      </c>
      <c r="AC514" s="134">
        <f t="shared" ref="AC514:AC578" si="25">AF514/AD514</f>
        <v>23940.5</v>
      </c>
      <c r="AD514" s="135">
        <v>63.1</v>
      </c>
      <c r="AE514" s="136">
        <f t="shared" ref="AE514:AE578" si="26">AD514*W514</f>
        <v>1817280</v>
      </c>
      <c r="AF514" s="130">
        <v>1510645.55</v>
      </c>
      <c r="AG514" s="138">
        <v>63.1</v>
      </c>
      <c r="AH514" s="136" t="s">
        <v>5793</v>
      </c>
      <c r="AI514" s="136">
        <v>28800</v>
      </c>
      <c r="AJ514" s="132" t="s">
        <v>4803</v>
      </c>
      <c r="AK514" s="136" t="s">
        <v>5794</v>
      </c>
      <c r="AL514" s="132" t="s">
        <v>4805</v>
      </c>
      <c r="AM514" s="131" t="s">
        <v>49</v>
      </c>
      <c r="AN514" s="136" t="s">
        <v>4440</v>
      </c>
    </row>
    <row r="515" spans="1:40" s="129" customFormat="1" x14ac:dyDescent="0.25">
      <c r="A515" s="136">
        <v>514</v>
      </c>
      <c r="B515" s="130" t="s">
        <v>4428</v>
      </c>
      <c r="C515" s="130" t="s">
        <v>38</v>
      </c>
      <c r="D515" s="136" t="s">
        <v>5791</v>
      </c>
      <c r="E515" s="132">
        <v>42226</v>
      </c>
      <c r="F515" s="132" t="s">
        <v>5513</v>
      </c>
      <c r="G515" s="132" t="s">
        <v>5795</v>
      </c>
      <c r="H515" s="130" t="s">
        <v>4456</v>
      </c>
      <c r="I515" s="132" t="s">
        <v>65</v>
      </c>
      <c r="J515" s="131" t="s">
        <v>5507</v>
      </c>
      <c r="K515" s="132" t="s">
        <v>4433</v>
      </c>
      <c r="L515" s="136">
        <v>2143023</v>
      </c>
      <c r="M515" s="132" t="s">
        <v>4954</v>
      </c>
      <c r="N515" s="136" t="s">
        <v>3741</v>
      </c>
      <c r="O515" s="130" t="s">
        <v>4436</v>
      </c>
      <c r="P515" s="130" t="s">
        <v>4492</v>
      </c>
      <c r="Q515" s="130">
        <v>34011190</v>
      </c>
      <c r="R515" s="136" t="s">
        <v>5510</v>
      </c>
      <c r="S515" s="130" t="s">
        <v>70</v>
      </c>
      <c r="T515" s="136" t="s">
        <v>5788</v>
      </c>
      <c r="U515" s="136" t="s">
        <v>53</v>
      </c>
      <c r="V515" s="136">
        <v>0.25</v>
      </c>
      <c r="W515" s="133">
        <f t="shared" si="24"/>
        <v>28800</v>
      </c>
      <c r="X515" s="136">
        <v>9.5</v>
      </c>
      <c r="Y515" s="136">
        <v>4850</v>
      </c>
      <c r="Z515" s="136">
        <v>0</v>
      </c>
      <c r="AA515" s="136">
        <v>0</v>
      </c>
      <c r="AB515" s="131">
        <v>42221</v>
      </c>
      <c r="AC515" s="134">
        <f t="shared" si="25"/>
        <v>23940.5</v>
      </c>
      <c r="AD515" s="135">
        <v>63.1</v>
      </c>
      <c r="AE515" s="136">
        <f t="shared" si="26"/>
        <v>1817280</v>
      </c>
      <c r="AF515" s="130">
        <v>1510645.55</v>
      </c>
      <c r="AG515" s="138">
        <v>63.1</v>
      </c>
      <c r="AH515" s="136" t="s">
        <v>5793</v>
      </c>
      <c r="AI515" s="136">
        <v>28800</v>
      </c>
      <c r="AJ515" s="132" t="s">
        <v>4803</v>
      </c>
      <c r="AK515" s="136" t="s">
        <v>5796</v>
      </c>
      <c r="AL515" s="132" t="s">
        <v>4805</v>
      </c>
      <c r="AM515" s="131" t="s">
        <v>49</v>
      </c>
      <c r="AN515" s="136" t="s">
        <v>4440</v>
      </c>
    </row>
    <row r="516" spans="1:40" s="129" customFormat="1" x14ac:dyDescent="0.25">
      <c r="A516" s="130">
        <v>515</v>
      </c>
      <c r="B516" s="130" t="s">
        <v>4428</v>
      </c>
      <c r="C516" s="130" t="s">
        <v>38</v>
      </c>
      <c r="D516" s="136" t="s">
        <v>5797</v>
      </c>
      <c r="E516" s="132">
        <v>42235</v>
      </c>
      <c r="F516" s="132" t="s">
        <v>5513</v>
      </c>
      <c r="G516" s="132" t="s">
        <v>5798</v>
      </c>
      <c r="H516" s="130" t="s">
        <v>4456</v>
      </c>
      <c r="I516" s="132" t="s">
        <v>65</v>
      </c>
      <c r="J516" s="131" t="s">
        <v>5507</v>
      </c>
      <c r="K516" s="132" t="s">
        <v>4433</v>
      </c>
      <c r="L516" s="136">
        <v>2230396</v>
      </c>
      <c r="M516" s="132">
        <v>42221</v>
      </c>
      <c r="N516" s="136" t="s">
        <v>3741</v>
      </c>
      <c r="O516" s="130" t="s">
        <v>4436</v>
      </c>
      <c r="P516" s="130" t="s">
        <v>4492</v>
      </c>
      <c r="Q516" s="130">
        <v>34011190</v>
      </c>
      <c r="R516" s="153" t="s">
        <v>5510</v>
      </c>
      <c r="S516" s="130" t="s">
        <v>70</v>
      </c>
      <c r="T516" s="136" t="s">
        <v>5788</v>
      </c>
      <c r="U516" s="136" t="s">
        <v>53</v>
      </c>
      <c r="V516" s="136">
        <v>0.25</v>
      </c>
      <c r="W516" s="133">
        <f t="shared" si="24"/>
        <v>28800</v>
      </c>
      <c r="X516" s="136">
        <v>9.5</v>
      </c>
      <c r="Y516" s="136">
        <v>4850</v>
      </c>
      <c r="Z516" s="136">
        <v>0</v>
      </c>
      <c r="AA516" s="136">
        <v>0</v>
      </c>
      <c r="AB516" s="131">
        <v>42226</v>
      </c>
      <c r="AC516" s="134">
        <f t="shared" si="25"/>
        <v>23940.5</v>
      </c>
      <c r="AD516" s="135">
        <v>63.1</v>
      </c>
      <c r="AE516" s="136">
        <f t="shared" si="26"/>
        <v>1817280</v>
      </c>
      <c r="AF516" s="130">
        <v>1510645.55</v>
      </c>
      <c r="AG516" s="138">
        <v>63.3</v>
      </c>
      <c r="AH516" s="136" t="s">
        <v>5799</v>
      </c>
      <c r="AI516" s="136">
        <v>28800</v>
      </c>
      <c r="AJ516" s="132" t="s">
        <v>4803</v>
      </c>
      <c r="AK516" s="136" t="s">
        <v>5800</v>
      </c>
      <c r="AL516" s="132">
        <v>42263</v>
      </c>
      <c r="AM516" s="131" t="s">
        <v>49</v>
      </c>
      <c r="AN516" s="136" t="s">
        <v>4440</v>
      </c>
    </row>
    <row r="517" spans="1:40" s="129" customFormat="1" x14ac:dyDescent="0.25">
      <c r="A517" s="136">
        <v>516</v>
      </c>
      <c r="B517" s="130" t="s">
        <v>4428</v>
      </c>
      <c r="C517" s="130" t="s">
        <v>38</v>
      </c>
      <c r="D517" s="136" t="s">
        <v>5797</v>
      </c>
      <c r="E517" s="132">
        <v>42235</v>
      </c>
      <c r="F517" s="132" t="s">
        <v>5513</v>
      </c>
      <c r="G517" s="132" t="s">
        <v>5801</v>
      </c>
      <c r="H517" s="130" t="s">
        <v>4456</v>
      </c>
      <c r="I517" s="132" t="s">
        <v>65</v>
      </c>
      <c r="J517" s="131" t="s">
        <v>5507</v>
      </c>
      <c r="K517" s="132" t="s">
        <v>4433</v>
      </c>
      <c r="L517" s="136">
        <v>2252235</v>
      </c>
      <c r="M517" s="132">
        <v>42222</v>
      </c>
      <c r="N517" s="136" t="s">
        <v>3741</v>
      </c>
      <c r="O517" s="130" t="s">
        <v>4436</v>
      </c>
      <c r="P517" s="130" t="s">
        <v>4492</v>
      </c>
      <c r="Q517" s="130">
        <v>34011190</v>
      </c>
      <c r="R517" s="153" t="s">
        <v>5510</v>
      </c>
      <c r="S517" s="130" t="s">
        <v>70</v>
      </c>
      <c r="T517" s="136" t="s">
        <v>5788</v>
      </c>
      <c r="U517" s="136" t="s">
        <v>53</v>
      </c>
      <c r="V517" s="136">
        <v>0.25</v>
      </c>
      <c r="W517" s="133">
        <f t="shared" si="24"/>
        <v>28800</v>
      </c>
      <c r="X517" s="136">
        <v>9.5</v>
      </c>
      <c r="Y517" s="136">
        <v>4850</v>
      </c>
      <c r="Z517" s="136">
        <v>0</v>
      </c>
      <c r="AA517" s="136">
        <v>0</v>
      </c>
      <c r="AB517" s="131">
        <v>42226</v>
      </c>
      <c r="AC517" s="134">
        <f t="shared" si="25"/>
        <v>23940.5</v>
      </c>
      <c r="AD517" s="135">
        <v>63.1</v>
      </c>
      <c r="AE517" s="136">
        <f t="shared" si="26"/>
        <v>1817280</v>
      </c>
      <c r="AF517" s="130">
        <v>1510645.55</v>
      </c>
      <c r="AG517" s="138">
        <v>63.3</v>
      </c>
      <c r="AH517" s="136" t="s">
        <v>5799</v>
      </c>
      <c r="AI517" s="136">
        <v>28800</v>
      </c>
      <c r="AJ517" s="132" t="s">
        <v>4803</v>
      </c>
      <c r="AK517" s="136" t="s">
        <v>5802</v>
      </c>
      <c r="AL517" s="132">
        <v>42263</v>
      </c>
      <c r="AM517" s="131" t="s">
        <v>49</v>
      </c>
      <c r="AN517" s="136" t="s">
        <v>4440</v>
      </c>
    </row>
    <row r="518" spans="1:40" s="129" customFormat="1" x14ac:dyDescent="0.25">
      <c r="A518" s="130">
        <v>517</v>
      </c>
      <c r="B518" s="130" t="s">
        <v>4428</v>
      </c>
      <c r="C518" s="130" t="s">
        <v>38</v>
      </c>
      <c r="D518" s="136">
        <v>9103650395</v>
      </c>
      <c r="E518" s="132">
        <v>42254</v>
      </c>
      <c r="F518" s="132" t="s">
        <v>5803</v>
      </c>
      <c r="G518" s="132" t="s">
        <v>489</v>
      </c>
      <c r="H518" s="130" t="s">
        <v>4463</v>
      </c>
      <c r="I518" s="132" t="s">
        <v>40</v>
      </c>
      <c r="J518" s="131" t="s">
        <v>4432</v>
      </c>
      <c r="K518" s="132" t="s">
        <v>4433</v>
      </c>
      <c r="L518" s="136">
        <v>2263910</v>
      </c>
      <c r="M518" s="132">
        <v>42222</v>
      </c>
      <c r="N518" s="136" t="s">
        <v>5804</v>
      </c>
      <c r="O518" s="130" t="s">
        <v>4436</v>
      </c>
      <c r="P518" s="130" t="s">
        <v>4492</v>
      </c>
      <c r="Q518" s="130" t="s">
        <v>5805</v>
      </c>
      <c r="R518" s="136">
        <v>2.25</v>
      </c>
      <c r="S518" s="130" t="s">
        <v>70</v>
      </c>
      <c r="T518" s="136" t="s">
        <v>302</v>
      </c>
      <c r="U518" s="136" t="s">
        <v>53</v>
      </c>
      <c r="V518" s="136">
        <v>0</v>
      </c>
      <c r="W518" s="133">
        <f>(1*1000+1*1080+0.25*3900)</f>
        <v>3055</v>
      </c>
      <c r="X518" s="136">
        <v>0</v>
      </c>
      <c r="Y518" s="136">
        <v>0</v>
      </c>
      <c r="Z518" s="136">
        <v>0</v>
      </c>
      <c r="AA518" s="136">
        <v>0</v>
      </c>
      <c r="AB518" s="131"/>
      <c r="AC518" s="134">
        <f t="shared" si="25"/>
        <v>3055</v>
      </c>
      <c r="AD518" s="135">
        <v>63.1</v>
      </c>
      <c r="AE518" s="136">
        <f t="shared" si="26"/>
        <v>192770.5</v>
      </c>
      <c r="AF518" s="137">
        <v>192770.5</v>
      </c>
      <c r="AG518" s="138">
        <v>63.1</v>
      </c>
      <c r="AH518" s="136">
        <v>0</v>
      </c>
      <c r="AI518" s="136">
        <v>3047</v>
      </c>
      <c r="AJ518" s="132"/>
      <c r="AK518" s="136" t="s">
        <v>5806</v>
      </c>
      <c r="AL518" s="132"/>
      <c r="AM518" s="131" t="s">
        <v>49</v>
      </c>
      <c r="AN518" s="136" t="s">
        <v>4440</v>
      </c>
    </row>
    <row r="519" spans="1:40" s="129" customFormat="1" x14ac:dyDescent="0.25">
      <c r="A519" s="136">
        <v>518</v>
      </c>
      <c r="B519" s="130" t="s">
        <v>4428</v>
      </c>
      <c r="C519" s="130" t="s">
        <v>38</v>
      </c>
      <c r="D519" s="136">
        <v>9103650475</v>
      </c>
      <c r="E519" s="132">
        <v>42248</v>
      </c>
      <c r="F519" s="132" t="s">
        <v>5803</v>
      </c>
      <c r="G519" s="132" t="s">
        <v>617</v>
      </c>
      <c r="H519" s="130" t="s">
        <v>4446</v>
      </c>
      <c r="I519" s="132" t="s">
        <v>40</v>
      </c>
      <c r="J519" s="131" t="s">
        <v>4432</v>
      </c>
      <c r="K519" s="132" t="s">
        <v>4433</v>
      </c>
      <c r="L519" s="136">
        <v>2654246</v>
      </c>
      <c r="M519" s="132" t="s">
        <v>4654</v>
      </c>
      <c r="N519" s="136" t="s">
        <v>4733</v>
      </c>
      <c r="O519" s="130" t="s">
        <v>4436</v>
      </c>
      <c r="P519" s="130" t="s">
        <v>492</v>
      </c>
      <c r="Q519" s="130">
        <v>38231900</v>
      </c>
      <c r="R519" s="136">
        <v>59.67</v>
      </c>
      <c r="S519" s="130" t="s">
        <v>70</v>
      </c>
      <c r="T519" s="136" t="s">
        <v>44</v>
      </c>
      <c r="U519" s="136" t="s">
        <v>53</v>
      </c>
      <c r="V519" s="136">
        <v>3750</v>
      </c>
      <c r="W519" s="133">
        <f t="shared" si="24"/>
        <v>223762.5</v>
      </c>
      <c r="X519" s="136">
        <v>73.84</v>
      </c>
      <c r="Y519" s="136">
        <v>900</v>
      </c>
      <c r="Z519" s="136">
        <v>0</v>
      </c>
      <c r="AA519" s="136">
        <v>0</v>
      </c>
      <c r="AB519" s="131">
        <v>42245</v>
      </c>
      <c r="AC519" s="134">
        <f t="shared" si="25"/>
        <v>222788.6599690881</v>
      </c>
      <c r="AD519" s="135">
        <v>64.7</v>
      </c>
      <c r="AE519" s="136">
        <f t="shared" si="26"/>
        <v>14477433.75</v>
      </c>
      <c r="AF519" s="137">
        <v>14414426.300000001</v>
      </c>
      <c r="AG519" s="138">
        <v>64.7</v>
      </c>
      <c r="AH519" s="136" t="s">
        <v>5807</v>
      </c>
      <c r="AI519" s="133">
        <v>223762.5</v>
      </c>
      <c r="AJ519" s="132" t="s">
        <v>5572</v>
      </c>
      <c r="AK519" s="136" t="s">
        <v>5808</v>
      </c>
      <c r="AL519" s="132" t="s">
        <v>5574</v>
      </c>
      <c r="AM519" s="131" t="s">
        <v>49</v>
      </c>
      <c r="AN519" s="133" t="s">
        <v>4440</v>
      </c>
    </row>
    <row r="520" spans="1:40" s="129" customFormat="1" x14ac:dyDescent="0.25">
      <c r="A520" s="130">
        <v>519</v>
      </c>
      <c r="B520" s="130" t="s">
        <v>4428</v>
      </c>
      <c r="C520" s="130" t="s">
        <v>38</v>
      </c>
      <c r="D520" s="136">
        <v>9103650479</v>
      </c>
      <c r="E520" s="132">
        <v>42257</v>
      </c>
      <c r="F520" s="132" t="s">
        <v>5803</v>
      </c>
      <c r="G520" s="132" t="s">
        <v>610</v>
      </c>
      <c r="H520" s="130" t="s">
        <v>4463</v>
      </c>
      <c r="I520" s="132" t="s">
        <v>40</v>
      </c>
      <c r="J520" s="131" t="s">
        <v>4432</v>
      </c>
      <c r="K520" s="132" t="s">
        <v>4433</v>
      </c>
      <c r="L520" s="136">
        <v>2672736</v>
      </c>
      <c r="M520" s="132">
        <v>42243</v>
      </c>
      <c r="N520" s="136" t="s">
        <v>4532</v>
      </c>
      <c r="O520" s="130" t="s">
        <v>4436</v>
      </c>
      <c r="P520" s="130" t="s">
        <v>64</v>
      </c>
      <c r="Q520" s="130">
        <v>29161990</v>
      </c>
      <c r="R520" s="136">
        <v>39.630000000000003</v>
      </c>
      <c r="S520" s="130" t="s">
        <v>70</v>
      </c>
      <c r="T520" s="136" t="s">
        <v>44</v>
      </c>
      <c r="U520" s="136" t="s">
        <v>53</v>
      </c>
      <c r="V520" s="136">
        <v>2710</v>
      </c>
      <c r="W520" s="133">
        <f t="shared" si="24"/>
        <v>107397.3</v>
      </c>
      <c r="X520" s="136">
        <v>35.44</v>
      </c>
      <c r="Y520" s="136">
        <v>720</v>
      </c>
      <c r="Z520" s="136">
        <v>0</v>
      </c>
      <c r="AA520" s="136">
        <v>0</v>
      </c>
      <c r="AB520" s="131">
        <v>42244</v>
      </c>
      <c r="AC520" s="134">
        <f t="shared" si="25"/>
        <v>106641.85996908809</v>
      </c>
      <c r="AD520" s="135">
        <v>64.7</v>
      </c>
      <c r="AE520" s="136">
        <f t="shared" si="26"/>
        <v>6948605.3100000005</v>
      </c>
      <c r="AF520" s="137">
        <v>6899728.3399999999</v>
      </c>
      <c r="AG520" s="138">
        <v>64.7</v>
      </c>
      <c r="AH520" s="136" t="s">
        <v>5809</v>
      </c>
      <c r="AI520" s="133">
        <v>107377.3</v>
      </c>
      <c r="AJ520" s="132">
        <v>42426</v>
      </c>
      <c r="AK520" s="136" t="s">
        <v>5810</v>
      </c>
      <c r="AL520" s="132">
        <v>42429</v>
      </c>
      <c r="AM520" s="131" t="s">
        <v>49</v>
      </c>
      <c r="AN520" s="133" t="s">
        <v>4440</v>
      </c>
    </row>
    <row r="521" spans="1:40" s="129" customFormat="1" x14ac:dyDescent="0.25">
      <c r="A521" s="136">
        <v>520</v>
      </c>
      <c r="B521" s="130" t="s">
        <v>4428</v>
      </c>
      <c r="C521" s="130" t="s">
        <v>38</v>
      </c>
      <c r="D521" s="136">
        <v>9103650480</v>
      </c>
      <c r="E521" s="132">
        <v>42248</v>
      </c>
      <c r="F521" s="132" t="s">
        <v>5803</v>
      </c>
      <c r="G521" s="132" t="s">
        <v>625</v>
      </c>
      <c r="H521" s="130" t="s">
        <v>4446</v>
      </c>
      <c r="I521" s="132" t="s">
        <v>40</v>
      </c>
      <c r="J521" s="131" t="s">
        <v>4432</v>
      </c>
      <c r="K521" s="132" t="s">
        <v>4433</v>
      </c>
      <c r="L521" s="136">
        <v>2675621</v>
      </c>
      <c r="M521" s="132">
        <v>42244</v>
      </c>
      <c r="N521" s="136" t="s">
        <v>4733</v>
      </c>
      <c r="O521" s="130" t="s">
        <v>4436</v>
      </c>
      <c r="P521" s="130" t="s">
        <v>492</v>
      </c>
      <c r="Q521" s="130">
        <v>38231900</v>
      </c>
      <c r="R521" s="136">
        <v>19.809999999999999</v>
      </c>
      <c r="S521" s="130" t="s">
        <v>70</v>
      </c>
      <c r="T521" s="136" t="s">
        <v>44</v>
      </c>
      <c r="U521" s="136" t="s">
        <v>53</v>
      </c>
      <c r="V521" s="136">
        <v>3750</v>
      </c>
      <c r="W521" s="133">
        <f t="shared" si="24"/>
        <v>74287.5</v>
      </c>
      <c r="X521" s="136">
        <v>24.51</v>
      </c>
      <c r="Y521" s="136">
        <v>300</v>
      </c>
      <c r="Z521" s="136">
        <v>0</v>
      </c>
      <c r="AA521" s="136">
        <v>0</v>
      </c>
      <c r="AB521" s="131">
        <v>42245</v>
      </c>
      <c r="AC521" s="134">
        <f t="shared" si="25"/>
        <v>73962.989953632146</v>
      </c>
      <c r="AD521" s="135">
        <v>64.7</v>
      </c>
      <c r="AE521" s="136">
        <f t="shared" si="26"/>
        <v>4806401.25</v>
      </c>
      <c r="AF521" s="137">
        <v>4785405.45</v>
      </c>
      <c r="AG521" s="138">
        <v>64.7</v>
      </c>
      <c r="AH521" s="136" t="s">
        <v>5811</v>
      </c>
      <c r="AI521" s="133">
        <v>74250.5</v>
      </c>
      <c r="AJ521" s="132">
        <v>42276</v>
      </c>
      <c r="AK521" s="136" t="s">
        <v>5812</v>
      </c>
      <c r="AL521" s="132">
        <v>42277</v>
      </c>
      <c r="AM521" s="131" t="s">
        <v>49</v>
      </c>
      <c r="AN521" s="133" t="s">
        <v>4440</v>
      </c>
    </row>
    <row r="522" spans="1:40" s="129" customFormat="1" x14ac:dyDescent="0.25">
      <c r="A522" s="130">
        <v>521</v>
      </c>
      <c r="B522" s="130" t="s">
        <v>4428</v>
      </c>
      <c r="C522" s="130" t="s">
        <v>38</v>
      </c>
      <c r="D522" s="136">
        <v>9103650481</v>
      </c>
      <c r="E522" s="132">
        <v>42257</v>
      </c>
      <c r="F522" s="132" t="s">
        <v>5803</v>
      </c>
      <c r="G522" s="132" t="s">
        <v>613</v>
      </c>
      <c r="H522" s="130" t="s">
        <v>4564</v>
      </c>
      <c r="I522" s="132" t="s">
        <v>40</v>
      </c>
      <c r="J522" s="131" t="s">
        <v>4432</v>
      </c>
      <c r="K522" s="132" t="s">
        <v>4433</v>
      </c>
      <c r="L522" s="136">
        <v>2672809</v>
      </c>
      <c r="M522" s="132">
        <v>42243</v>
      </c>
      <c r="N522" s="136" t="s">
        <v>4537</v>
      </c>
      <c r="O522" s="130" t="s">
        <v>4436</v>
      </c>
      <c r="P522" s="130" t="s">
        <v>492</v>
      </c>
      <c r="Q522" s="130">
        <v>38237090</v>
      </c>
      <c r="R522" s="136">
        <v>11</v>
      </c>
      <c r="S522" s="130" t="s">
        <v>70</v>
      </c>
      <c r="T522" s="136" t="s">
        <v>67</v>
      </c>
      <c r="U522" s="136" t="s">
        <v>53</v>
      </c>
      <c r="V522" s="136">
        <v>0</v>
      </c>
      <c r="W522" s="133">
        <f>(8*2150+3*2230)</f>
        <v>23890</v>
      </c>
      <c r="X522" s="136">
        <v>0</v>
      </c>
      <c r="Y522" s="136">
        <v>0</v>
      </c>
      <c r="Z522" s="136">
        <v>0</v>
      </c>
      <c r="AA522" s="136">
        <v>0</v>
      </c>
      <c r="AB522" s="131"/>
      <c r="AC522" s="134">
        <f t="shared" si="25"/>
        <v>23890</v>
      </c>
      <c r="AD522" s="135">
        <v>64.7</v>
      </c>
      <c r="AE522" s="136">
        <f t="shared" si="26"/>
        <v>1545683</v>
      </c>
      <c r="AF522" s="137">
        <v>1545683</v>
      </c>
      <c r="AG522" s="138">
        <v>64.7</v>
      </c>
      <c r="AH522" s="136" t="s">
        <v>5813</v>
      </c>
      <c r="AI522" s="136">
        <v>23843</v>
      </c>
      <c r="AJ522" s="132" t="s">
        <v>5001</v>
      </c>
      <c r="AK522" s="136" t="s">
        <v>5814</v>
      </c>
      <c r="AL522" s="132" t="s">
        <v>5399</v>
      </c>
      <c r="AM522" s="131" t="s">
        <v>49</v>
      </c>
      <c r="AN522" s="136" t="s">
        <v>4440</v>
      </c>
    </row>
    <row r="523" spans="1:40" s="129" customFormat="1" x14ac:dyDescent="0.25">
      <c r="A523" s="136">
        <v>522</v>
      </c>
      <c r="B523" s="130" t="s">
        <v>4428</v>
      </c>
      <c r="C523" s="130" t="s">
        <v>38</v>
      </c>
      <c r="D523" s="136">
        <v>9103650482</v>
      </c>
      <c r="E523" s="132">
        <v>42250</v>
      </c>
      <c r="F523" s="132" t="s">
        <v>5803</v>
      </c>
      <c r="G523" s="132" t="s">
        <v>626</v>
      </c>
      <c r="H523" s="130" t="s">
        <v>4456</v>
      </c>
      <c r="I523" s="132" t="s">
        <v>40</v>
      </c>
      <c r="J523" s="131" t="s">
        <v>4432</v>
      </c>
      <c r="K523" s="132" t="s">
        <v>4433</v>
      </c>
      <c r="L523" s="136">
        <v>2690292</v>
      </c>
      <c r="M523" s="132">
        <v>42245</v>
      </c>
      <c r="N523" s="136" t="s">
        <v>4945</v>
      </c>
      <c r="O523" s="130" t="s">
        <v>4436</v>
      </c>
      <c r="P523" s="130" t="s">
        <v>361</v>
      </c>
      <c r="Q523" s="130">
        <v>38237090</v>
      </c>
      <c r="R523" s="136">
        <v>24</v>
      </c>
      <c r="S523" s="130" t="s">
        <v>70</v>
      </c>
      <c r="T523" s="136" t="s">
        <v>44</v>
      </c>
      <c r="U523" s="136" t="s">
        <v>53</v>
      </c>
      <c r="V523" s="136">
        <v>1426</v>
      </c>
      <c r="W523" s="133">
        <f t="shared" si="24"/>
        <v>34224</v>
      </c>
      <c r="X523" s="136">
        <v>11.29</v>
      </c>
      <c r="Y523" s="136">
        <v>860</v>
      </c>
      <c r="Z523" s="136">
        <v>0</v>
      </c>
      <c r="AA523" s="136">
        <v>0</v>
      </c>
      <c r="AB523" s="131">
        <v>42245</v>
      </c>
      <c r="AC523" s="134">
        <f t="shared" si="25"/>
        <v>33352.710046367851</v>
      </c>
      <c r="AD523" s="135">
        <v>64.7</v>
      </c>
      <c r="AE523" s="136">
        <f t="shared" si="26"/>
        <v>2214292.8000000003</v>
      </c>
      <c r="AF523" s="137">
        <v>2157920.34</v>
      </c>
      <c r="AG523" s="138">
        <v>64.7</v>
      </c>
      <c r="AH523" s="136" t="s">
        <v>5815</v>
      </c>
      <c r="AI523" s="133">
        <v>34089</v>
      </c>
      <c r="AJ523" s="132">
        <v>42313</v>
      </c>
      <c r="AK523" s="136" t="s">
        <v>5816</v>
      </c>
      <c r="AL523" s="132">
        <v>42314</v>
      </c>
      <c r="AM523" s="131" t="s">
        <v>49</v>
      </c>
      <c r="AN523" s="133" t="s">
        <v>4440</v>
      </c>
    </row>
    <row r="524" spans="1:40" s="129" customFormat="1" x14ac:dyDescent="0.25">
      <c r="A524" s="130">
        <v>523</v>
      </c>
      <c r="B524" s="130" t="s">
        <v>4428</v>
      </c>
      <c r="C524" s="130" t="s">
        <v>38</v>
      </c>
      <c r="D524" s="136">
        <v>9103650483</v>
      </c>
      <c r="E524" s="132">
        <v>42249</v>
      </c>
      <c r="F524" s="132" t="s">
        <v>5803</v>
      </c>
      <c r="G524" s="132" t="s">
        <v>637</v>
      </c>
      <c r="H524" s="130" t="s">
        <v>4463</v>
      </c>
      <c r="I524" s="132" t="s">
        <v>40</v>
      </c>
      <c r="J524" s="131" t="s">
        <v>4432</v>
      </c>
      <c r="K524" s="132" t="s">
        <v>4433</v>
      </c>
      <c r="L524" s="136">
        <v>2690298</v>
      </c>
      <c r="M524" s="132">
        <v>42245</v>
      </c>
      <c r="N524" s="136" t="s">
        <v>4867</v>
      </c>
      <c r="O524" s="130" t="s">
        <v>4436</v>
      </c>
      <c r="P524" s="130" t="s">
        <v>90</v>
      </c>
      <c r="Q524" s="130">
        <v>38231190</v>
      </c>
      <c r="R524" s="136">
        <v>10</v>
      </c>
      <c r="S524" s="130" t="s">
        <v>70</v>
      </c>
      <c r="T524" s="136" t="s">
        <v>67</v>
      </c>
      <c r="U524" s="136" t="s">
        <v>53</v>
      </c>
      <c r="V524" s="136">
        <v>820</v>
      </c>
      <c r="W524" s="133">
        <f t="shared" si="24"/>
        <v>8200</v>
      </c>
      <c r="X524" s="136">
        <v>0</v>
      </c>
      <c r="Y524" s="136">
        <v>0</v>
      </c>
      <c r="Z524" s="136">
        <v>0</v>
      </c>
      <c r="AA524" s="136">
        <v>0</v>
      </c>
      <c r="AB524" s="131">
        <v>42247</v>
      </c>
      <c r="AC524" s="134">
        <f t="shared" si="25"/>
        <v>8200</v>
      </c>
      <c r="AD524" s="135">
        <v>64.7</v>
      </c>
      <c r="AE524" s="136">
        <f t="shared" si="26"/>
        <v>530540</v>
      </c>
      <c r="AF524" s="137">
        <v>530540</v>
      </c>
      <c r="AG524" s="138">
        <v>64.7</v>
      </c>
      <c r="AH524" s="136" t="s">
        <v>5817</v>
      </c>
      <c r="AI524" s="133">
        <v>8185</v>
      </c>
      <c r="AJ524" s="132">
        <v>42265</v>
      </c>
      <c r="AK524" s="136" t="s">
        <v>5818</v>
      </c>
      <c r="AL524" s="132">
        <v>42266</v>
      </c>
      <c r="AM524" s="131" t="s">
        <v>49</v>
      </c>
      <c r="AN524" s="133" t="s">
        <v>4440</v>
      </c>
    </row>
    <row r="525" spans="1:40" s="129" customFormat="1" x14ac:dyDescent="0.25">
      <c r="A525" s="136">
        <v>524</v>
      </c>
      <c r="B525" s="130" t="s">
        <v>4428</v>
      </c>
      <c r="C525" s="130" t="s">
        <v>38</v>
      </c>
      <c r="D525" s="136">
        <v>9103650484</v>
      </c>
      <c r="E525" s="132">
        <v>42252</v>
      </c>
      <c r="F525" s="132" t="s">
        <v>5803</v>
      </c>
      <c r="G525" s="132" t="s">
        <v>611</v>
      </c>
      <c r="H525" s="130" t="s">
        <v>4491</v>
      </c>
      <c r="I525" s="132" t="s">
        <v>40</v>
      </c>
      <c r="J525" s="131" t="s">
        <v>4432</v>
      </c>
      <c r="K525" s="132" t="s">
        <v>4433</v>
      </c>
      <c r="L525" s="136">
        <v>2647839</v>
      </c>
      <c r="M525" s="132" t="s">
        <v>4654</v>
      </c>
      <c r="N525" s="136" t="s">
        <v>4858</v>
      </c>
      <c r="O525" s="130" t="s">
        <v>4436</v>
      </c>
      <c r="P525" s="130" t="s">
        <v>54</v>
      </c>
      <c r="Q525" s="130">
        <v>38237090</v>
      </c>
      <c r="R525" s="136">
        <v>12</v>
      </c>
      <c r="S525" s="130" t="s">
        <v>70</v>
      </c>
      <c r="T525" s="136" t="s">
        <v>44</v>
      </c>
      <c r="U525" s="136" t="s">
        <v>53</v>
      </c>
      <c r="V525" s="136">
        <v>3700</v>
      </c>
      <c r="W525" s="133">
        <f t="shared" si="24"/>
        <v>44400</v>
      </c>
      <c r="X525" s="136">
        <v>14.65</v>
      </c>
      <c r="Y525" s="136">
        <v>55</v>
      </c>
      <c r="Z525" s="136">
        <v>0</v>
      </c>
      <c r="AA525" s="136">
        <v>0</v>
      </c>
      <c r="AB525" s="131">
        <v>42245</v>
      </c>
      <c r="AC525" s="134">
        <f t="shared" si="25"/>
        <v>44330.350077279749</v>
      </c>
      <c r="AD525" s="135">
        <v>64.7</v>
      </c>
      <c r="AE525" s="136">
        <f t="shared" si="26"/>
        <v>2872680</v>
      </c>
      <c r="AF525" s="137">
        <v>2868173.65</v>
      </c>
      <c r="AG525" s="138">
        <v>64.7</v>
      </c>
      <c r="AH525" s="136" t="s">
        <v>5819</v>
      </c>
      <c r="AI525" s="136">
        <v>44250</v>
      </c>
      <c r="AJ525" s="132" t="s">
        <v>5820</v>
      </c>
      <c r="AK525" s="136" t="s">
        <v>5821</v>
      </c>
      <c r="AL525" s="132" t="s">
        <v>5822</v>
      </c>
      <c r="AM525" s="131" t="s">
        <v>49</v>
      </c>
      <c r="AN525" s="133" t="s">
        <v>4440</v>
      </c>
    </row>
    <row r="526" spans="1:40" s="129" customFormat="1" x14ac:dyDescent="0.25">
      <c r="A526" s="130">
        <v>525</v>
      </c>
      <c r="B526" s="130" t="s">
        <v>4428</v>
      </c>
      <c r="C526" s="130" t="s">
        <v>38</v>
      </c>
      <c r="D526" s="136">
        <v>9103650485</v>
      </c>
      <c r="E526" s="132">
        <v>42249</v>
      </c>
      <c r="F526" s="132" t="s">
        <v>5803</v>
      </c>
      <c r="G526" s="132" t="s">
        <v>643</v>
      </c>
      <c r="H526" s="130" t="s">
        <v>4463</v>
      </c>
      <c r="I526" s="132" t="s">
        <v>40</v>
      </c>
      <c r="J526" s="131" t="s">
        <v>4432</v>
      </c>
      <c r="K526" s="132" t="s">
        <v>4433</v>
      </c>
      <c r="L526" s="136">
        <v>2698873</v>
      </c>
      <c r="M526" s="132" t="s">
        <v>5823</v>
      </c>
      <c r="N526" s="136" t="s">
        <v>5824</v>
      </c>
      <c r="O526" s="130" t="s">
        <v>4436</v>
      </c>
      <c r="P526" s="130" t="s">
        <v>205</v>
      </c>
      <c r="Q526" s="130">
        <v>29051700</v>
      </c>
      <c r="R526" s="136">
        <v>5.2</v>
      </c>
      <c r="S526" s="130" t="s">
        <v>70</v>
      </c>
      <c r="T526" s="136" t="s">
        <v>44</v>
      </c>
      <c r="U526" s="136" t="s">
        <v>53</v>
      </c>
      <c r="V526" s="136">
        <v>1562</v>
      </c>
      <c r="W526" s="133">
        <f t="shared" si="24"/>
        <v>8122.4000000000005</v>
      </c>
      <c r="X526" s="136">
        <v>2.68</v>
      </c>
      <c r="Y526" s="136">
        <v>375</v>
      </c>
      <c r="Z526" s="136">
        <v>0</v>
      </c>
      <c r="AA526" s="136">
        <v>0</v>
      </c>
      <c r="AB526" s="131">
        <v>42247</v>
      </c>
      <c r="AC526" s="134">
        <f t="shared" si="25"/>
        <v>7744.7199381761975</v>
      </c>
      <c r="AD526" s="135">
        <v>64.7</v>
      </c>
      <c r="AE526" s="136">
        <f t="shared" si="26"/>
        <v>525519.28</v>
      </c>
      <c r="AF526" s="137">
        <v>501083.38</v>
      </c>
      <c r="AG526" s="138">
        <v>64.7</v>
      </c>
      <c r="AH526" s="136" t="s">
        <v>5825</v>
      </c>
      <c r="AI526" s="133">
        <v>8062.4</v>
      </c>
      <c r="AJ526" s="132" t="s">
        <v>5211</v>
      </c>
      <c r="AK526" s="136" t="s">
        <v>5826</v>
      </c>
      <c r="AL526" s="132" t="s">
        <v>4960</v>
      </c>
      <c r="AM526" s="131" t="s">
        <v>49</v>
      </c>
      <c r="AN526" s="133" t="s">
        <v>4440</v>
      </c>
    </row>
    <row r="527" spans="1:40" s="129" customFormat="1" x14ac:dyDescent="0.25">
      <c r="A527" s="136">
        <v>526</v>
      </c>
      <c r="B527" s="130" t="s">
        <v>4428</v>
      </c>
      <c r="C527" s="130" t="s">
        <v>38</v>
      </c>
      <c r="D527" s="136">
        <v>9103650486</v>
      </c>
      <c r="E527" s="132">
        <v>42253</v>
      </c>
      <c r="F527" s="132" t="s">
        <v>5803</v>
      </c>
      <c r="G527" s="132" t="s">
        <v>623</v>
      </c>
      <c r="H527" s="130" t="s">
        <v>4491</v>
      </c>
      <c r="I527" s="132" t="s">
        <v>40</v>
      </c>
      <c r="J527" s="131" t="s">
        <v>4432</v>
      </c>
      <c r="K527" s="132" t="s">
        <v>4433</v>
      </c>
      <c r="L527" s="136">
        <v>2725851</v>
      </c>
      <c r="M527" s="132">
        <v>42247</v>
      </c>
      <c r="N527" s="136" t="s">
        <v>3741</v>
      </c>
      <c r="O527" s="130" t="s">
        <v>4436</v>
      </c>
      <c r="P527" s="130" t="s">
        <v>4492</v>
      </c>
      <c r="Q527" s="130">
        <v>29051700</v>
      </c>
      <c r="R527" s="136">
        <v>18.14</v>
      </c>
      <c r="S527" s="130" t="s">
        <v>70</v>
      </c>
      <c r="T527" s="136" t="s">
        <v>44</v>
      </c>
      <c r="U527" s="136" t="s">
        <v>53</v>
      </c>
      <c r="V527" s="136">
        <v>1788</v>
      </c>
      <c r="W527" s="133">
        <f t="shared" si="24"/>
        <v>32434.32</v>
      </c>
      <c r="X527" s="136">
        <v>10.7</v>
      </c>
      <c r="Y527" s="136">
        <v>1550</v>
      </c>
      <c r="Z527" s="136">
        <v>0</v>
      </c>
      <c r="AA527" s="136">
        <v>0</v>
      </c>
      <c r="AB527" s="131">
        <v>42248</v>
      </c>
      <c r="AC527" s="134">
        <f t="shared" si="25"/>
        <v>30877.200000000001</v>
      </c>
      <c r="AD527" s="135">
        <v>64.7</v>
      </c>
      <c r="AE527" s="136">
        <f t="shared" si="26"/>
        <v>2098500.5040000002</v>
      </c>
      <c r="AF527" s="137">
        <v>1997754.84</v>
      </c>
      <c r="AG527" s="138">
        <v>64.7</v>
      </c>
      <c r="AH527" s="136" t="s">
        <v>5827</v>
      </c>
      <c r="AI527" s="133">
        <v>32437</v>
      </c>
      <c r="AJ527" s="132">
        <v>42318</v>
      </c>
      <c r="AK527" s="136" t="s">
        <v>5828</v>
      </c>
      <c r="AL527" s="132">
        <v>42321</v>
      </c>
      <c r="AM527" s="131" t="s">
        <v>49</v>
      </c>
      <c r="AN527" s="133" t="s">
        <v>4440</v>
      </c>
    </row>
    <row r="528" spans="1:40" s="129" customFormat="1" x14ac:dyDescent="0.25">
      <c r="A528" s="130">
        <v>527</v>
      </c>
      <c r="B528" s="130" t="s">
        <v>4428</v>
      </c>
      <c r="C528" s="130" t="s">
        <v>38</v>
      </c>
      <c r="D528" s="136">
        <v>9103650487</v>
      </c>
      <c r="E528" s="132">
        <v>42256</v>
      </c>
      <c r="F528" s="132" t="s">
        <v>5803</v>
      </c>
      <c r="G528" s="132" t="s">
        <v>628</v>
      </c>
      <c r="H528" s="130" t="s">
        <v>4463</v>
      </c>
      <c r="I528" s="132" t="s">
        <v>40</v>
      </c>
      <c r="J528" s="131" t="s">
        <v>4432</v>
      </c>
      <c r="K528" s="132" t="s">
        <v>4433</v>
      </c>
      <c r="L528" s="136">
        <v>2759042</v>
      </c>
      <c r="M528" s="132" t="s">
        <v>5013</v>
      </c>
      <c r="N528" s="136" t="s">
        <v>5829</v>
      </c>
      <c r="O528" s="130" t="s">
        <v>4436</v>
      </c>
      <c r="P528" s="130" t="s">
        <v>64</v>
      </c>
      <c r="Q528" s="130">
        <v>38237090</v>
      </c>
      <c r="R528" s="136">
        <v>2.72</v>
      </c>
      <c r="S528" s="130" t="s">
        <v>70</v>
      </c>
      <c r="T528" s="136" t="s">
        <v>44</v>
      </c>
      <c r="U528" s="136" t="s">
        <v>53</v>
      </c>
      <c r="V528" s="136">
        <v>1410</v>
      </c>
      <c r="W528" s="133">
        <f t="shared" si="24"/>
        <v>3835.2000000000003</v>
      </c>
      <c r="X528" s="136">
        <v>1.27</v>
      </c>
      <c r="Y528" s="136">
        <v>50</v>
      </c>
      <c r="Z528" s="136">
        <v>0</v>
      </c>
      <c r="AA528" s="136">
        <v>0</v>
      </c>
      <c r="AB528" s="131">
        <v>42249</v>
      </c>
      <c r="AC528" s="134">
        <f t="shared" si="25"/>
        <v>3783.9299845440491</v>
      </c>
      <c r="AD528" s="135">
        <v>64.7</v>
      </c>
      <c r="AE528" s="136">
        <f t="shared" si="26"/>
        <v>248137.44000000003</v>
      </c>
      <c r="AF528" s="137">
        <v>244820.27</v>
      </c>
      <c r="AG528" s="138">
        <v>64.7</v>
      </c>
      <c r="AH528" s="136" t="s">
        <v>5830</v>
      </c>
      <c r="AI528" s="133">
        <v>3682.2</v>
      </c>
      <c r="AJ528" s="132" t="s">
        <v>5211</v>
      </c>
      <c r="AK528" s="136" t="s">
        <v>5831</v>
      </c>
      <c r="AL528" s="132" t="s">
        <v>4960</v>
      </c>
      <c r="AM528" s="131" t="s">
        <v>49</v>
      </c>
      <c r="AN528" s="133" t="s">
        <v>4440</v>
      </c>
    </row>
    <row r="529" spans="1:40" s="129" customFormat="1" x14ac:dyDescent="0.25">
      <c r="A529" s="136">
        <v>528</v>
      </c>
      <c r="B529" s="130" t="s">
        <v>4428</v>
      </c>
      <c r="C529" s="130" t="s">
        <v>38</v>
      </c>
      <c r="D529" s="136">
        <v>9103650488</v>
      </c>
      <c r="E529" s="132">
        <v>42251</v>
      </c>
      <c r="F529" s="132" t="s">
        <v>5803</v>
      </c>
      <c r="G529" s="132" t="s">
        <v>627</v>
      </c>
      <c r="H529" s="130" t="s">
        <v>4491</v>
      </c>
      <c r="I529" s="132" t="s">
        <v>40</v>
      </c>
      <c r="J529" s="131" t="s">
        <v>4432</v>
      </c>
      <c r="K529" s="132" t="s">
        <v>4433</v>
      </c>
      <c r="L529" s="136">
        <v>2774497</v>
      </c>
      <c r="M529" s="132">
        <v>42249</v>
      </c>
      <c r="N529" s="136" t="s">
        <v>3741</v>
      </c>
      <c r="O529" s="130" t="s">
        <v>4436</v>
      </c>
      <c r="P529" s="130" t="s">
        <v>4492</v>
      </c>
      <c r="Q529" s="130">
        <v>38237090</v>
      </c>
      <c r="R529" s="136">
        <v>18.16</v>
      </c>
      <c r="S529" s="130" t="s">
        <v>70</v>
      </c>
      <c r="T529" s="136" t="s">
        <v>44</v>
      </c>
      <c r="U529" s="136" t="s">
        <v>53</v>
      </c>
      <c r="V529" s="136">
        <v>3244</v>
      </c>
      <c r="W529" s="133">
        <f t="shared" si="24"/>
        <v>58911.040000000001</v>
      </c>
      <c r="X529" s="136">
        <v>19.440000000000001</v>
      </c>
      <c r="Y529" s="136">
        <v>2900</v>
      </c>
      <c r="Z529" s="136">
        <v>0</v>
      </c>
      <c r="AA529" s="136">
        <v>0</v>
      </c>
      <c r="AB529" s="131">
        <v>42251</v>
      </c>
      <c r="AC529" s="134">
        <f t="shared" si="25"/>
        <v>55991.6</v>
      </c>
      <c r="AD529" s="135">
        <v>64.7</v>
      </c>
      <c r="AE529" s="136">
        <f t="shared" si="26"/>
        <v>3811544.2880000002</v>
      </c>
      <c r="AF529" s="137">
        <v>3622656.52</v>
      </c>
      <c r="AG529" s="138">
        <v>65.8</v>
      </c>
      <c r="AH529" s="136" t="s">
        <v>5832</v>
      </c>
      <c r="AI529" s="133">
        <v>58911.040000000001</v>
      </c>
      <c r="AJ529" s="132">
        <v>42318</v>
      </c>
      <c r="AK529" s="136" t="s">
        <v>5833</v>
      </c>
      <c r="AL529" s="132">
        <v>42321</v>
      </c>
      <c r="AM529" s="131" t="s">
        <v>49</v>
      </c>
      <c r="AN529" s="133" t="s">
        <v>4440</v>
      </c>
    </row>
    <row r="530" spans="1:40" s="129" customFormat="1" x14ac:dyDescent="0.25">
      <c r="A530" s="130">
        <v>529</v>
      </c>
      <c r="B530" s="130" t="s">
        <v>4428</v>
      </c>
      <c r="C530" s="130" t="s">
        <v>38</v>
      </c>
      <c r="D530" s="136">
        <v>9103650489</v>
      </c>
      <c r="E530" s="132">
        <v>42253</v>
      </c>
      <c r="F530" s="132" t="s">
        <v>5803</v>
      </c>
      <c r="G530" s="132" t="s">
        <v>650</v>
      </c>
      <c r="H530" s="130" t="s">
        <v>4456</v>
      </c>
      <c r="I530" s="132" t="s">
        <v>40</v>
      </c>
      <c r="J530" s="131" t="s">
        <v>4432</v>
      </c>
      <c r="K530" s="132" t="s">
        <v>4433</v>
      </c>
      <c r="L530" s="136">
        <v>2799557</v>
      </c>
      <c r="M530" s="132">
        <v>42250</v>
      </c>
      <c r="N530" s="136" t="s">
        <v>4796</v>
      </c>
      <c r="O530" s="130" t="s">
        <v>4436</v>
      </c>
      <c r="P530" s="130" t="s">
        <v>243</v>
      </c>
      <c r="Q530" s="130">
        <v>38237090</v>
      </c>
      <c r="R530" s="136">
        <v>12</v>
      </c>
      <c r="S530" s="130" t="s">
        <v>70</v>
      </c>
      <c r="T530" s="136" t="s">
        <v>52</v>
      </c>
      <c r="U530" s="136" t="s">
        <v>53</v>
      </c>
      <c r="V530" s="136">
        <v>3595</v>
      </c>
      <c r="W530" s="133">
        <f t="shared" si="24"/>
        <v>43140</v>
      </c>
      <c r="X530" s="136">
        <v>0</v>
      </c>
      <c r="Y530" s="136">
        <v>700</v>
      </c>
      <c r="Z530" s="136">
        <v>0</v>
      </c>
      <c r="AA530" s="136">
        <v>0</v>
      </c>
      <c r="AB530" s="131">
        <v>42252</v>
      </c>
      <c r="AC530" s="134">
        <f t="shared" si="25"/>
        <v>42440</v>
      </c>
      <c r="AD530" s="135">
        <v>64.7</v>
      </c>
      <c r="AE530" s="136">
        <f t="shared" si="26"/>
        <v>2791158</v>
      </c>
      <c r="AF530" s="137">
        <v>2745868</v>
      </c>
      <c r="AG530" s="138">
        <v>65.8</v>
      </c>
      <c r="AH530" s="136" t="s">
        <v>5834</v>
      </c>
      <c r="AI530" s="133">
        <v>43120</v>
      </c>
      <c r="AJ530" s="132">
        <v>42328</v>
      </c>
      <c r="AK530" s="136" t="s">
        <v>5835</v>
      </c>
      <c r="AL530" s="132">
        <v>42329</v>
      </c>
      <c r="AM530" s="131" t="s">
        <v>49</v>
      </c>
      <c r="AN530" s="133" t="s">
        <v>4440</v>
      </c>
    </row>
    <row r="531" spans="1:40" s="129" customFormat="1" x14ac:dyDescent="0.25">
      <c r="A531" s="136">
        <v>530</v>
      </c>
      <c r="B531" s="130" t="s">
        <v>4428</v>
      </c>
      <c r="C531" s="130" t="s">
        <v>38</v>
      </c>
      <c r="D531" s="136" t="s">
        <v>5836</v>
      </c>
      <c r="E531" s="132">
        <v>42256</v>
      </c>
      <c r="F531" s="132" t="s">
        <v>5803</v>
      </c>
      <c r="G531" s="132" t="s">
        <v>5837</v>
      </c>
      <c r="H531" s="130" t="s">
        <v>4463</v>
      </c>
      <c r="I531" s="132" t="s">
        <v>40</v>
      </c>
      <c r="J531" s="131" t="s">
        <v>4432</v>
      </c>
      <c r="K531" s="132" t="s">
        <v>4433</v>
      </c>
      <c r="L531" s="136">
        <v>2818456</v>
      </c>
      <c r="M531" s="132" t="s">
        <v>5838</v>
      </c>
      <c r="N531" s="136" t="s">
        <v>5839</v>
      </c>
      <c r="O531" s="130" t="s">
        <v>4436</v>
      </c>
      <c r="P531" s="130" t="s">
        <v>64</v>
      </c>
      <c r="Q531" s="130">
        <v>38237090</v>
      </c>
      <c r="R531" s="136">
        <v>20</v>
      </c>
      <c r="S531" s="130" t="s">
        <v>70</v>
      </c>
      <c r="T531" s="136" t="s">
        <v>44</v>
      </c>
      <c r="U531" s="136" t="s">
        <v>53</v>
      </c>
      <c r="V531" s="136">
        <v>3775</v>
      </c>
      <c r="W531" s="133">
        <f t="shared" si="24"/>
        <v>75500</v>
      </c>
      <c r="X531" s="136">
        <v>24.92</v>
      </c>
      <c r="Y531" s="136">
        <v>60</v>
      </c>
      <c r="Z531" s="136">
        <v>0</v>
      </c>
      <c r="AA531" s="136">
        <v>0</v>
      </c>
      <c r="AB531" s="131">
        <v>42252</v>
      </c>
      <c r="AC531" s="134">
        <f t="shared" si="25"/>
        <v>75415.080061823799</v>
      </c>
      <c r="AD531" s="135">
        <v>64.7</v>
      </c>
      <c r="AE531" s="136">
        <f t="shared" si="26"/>
        <v>4884850</v>
      </c>
      <c r="AF531" s="137">
        <v>4879355.68</v>
      </c>
      <c r="AG531" s="138">
        <v>65.8</v>
      </c>
      <c r="AH531" s="136" t="s">
        <v>5840</v>
      </c>
      <c r="AI531" s="136">
        <v>75500</v>
      </c>
      <c r="AJ531" s="132" t="s">
        <v>5211</v>
      </c>
      <c r="AK531" s="136" t="s">
        <v>5841</v>
      </c>
      <c r="AL531" s="132" t="s">
        <v>4960</v>
      </c>
      <c r="AM531" s="131" t="s">
        <v>49</v>
      </c>
      <c r="AN531" s="133" t="s">
        <v>4440</v>
      </c>
    </row>
    <row r="532" spans="1:40" s="129" customFormat="1" x14ac:dyDescent="0.25">
      <c r="A532" s="130">
        <v>531</v>
      </c>
      <c r="B532" s="130" t="s">
        <v>4428</v>
      </c>
      <c r="C532" s="130" t="s">
        <v>38</v>
      </c>
      <c r="D532" s="136" t="s">
        <v>5836</v>
      </c>
      <c r="E532" s="132">
        <v>42256</v>
      </c>
      <c r="F532" s="132" t="s">
        <v>5803</v>
      </c>
      <c r="G532" s="132" t="s">
        <v>5842</v>
      </c>
      <c r="H532" s="130" t="s">
        <v>4463</v>
      </c>
      <c r="I532" s="132" t="s">
        <v>40</v>
      </c>
      <c r="J532" s="131" t="s">
        <v>4432</v>
      </c>
      <c r="K532" s="132" t="s">
        <v>4433</v>
      </c>
      <c r="L532" s="136">
        <v>2799500</v>
      </c>
      <c r="M532" s="132" t="s">
        <v>5174</v>
      </c>
      <c r="N532" s="136" t="s">
        <v>5839</v>
      </c>
      <c r="O532" s="130" t="s">
        <v>4436</v>
      </c>
      <c r="P532" s="130" t="s">
        <v>64</v>
      </c>
      <c r="Q532" s="130">
        <v>38237090</v>
      </c>
      <c r="R532" s="136">
        <v>20</v>
      </c>
      <c r="S532" s="130" t="s">
        <v>70</v>
      </c>
      <c r="T532" s="136" t="s">
        <v>44</v>
      </c>
      <c r="U532" s="136" t="s">
        <v>53</v>
      </c>
      <c r="V532" s="136">
        <v>3775</v>
      </c>
      <c r="W532" s="133">
        <f t="shared" si="24"/>
        <v>75500</v>
      </c>
      <c r="X532" s="136">
        <v>24.92</v>
      </c>
      <c r="Y532" s="136">
        <v>60</v>
      </c>
      <c r="Z532" s="136">
        <v>0</v>
      </c>
      <c r="AA532" s="136">
        <v>0</v>
      </c>
      <c r="AB532" s="131">
        <v>42252</v>
      </c>
      <c r="AC532" s="134">
        <f t="shared" si="25"/>
        <v>75415.080061823799</v>
      </c>
      <c r="AD532" s="135">
        <v>64.7</v>
      </c>
      <c r="AE532" s="136">
        <f t="shared" si="26"/>
        <v>4884850</v>
      </c>
      <c r="AF532" s="137">
        <v>4879355.68</v>
      </c>
      <c r="AG532" s="138">
        <v>65.8</v>
      </c>
      <c r="AH532" s="136" t="s">
        <v>5840</v>
      </c>
      <c r="AI532" s="136">
        <v>75500</v>
      </c>
      <c r="AJ532" s="132" t="s">
        <v>5211</v>
      </c>
      <c r="AK532" s="136" t="s">
        <v>5843</v>
      </c>
      <c r="AL532" s="132" t="s">
        <v>4960</v>
      </c>
      <c r="AM532" s="131" t="s">
        <v>49</v>
      </c>
      <c r="AN532" s="133" t="s">
        <v>4440</v>
      </c>
    </row>
    <row r="533" spans="1:40" s="129" customFormat="1" x14ac:dyDescent="0.25">
      <c r="A533" s="136">
        <v>532</v>
      </c>
      <c r="B533" s="130" t="s">
        <v>4428</v>
      </c>
      <c r="C533" s="130" t="s">
        <v>38</v>
      </c>
      <c r="D533" s="136">
        <v>9103650492</v>
      </c>
      <c r="E533" s="132">
        <v>42257</v>
      </c>
      <c r="F533" s="132" t="s">
        <v>5803</v>
      </c>
      <c r="G533" s="132" t="s">
        <v>641</v>
      </c>
      <c r="H533" s="130" t="s">
        <v>4463</v>
      </c>
      <c r="I533" s="132" t="s">
        <v>40</v>
      </c>
      <c r="J533" s="131" t="s">
        <v>4432</v>
      </c>
      <c r="K533" s="132" t="s">
        <v>4433</v>
      </c>
      <c r="L533" s="136">
        <v>2822866</v>
      </c>
      <c r="M533" s="132" t="s">
        <v>5838</v>
      </c>
      <c r="N533" s="136" t="s">
        <v>4604</v>
      </c>
      <c r="O533" s="130" t="s">
        <v>4436</v>
      </c>
      <c r="P533" s="130" t="s">
        <v>205</v>
      </c>
      <c r="Q533" s="130">
        <v>38237090</v>
      </c>
      <c r="R533" s="136">
        <v>12</v>
      </c>
      <c r="S533" s="130" t="s">
        <v>70</v>
      </c>
      <c r="T533" s="136" t="s">
        <v>67</v>
      </c>
      <c r="U533" s="136" t="s">
        <v>53</v>
      </c>
      <c r="V533" s="136">
        <v>1270</v>
      </c>
      <c r="W533" s="133">
        <f t="shared" si="24"/>
        <v>15240</v>
      </c>
      <c r="X533" s="136">
        <v>0</v>
      </c>
      <c r="Y533" s="136">
        <v>0</v>
      </c>
      <c r="Z533" s="136">
        <v>0</v>
      </c>
      <c r="AA533" s="136">
        <v>0</v>
      </c>
      <c r="AB533" s="131">
        <v>42252</v>
      </c>
      <c r="AC533" s="134">
        <f t="shared" si="25"/>
        <v>15240</v>
      </c>
      <c r="AD533" s="135">
        <v>65.8</v>
      </c>
      <c r="AE533" s="136">
        <f t="shared" si="26"/>
        <v>1002792</v>
      </c>
      <c r="AF533" s="137">
        <v>1002792</v>
      </c>
      <c r="AG533" s="138">
        <v>65.8</v>
      </c>
      <c r="AH533" s="136" t="s">
        <v>5844</v>
      </c>
      <c r="AI533" s="133">
        <v>15227</v>
      </c>
      <c r="AJ533" s="132" t="s">
        <v>4962</v>
      </c>
      <c r="AK533" s="136" t="s">
        <v>5845</v>
      </c>
      <c r="AL533" s="132" t="s">
        <v>4962</v>
      </c>
      <c r="AM533" s="131" t="s">
        <v>49</v>
      </c>
      <c r="AN533" s="133" t="s">
        <v>4440</v>
      </c>
    </row>
    <row r="534" spans="1:40" s="129" customFormat="1" x14ac:dyDescent="0.25">
      <c r="A534" s="130">
        <v>533</v>
      </c>
      <c r="B534" s="130" t="s">
        <v>4428</v>
      </c>
      <c r="C534" s="130" t="s">
        <v>38</v>
      </c>
      <c r="D534" s="136">
        <v>9103650493</v>
      </c>
      <c r="E534" s="132">
        <v>42258</v>
      </c>
      <c r="F534" s="132" t="s">
        <v>5803</v>
      </c>
      <c r="G534" s="132" t="s">
        <v>5846</v>
      </c>
      <c r="H534" s="130" t="s">
        <v>4456</v>
      </c>
      <c r="I534" s="132" t="s">
        <v>40</v>
      </c>
      <c r="J534" s="131" t="s">
        <v>4432</v>
      </c>
      <c r="K534" s="132" t="s">
        <v>4433</v>
      </c>
      <c r="L534" s="136">
        <v>2823645</v>
      </c>
      <c r="M534" s="132">
        <v>42251</v>
      </c>
      <c r="N534" s="136" t="s">
        <v>5106</v>
      </c>
      <c r="O534" s="130" t="s">
        <v>4436</v>
      </c>
      <c r="P534" s="130" t="s">
        <v>127</v>
      </c>
      <c r="Q534" s="130">
        <v>38237090</v>
      </c>
      <c r="R534" s="136">
        <v>11</v>
      </c>
      <c r="S534" s="130" t="s">
        <v>70</v>
      </c>
      <c r="T534" s="136" t="s">
        <v>44</v>
      </c>
      <c r="U534" s="136" t="s">
        <v>53</v>
      </c>
      <c r="V534" s="136">
        <v>3517</v>
      </c>
      <c r="W534" s="133">
        <f t="shared" si="24"/>
        <v>38687</v>
      </c>
      <c r="X534" s="136">
        <v>12.77</v>
      </c>
      <c r="Y534" s="136">
        <v>75</v>
      </c>
      <c r="Z534" s="136">
        <v>0</v>
      </c>
      <c r="AA534" s="136">
        <v>0</v>
      </c>
      <c r="AB534" s="131">
        <v>42252</v>
      </c>
      <c r="AC534" s="134">
        <f t="shared" si="25"/>
        <v>38599.229939209727</v>
      </c>
      <c r="AD534" s="135">
        <v>65.8</v>
      </c>
      <c r="AE534" s="136">
        <f t="shared" si="26"/>
        <v>2545604.6</v>
      </c>
      <c r="AF534" s="137">
        <v>2539829.33</v>
      </c>
      <c r="AG534" s="138">
        <v>65.8</v>
      </c>
      <c r="AH534" s="136" t="s">
        <v>5847</v>
      </c>
      <c r="AI534" s="133">
        <v>38640</v>
      </c>
      <c r="AJ534" s="132">
        <v>42321</v>
      </c>
      <c r="AK534" s="136" t="s">
        <v>5848</v>
      </c>
      <c r="AL534" s="132">
        <v>42324</v>
      </c>
      <c r="AM534" s="131" t="s">
        <v>49</v>
      </c>
      <c r="AN534" s="133" t="s">
        <v>4440</v>
      </c>
    </row>
    <row r="535" spans="1:40" s="129" customFormat="1" x14ac:dyDescent="0.25">
      <c r="A535" s="136">
        <v>534</v>
      </c>
      <c r="B535" s="130" t="s">
        <v>4428</v>
      </c>
      <c r="C535" s="130" t="s">
        <v>38</v>
      </c>
      <c r="D535" s="136">
        <v>9103650494</v>
      </c>
      <c r="E535" s="132">
        <v>42257</v>
      </c>
      <c r="F535" s="132" t="s">
        <v>5803</v>
      </c>
      <c r="G535" s="132" t="s">
        <v>651</v>
      </c>
      <c r="H535" s="130" t="s">
        <v>4446</v>
      </c>
      <c r="I535" s="132" t="s">
        <v>40</v>
      </c>
      <c r="J535" s="131" t="s">
        <v>4432</v>
      </c>
      <c r="K535" s="132" t="s">
        <v>4433</v>
      </c>
      <c r="L535" s="136" t="s">
        <v>5849</v>
      </c>
      <c r="M535" s="132" t="s">
        <v>5838</v>
      </c>
      <c r="N535" s="136" t="s">
        <v>4452</v>
      </c>
      <c r="O535" s="130" t="s">
        <v>4436</v>
      </c>
      <c r="P535" s="130" t="s">
        <v>81</v>
      </c>
      <c r="Q535" s="130">
        <v>38237090</v>
      </c>
      <c r="R535" s="136">
        <v>13.6</v>
      </c>
      <c r="S535" s="130" t="s">
        <v>70</v>
      </c>
      <c r="T535" s="136" t="s">
        <v>52</v>
      </c>
      <c r="U535" s="136" t="s">
        <v>53</v>
      </c>
      <c r="V535" s="136">
        <v>1400</v>
      </c>
      <c r="W535" s="133">
        <f t="shared" si="24"/>
        <v>19040</v>
      </c>
      <c r="X535" s="136">
        <v>0</v>
      </c>
      <c r="Y535" s="136">
        <v>50</v>
      </c>
      <c r="Z535" s="136">
        <v>0</v>
      </c>
      <c r="AA535" s="136">
        <v>0</v>
      </c>
      <c r="AB535" s="131">
        <v>42252</v>
      </c>
      <c r="AC535" s="134">
        <f t="shared" si="25"/>
        <v>18990</v>
      </c>
      <c r="AD535" s="135">
        <v>65.8</v>
      </c>
      <c r="AE535" s="136">
        <f t="shared" si="26"/>
        <v>1252832</v>
      </c>
      <c r="AF535" s="137">
        <v>1249542</v>
      </c>
      <c r="AG535" s="138">
        <v>65.8</v>
      </c>
      <c r="AH535" s="136" t="s">
        <v>5850</v>
      </c>
      <c r="AI535" s="133">
        <v>19040</v>
      </c>
      <c r="AJ535" s="132" t="s">
        <v>5001</v>
      </c>
      <c r="AK535" s="136" t="s">
        <v>5851</v>
      </c>
      <c r="AL535" s="132" t="s">
        <v>5399</v>
      </c>
      <c r="AM535" s="131" t="s">
        <v>49</v>
      </c>
      <c r="AN535" s="133" t="s">
        <v>4440</v>
      </c>
    </row>
    <row r="536" spans="1:40" s="129" customFormat="1" x14ac:dyDescent="0.25">
      <c r="A536" s="130">
        <v>535</v>
      </c>
      <c r="B536" s="130" t="s">
        <v>4428</v>
      </c>
      <c r="C536" s="130" t="s">
        <v>38</v>
      </c>
      <c r="D536" s="136">
        <v>9103650495</v>
      </c>
      <c r="E536" s="132">
        <v>42257</v>
      </c>
      <c r="F536" s="132" t="s">
        <v>5803</v>
      </c>
      <c r="G536" s="132" t="s">
        <v>630</v>
      </c>
      <c r="H536" s="130" t="s">
        <v>4463</v>
      </c>
      <c r="I536" s="132" t="s">
        <v>40</v>
      </c>
      <c r="J536" s="131" t="s">
        <v>4432</v>
      </c>
      <c r="K536" s="132" t="s">
        <v>4433</v>
      </c>
      <c r="L536" s="136">
        <v>2826291</v>
      </c>
      <c r="M536" s="132">
        <v>42251</v>
      </c>
      <c r="N536" s="136" t="s">
        <v>4532</v>
      </c>
      <c r="O536" s="130" t="s">
        <v>4436</v>
      </c>
      <c r="P536" s="130" t="s">
        <v>64</v>
      </c>
      <c r="Q536" s="130">
        <v>29161990</v>
      </c>
      <c r="R536" s="136">
        <v>39.380000000000003</v>
      </c>
      <c r="S536" s="130" t="s">
        <v>70</v>
      </c>
      <c r="T536" s="136" t="s">
        <v>44</v>
      </c>
      <c r="U536" s="136" t="s">
        <v>53</v>
      </c>
      <c r="V536" s="136">
        <v>2710</v>
      </c>
      <c r="W536" s="133">
        <f t="shared" si="24"/>
        <v>106719.8</v>
      </c>
      <c r="X536" s="136">
        <v>35.22</v>
      </c>
      <c r="Y536" s="136">
        <v>720</v>
      </c>
      <c r="Z536" s="136">
        <v>0</v>
      </c>
      <c r="AA536" s="136">
        <v>0</v>
      </c>
      <c r="AB536" s="131">
        <v>42252</v>
      </c>
      <c r="AC536" s="134">
        <f t="shared" si="25"/>
        <v>105964.57993920974</v>
      </c>
      <c r="AD536" s="135">
        <v>65.8</v>
      </c>
      <c r="AE536" s="136">
        <f t="shared" si="26"/>
        <v>7022162.8399999999</v>
      </c>
      <c r="AF536" s="137">
        <v>6972469.3600000003</v>
      </c>
      <c r="AG536" s="138">
        <v>65.8</v>
      </c>
      <c r="AH536" s="136" t="s">
        <v>5852</v>
      </c>
      <c r="AI536" s="136">
        <v>106689.8</v>
      </c>
      <c r="AJ536" s="132" t="s">
        <v>5853</v>
      </c>
      <c r="AK536" s="136" t="s">
        <v>5854</v>
      </c>
      <c r="AL536" s="132" t="s">
        <v>5199</v>
      </c>
      <c r="AM536" s="131" t="s">
        <v>49</v>
      </c>
      <c r="AN536" s="136" t="s">
        <v>4440</v>
      </c>
    </row>
    <row r="537" spans="1:40" s="129" customFormat="1" x14ac:dyDescent="0.25">
      <c r="A537" s="136">
        <v>536</v>
      </c>
      <c r="B537" s="130" t="s">
        <v>4428</v>
      </c>
      <c r="C537" s="130" t="s">
        <v>38</v>
      </c>
      <c r="D537" s="136">
        <v>9103650496</v>
      </c>
      <c r="E537" s="132">
        <v>42254</v>
      </c>
      <c r="F537" s="132" t="s">
        <v>5803</v>
      </c>
      <c r="G537" s="132" t="s">
        <v>642</v>
      </c>
      <c r="H537" s="130" t="s">
        <v>4446</v>
      </c>
      <c r="I537" s="132" t="s">
        <v>40</v>
      </c>
      <c r="J537" s="131" t="s">
        <v>4432</v>
      </c>
      <c r="K537" s="132" t="s">
        <v>4433</v>
      </c>
      <c r="L537" s="136">
        <v>2829994</v>
      </c>
      <c r="M537" s="132" t="s">
        <v>5838</v>
      </c>
      <c r="N537" s="136" t="s">
        <v>4733</v>
      </c>
      <c r="O537" s="130" t="s">
        <v>4436</v>
      </c>
      <c r="P537" s="130" t="s">
        <v>492</v>
      </c>
      <c r="Q537" s="130">
        <v>29157010</v>
      </c>
      <c r="R537" s="136">
        <v>19.61</v>
      </c>
      <c r="S537" s="130" t="s">
        <v>70</v>
      </c>
      <c r="T537" s="136" t="s">
        <v>44</v>
      </c>
      <c r="U537" s="136" t="s">
        <v>53</v>
      </c>
      <c r="V537" s="136">
        <v>794</v>
      </c>
      <c r="W537" s="133">
        <f t="shared" si="24"/>
        <v>15570.34</v>
      </c>
      <c r="X537" s="136">
        <v>5.14</v>
      </c>
      <c r="Y537" s="136">
        <v>300</v>
      </c>
      <c r="Z537" s="136">
        <v>0</v>
      </c>
      <c r="AA537" s="136">
        <v>0</v>
      </c>
      <c r="AB537" s="131">
        <v>42252</v>
      </c>
      <c r="AC537" s="134">
        <f t="shared" si="25"/>
        <v>15265.2</v>
      </c>
      <c r="AD537" s="135">
        <v>65.8</v>
      </c>
      <c r="AE537" s="136">
        <f t="shared" si="26"/>
        <v>1024528.372</v>
      </c>
      <c r="AF537" s="137">
        <v>1004450.16</v>
      </c>
      <c r="AG537" s="138">
        <v>65.8</v>
      </c>
      <c r="AH537" s="136" t="s">
        <v>5855</v>
      </c>
      <c r="AI537" s="136">
        <v>11434.85</v>
      </c>
      <c r="AJ537" s="132" t="s">
        <v>5856</v>
      </c>
      <c r="AK537" s="136" t="s">
        <v>5857</v>
      </c>
      <c r="AL537" s="132" t="s">
        <v>5715</v>
      </c>
      <c r="AM537" s="131" t="s">
        <v>49</v>
      </c>
      <c r="AN537" s="136" t="s">
        <v>4440</v>
      </c>
    </row>
    <row r="538" spans="1:40" s="129" customFormat="1" x14ac:dyDescent="0.25">
      <c r="A538" s="130">
        <v>537</v>
      </c>
      <c r="B538" s="130" t="s">
        <v>4428</v>
      </c>
      <c r="C538" s="130" t="s">
        <v>38</v>
      </c>
      <c r="D538" s="136">
        <v>9103650497</v>
      </c>
      <c r="E538" s="132">
        <v>42258</v>
      </c>
      <c r="F538" s="132" t="s">
        <v>5803</v>
      </c>
      <c r="G538" s="132" t="s">
        <v>5858</v>
      </c>
      <c r="H538" s="130" t="s">
        <v>4491</v>
      </c>
      <c r="I538" s="132" t="s">
        <v>40</v>
      </c>
      <c r="J538" s="131" t="s">
        <v>4432</v>
      </c>
      <c r="K538" s="132" t="s">
        <v>4433</v>
      </c>
      <c r="L538" s="136">
        <v>2841178</v>
      </c>
      <c r="M538" s="132">
        <v>42252</v>
      </c>
      <c r="N538" s="136" t="s">
        <v>3741</v>
      </c>
      <c r="O538" s="130" t="s">
        <v>4436</v>
      </c>
      <c r="P538" s="130" t="s">
        <v>4492</v>
      </c>
      <c r="Q538" s="130">
        <v>38237090</v>
      </c>
      <c r="R538" s="136">
        <v>18.16</v>
      </c>
      <c r="S538" s="130" t="s">
        <v>70</v>
      </c>
      <c r="T538" s="136" t="s">
        <v>44</v>
      </c>
      <c r="U538" s="136" t="s">
        <v>53</v>
      </c>
      <c r="V538" s="136">
        <v>3244</v>
      </c>
      <c r="W538" s="133">
        <f t="shared" si="24"/>
        <v>58911.040000000001</v>
      </c>
      <c r="X538" s="136">
        <v>19.440000000000001</v>
      </c>
      <c r="Y538" s="136">
        <v>2900</v>
      </c>
      <c r="Z538" s="136">
        <v>0</v>
      </c>
      <c r="AA538" s="136">
        <v>0</v>
      </c>
      <c r="AB538" s="131">
        <v>42254</v>
      </c>
      <c r="AC538" s="134">
        <f t="shared" si="25"/>
        <v>55991.6</v>
      </c>
      <c r="AD538" s="135">
        <v>65.8</v>
      </c>
      <c r="AE538" s="136">
        <f t="shared" si="26"/>
        <v>3876346.432</v>
      </c>
      <c r="AF538" s="137">
        <v>3684247.28</v>
      </c>
      <c r="AG538" s="138">
        <v>65.8</v>
      </c>
      <c r="AH538" s="136" t="s">
        <v>5859</v>
      </c>
      <c r="AI538" s="133">
        <v>58911.040000000001</v>
      </c>
      <c r="AJ538" s="132">
        <v>42318</v>
      </c>
      <c r="AK538" s="136" t="s">
        <v>5860</v>
      </c>
      <c r="AL538" s="132">
        <v>42321</v>
      </c>
      <c r="AM538" s="131" t="s">
        <v>49</v>
      </c>
      <c r="AN538" s="133" t="s">
        <v>4440</v>
      </c>
    </row>
    <row r="539" spans="1:40" s="129" customFormat="1" x14ac:dyDescent="0.25">
      <c r="A539" s="136">
        <v>538</v>
      </c>
      <c r="B539" s="130" t="s">
        <v>4428</v>
      </c>
      <c r="C539" s="130" t="s">
        <v>38</v>
      </c>
      <c r="D539" s="136">
        <v>9103650498</v>
      </c>
      <c r="E539" s="132">
        <v>42258</v>
      </c>
      <c r="F539" s="132" t="s">
        <v>5803</v>
      </c>
      <c r="G539" s="132" t="s">
        <v>631</v>
      </c>
      <c r="H539" s="130" t="s">
        <v>4491</v>
      </c>
      <c r="I539" s="132" t="s">
        <v>40</v>
      </c>
      <c r="J539" s="131" t="s">
        <v>4432</v>
      </c>
      <c r="K539" s="132" t="s">
        <v>4433</v>
      </c>
      <c r="L539" s="136">
        <v>2841187</v>
      </c>
      <c r="M539" s="132" t="s">
        <v>5861</v>
      </c>
      <c r="N539" s="136" t="s">
        <v>4858</v>
      </c>
      <c r="O539" s="130" t="s">
        <v>4436</v>
      </c>
      <c r="P539" s="130" t="s">
        <v>54</v>
      </c>
      <c r="Q539" s="130">
        <v>38237090</v>
      </c>
      <c r="R539" s="136">
        <v>12</v>
      </c>
      <c r="S539" s="130" t="s">
        <v>70</v>
      </c>
      <c r="T539" s="136" t="s">
        <v>44</v>
      </c>
      <c r="U539" s="136" t="s">
        <v>53</v>
      </c>
      <c r="V539" s="136">
        <v>3700</v>
      </c>
      <c r="W539" s="133">
        <f t="shared" si="24"/>
        <v>44400</v>
      </c>
      <c r="X539" s="136">
        <v>14.65</v>
      </c>
      <c r="Y539" s="136">
        <v>55</v>
      </c>
      <c r="Z539" s="136">
        <v>0</v>
      </c>
      <c r="AA539" s="136">
        <v>0</v>
      </c>
      <c r="AB539" s="131">
        <v>42254</v>
      </c>
      <c r="AC539" s="134">
        <f t="shared" si="25"/>
        <v>44330.35</v>
      </c>
      <c r="AD539" s="135">
        <v>65.8</v>
      </c>
      <c r="AE539" s="136">
        <f t="shared" si="26"/>
        <v>2921520</v>
      </c>
      <c r="AF539" s="137">
        <v>2916937.03</v>
      </c>
      <c r="AG539" s="138">
        <v>65.8</v>
      </c>
      <c r="AH539" s="136" t="s">
        <v>5862</v>
      </c>
      <c r="AI539" s="136">
        <v>44250</v>
      </c>
      <c r="AJ539" s="132" t="s">
        <v>5405</v>
      </c>
      <c r="AK539" s="136" t="s">
        <v>5863</v>
      </c>
      <c r="AL539" s="132" t="s">
        <v>5407</v>
      </c>
      <c r="AM539" s="131" t="s">
        <v>49</v>
      </c>
      <c r="AN539" s="136" t="s">
        <v>4440</v>
      </c>
    </row>
    <row r="540" spans="1:40" s="129" customFormat="1" x14ac:dyDescent="0.25">
      <c r="A540" s="130">
        <v>539</v>
      </c>
      <c r="B540" s="130" t="s">
        <v>4428</v>
      </c>
      <c r="C540" s="130" t="s">
        <v>38</v>
      </c>
      <c r="D540" s="136">
        <v>9103650499</v>
      </c>
      <c r="E540" s="132">
        <v>42258</v>
      </c>
      <c r="F540" s="132" t="s">
        <v>5803</v>
      </c>
      <c r="G540" s="132" t="s">
        <v>5864</v>
      </c>
      <c r="H540" s="130" t="s">
        <v>4491</v>
      </c>
      <c r="I540" s="132" t="s">
        <v>40</v>
      </c>
      <c r="J540" s="131" t="s">
        <v>4432</v>
      </c>
      <c r="K540" s="132" t="s">
        <v>4433</v>
      </c>
      <c r="L540" s="136">
        <v>2841181</v>
      </c>
      <c r="M540" s="132" t="s">
        <v>5861</v>
      </c>
      <c r="N540" s="136" t="s">
        <v>3741</v>
      </c>
      <c r="O540" s="130" t="s">
        <v>4436</v>
      </c>
      <c r="P540" s="130" t="s">
        <v>4492</v>
      </c>
      <c r="Q540" s="130">
        <v>38237090</v>
      </c>
      <c r="R540" s="136">
        <v>18.14</v>
      </c>
      <c r="S540" s="130" t="s">
        <v>70</v>
      </c>
      <c r="T540" s="136" t="s">
        <v>44</v>
      </c>
      <c r="U540" s="136" t="s">
        <v>53</v>
      </c>
      <c r="V540" s="136">
        <v>1452</v>
      </c>
      <c r="W540" s="133">
        <f t="shared" si="24"/>
        <v>26339.280000000002</v>
      </c>
      <c r="X540" s="136">
        <v>8.69</v>
      </c>
      <c r="Y540" s="136">
        <v>1900</v>
      </c>
      <c r="Z540" s="136">
        <v>0</v>
      </c>
      <c r="AA540" s="136">
        <v>0</v>
      </c>
      <c r="AB540" s="131">
        <v>42254</v>
      </c>
      <c r="AC540" s="134">
        <f t="shared" si="25"/>
        <v>24430.589969604865</v>
      </c>
      <c r="AD540" s="135">
        <v>65.8</v>
      </c>
      <c r="AE540" s="136">
        <f t="shared" si="26"/>
        <v>1733124.6240000001</v>
      </c>
      <c r="AF540" s="137">
        <v>1607532.82</v>
      </c>
      <c r="AG540" s="138">
        <v>65.8</v>
      </c>
      <c r="AH540" s="136" t="s">
        <v>5865</v>
      </c>
      <c r="AI540" s="133">
        <v>26339.279999999999</v>
      </c>
      <c r="AJ540" s="132">
        <v>42318</v>
      </c>
      <c r="AK540" s="136" t="s">
        <v>5866</v>
      </c>
      <c r="AL540" s="132">
        <v>42321</v>
      </c>
      <c r="AM540" s="131" t="s">
        <v>49</v>
      </c>
      <c r="AN540" s="133" t="s">
        <v>4440</v>
      </c>
    </row>
    <row r="541" spans="1:40" s="129" customFormat="1" x14ac:dyDescent="0.25">
      <c r="A541" s="136">
        <v>540</v>
      </c>
      <c r="B541" s="130" t="s">
        <v>4428</v>
      </c>
      <c r="C541" s="130" t="s">
        <v>38</v>
      </c>
      <c r="D541" s="136">
        <v>9103650500</v>
      </c>
      <c r="E541" s="132">
        <v>42258</v>
      </c>
      <c r="F541" s="132" t="s">
        <v>5803</v>
      </c>
      <c r="G541" s="132" t="s">
        <v>5867</v>
      </c>
      <c r="H541" s="130" t="s">
        <v>4463</v>
      </c>
      <c r="I541" s="132" t="s">
        <v>40</v>
      </c>
      <c r="J541" s="131" t="s">
        <v>4432</v>
      </c>
      <c r="K541" s="132" t="s">
        <v>4433</v>
      </c>
      <c r="L541" s="136">
        <v>2860437</v>
      </c>
      <c r="M541" s="132">
        <v>42254</v>
      </c>
      <c r="N541" s="136" t="s">
        <v>5868</v>
      </c>
      <c r="O541" s="130" t="s">
        <v>4436</v>
      </c>
      <c r="P541" s="130" t="s">
        <v>2963</v>
      </c>
      <c r="Q541" s="130">
        <v>29051700</v>
      </c>
      <c r="R541" s="136">
        <v>16</v>
      </c>
      <c r="S541" s="130" t="s">
        <v>70</v>
      </c>
      <c r="T541" s="136" t="s">
        <v>67</v>
      </c>
      <c r="U541" s="136" t="s">
        <v>53</v>
      </c>
      <c r="V541" s="136">
        <v>1425</v>
      </c>
      <c r="W541" s="133">
        <f t="shared" si="24"/>
        <v>22800</v>
      </c>
      <c r="X541" s="136">
        <v>0</v>
      </c>
      <c r="Y541" s="136">
        <v>0</v>
      </c>
      <c r="Z541" s="136">
        <v>0</v>
      </c>
      <c r="AA541" s="136">
        <v>0</v>
      </c>
      <c r="AB541" s="131">
        <v>42255</v>
      </c>
      <c r="AC541" s="134">
        <f t="shared" si="25"/>
        <v>22800</v>
      </c>
      <c r="AD541" s="135">
        <v>65.8</v>
      </c>
      <c r="AE541" s="136">
        <f t="shared" si="26"/>
        <v>1500240</v>
      </c>
      <c r="AF541" s="137">
        <v>1500240</v>
      </c>
      <c r="AG541" s="138">
        <v>65.8</v>
      </c>
      <c r="AH541" s="136" t="s">
        <v>5869</v>
      </c>
      <c r="AI541" s="136">
        <v>22730</v>
      </c>
      <c r="AJ541" s="132" t="s">
        <v>5574</v>
      </c>
      <c r="AK541" s="136" t="s">
        <v>5870</v>
      </c>
      <c r="AL541" s="132" t="s">
        <v>5342</v>
      </c>
      <c r="AM541" s="131" t="s">
        <v>49</v>
      </c>
      <c r="AN541" s="136" t="s">
        <v>4440</v>
      </c>
    </row>
    <row r="542" spans="1:40" s="129" customFormat="1" x14ac:dyDescent="0.25">
      <c r="A542" s="130">
        <v>541</v>
      </c>
      <c r="B542" s="130" t="s">
        <v>4428</v>
      </c>
      <c r="C542" s="130" t="s">
        <v>38</v>
      </c>
      <c r="D542" s="136">
        <v>9103650501</v>
      </c>
      <c r="E542" s="132">
        <v>42259</v>
      </c>
      <c r="F542" s="132" t="s">
        <v>5803</v>
      </c>
      <c r="G542" s="132" t="s">
        <v>5871</v>
      </c>
      <c r="H542" s="130" t="s">
        <v>4463</v>
      </c>
      <c r="I542" s="132" t="s">
        <v>40</v>
      </c>
      <c r="J542" s="131" t="s">
        <v>4432</v>
      </c>
      <c r="K542" s="132" t="s">
        <v>4433</v>
      </c>
      <c r="L542" s="136">
        <v>2860363</v>
      </c>
      <c r="M542" s="132">
        <v>42223</v>
      </c>
      <c r="N542" s="136" t="s">
        <v>4565</v>
      </c>
      <c r="O542" s="130" t="s">
        <v>4436</v>
      </c>
      <c r="P542" s="130" t="s">
        <v>4566</v>
      </c>
      <c r="Q542" s="130" t="s">
        <v>5872</v>
      </c>
      <c r="R542" s="136">
        <v>15</v>
      </c>
      <c r="S542" s="130" t="s">
        <v>70</v>
      </c>
      <c r="T542" s="136" t="s">
        <v>44</v>
      </c>
      <c r="U542" s="136" t="s">
        <v>53</v>
      </c>
      <c r="V542" s="136">
        <v>0</v>
      </c>
      <c r="W542" s="133">
        <f>(13*1260+2*1345)</f>
        <v>19070</v>
      </c>
      <c r="X542" s="136">
        <v>6.29</v>
      </c>
      <c r="Y542" s="136">
        <v>55</v>
      </c>
      <c r="Z542" s="136">
        <v>0</v>
      </c>
      <c r="AA542" s="136">
        <v>0</v>
      </c>
      <c r="AB542" s="131">
        <v>42255</v>
      </c>
      <c r="AC542" s="134">
        <f t="shared" si="25"/>
        <v>19008.710030395141</v>
      </c>
      <c r="AD542" s="135">
        <v>65.8</v>
      </c>
      <c r="AE542" s="136">
        <f t="shared" si="26"/>
        <v>1254806</v>
      </c>
      <c r="AF542" s="137">
        <v>1250773.1200000001</v>
      </c>
      <c r="AG542" s="138">
        <v>65.8</v>
      </c>
      <c r="AH542" s="136" t="s">
        <v>5873</v>
      </c>
      <c r="AI542" s="133">
        <v>19020</v>
      </c>
      <c r="AJ542" s="132" t="s">
        <v>5595</v>
      </c>
      <c r="AK542" s="136" t="s">
        <v>5874</v>
      </c>
      <c r="AL542" s="132" t="s">
        <v>5597</v>
      </c>
      <c r="AM542" s="131" t="s">
        <v>49</v>
      </c>
      <c r="AN542" s="133" t="s">
        <v>4440</v>
      </c>
    </row>
    <row r="543" spans="1:40" s="129" customFormat="1" x14ac:dyDescent="0.25">
      <c r="A543" s="136">
        <v>542</v>
      </c>
      <c r="B543" s="130" t="s">
        <v>4428</v>
      </c>
      <c r="C543" s="130" t="s">
        <v>38</v>
      </c>
      <c r="D543" s="136">
        <v>9103650502</v>
      </c>
      <c r="E543" s="132">
        <v>42258</v>
      </c>
      <c r="F543" s="132" t="s">
        <v>5803</v>
      </c>
      <c r="G543" s="132" t="s">
        <v>5875</v>
      </c>
      <c r="H543" s="130" t="s">
        <v>4491</v>
      </c>
      <c r="I543" s="132" t="s">
        <v>40</v>
      </c>
      <c r="J543" s="131" t="s">
        <v>4432</v>
      </c>
      <c r="K543" s="132" t="s">
        <v>4433</v>
      </c>
      <c r="L543" s="136">
        <v>2860342</v>
      </c>
      <c r="M543" s="132" t="s">
        <v>5532</v>
      </c>
      <c r="N543" s="136" t="s">
        <v>3741</v>
      </c>
      <c r="O543" s="130" t="s">
        <v>4436</v>
      </c>
      <c r="P543" s="130" t="s">
        <v>4492</v>
      </c>
      <c r="Q543" s="130">
        <v>29051700</v>
      </c>
      <c r="R543" s="136">
        <v>18.14</v>
      </c>
      <c r="S543" s="130" t="s">
        <v>70</v>
      </c>
      <c r="T543" s="136" t="s">
        <v>44</v>
      </c>
      <c r="U543" s="136" t="s">
        <v>53</v>
      </c>
      <c r="V543" s="136">
        <v>1533</v>
      </c>
      <c r="W543" s="133">
        <f t="shared" si="24"/>
        <v>27808.620000000003</v>
      </c>
      <c r="X543" s="136">
        <v>9.18</v>
      </c>
      <c r="Y543" s="136">
        <v>2750</v>
      </c>
      <c r="Z543" s="136">
        <v>0</v>
      </c>
      <c r="AA543" s="136">
        <v>0</v>
      </c>
      <c r="AB543" s="131">
        <v>42255</v>
      </c>
      <c r="AC543" s="134">
        <f t="shared" si="25"/>
        <v>25049.440121580548</v>
      </c>
      <c r="AD543" s="135">
        <v>65.8</v>
      </c>
      <c r="AE543" s="136">
        <f t="shared" si="26"/>
        <v>1829807.196</v>
      </c>
      <c r="AF543" s="137">
        <v>1648253.16</v>
      </c>
      <c r="AG543" s="138">
        <v>65.8</v>
      </c>
      <c r="AH543" s="136" t="s">
        <v>5876</v>
      </c>
      <c r="AI543" s="133">
        <v>27808.62</v>
      </c>
      <c r="AJ543" s="132">
        <v>42318</v>
      </c>
      <c r="AK543" s="136" t="s">
        <v>5877</v>
      </c>
      <c r="AL543" s="132">
        <v>42321</v>
      </c>
      <c r="AM543" s="131" t="s">
        <v>49</v>
      </c>
      <c r="AN543" s="133" t="s">
        <v>4440</v>
      </c>
    </row>
    <row r="544" spans="1:40" s="129" customFormat="1" x14ac:dyDescent="0.25">
      <c r="A544" s="130">
        <v>543</v>
      </c>
      <c r="B544" s="130" t="s">
        <v>4428</v>
      </c>
      <c r="C544" s="130" t="s">
        <v>38</v>
      </c>
      <c r="D544" s="136" t="s">
        <v>5878</v>
      </c>
      <c r="E544" s="132">
        <v>42260</v>
      </c>
      <c r="F544" s="132" t="s">
        <v>5803</v>
      </c>
      <c r="G544" s="132" t="s">
        <v>5879</v>
      </c>
      <c r="H544" s="130" t="s">
        <v>4463</v>
      </c>
      <c r="I544" s="132" t="s">
        <v>40</v>
      </c>
      <c r="J544" s="131" t="s">
        <v>4432</v>
      </c>
      <c r="K544" s="132" t="s">
        <v>4433</v>
      </c>
      <c r="L544" s="136">
        <v>2865365</v>
      </c>
      <c r="M544" s="132">
        <v>42254</v>
      </c>
      <c r="N544" s="136" t="s">
        <v>4473</v>
      </c>
      <c r="O544" s="130" t="s">
        <v>4436</v>
      </c>
      <c r="P544" s="130" t="s">
        <v>361</v>
      </c>
      <c r="Q544" s="130">
        <v>29051700</v>
      </c>
      <c r="R544" s="136">
        <v>32</v>
      </c>
      <c r="S544" s="130" t="s">
        <v>70</v>
      </c>
      <c r="T544" s="136" t="s">
        <v>67</v>
      </c>
      <c r="U544" s="136" t="s">
        <v>1117</v>
      </c>
      <c r="V544" s="136">
        <v>97900</v>
      </c>
      <c r="W544" s="133">
        <f t="shared" si="24"/>
        <v>3132800</v>
      </c>
      <c r="X544" s="136">
        <v>0</v>
      </c>
      <c r="Y544" s="136">
        <v>0</v>
      </c>
      <c r="Z544" s="136">
        <v>0</v>
      </c>
      <c r="AA544" s="136">
        <v>0</v>
      </c>
      <c r="AB544" s="131">
        <v>42255</v>
      </c>
      <c r="AC544" s="134">
        <f t="shared" si="25"/>
        <v>9661078.6699999999</v>
      </c>
      <c r="AD544" s="135">
        <v>1</v>
      </c>
      <c r="AE544" s="136">
        <f t="shared" si="26"/>
        <v>3132800</v>
      </c>
      <c r="AF544" s="130">
        <v>9661078.6699999999</v>
      </c>
      <c r="AG544" s="138">
        <v>1</v>
      </c>
      <c r="AH544" s="136" t="s">
        <v>5880</v>
      </c>
      <c r="AI544" s="136">
        <v>3132800</v>
      </c>
      <c r="AJ544" s="132">
        <v>42271</v>
      </c>
      <c r="AK544" s="136" t="s">
        <v>5881</v>
      </c>
      <c r="AL544" s="132">
        <v>42272</v>
      </c>
      <c r="AM544" s="131" t="s">
        <v>49</v>
      </c>
      <c r="AN544" s="136" t="s">
        <v>4440</v>
      </c>
    </row>
    <row r="545" spans="1:40" s="129" customFormat="1" x14ac:dyDescent="0.25">
      <c r="A545" s="136">
        <v>544</v>
      </c>
      <c r="B545" s="130" t="s">
        <v>4428</v>
      </c>
      <c r="C545" s="130" t="s">
        <v>38</v>
      </c>
      <c r="D545" s="136" t="s">
        <v>5878</v>
      </c>
      <c r="E545" s="132">
        <v>42260</v>
      </c>
      <c r="F545" s="132" t="s">
        <v>5803</v>
      </c>
      <c r="G545" s="132" t="s">
        <v>5882</v>
      </c>
      <c r="H545" s="130" t="s">
        <v>4463</v>
      </c>
      <c r="I545" s="132" t="s">
        <v>40</v>
      </c>
      <c r="J545" s="131" t="s">
        <v>4432</v>
      </c>
      <c r="K545" s="132" t="s">
        <v>4433</v>
      </c>
      <c r="L545" s="136">
        <v>2881076</v>
      </c>
      <c r="M545" s="132">
        <v>42255</v>
      </c>
      <c r="N545" s="136" t="s">
        <v>4473</v>
      </c>
      <c r="O545" s="130" t="s">
        <v>4436</v>
      </c>
      <c r="P545" s="130" t="s">
        <v>361</v>
      </c>
      <c r="Q545" s="130">
        <v>29051700</v>
      </c>
      <c r="R545" s="136">
        <v>16</v>
      </c>
      <c r="S545" s="130" t="s">
        <v>70</v>
      </c>
      <c r="T545" s="136" t="s">
        <v>67</v>
      </c>
      <c r="U545" s="136" t="s">
        <v>1117</v>
      </c>
      <c r="V545" s="136">
        <v>97900</v>
      </c>
      <c r="W545" s="133">
        <f t="shared" si="24"/>
        <v>1566400</v>
      </c>
      <c r="X545" s="136">
        <v>0</v>
      </c>
      <c r="Y545" s="136">
        <v>0</v>
      </c>
      <c r="Z545" s="136">
        <v>0</v>
      </c>
      <c r="AA545" s="136">
        <v>0</v>
      </c>
      <c r="AB545" s="131">
        <v>42256</v>
      </c>
      <c r="AC545" s="134">
        <f t="shared" si="25"/>
        <v>4784712.78</v>
      </c>
      <c r="AD545" s="135">
        <v>1</v>
      </c>
      <c r="AE545" s="136">
        <f t="shared" si="26"/>
        <v>1566400</v>
      </c>
      <c r="AF545" s="130">
        <v>4784712.78</v>
      </c>
      <c r="AG545" s="138">
        <v>1</v>
      </c>
      <c r="AH545" s="136" t="s">
        <v>5880</v>
      </c>
      <c r="AI545" s="136">
        <v>1566400</v>
      </c>
      <c r="AJ545" s="132">
        <v>42271</v>
      </c>
      <c r="AK545" s="136" t="s">
        <v>5883</v>
      </c>
      <c r="AL545" s="132">
        <v>42272</v>
      </c>
      <c r="AM545" s="131" t="s">
        <v>49</v>
      </c>
      <c r="AN545" s="136" t="s">
        <v>4440</v>
      </c>
    </row>
    <row r="546" spans="1:40" s="129" customFormat="1" x14ac:dyDescent="0.25">
      <c r="A546" s="130">
        <v>545</v>
      </c>
      <c r="B546" s="130" t="s">
        <v>4428</v>
      </c>
      <c r="C546" s="130" t="s">
        <v>38</v>
      </c>
      <c r="D546" s="136">
        <v>9103650505</v>
      </c>
      <c r="E546" s="132">
        <v>42261</v>
      </c>
      <c r="F546" s="132" t="s">
        <v>5803</v>
      </c>
      <c r="G546" s="132" t="s">
        <v>5884</v>
      </c>
      <c r="H546" s="130" t="s">
        <v>4446</v>
      </c>
      <c r="I546" s="132" t="s">
        <v>40</v>
      </c>
      <c r="J546" s="131" t="s">
        <v>4432</v>
      </c>
      <c r="K546" s="132" t="s">
        <v>4433</v>
      </c>
      <c r="L546" s="136">
        <v>2886438</v>
      </c>
      <c r="M546" s="132">
        <v>42255</v>
      </c>
      <c r="N546" s="136" t="s">
        <v>5499</v>
      </c>
      <c r="O546" s="130" t="s">
        <v>4436</v>
      </c>
      <c r="P546" s="130" t="s">
        <v>54</v>
      </c>
      <c r="Q546" s="130">
        <v>38237090</v>
      </c>
      <c r="R546" s="136">
        <v>10</v>
      </c>
      <c r="S546" s="130" t="s">
        <v>70</v>
      </c>
      <c r="T546" s="136" t="s">
        <v>44</v>
      </c>
      <c r="U546" s="136" t="s">
        <v>53</v>
      </c>
      <c r="V546" s="136">
        <v>3856</v>
      </c>
      <c r="W546" s="133">
        <f t="shared" si="24"/>
        <v>38560</v>
      </c>
      <c r="X546" s="136">
        <v>12.72</v>
      </c>
      <c r="Y546" s="136">
        <v>75</v>
      </c>
      <c r="Z546" s="136">
        <v>0</v>
      </c>
      <c r="AA546" s="136">
        <v>0</v>
      </c>
      <c r="AB546" s="131">
        <v>42256</v>
      </c>
      <c r="AC546" s="134">
        <f t="shared" si="25"/>
        <v>38472.279939209729</v>
      </c>
      <c r="AD546" s="135">
        <v>65.8</v>
      </c>
      <c r="AE546" s="136">
        <f t="shared" si="26"/>
        <v>2537248</v>
      </c>
      <c r="AF546" s="137">
        <v>2531476.02</v>
      </c>
      <c r="AG546" s="138">
        <v>65.8</v>
      </c>
      <c r="AH546" s="136" t="s">
        <v>5885</v>
      </c>
      <c r="AI546" s="133">
        <v>38560</v>
      </c>
      <c r="AJ546" s="132">
        <v>42303</v>
      </c>
      <c r="AK546" s="136" t="s">
        <v>5886</v>
      </c>
      <c r="AL546" s="132">
        <v>42303</v>
      </c>
      <c r="AM546" s="131" t="s">
        <v>49</v>
      </c>
      <c r="AN546" s="133" t="s">
        <v>4440</v>
      </c>
    </row>
    <row r="547" spans="1:40" s="129" customFormat="1" x14ac:dyDescent="0.25">
      <c r="A547" s="136">
        <v>546</v>
      </c>
      <c r="B547" s="130" t="s">
        <v>4428</v>
      </c>
      <c r="C547" s="130" t="s">
        <v>38</v>
      </c>
      <c r="D547" s="136" t="s">
        <v>5887</v>
      </c>
      <c r="E547" s="132">
        <v>42260</v>
      </c>
      <c r="F547" s="132" t="s">
        <v>5803</v>
      </c>
      <c r="G547" s="132" t="s">
        <v>5888</v>
      </c>
      <c r="H547" s="130" t="s">
        <v>4431</v>
      </c>
      <c r="I547" s="132" t="s">
        <v>40</v>
      </c>
      <c r="J547" s="131" t="s">
        <v>4432</v>
      </c>
      <c r="K547" s="132" t="s">
        <v>4433</v>
      </c>
      <c r="L547" s="136">
        <v>2867642</v>
      </c>
      <c r="M547" s="132">
        <v>42254</v>
      </c>
      <c r="N547" s="136" t="s">
        <v>5621</v>
      </c>
      <c r="O547" s="130" t="s">
        <v>4436</v>
      </c>
      <c r="P547" s="130" t="s">
        <v>361</v>
      </c>
      <c r="Q547" s="130">
        <v>38237090</v>
      </c>
      <c r="R547" s="136">
        <v>113.71</v>
      </c>
      <c r="S547" s="130" t="s">
        <v>70</v>
      </c>
      <c r="T547" s="136" t="s">
        <v>52</v>
      </c>
      <c r="U547" s="136" t="s">
        <v>1117</v>
      </c>
      <c r="V547" s="136">
        <v>87288.67</v>
      </c>
      <c r="W547" s="133">
        <f t="shared" si="24"/>
        <v>9925594.6656999998</v>
      </c>
      <c r="X547" s="136">
        <v>0</v>
      </c>
      <c r="Y547" s="136">
        <v>264516</v>
      </c>
      <c r="Z547" s="136">
        <v>0</v>
      </c>
      <c r="AA547" s="136">
        <v>144913.68</v>
      </c>
      <c r="AB547" s="131">
        <v>42255</v>
      </c>
      <c r="AC547" s="134">
        <f t="shared" si="25"/>
        <v>9661078.6699999999</v>
      </c>
      <c r="AD547" s="135">
        <v>1</v>
      </c>
      <c r="AE547" s="136">
        <f t="shared" si="26"/>
        <v>9925594.6656999998</v>
      </c>
      <c r="AF547" s="130">
        <v>9661078.6699999999</v>
      </c>
      <c r="AG547" s="138">
        <v>1</v>
      </c>
      <c r="AH547" s="136" t="s">
        <v>5889</v>
      </c>
      <c r="AI547" s="136">
        <v>9925594.6500000004</v>
      </c>
      <c r="AJ547" s="132">
        <v>42285</v>
      </c>
      <c r="AK547" s="136" t="s">
        <v>5890</v>
      </c>
      <c r="AL547" s="132">
        <v>42289</v>
      </c>
      <c r="AM547" s="131" t="s">
        <v>49</v>
      </c>
      <c r="AN547" s="133" t="s">
        <v>4440</v>
      </c>
    </row>
    <row r="548" spans="1:40" s="129" customFormat="1" x14ac:dyDescent="0.25">
      <c r="A548" s="130">
        <v>547</v>
      </c>
      <c r="B548" s="130" t="s">
        <v>4428</v>
      </c>
      <c r="C548" s="130" t="s">
        <v>38</v>
      </c>
      <c r="D548" s="136" t="s">
        <v>5887</v>
      </c>
      <c r="E548" s="132">
        <v>42260</v>
      </c>
      <c r="F548" s="132" t="s">
        <v>5803</v>
      </c>
      <c r="G548" s="132" t="s">
        <v>5891</v>
      </c>
      <c r="H548" s="130" t="s">
        <v>4431</v>
      </c>
      <c r="I548" s="132" t="s">
        <v>40</v>
      </c>
      <c r="J548" s="131" t="s">
        <v>4432</v>
      </c>
      <c r="K548" s="132" t="s">
        <v>4433</v>
      </c>
      <c r="L548" s="136">
        <v>2881578</v>
      </c>
      <c r="M548" s="132">
        <v>42255</v>
      </c>
      <c r="N548" s="136" t="s">
        <v>5621</v>
      </c>
      <c r="O548" s="130" t="s">
        <v>4436</v>
      </c>
      <c r="P548" s="130" t="s">
        <v>361</v>
      </c>
      <c r="Q548" s="130">
        <v>38237090</v>
      </c>
      <c r="R548" s="136">
        <v>56.33</v>
      </c>
      <c r="S548" s="130" t="s">
        <v>70</v>
      </c>
      <c r="T548" s="136" t="s">
        <v>52</v>
      </c>
      <c r="U548" s="136" t="s">
        <v>1117</v>
      </c>
      <c r="V548" s="136">
        <v>87288.67</v>
      </c>
      <c r="W548" s="133">
        <f t="shared" si="24"/>
        <v>4916970.7810999993</v>
      </c>
      <c r="X548" s="136">
        <v>0</v>
      </c>
      <c r="Y548" s="136">
        <v>132258</v>
      </c>
      <c r="Z548" s="136">
        <v>0</v>
      </c>
      <c r="AA548" s="136">
        <v>71787.77</v>
      </c>
      <c r="AB548" s="131">
        <v>42256</v>
      </c>
      <c r="AC548" s="134">
        <f t="shared" si="25"/>
        <v>4784712.78</v>
      </c>
      <c r="AD548" s="135">
        <v>1</v>
      </c>
      <c r="AE548" s="136">
        <f t="shared" si="26"/>
        <v>4916970.7810999993</v>
      </c>
      <c r="AF548" s="130">
        <v>4784712.78</v>
      </c>
      <c r="AG548" s="138">
        <v>1</v>
      </c>
      <c r="AH548" s="136" t="s">
        <v>5889</v>
      </c>
      <c r="AI548" s="136">
        <v>4916970.78</v>
      </c>
      <c r="AJ548" s="132">
        <v>42285</v>
      </c>
      <c r="AK548" s="136" t="s">
        <v>5892</v>
      </c>
      <c r="AL548" s="132">
        <v>42289</v>
      </c>
      <c r="AM548" s="131" t="s">
        <v>49</v>
      </c>
      <c r="AN548" s="133" t="s">
        <v>4440</v>
      </c>
    </row>
    <row r="549" spans="1:40" s="129" customFormat="1" x14ac:dyDescent="0.25">
      <c r="A549" s="136">
        <v>548</v>
      </c>
      <c r="B549" s="130" t="s">
        <v>4428</v>
      </c>
      <c r="C549" s="130" t="s">
        <v>38</v>
      </c>
      <c r="D549" s="136" t="s">
        <v>5887</v>
      </c>
      <c r="E549" s="132">
        <v>42260</v>
      </c>
      <c r="F549" s="132" t="s">
        <v>5803</v>
      </c>
      <c r="G549" s="132" t="s">
        <v>5893</v>
      </c>
      <c r="H549" s="130" t="s">
        <v>4431</v>
      </c>
      <c r="I549" s="132" t="s">
        <v>40</v>
      </c>
      <c r="J549" s="131" t="s">
        <v>4432</v>
      </c>
      <c r="K549" s="132" t="s">
        <v>4433</v>
      </c>
      <c r="L549" s="136">
        <v>2894833</v>
      </c>
      <c r="M549" s="132">
        <v>42256</v>
      </c>
      <c r="N549" s="136" t="s">
        <v>5621</v>
      </c>
      <c r="O549" s="130" t="s">
        <v>4436</v>
      </c>
      <c r="P549" s="130" t="s">
        <v>361</v>
      </c>
      <c r="Q549" s="130">
        <v>38237090</v>
      </c>
      <c r="R549" s="136">
        <v>35.96</v>
      </c>
      <c r="S549" s="130" t="s">
        <v>70</v>
      </c>
      <c r="T549" s="136" t="s">
        <v>52</v>
      </c>
      <c r="U549" s="136" t="s">
        <v>1117</v>
      </c>
      <c r="V549" s="136">
        <v>87288.67</v>
      </c>
      <c r="W549" s="133">
        <f t="shared" si="24"/>
        <v>3138900.5732</v>
      </c>
      <c r="X549" s="136">
        <v>0</v>
      </c>
      <c r="Y549" s="136">
        <v>88172</v>
      </c>
      <c r="Z549" s="136">
        <v>0</v>
      </c>
      <c r="AA549" s="136">
        <v>45827.95</v>
      </c>
      <c r="AB549" s="131">
        <v>42256</v>
      </c>
      <c r="AC549" s="134">
        <f t="shared" si="25"/>
        <v>3050728.57</v>
      </c>
      <c r="AD549" s="135">
        <v>1</v>
      </c>
      <c r="AE549" s="136">
        <f t="shared" si="26"/>
        <v>3138900.5732</v>
      </c>
      <c r="AF549" s="130">
        <v>3050728.57</v>
      </c>
      <c r="AG549" s="138">
        <v>1</v>
      </c>
      <c r="AH549" s="136" t="s">
        <v>5889</v>
      </c>
      <c r="AI549" s="136">
        <v>3120919.1</v>
      </c>
      <c r="AJ549" s="132">
        <v>42285</v>
      </c>
      <c r="AK549" s="136" t="s">
        <v>5892</v>
      </c>
      <c r="AL549" s="132">
        <v>42289</v>
      </c>
      <c r="AM549" s="132" t="s">
        <v>49</v>
      </c>
      <c r="AN549" s="136" t="s">
        <v>4440</v>
      </c>
    </row>
    <row r="550" spans="1:40" s="129" customFormat="1" x14ac:dyDescent="0.25">
      <c r="A550" s="130">
        <v>549</v>
      </c>
      <c r="B550" s="130" t="s">
        <v>4428</v>
      </c>
      <c r="C550" s="130" t="s">
        <v>38</v>
      </c>
      <c r="D550" s="136">
        <v>9103650508</v>
      </c>
      <c r="E550" s="132">
        <v>42260</v>
      </c>
      <c r="F550" s="132" t="s">
        <v>5803</v>
      </c>
      <c r="G550" s="132" t="s">
        <v>5894</v>
      </c>
      <c r="H550" s="130" t="s">
        <v>4463</v>
      </c>
      <c r="I550" s="132" t="s">
        <v>40</v>
      </c>
      <c r="J550" s="131" t="s">
        <v>4432</v>
      </c>
      <c r="K550" s="132" t="s">
        <v>4433</v>
      </c>
      <c r="L550" s="136">
        <v>2889218</v>
      </c>
      <c r="M550" s="132">
        <v>42255</v>
      </c>
      <c r="N550" s="136" t="s">
        <v>5895</v>
      </c>
      <c r="O550" s="130" t="s">
        <v>4436</v>
      </c>
      <c r="P550" s="130" t="s">
        <v>4474</v>
      </c>
      <c r="Q550" s="130">
        <v>38231190</v>
      </c>
      <c r="R550" s="136">
        <v>42</v>
      </c>
      <c r="S550" s="130" t="s">
        <v>70</v>
      </c>
      <c r="T550" s="136" t="s">
        <v>52</v>
      </c>
      <c r="U550" s="136" t="s">
        <v>1117</v>
      </c>
      <c r="V550" s="136">
        <v>55000</v>
      </c>
      <c r="W550" s="133">
        <f t="shared" si="24"/>
        <v>2310000</v>
      </c>
      <c r="X550" s="136">
        <v>0</v>
      </c>
      <c r="Y550" s="136">
        <v>16779</v>
      </c>
      <c r="Z550" s="136">
        <v>0</v>
      </c>
      <c r="AA550" s="136">
        <v>52552.5</v>
      </c>
      <c r="AB550" s="131">
        <v>42256</v>
      </c>
      <c r="AC550" s="134">
        <f t="shared" si="25"/>
        <v>2293221</v>
      </c>
      <c r="AD550" s="135">
        <v>1</v>
      </c>
      <c r="AE550" s="136">
        <f t="shared" si="26"/>
        <v>2310000</v>
      </c>
      <c r="AF550" s="130">
        <v>2293221</v>
      </c>
      <c r="AG550" s="138">
        <v>1</v>
      </c>
      <c r="AH550" s="136" t="s">
        <v>5896</v>
      </c>
      <c r="AI550" s="136">
        <v>2310000</v>
      </c>
      <c r="AJ550" s="132" t="s">
        <v>5715</v>
      </c>
      <c r="AK550" s="136" t="s">
        <v>5897</v>
      </c>
      <c r="AL550" s="132" t="s">
        <v>5717</v>
      </c>
      <c r="AM550" s="131" t="s">
        <v>49</v>
      </c>
      <c r="AN550" s="136" t="s">
        <v>4440</v>
      </c>
    </row>
    <row r="551" spans="1:40" s="129" customFormat="1" x14ac:dyDescent="0.25">
      <c r="A551" s="136">
        <v>550</v>
      </c>
      <c r="B551" s="130" t="s">
        <v>4428</v>
      </c>
      <c r="C551" s="130" t="s">
        <v>38</v>
      </c>
      <c r="D551" s="136">
        <v>9103650509</v>
      </c>
      <c r="E551" s="132">
        <v>42260</v>
      </c>
      <c r="F551" s="132" t="s">
        <v>5803</v>
      </c>
      <c r="G551" s="132" t="s">
        <v>5898</v>
      </c>
      <c r="H551" s="130" t="s">
        <v>4564</v>
      </c>
      <c r="I551" s="132" t="s">
        <v>40</v>
      </c>
      <c r="J551" s="131" t="s">
        <v>4432</v>
      </c>
      <c r="K551" s="132" t="s">
        <v>4433</v>
      </c>
      <c r="L551" s="136">
        <v>2889312</v>
      </c>
      <c r="M551" s="132">
        <v>42255</v>
      </c>
      <c r="N551" s="136" t="s">
        <v>5337</v>
      </c>
      <c r="O551" s="130" t="s">
        <v>4436</v>
      </c>
      <c r="P551" s="130" t="s">
        <v>143</v>
      </c>
      <c r="Q551" s="130">
        <v>38237090</v>
      </c>
      <c r="R551" s="136">
        <v>60</v>
      </c>
      <c r="S551" s="130" t="s">
        <v>70</v>
      </c>
      <c r="T551" s="136" t="s">
        <v>52</v>
      </c>
      <c r="U551" s="136" t="s">
        <v>53</v>
      </c>
      <c r="V551" s="136">
        <v>1325</v>
      </c>
      <c r="W551" s="133">
        <f t="shared" si="24"/>
        <v>79500</v>
      </c>
      <c r="X551" s="136">
        <v>0</v>
      </c>
      <c r="Y551" s="136">
        <v>3000</v>
      </c>
      <c r="Z551" s="136">
        <v>0</v>
      </c>
      <c r="AA551" s="136">
        <v>900</v>
      </c>
      <c r="AB551" s="131">
        <v>42256</v>
      </c>
      <c r="AC551" s="134">
        <f t="shared" si="25"/>
        <v>76500</v>
      </c>
      <c r="AD551" s="135">
        <v>65.8</v>
      </c>
      <c r="AE551" s="136">
        <f t="shared" si="26"/>
        <v>5231100</v>
      </c>
      <c r="AF551" s="137">
        <v>5033700</v>
      </c>
      <c r="AG551" s="138">
        <v>65.8</v>
      </c>
      <c r="AH551" s="136" t="s">
        <v>5899</v>
      </c>
      <c r="AI551" s="133">
        <v>79488</v>
      </c>
      <c r="AJ551" s="132">
        <v>42282</v>
      </c>
      <c r="AK551" s="136" t="s">
        <v>5900</v>
      </c>
      <c r="AL551" s="132">
        <v>42311</v>
      </c>
      <c r="AM551" s="131" t="s">
        <v>49</v>
      </c>
      <c r="AN551" s="133" t="s">
        <v>4440</v>
      </c>
    </row>
    <row r="552" spans="1:40" s="129" customFormat="1" x14ac:dyDescent="0.25">
      <c r="A552" s="130">
        <v>551</v>
      </c>
      <c r="B552" s="130" t="s">
        <v>4428</v>
      </c>
      <c r="C552" s="130" t="s">
        <v>38</v>
      </c>
      <c r="D552" s="136">
        <v>9103650510</v>
      </c>
      <c r="E552" s="132">
        <v>42261</v>
      </c>
      <c r="F552" s="132" t="s">
        <v>5803</v>
      </c>
      <c r="G552" s="132" t="s">
        <v>656</v>
      </c>
      <c r="H552" s="130" t="s">
        <v>4446</v>
      </c>
      <c r="I552" s="132" t="s">
        <v>40</v>
      </c>
      <c r="J552" s="131" t="s">
        <v>4432</v>
      </c>
      <c r="K552" s="132" t="s">
        <v>4433</v>
      </c>
      <c r="L552" s="136">
        <v>2896159</v>
      </c>
      <c r="M552" s="132" t="s">
        <v>5901</v>
      </c>
      <c r="N552" s="136" t="s">
        <v>4733</v>
      </c>
      <c r="O552" s="130" t="s">
        <v>4436</v>
      </c>
      <c r="P552" s="130" t="s">
        <v>492</v>
      </c>
      <c r="Q552" s="130">
        <v>38231900</v>
      </c>
      <c r="R552" s="136">
        <v>19.850000000000001</v>
      </c>
      <c r="S552" s="130" t="s">
        <v>70</v>
      </c>
      <c r="T552" s="136" t="s">
        <v>44</v>
      </c>
      <c r="U552" s="136" t="s">
        <v>53</v>
      </c>
      <c r="V552" s="136">
        <v>3750</v>
      </c>
      <c r="W552" s="133">
        <f t="shared" si="24"/>
        <v>74437.5</v>
      </c>
      <c r="X552" s="136">
        <v>24.56</v>
      </c>
      <c r="Y552" s="136">
        <v>250</v>
      </c>
      <c r="Z552" s="136">
        <v>0</v>
      </c>
      <c r="AA552" s="136">
        <v>0</v>
      </c>
      <c r="AB552" s="131">
        <v>42257</v>
      </c>
      <c r="AC552" s="134">
        <f t="shared" si="25"/>
        <v>74162.939969604864</v>
      </c>
      <c r="AD552" s="135">
        <v>65.8</v>
      </c>
      <c r="AE552" s="136">
        <f t="shared" si="26"/>
        <v>4897987.5</v>
      </c>
      <c r="AF552" s="137">
        <v>4879921.45</v>
      </c>
      <c r="AG552" s="138">
        <v>65.8</v>
      </c>
      <c r="AH552" s="136" t="s">
        <v>5902</v>
      </c>
      <c r="AI552" s="133">
        <v>74400.5</v>
      </c>
      <c r="AJ552" s="132" t="s">
        <v>5572</v>
      </c>
      <c r="AK552" s="136" t="s">
        <v>5903</v>
      </c>
      <c r="AL552" s="132" t="s">
        <v>5574</v>
      </c>
      <c r="AM552" s="131" t="s">
        <v>49</v>
      </c>
      <c r="AN552" s="133" t="s">
        <v>4440</v>
      </c>
    </row>
    <row r="553" spans="1:40" s="129" customFormat="1" x14ac:dyDescent="0.25">
      <c r="A553" s="136">
        <v>552</v>
      </c>
      <c r="B553" s="130" t="s">
        <v>4428</v>
      </c>
      <c r="C553" s="130" t="s">
        <v>38</v>
      </c>
      <c r="D553" s="136">
        <v>9103650511</v>
      </c>
      <c r="E553" s="132">
        <v>42259</v>
      </c>
      <c r="F553" s="132" t="s">
        <v>5803</v>
      </c>
      <c r="G553" s="132" t="s">
        <v>5904</v>
      </c>
      <c r="H553" s="130" t="s">
        <v>4564</v>
      </c>
      <c r="I553" s="132" t="s">
        <v>40</v>
      </c>
      <c r="J553" s="131" t="s">
        <v>4432</v>
      </c>
      <c r="K553" s="132" t="s">
        <v>4433</v>
      </c>
      <c r="L553" s="136">
        <v>2896610</v>
      </c>
      <c r="M553" s="132">
        <v>42256</v>
      </c>
      <c r="N553" s="136" t="s">
        <v>4622</v>
      </c>
      <c r="O553" s="130" t="s">
        <v>4436</v>
      </c>
      <c r="P553" s="130" t="s">
        <v>4566</v>
      </c>
      <c r="Q553" s="130">
        <v>38231900</v>
      </c>
      <c r="R553" s="136">
        <v>19.670000000000002</v>
      </c>
      <c r="S553" s="130" t="s">
        <v>70</v>
      </c>
      <c r="T553" s="136" t="s">
        <v>67</v>
      </c>
      <c r="U553" s="136" t="s">
        <v>53</v>
      </c>
      <c r="V553" s="136">
        <v>1040</v>
      </c>
      <c r="W553" s="133">
        <f t="shared" si="24"/>
        <v>20456.800000000003</v>
      </c>
      <c r="X553" s="136">
        <v>0</v>
      </c>
      <c r="Y553" s="136">
        <v>0</v>
      </c>
      <c r="Z553" s="136">
        <v>0</v>
      </c>
      <c r="AA553" s="136">
        <v>0</v>
      </c>
      <c r="AB553" s="131">
        <v>42257</v>
      </c>
      <c r="AC553" s="134">
        <f t="shared" si="25"/>
        <v>20456.8</v>
      </c>
      <c r="AD553" s="135">
        <v>65.8</v>
      </c>
      <c r="AE553" s="136">
        <f t="shared" si="26"/>
        <v>1346057.4400000002</v>
      </c>
      <c r="AF553" s="137">
        <v>1346057.44</v>
      </c>
      <c r="AG553" s="138">
        <v>65.8</v>
      </c>
      <c r="AH553" s="136" t="s">
        <v>5905</v>
      </c>
      <c r="AI553" s="136">
        <v>20422.3</v>
      </c>
      <c r="AJ553" s="132">
        <v>42345</v>
      </c>
      <c r="AK553" s="136" t="s">
        <v>5906</v>
      </c>
      <c r="AL553" s="132">
        <v>42346</v>
      </c>
      <c r="AM553" s="131" t="s">
        <v>49</v>
      </c>
      <c r="AN553" s="133" t="s">
        <v>4440</v>
      </c>
    </row>
    <row r="554" spans="1:40" s="129" customFormat="1" x14ac:dyDescent="0.25">
      <c r="A554" s="130">
        <v>553</v>
      </c>
      <c r="B554" s="130" t="s">
        <v>4428</v>
      </c>
      <c r="C554" s="130" t="s">
        <v>38</v>
      </c>
      <c r="D554" s="136">
        <v>9103650512</v>
      </c>
      <c r="E554" s="132">
        <v>42263</v>
      </c>
      <c r="F554" s="132" t="s">
        <v>5803</v>
      </c>
      <c r="G554" s="132" t="s">
        <v>5907</v>
      </c>
      <c r="H554" s="130" t="s">
        <v>4456</v>
      </c>
      <c r="I554" s="132" t="s">
        <v>40</v>
      </c>
      <c r="J554" s="131" t="s">
        <v>4432</v>
      </c>
      <c r="K554" s="132" t="s">
        <v>4433</v>
      </c>
      <c r="L554" s="136">
        <v>2903856</v>
      </c>
      <c r="M554" s="132">
        <v>42256</v>
      </c>
      <c r="N554" s="136" t="s">
        <v>5109</v>
      </c>
      <c r="O554" s="130" t="s">
        <v>4436</v>
      </c>
      <c r="P554" s="130" t="s">
        <v>5262</v>
      </c>
      <c r="Q554" s="130">
        <v>38237090</v>
      </c>
      <c r="R554" s="136">
        <v>2</v>
      </c>
      <c r="S554" s="130" t="s">
        <v>70</v>
      </c>
      <c r="T554" s="136" t="s">
        <v>44</v>
      </c>
      <c r="U554" s="136" t="s">
        <v>53</v>
      </c>
      <c r="V554" s="136">
        <v>3596</v>
      </c>
      <c r="W554" s="133">
        <f t="shared" si="24"/>
        <v>7192</v>
      </c>
      <c r="X554" s="136">
        <v>2.37</v>
      </c>
      <c r="Y554" s="136">
        <v>50</v>
      </c>
      <c r="Z554" s="136">
        <v>0</v>
      </c>
      <c r="AA554" s="136">
        <v>0</v>
      </c>
      <c r="AB554" s="131">
        <v>42257</v>
      </c>
      <c r="AC554" s="134">
        <f t="shared" si="25"/>
        <v>7139.6299392097271</v>
      </c>
      <c r="AD554" s="135">
        <v>65.8</v>
      </c>
      <c r="AE554" s="136">
        <f t="shared" si="26"/>
        <v>473233.6</v>
      </c>
      <c r="AF554" s="137">
        <v>469787.65</v>
      </c>
      <c r="AG554" s="138">
        <v>65.8</v>
      </c>
      <c r="AH554" s="136" t="s">
        <v>5908</v>
      </c>
      <c r="AI554" s="136">
        <v>7160</v>
      </c>
      <c r="AJ554" s="132">
        <v>42326</v>
      </c>
      <c r="AK554" s="136" t="s">
        <v>5909</v>
      </c>
      <c r="AL554" s="132">
        <v>42327</v>
      </c>
      <c r="AM554" s="131" t="s">
        <v>49</v>
      </c>
      <c r="AN554" s="133" t="s">
        <v>4440</v>
      </c>
    </row>
    <row r="555" spans="1:40" s="129" customFormat="1" x14ac:dyDescent="0.25">
      <c r="A555" s="136">
        <v>554</v>
      </c>
      <c r="B555" s="130" t="s">
        <v>4428</v>
      </c>
      <c r="C555" s="130" t="s">
        <v>38</v>
      </c>
      <c r="D555" s="136">
        <v>9103650513</v>
      </c>
      <c r="E555" s="132">
        <v>42261</v>
      </c>
      <c r="F555" s="132" t="s">
        <v>5803</v>
      </c>
      <c r="G555" s="132" t="s">
        <v>5910</v>
      </c>
      <c r="H555" s="130" t="s">
        <v>4446</v>
      </c>
      <c r="I555" s="132" t="s">
        <v>40</v>
      </c>
      <c r="J555" s="131" t="s">
        <v>4432</v>
      </c>
      <c r="K555" s="132" t="s">
        <v>4433</v>
      </c>
      <c r="L555" s="136">
        <v>2911501</v>
      </c>
      <c r="M555" s="132">
        <v>42256</v>
      </c>
      <c r="N555" s="136" t="s">
        <v>4532</v>
      </c>
      <c r="O555" s="130" t="s">
        <v>4436</v>
      </c>
      <c r="P555" s="130" t="s">
        <v>1826</v>
      </c>
      <c r="Q555" s="130" t="s">
        <v>4645</v>
      </c>
      <c r="R555" s="136">
        <v>16</v>
      </c>
      <c r="S555" s="130" t="s">
        <v>70</v>
      </c>
      <c r="T555" s="136" t="s">
        <v>52</v>
      </c>
      <c r="U555" s="136" t="s">
        <v>53</v>
      </c>
      <c r="V555" s="136">
        <v>1426</v>
      </c>
      <c r="W555" s="133">
        <f t="shared" si="24"/>
        <v>22816</v>
      </c>
      <c r="X555" s="136">
        <v>0</v>
      </c>
      <c r="Y555" s="136">
        <v>650</v>
      </c>
      <c r="Z555" s="136">
        <v>0</v>
      </c>
      <c r="AA555" s="136">
        <v>0</v>
      </c>
      <c r="AB555" s="131">
        <v>42257</v>
      </c>
      <c r="AC555" s="134">
        <f t="shared" si="25"/>
        <v>22166</v>
      </c>
      <c r="AD555" s="135">
        <v>65.8</v>
      </c>
      <c r="AE555" s="136">
        <f t="shared" si="26"/>
        <v>1501292.8</v>
      </c>
      <c r="AF555" s="137">
        <v>1458522.8</v>
      </c>
      <c r="AG555" s="138">
        <v>65.8</v>
      </c>
      <c r="AH555" s="136" t="s">
        <v>5911</v>
      </c>
      <c r="AI555" s="136">
        <v>22816</v>
      </c>
      <c r="AJ555" s="132">
        <v>42426</v>
      </c>
      <c r="AK555" s="136" t="s">
        <v>5912</v>
      </c>
      <c r="AL555" s="132">
        <v>42429</v>
      </c>
      <c r="AM555" s="131" t="s">
        <v>49</v>
      </c>
      <c r="AN555" s="136" t="s">
        <v>4440</v>
      </c>
    </row>
    <row r="556" spans="1:40" s="129" customFormat="1" x14ac:dyDescent="0.25">
      <c r="A556" s="130">
        <v>555</v>
      </c>
      <c r="B556" s="130" t="s">
        <v>4428</v>
      </c>
      <c r="C556" s="130" t="s">
        <v>38</v>
      </c>
      <c r="D556" s="136" t="s">
        <v>5913</v>
      </c>
      <c r="E556" s="132">
        <v>42261</v>
      </c>
      <c r="F556" s="132" t="s">
        <v>5803</v>
      </c>
      <c r="G556" s="132" t="s">
        <v>5914</v>
      </c>
      <c r="H556" s="130" t="s">
        <v>4431</v>
      </c>
      <c r="I556" s="132" t="s">
        <v>40</v>
      </c>
      <c r="J556" s="131" t="s">
        <v>4432</v>
      </c>
      <c r="K556" s="132" t="s">
        <v>4433</v>
      </c>
      <c r="L556" s="136">
        <v>2911199</v>
      </c>
      <c r="M556" s="132">
        <v>42256</v>
      </c>
      <c r="N556" s="136" t="s">
        <v>5666</v>
      </c>
      <c r="O556" s="130" t="s">
        <v>4436</v>
      </c>
      <c r="P556" s="130" t="s">
        <v>361</v>
      </c>
      <c r="Q556" s="130">
        <v>38237090</v>
      </c>
      <c r="R556" s="136">
        <v>151.37</v>
      </c>
      <c r="S556" s="130" t="s">
        <v>70</v>
      </c>
      <c r="T556" s="136" t="s">
        <v>52</v>
      </c>
      <c r="U556" s="136" t="s">
        <v>1117</v>
      </c>
      <c r="V556" s="136">
        <v>87832</v>
      </c>
      <c r="W556" s="133">
        <f t="shared" si="24"/>
        <v>13295129.84</v>
      </c>
      <c r="X556" s="136">
        <v>0</v>
      </c>
      <c r="Y556" s="136">
        <v>350056</v>
      </c>
      <c r="Z556" s="136">
        <v>0</v>
      </c>
      <c r="AA556" s="136">
        <v>194108.9</v>
      </c>
      <c r="AB556" s="131">
        <v>42257</v>
      </c>
      <c r="AC556" s="134">
        <f t="shared" si="25"/>
        <v>12945073.84</v>
      </c>
      <c r="AD556" s="135">
        <v>1</v>
      </c>
      <c r="AE556" s="136">
        <f t="shared" si="26"/>
        <v>13295129.84</v>
      </c>
      <c r="AF556" s="130">
        <v>12945073.84</v>
      </c>
      <c r="AG556" s="138">
        <v>1</v>
      </c>
      <c r="AH556" s="136" t="s">
        <v>5915</v>
      </c>
      <c r="AI556" s="136">
        <v>13295129.84</v>
      </c>
      <c r="AJ556" s="132">
        <v>42293</v>
      </c>
      <c r="AK556" s="136" t="s">
        <v>5916</v>
      </c>
      <c r="AL556" s="132">
        <v>42294</v>
      </c>
      <c r="AM556" s="131" t="s">
        <v>49</v>
      </c>
      <c r="AN556" s="136" t="s">
        <v>4440</v>
      </c>
    </row>
    <row r="557" spans="1:40" s="129" customFormat="1" x14ac:dyDescent="0.25">
      <c r="A557" s="136">
        <v>556</v>
      </c>
      <c r="B557" s="130" t="s">
        <v>4428</v>
      </c>
      <c r="C557" s="130" t="s">
        <v>38</v>
      </c>
      <c r="D557" s="136" t="s">
        <v>5913</v>
      </c>
      <c r="E557" s="132">
        <v>42261</v>
      </c>
      <c r="F557" s="132" t="s">
        <v>5803</v>
      </c>
      <c r="G557" s="132" t="s">
        <v>5917</v>
      </c>
      <c r="H557" s="130" t="s">
        <v>4431</v>
      </c>
      <c r="I557" s="132" t="s">
        <v>40</v>
      </c>
      <c r="J557" s="131" t="s">
        <v>4432</v>
      </c>
      <c r="K557" s="132" t="s">
        <v>4433</v>
      </c>
      <c r="L557" s="136">
        <v>2919384</v>
      </c>
      <c r="M557" s="132">
        <v>42257</v>
      </c>
      <c r="N557" s="136" t="s">
        <v>5666</v>
      </c>
      <c r="O557" s="130" t="s">
        <v>4436</v>
      </c>
      <c r="P557" s="130" t="s">
        <v>361</v>
      </c>
      <c r="Q557" s="130">
        <v>38237090</v>
      </c>
      <c r="R557" s="136">
        <v>56.86</v>
      </c>
      <c r="S557" s="130" t="s">
        <v>70</v>
      </c>
      <c r="T557" s="136" t="s">
        <v>52</v>
      </c>
      <c r="U557" s="136" t="s">
        <v>1117</v>
      </c>
      <c r="V557" s="136">
        <v>87832</v>
      </c>
      <c r="W557" s="133">
        <f t="shared" si="24"/>
        <v>4994127.5199999996</v>
      </c>
      <c r="X557" s="136">
        <v>0</v>
      </c>
      <c r="Y557" s="136">
        <v>131271</v>
      </c>
      <c r="Z557" s="136">
        <v>0</v>
      </c>
      <c r="AA557" s="136">
        <v>72914.259999999995</v>
      </c>
      <c r="AB557" s="131">
        <v>42258</v>
      </c>
      <c r="AC557" s="134">
        <f t="shared" si="25"/>
        <v>4862856.5199999996</v>
      </c>
      <c r="AD557" s="135">
        <v>1</v>
      </c>
      <c r="AE557" s="136">
        <f t="shared" si="26"/>
        <v>4994127.5199999996</v>
      </c>
      <c r="AF557" s="130">
        <v>4862856.5199999996</v>
      </c>
      <c r="AG557" s="138">
        <v>1</v>
      </c>
      <c r="AH557" s="136" t="s">
        <v>5915</v>
      </c>
      <c r="AI557" s="136">
        <v>4972592.96</v>
      </c>
      <c r="AJ557" s="132">
        <v>42293</v>
      </c>
      <c r="AK557" s="136" t="s">
        <v>5918</v>
      </c>
      <c r="AL557" s="132">
        <v>42294</v>
      </c>
      <c r="AM557" s="131" t="s">
        <v>49</v>
      </c>
      <c r="AN557" s="136" t="s">
        <v>4440</v>
      </c>
    </row>
    <row r="558" spans="1:40" s="129" customFormat="1" x14ac:dyDescent="0.25">
      <c r="A558" s="130">
        <v>557</v>
      </c>
      <c r="B558" s="130" t="s">
        <v>4428</v>
      </c>
      <c r="C558" s="130" t="s">
        <v>38</v>
      </c>
      <c r="D558" s="136">
        <v>9103650516</v>
      </c>
      <c r="E558" s="132">
        <v>42267</v>
      </c>
      <c r="F558" s="132" t="s">
        <v>5803</v>
      </c>
      <c r="G558" s="132" t="s">
        <v>5919</v>
      </c>
      <c r="H558" s="130" t="s">
        <v>4463</v>
      </c>
      <c r="I558" s="132" t="s">
        <v>40</v>
      </c>
      <c r="J558" s="131" t="s">
        <v>4432</v>
      </c>
      <c r="K558" s="132" t="s">
        <v>4433</v>
      </c>
      <c r="L558" s="136">
        <v>2931856</v>
      </c>
      <c r="M558" s="132">
        <v>42257</v>
      </c>
      <c r="N558" s="136" t="s">
        <v>5920</v>
      </c>
      <c r="O558" s="130" t="s">
        <v>4436</v>
      </c>
      <c r="P558" s="130" t="s">
        <v>5921</v>
      </c>
      <c r="Q558" s="130">
        <v>29051700</v>
      </c>
      <c r="R558" s="136">
        <v>16</v>
      </c>
      <c r="S558" s="130" t="s">
        <v>70</v>
      </c>
      <c r="T558" s="136" t="s">
        <v>67</v>
      </c>
      <c r="U558" s="136" t="s">
        <v>53</v>
      </c>
      <c r="V558" s="136">
        <v>0</v>
      </c>
      <c r="W558" s="133">
        <f>(8*1320+8*1350)</f>
        <v>21360</v>
      </c>
      <c r="X558" s="136">
        <v>0</v>
      </c>
      <c r="Y558" s="136">
        <v>0</v>
      </c>
      <c r="Z558" s="136">
        <v>0</v>
      </c>
      <c r="AA558" s="136">
        <v>0</v>
      </c>
      <c r="AB558" s="131">
        <v>42258</v>
      </c>
      <c r="AC558" s="134">
        <f t="shared" si="25"/>
        <v>21360</v>
      </c>
      <c r="AD558" s="135">
        <v>65.8</v>
      </c>
      <c r="AE558" s="136">
        <f t="shared" si="26"/>
        <v>1405488</v>
      </c>
      <c r="AF558" s="137">
        <v>1405488</v>
      </c>
      <c r="AG558" s="138">
        <v>65.8</v>
      </c>
      <c r="AH558" s="136" t="s">
        <v>5922</v>
      </c>
      <c r="AI558" s="136">
        <v>21312</v>
      </c>
      <c r="AJ558" s="132">
        <v>42247</v>
      </c>
      <c r="AK558" s="136" t="s">
        <v>5923</v>
      </c>
      <c r="AL558" s="132">
        <v>42296</v>
      </c>
      <c r="AM558" s="131" t="s">
        <v>49</v>
      </c>
      <c r="AN558" s="136" t="s">
        <v>4440</v>
      </c>
    </row>
    <row r="559" spans="1:40" s="129" customFormat="1" x14ac:dyDescent="0.25">
      <c r="A559" s="136">
        <v>558</v>
      </c>
      <c r="B559" s="130" t="s">
        <v>4428</v>
      </c>
      <c r="C559" s="130" t="s">
        <v>38</v>
      </c>
      <c r="D559" s="136">
        <v>9103650517</v>
      </c>
      <c r="E559" s="132">
        <v>42262</v>
      </c>
      <c r="F559" s="132" t="s">
        <v>5803</v>
      </c>
      <c r="G559" s="132" t="s">
        <v>5924</v>
      </c>
      <c r="H559" s="130" t="s">
        <v>4463</v>
      </c>
      <c r="I559" s="132" t="s">
        <v>40</v>
      </c>
      <c r="J559" s="131" t="s">
        <v>4432</v>
      </c>
      <c r="K559" s="132" t="s">
        <v>4433</v>
      </c>
      <c r="L559" s="136">
        <v>2950499</v>
      </c>
      <c r="M559" s="132" t="s">
        <v>5411</v>
      </c>
      <c r="N559" s="136" t="s">
        <v>4867</v>
      </c>
      <c r="O559" s="130" t="s">
        <v>4436</v>
      </c>
      <c r="P559" s="130" t="s">
        <v>90</v>
      </c>
      <c r="Q559" s="130">
        <v>38231190</v>
      </c>
      <c r="R559" s="136">
        <v>10</v>
      </c>
      <c r="S559" s="130" t="s">
        <v>70</v>
      </c>
      <c r="T559" s="136" t="s">
        <v>67</v>
      </c>
      <c r="U559" s="136" t="s">
        <v>53</v>
      </c>
      <c r="V559" s="136">
        <v>805</v>
      </c>
      <c r="W559" s="133">
        <f t="shared" si="24"/>
        <v>8050</v>
      </c>
      <c r="X559" s="136">
        <v>0</v>
      </c>
      <c r="Y559" s="136">
        <v>0</v>
      </c>
      <c r="Z559" s="136">
        <v>0</v>
      </c>
      <c r="AA559" s="136">
        <v>0</v>
      </c>
      <c r="AB559" s="131">
        <v>42259</v>
      </c>
      <c r="AC559" s="134">
        <f t="shared" si="25"/>
        <v>8050</v>
      </c>
      <c r="AD559" s="135">
        <v>65.8</v>
      </c>
      <c r="AE559" s="136">
        <f t="shared" si="26"/>
        <v>529690</v>
      </c>
      <c r="AF559" s="137">
        <v>529690</v>
      </c>
      <c r="AG559" s="138">
        <v>65.8</v>
      </c>
      <c r="AH559" s="136" t="s">
        <v>5925</v>
      </c>
      <c r="AI559" s="133">
        <v>8035</v>
      </c>
      <c r="AJ559" s="132" t="s">
        <v>4906</v>
      </c>
      <c r="AK559" s="136" t="s">
        <v>5926</v>
      </c>
      <c r="AL559" s="132" t="s">
        <v>4908</v>
      </c>
      <c r="AM559" s="131" t="s">
        <v>49</v>
      </c>
      <c r="AN559" s="133" t="s">
        <v>4440</v>
      </c>
    </row>
    <row r="560" spans="1:40" s="129" customFormat="1" x14ac:dyDescent="0.25">
      <c r="A560" s="130">
        <v>559</v>
      </c>
      <c r="B560" s="130" t="s">
        <v>4428</v>
      </c>
      <c r="C560" s="130" t="s">
        <v>38</v>
      </c>
      <c r="D560" s="136">
        <v>9103650518</v>
      </c>
      <c r="E560" s="132">
        <v>42264</v>
      </c>
      <c r="F560" s="132" t="s">
        <v>5803</v>
      </c>
      <c r="G560" s="132" t="s">
        <v>5927</v>
      </c>
      <c r="H560" s="130" t="s">
        <v>4456</v>
      </c>
      <c r="I560" s="132" t="s">
        <v>40</v>
      </c>
      <c r="J560" s="131" t="s">
        <v>4432</v>
      </c>
      <c r="K560" s="132" t="s">
        <v>4433</v>
      </c>
      <c r="L560" s="136">
        <v>2950562</v>
      </c>
      <c r="M560" s="132">
        <v>42258</v>
      </c>
      <c r="N560" s="136" t="s">
        <v>4796</v>
      </c>
      <c r="O560" s="130" t="s">
        <v>4436</v>
      </c>
      <c r="P560" s="130" t="s">
        <v>243</v>
      </c>
      <c r="Q560" s="130">
        <v>38237090</v>
      </c>
      <c r="R560" s="136">
        <v>12</v>
      </c>
      <c r="S560" s="130" t="s">
        <v>70</v>
      </c>
      <c r="T560" s="136" t="s">
        <v>52</v>
      </c>
      <c r="U560" s="136" t="s">
        <v>53</v>
      </c>
      <c r="V560" s="136">
        <v>3595</v>
      </c>
      <c r="W560" s="133">
        <f t="shared" si="24"/>
        <v>43140</v>
      </c>
      <c r="X560" s="136">
        <v>0</v>
      </c>
      <c r="Y560" s="136">
        <v>600</v>
      </c>
      <c r="Z560" s="136">
        <v>0</v>
      </c>
      <c r="AA560" s="136">
        <v>0</v>
      </c>
      <c r="AB560" s="131">
        <v>42259</v>
      </c>
      <c r="AC560" s="134">
        <f t="shared" si="25"/>
        <v>42540</v>
      </c>
      <c r="AD560" s="135">
        <v>65.8</v>
      </c>
      <c r="AE560" s="136">
        <f t="shared" si="26"/>
        <v>2838612</v>
      </c>
      <c r="AF560" s="137">
        <v>2799132</v>
      </c>
      <c r="AG560" s="138">
        <v>65.8</v>
      </c>
      <c r="AH560" s="136" t="s">
        <v>5928</v>
      </c>
      <c r="AI560" s="133">
        <v>43120</v>
      </c>
      <c r="AJ560" s="132">
        <v>42341</v>
      </c>
      <c r="AK560" s="136" t="s">
        <v>5929</v>
      </c>
      <c r="AL560" s="132">
        <v>42343</v>
      </c>
      <c r="AM560" s="131" t="s">
        <v>49</v>
      </c>
      <c r="AN560" s="136" t="s">
        <v>4440</v>
      </c>
    </row>
    <row r="561" spans="1:40" s="129" customFormat="1" x14ac:dyDescent="0.25">
      <c r="A561" s="136">
        <v>560</v>
      </c>
      <c r="B561" s="130" t="s">
        <v>4428</v>
      </c>
      <c r="C561" s="130" t="s">
        <v>38</v>
      </c>
      <c r="D561" s="136">
        <v>9103650519</v>
      </c>
      <c r="E561" s="132">
        <v>42264</v>
      </c>
      <c r="F561" s="132" t="s">
        <v>5803</v>
      </c>
      <c r="G561" s="132" t="s">
        <v>5930</v>
      </c>
      <c r="H561" s="130" t="s">
        <v>4463</v>
      </c>
      <c r="I561" s="132" t="s">
        <v>40</v>
      </c>
      <c r="J561" s="131" t="s">
        <v>4432</v>
      </c>
      <c r="K561" s="132" t="s">
        <v>4433</v>
      </c>
      <c r="L561" s="136">
        <v>2945223</v>
      </c>
      <c r="M561" s="132">
        <v>42256</v>
      </c>
      <c r="N561" s="136" t="s">
        <v>4726</v>
      </c>
      <c r="O561" s="130" t="s">
        <v>4436</v>
      </c>
      <c r="P561" s="130" t="s">
        <v>1120</v>
      </c>
      <c r="Q561" s="130">
        <v>38237090</v>
      </c>
      <c r="R561" s="136">
        <v>2.04</v>
      </c>
      <c r="S561" s="130" t="s">
        <v>70</v>
      </c>
      <c r="T561" s="136" t="s">
        <v>67</v>
      </c>
      <c r="U561" s="136" t="s">
        <v>53</v>
      </c>
      <c r="V561" s="136">
        <v>1900</v>
      </c>
      <c r="W561" s="133">
        <f t="shared" si="24"/>
        <v>3876</v>
      </c>
      <c r="X561" s="136">
        <v>0</v>
      </c>
      <c r="Y561" s="136">
        <v>0</v>
      </c>
      <c r="Z561" s="136">
        <v>0</v>
      </c>
      <c r="AA561" s="136">
        <v>0</v>
      </c>
      <c r="AB561" s="131">
        <v>42259</v>
      </c>
      <c r="AC561" s="134">
        <f t="shared" si="25"/>
        <v>3876</v>
      </c>
      <c r="AD561" s="135">
        <v>65.8</v>
      </c>
      <c r="AE561" s="136">
        <f t="shared" si="26"/>
        <v>255040.8</v>
      </c>
      <c r="AF561" s="137">
        <v>255040.8</v>
      </c>
      <c r="AG561" s="138">
        <v>65.8</v>
      </c>
      <c r="AH561" s="136" t="s">
        <v>5931</v>
      </c>
      <c r="AI561" s="136">
        <v>3876</v>
      </c>
      <c r="AJ561" s="132" t="s">
        <v>5199</v>
      </c>
      <c r="AK561" s="136" t="s">
        <v>5932</v>
      </c>
      <c r="AL561" s="132" t="s">
        <v>4915</v>
      </c>
      <c r="AM561" s="131" t="s">
        <v>49</v>
      </c>
      <c r="AN561" s="136" t="s">
        <v>4440</v>
      </c>
    </row>
    <row r="562" spans="1:40" s="129" customFormat="1" x14ac:dyDescent="0.25">
      <c r="A562" s="130">
        <v>561</v>
      </c>
      <c r="B562" s="130" t="s">
        <v>4428</v>
      </c>
      <c r="C562" s="130" t="s">
        <v>38</v>
      </c>
      <c r="D562" s="136">
        <v>9103650520</v>
      </c>
      <c r="E562" s="132">
        <v>42266</v>
      </c>
      <c r="F562" s="132" t="s">
        <v>5803</v>
      </c>
      <c r="G562" s="132" t="s">
        <v>5933</v>
      </c>
      <c r="H562" s="130" t="s">
        <v>4456</v>
      </c>
      <c r="I562" s="132" t="s">
        <v>40</v>
      </c>
      <c r="J562" s="131" t="s">
        <v>4432</v>
      </c>
      <c r="K562" s="132" t="s">
        <v>4433</v>
      </c>
      <c r="L562" s="136">
        <v>3020687</v>
      </c>
      <c r="M562" s="132">
        <v>42262</v>
      </c>
      <c r="N562" s="136" t="s">
        <v>5934</v>
      </c>
      <c r="O562" s="130" t="s">
        <v>4436</v>
      </c>
      <c r="P562" s="130" t="s">
        <v>47</v>
      </c>
      <c r="Q562" s="130">
        <v>29159090</v>
      </c>
      <c r="R562" s="136">
        <v>98.88</v>
      </c>
      <c r="S562" s="130" t="s">
        <v>70</v>
      </c>
      <c r="T562" s="136" t="s">
        <v>44</v>
      </c>
      <c r="U562" s="136" t="s">
        <v>4528</v>
      </c>
      <c r="V562" s="136">
        <v>2870</v>
      </c>
      <c r="W562" s="133">
        <f t="shared" si="24"/>
        <v>283785.59999999998</v>
      </c>
      <c r="X562" s="136">
        <v>93.65</v>
      </c>
      <c r="Y562" s="136">
        <v>2907.55</v>
      </c>
      <c r="Z562" s="136">
        <v>0</v>
      </c>
      <c r="AA562" s="136">
        <v>0</v>
      </c>
      <c r="AB562" s="131">
        <v>42262</v>
      </c>
      <c r="AC562" s="134">
        <f t="shared" si="25"/>
        <v>280784.40000000002</v>
      </c>
      <c r="AD562" s="135">
        <v>73.55</v>
      </c>
      <c r="AE562" s="136">
        <f t="shared" si="26"/>
        <v>20872430.879999999</v>
      </c>
      <c r="AF562" s="130">
        <v>20651692.620000001</v>
      </c>
      <c r="AG562" s="138">
        <v>73.55</v>
      </c>
      <c r="AH562" s="136" t="s">
        <v>5935</v>
      </c>
      <c r="AI562" s="136">
        <v>283785.59999999998</v>
      </c>
      <c r="AJ562" s="132">
        <v>42332</v>
      </c>
      <c r="AK562" s="136" t="s">
        <v>5936</v>
      </c>
      <c r="AL562" s="132">
        <v>42334</v>
      </c>
      <c r="AM562" s="131" t="s">
        <v>49</v>
      </c>
      <c r="AN562" s="133" t="s">
        <v>4440</v>
      </c>
    </row>
    <row r="563" spans="1:40" s="129" customFormat="1" x14ac:dyDescent="0.25">
      <c r="A563" s="136">
        <v>562</v>
      </c>
      <c r="B563" s="130" t="s">
        <v>4428</v>
      </c>
      <c r="C563" s="130" t="s">
        <v>38</v>
      </c>
      <c r="D563" s="136">
        <v>9103650521</v>
      </c>
      <c r="E563" s="132">
        <v>42264</v>
      </c>
      <c r="F563" s="132" t="s">
        <v>5803</v>
      </c>
      <c r="G563" s="132" t="s">
        <v>5937</v>
      </c>
      <c r="H563" s="130" t="s">
        <v>4456</v>
      </c>
      <c r="I563" s="132" t="s">
        <v>40</v>
      </c>
      <c r="J563" s="131" t="s">
        <v>4432</v>
      </c>
      <c r="K563" s="132" t="s">
        <v>4433</v>
      </c>
      <c r="L563" s="136">
        <v>2987525</v>
      </c>
      <c r="M563" s="132">
        <v>42261</v>
      </c>
      <c r="N563" s="136" t="s">
        <v>4950</v>
      </c>
      <c r="O563" s="130" t="s">
        <v>4436</v>
      </c>
      <c r="P563" s="130" t="s">
        <v>143</v>
      </c>
      <c r="Q563" s="130" t="s">
        <v>4559</v>
      </c>
      <c r="R563" s="136">
        <v>12.6</v>
      </c>
      <c r="S563" s="130" t="s">
        <v>70</v>
      </c>
      <c r="T563" s="136" t="s">
        <v>52</v>
      </c>
      <c r="U563" s="136" t="s">
        <v>53</v>
      </c>
      <c r="V563" s="136">
        <v>0</v>
      </c>
      <c r="W563" s="133">
        <f>(12*1545+0.6*1775)</f>
        <v>19605</v>
      </c>
      <c r="X563" s="136">
        <v>0</v>
      </c>
      <c r="Y563" s="136">
        <v>650</v>
      </c>
      <c r="Z563" s="136">
        <v>0</v>
      </c>
      <c r="AA563" s="136">
        <v>0</v>
      </c>
      <c r="AB563" s="131">
        <v>42262</v>
      </c>
      <c r="AC563" s="134">
        <f t="shared" si="25"/>
        <v>18955</v>
      </c>
      <c r="AD563" s="135">
        <v>65.8</v>
      </c>
      <c r="AE563" s="136">
        <f t="shared" si="26"/>
        <v>1290009</v>
      </c>
      <c r="AF563" s="137">
        <v>1247239</v>
      </c>
      <c r="AG563" s="138">
        <v>65.8</v>
      </c>
      <c r="AH563" s="136" t="s">
        <v>5938</v>
      </c>
      <c r="AI563" s="133">
        <v>19585</v>
      </c>
      <c r="AJ563" s="132" t="s">
        <v>5008</v>
      </c>
      <c r="AK563" s="136" t="s">
        <v>5939</v>
      </c>
      <c r="AL563" s="132" t="s">
        <v>5595</v>
      </c>
      <c r="AM563" s="131" t="s">
        <v>49</v>
      </c>
      <c r="AN563" s="133" t="s">
        <v>4440</v>
      </c>
    </row>
    <row r="564" spans="1:40" s="129" customFormat="1" x14ac:dyDescent="0.25">
      <c r="A564" s="130">
        <v>563</v>
      </c>
      <c r="B564" s="130" t="s">
        <v>4428</v>
      </c>
      <c r="C564" s="130" t="s">
        <v>38</v>
      </c>
      <c r="D564" s="136">
        <v>9103650522</v>
      </c>
      <c r="E564" s="132">
        <v>42264</v>
      </c>
      <c r="F564" s="132" t="s">
        <v>5803</v>
      </c>
      <c r="G564" s="132" t="s">
        <v>5940</v>
      </c>
      <c r="H564" s="130" t="s">
        <v>4446</v>
      </c>
      <c r="I564" s="132" t="s">
        <v>40</v>
      </c>
      <c r="J564" s="131" t="s">
        <v>4432</v>
      </c>
      <c r="K564" s="132" t="s">
        <v>4433</v>
      </c>
      <c r="L564" s="136">
        <v>2987511</v>
      </c>
      <c r="M564" s="132">
        <v>42261</v>
      </c>
      <c r="N564" s="136" t="s">
        <v>4532</v>
      </c>
      <c r="O564" s="130" t="s">
        <v>4436</v>
      </c>
      <c r="P564" s="130" t="s">
        <v>77</v>
      </c>
      <c r="Q564" s="130">
        <v>38237090</v>
      </c>
      <c r="R564" s="136">
        <v>16</v>
      </c>
      <c r="S564" s="130" t="s">
        <v>70</v>
      </c>
      <c r="T564" s="136" t="s">
        <v>52</v>
      </c>
      <c r="U564" s="136" t="s">
        <v>53</v>
      </c>
      <c r="V564" s="136">
        <v>1325</v>
      </c>
      <c r="W564" s="133">
        <f t="shared" si="24"/>
        <v>21200</v>
      </c>
      <c r="X564" s="136">
        <v>0</v>
      </c>
      <c r="Y564" s="136">
        <v>550</v>
      </c>
      <c r="Z564" s="136">
        <v>0</v>
      </c>
      <c r="AA564" s="136">
        <v>0</v>
      </c>
      <c r="AB564" s="131">
        <v>42262</v>
      </c>
      <c r="AC564" s="134">
        <f t="shared" si="25"/>
        <v>20650</v>
      </c>
      <c r="AD564" s="135">
        <v>65.8</v>
      </c>
      <c r="AE564" s="136">
        <f t="shared" si="26"/>
        <v>1394960</v>
      </c>
      <c r="AF564" s="137">
        <v>1358770</v>
      </c>
      <c r="AG564" s="138">
        <v>65.8</v>
      </c>
      <c r="AH564" s="136" t="s">
        <v>5941</v>
      </c>
      <c r="AI564" s="136">
        <v>21184.6</v>
      </c>
      <c r="AJ564" s="132">
        <v>42426</v>
      </c>
      <c r="AK564" s="136" t="s">
        <v>5942</v>
      </c>
      <c r="AL564" s="132">
        <v>42429</v>
      </c>
      <c r="AM564" s="131" t="s">
        <v>49</v>
      </c>
      <c r="AN564" s="136" t="s">
        <v>4440</v>
      </c>
    </row>
    <row r="565" spans="1:40" s="129" customFormat="1" x14ac:dyDescent="0.25">
      <c r="A565" s="136">
        <v>564</v>
      </c>
      <c r="B565" s="130" t="s">
        <v>4428</v>
      </c>
      <c r="C565" s="130" t="s">
        <v>38</v>
      </c>
      <c r="D565" s="136">
        <v>9103650523</v>
      </c>
      <c r="E565" s="132">
        <v>42265</v>
      </c>
      <c r="F565" s="132" t="s">
        <v>5803</v>
      </c>
      <c r="G565" s="132" t="s">
        <v>5943</v>
      </c>
      <c r="H565" s="130" t="s">
        <v>4564</v>
      </c>
      <c r="I565" s="132" t="s">
        <v>40</v>
      </c>
      <c r="J565" s="131" t="s">
        <v>4432</v>
      </c>
      <c r="K565" s="132" t="s">
        <v>4433</v>
      </c>
      <c r="L565" s="136">
        <v>2991022</v>
      </c>
      <c r="M565" s="132" t="s">
        <v>5476</v>
      </c>
      <c r="N565" s="136" t="s">
        <v>4608</v>
      </c>
      <c r="O565" s="130" t="s">
        <v>4436</v>
      </c>
      <c r="P565" s="130" t="s">
        <v>205</v>
      </c>
      <c r="Q565" s="130">
        <v>38237090</v>
      </c>
      <c r="R565" s="136">
        <v>17.600000000000001</v>
      </c>
      <c r="S565" s="130" t="s">
        <v>70</v>
      </c>
      <c r="T565" s="136" t="s">
        <v>44</v>
      </c>
      <c r="U565" s="136" t="s">
        <v>53</v>
      </c>
      <c r="V565" s="136">
        <v>1620</v>
      </c>
      <c r="W565" s="133">
        <f t="shared" si="24"/>
        <v>28512.000000000004</v>
      </c>
      <c r="X565" s="136">
        <v>9.41</v>
      </c>
      <c r="Y565" s="136">
        <v>580</v>
      </c>
      <c r="Z565" s="136">
        <v>0</v>
      </c>
      <c r="AA565" s="136">
        <v>0</v>
      </c>
      <c r="AB565" s="131">
        <v>42262</v>
      </c>
      <c r="AC565" s="134">
        <f t="shared" si="25"/>
        <v>27922.589969604862</v>
      </c>
      <c r="AD565" s="135">
        <v>65.8</v>
      </c>
      <c r="AE565" s="136">
        <f t="shared" si="26"/>
        <v>1876089.6</v>
      </c>
      <c r="AF565" s="137">
        <v>1837306.42</v>
      </c>
      <c r="AG565" s="138">
        <v>65.8</v>
      </c>
      <c r="AH565" s="136" t="s">
        <v>5944</v>
      </c>
      <c r="AI565" s="133">
        <v>28497</v>
      </c>
      <c r="AJ565" s="132" t="s">
        <v>4906</v>
      </c>
      <c r="AK565" s="136" t="s">
        <v>5945</v>
      </c>
      <c r="AL565" s="132" t="s">
        <v>4908</v>
      </c>
      <c r="AM565" s="131" t="s">
        <v>49</v>
      </c>
      <c r="AN565" s="133" t="s">
        <v>4440</v>
      </c>
    </row>
    <row r="566" spans="1:40" s="129" customFormat="1" x14ac:dyDescent="0.25">
      <c r="A566" s="130">
        <v>565</v>
      </c>
      <c r="B566" s="130" t="s">
        <v>4428</v>
      </c>
      <c r="C566" s="130" t="s">
        <v>38</v>
      </c>
      <c r="D566" s="136">
        <v>9103650524</v>
      </c>
      <c r="E566" s="132">
        <v>42271</v>
      </c>
      <c r="F566" s="132" t="s">
        <v>5803</v>
      </c>
      <c r="G566" s="132" t="s">
        <v>5946</v>
      </c>
      <c r="H566" s="130" t="s">
        <v>4446</v>
      </c>
      <c r="I566" s="132" t="s">
        <v>40</v>
      </c>
      <c r="J566" s="131" t="s">
        <v>4432</v>
      </c>
      <c r="K566" s="132" t="s">
        <v>4433</v>
      </c>
      <c r="L566" s="136">
        <v>2993601</v>
      </c>
      <c r="M566" s="132">
        <v>42261</v>
      </c>
      <c r="N566" s="136" t="s">
        <v>4532</v>
      </c>
      <c r="O566" s="130" t="s">
        <v>4436</v>
      </c>
      <c r="P566" s="130" t="s">
        <v>77</v>
      </c>
      <c r="Q566" s="130">
        <v>38237090</v>
      </c>
      <c r="R566" s="136">
        <v>10</v>
      </c>
      <c r="S566" s="130" t="s">
        <v>70</v>
      </c>
      <c r="T566" s="136" t="s">
        <v>67</v>
      </c>
      <c r="U566" s="136" t="s">
        <v>53</v>
      </c>
      <c r="V566" s="136">
        <v>1345</v>
      </c>
      <c r="W566" s="133">
        <f t="shared" si="24"/>
        <v>13450</v>
      </c>
      <c r="X566" s="136">
        <v>0</v>
      </c>
      <c r="Y566" s="136">
        <v>0</v>
      </c>
      <c r="Z566" s="136">
        <v>0</v>
      </c>
      <c r="AA566" s="136">
        <v>0</v>
      </c>
      <c r="AB566" s="131">
        <v>42262</v>
      </c>
      <c r="AC566" s="134">
        <f t="shared" si="25"/>
        <v>13450</v>
      </c>
      <c r="AD566" s="135">
        <v>65.8</v>
      </c>
      <c r="AE566" s="136">
        <f t="shared" si="26"/>
        <v>885010</v>
      </c>
      <c r="AF566" s="137">
        <v>885010</v>
      </c>
      <c r="AG566" s="138">
        <v>65.8</v>
      </c>
      <c r="AH566" s="136" t="s">
        <v>5947</v>
      </c>
      <c r="AI566" s="136">
        <v>13450</v>
      </c>
      <c r="AJ566" s="132">
        <v>42426</v>
      </c>
      <c r="AK566" s="136" t="s">
        <v>5948</v>
      </c>
      <c r="AL566" s="132">
        <v>42429</v>
      </c>
      <c r="AM566" s="131" t="s">
        <v>49</v>
      </c>
      <c r="AN566" s="133" t="s">
        <v>4440</v>
      </c>
    </row>
    <row r="567" spans="1:40" s="129" customFormat="1" x14ac:dyDescent="0.25">
      <c r="A567" s="136">
        <v>566</v>
      </c>
      <c r="B567" s="130" t="s">
        <v>4428</v>
      </c>
      <c r="C567" s="130" t="s">
        <v>38</v>
      </c>
      <c r="D567" s="136">
        <v>9103650525</v>
      </c>
      <c r="E567" s="132">
        <v>42264</v>
      </c>
      <c r="F567" s="132" t="s">
        <v>5803</v>
      </c>
      <c r="G567" s="132" t="s">
        <v>5949</v>
      </c>
      <c r="H567" s="130" t="s">
        <v>4446</v>
      </c>
      <c r="I567" s="132" t="s">
        <v>40</v>
      </c>
      <c r="J567" s="131" t="s">
        <v>4432</v>
      </c>
      <c r="K567" s="132" t="s">
        <v>4433</v>
      </c>
      <c r="L567" s="136">
        <v>2997568</v>
      </c>
      <c r="M567" s="132">
        <v>42261</v>
      </c>
      <c r="N567" s="136" t="s">
        <v>5950</v>
      </c>
      <c r="O567" s="130" t="s">
        <v>4436</v>
      </c>
      <c r="P567" s="130" t="s">
        <v>77</v>
      </c>
      <c r="Q567" s="130">
        <v>38237090</v>
      </c>
      <c r="R567" s="136">
        <v>16</v>
      </c>
      <c r="S567" s="130" t="s">
        <v>70</v>
      </c>
      <c r="T567" s="136" t="s">
        <v>52</v>
      </c>
      <c r="U567" s="136" t="s">
        <v>53</v>
      </c>
      <c r="V567" s="136">
        <v>1360</v>
      </c>
      <c r="W567" s="133">
        <f t="shared" si="24"/>
        <v>21760</v>
      </c>
      <c r="X567" s="136">
        <v>0</v>
      </c>
      <c r="Y567" s="136">
        <v>550</v>
      </c>
      <c r="Z567" s="136">
        <v>0</v>
      </c>
      <c r="AA567" s="136">
        <v>0</v>
      </c>
      <c r="AB567" s="131">
        <v>42262</v>
      </c>
      <c r="AC567" s="134">
        <f t="shared" si="25"/>
        <v>21210</v>
      </c>
      <c r="AD567" s="135">
        <v>65.8</v>
      </c>
      <c r="AE567" s="136">
        <f t="shared" si="26"/>
        <v>1431808</v>
      </c>
      <c r="AF567" s="137">
        <v>1395618</v>
      </c>
      <c r="AG567" s="138">
        <v>65.8</v>
      </c>
      <c r="AH567" s="136" t="s">
        <v>5951</v>
      </c>
      <c r="AI567" s="136">
        <v>21755.439999999999</v>
      </c>
      <c r="AJ567" s="132">
        <v>42261</v>
      </c>
      <c r="AK567" s="136" t="s">
        <v>5952</v>
      </c>
      <c r="AL567" s="132">
        <v>42296</v>
      </c>
      <c r="AM567" s="131" t="s">
        <v>49</v>
      </c>
      <c r="AN567" s="136" t="s">
        <v>4440</v>
      </c>
    </row>
    <row r="568" spans="1:40" s="129" customFormat="1" x14ac:dyDescent="0.25">
      <c r="A568" s="130">
        <v>567</v>
      </c>
      <c r="B568" s="130" t="s">
        <v>4428</v>
      </c>
      <c r="C568" s="130" t="s">
        <v>38</v>
      </c>
      <c r="D568" s="136" t="s">
        <v>5953</v>
      </c>
      <c r="E568" s="132">
        <v>42267</v>
      </c>
      <c r="F568" s="132" t="s">
        <v>5803</v>
      </c>
      <c r="G568" s="132" t="s">
        <v>5954</v>
      </c>
      <c r="H568" s="130" t="s">
        <v>4456</v>
      </c>
      <c r="I568" s="132" t="s">
        <v>40</v>
      </c>
      <c r="J568" s="131" t="s">
        <v>4432</v>
      </c>
      <c r="K568" s="132" t="s">
        <v>4433</v>
      </c>
      <c r="L568" s="136">
        <v>2997848</v>
      </c>
      <c r="M568" s="132">
        <v>42261</v>
      </c>
      <c r="N568" s="136" t="s">
        <v>4527</v>
      </c>
      <c r="O568" s="130" t="s">
        <v>4436</v>
      </c>
      <c r="P568" s="130" t="s">
        <v>2657</v>
      </c>
      <c r="Q568" s="130">
        <v>38237090</v>
      </c>
      <c r="R568" s="136">
        <v>111.45</v>
      </c>
      <c r="S568" s="130" t="s">
        <v>70</v>
      </c>
      <c r="T568" s="136" t="s">
        <v>52</v>
      </c>
      <c r="U568" s="136" t="s">
        <v>4528</v>
      </c>
      <c r="V568" s="136">
        <v>960</v>
      </c>
      <c r="W568" s="133">
        <f t="shared" si="24"/>
        <v>106992</v>
      </c>
      <c r="X568" s="136">
        <v>0</v>
      </c>
      <c r="Y568" s="136">
        <v>2952.28</v>
      </c>
      <c r="Z568" s="136">
        <v>0</v>
      </c>
      <c r="AA568" s="136">
        <v>0</v>
      </c>
      <c r="AB568" s="131">
        <v>42262</v>
      </c>
      <c r="AC568" s="134">
        <f t="shared" si="25"/>
        <v>104039.72005438477</v>
      </c>
      <c r="AD568" s="135">
        <v>73.55</v>
      </c>
      <c r="AE568" s="136">
        <f t="shared" si="26"/>
        <v>7869261.5999999996</v>
      </c>
      <c r="AF568" s="130">
        <v>7652121.4100000001</v>
      </c>
      <c r="AG568" s="138">
        <v>73.55</v>
      </c>
      <c r="AH568" s="136" t="s">
        <v>5955</v>
      </c>
      <c r="AI568" s="136">
        <v>106992</v>
      </c>
      <c r="AJ568" s="132">
        <v>42331</v>
      </c>
      <c r="AK568" s="136" t="s">
        <v>5956</v>
      </c>
      <c r="AL568" s="132">
        <v>42331</v>
      </c>
      <c r="AM568" s="131" t="s">
        <v>49</v>
      </c>
      <c r="AN568" s="133" t="s">
        <v>4440</v>
      </c>
    </row>
    <row r="569" spans="1:40" s="129" customFormat="1" x14ac:dyDescent="0.25">
      <c r="A569" s="136">
        <v>568</v>
      </c>
      <c r="B569" s="130" t="s">
        <v>4428</v>
      </c>
      <c r="C569" s="130" t="s">
        <v>38</v>
      </c>
      <c r="D569" s="136" t="s">
        <v>5953</v>
      </c>
      <c r="E569" s="132">
        <v>42267</v>
      </c>
      <c r="F569" s="132" t="s">
        <v>5803</v>
      </c>
      <c r="G569" s="132" t="s">
        <v>5957</v>
      </c>
      <c r="H569" s="130" t="s">
        <v>4456</v>
      </c>
      <c r="I569" s="132" t="s">
        <v>40</v>
      </c>
      <c r="J569" s="131" t="s">
        <v>4432</v>
      </c>
      <c r="K569" s="132" t="s">
        <v>4433</v>
      </c>
      <c r="L569" s="136">
        <v>3006859</v>
      </c>
      <c r="M569" s="132">
        <v>42262</v>
      </c>
      <c r="N569" s="136" t="s">
        <v>4527</v>
      </c>
      <c r="O569" s="130" t="s">
        <v>4436</v>
      </c>
      <c r="P569" s="130" t="s">
        <v>2657</v>
      </c>
      <c r="Q569" s="130">
        <v>38237090</v>
      </c>
      <c r="R569" s="136">
        <v>37.01</v>
      </c>
      <c r="S569" s="130" t="s">
        <v>70</v>
      </c>
      <c r="T569" s="136" t="s">
        <v>52</v>
      </c>
      <c r="U569" s="136" t="s">
        <v>4528</v>
      </c>
      <c r="V569" s="136">
        <v>960</v>
      </c>
      <c r="W569" s="133">
        <f t="shared" si="24"/>
        <v>35529.599999999999</v>
      </c>
      <c r="X569" s="136">
        <v>0</v>
      </c>
      <c r="Y569" s="136">
        <v>984.09</v>
      </c>
      <c r="Z569" s="136">
        <v>0</v>
      </c>
      <c r="AA569" s="136">
        <v>0</v>
      </c>
      <c r="AB569" s="131">
        <v>42263</v>
      </c>
      <c r="AC569" s="134">
        <f t="shared" si="25"/>
        <v>34545.5099932019</v>
      </c>
      <c r="AD569" s="135">
        <v>73.55</v>
      </c>
      <c r="AE569" s="136">
        <f t="shared" si="26"/>
        <v>2613202.0799999996</v>
      </c>
      <c r="AF569" s="130">
        <v>2540822.2599999998</v>
      </c>
      <c r="AG569" s="138">
        <v>73.55</v>
      </c>
      <c r="AH569" s="136" t="s">
        <v>5955</v>
      </c>
      <c r="AI569" s="136">
        <v>35529.599999999999</v>
      </c>
      <c r="AJ569" s="132">
        <v>42331</v>
      </c>
      <c r="AK569" s="136" t="s">
        <v>5958</v>
      </c>
      <c r="AL569" s="132">
        <v>42331</v>
      </c>
      <c r="AM569" s="131" t="s">
        <v>49</v>
      </c>
      <c r="AN569" s="133" t="s">
        <v>4440</v>
      </c>
    </row>
    <row r="570" spans="1:40" s="129" customFormat="1" x14ac:dyDescent="0.25">
      <c r="A570" s="130">
        <v>569</v>
      </c>
      <c r="B570" s="130" t="s">
        <v>4428</v>
      </c>
      <c r="C570" s="130" t="s">
        <v>38</v>
      </c>
      <c r="D570" s="136">
        <v>9103650528</v>
      </c>
      <c r="E570" s="132">
        <v>42265</v>
      </c>
      <c r="F570" s="132" t="s">
        <v>5803</v>
      </c>
      <c r="G570" s="132" t="s">
        <v>5959</v>
      </c>
      <c r="H570" s="130" t="s">
        <v>4456</v>
      </c>
      <c r="I570" s="132" t="s">
        <v>40</v>
      </c>
      <c r="J570" s="131" t="s">
        <v>4432</v>
      </c>
      <c r="K570" s="132" t="s">
        <v>4433</v>
      </c>
      <c r="L570" s="136">
        <v>3020356</v>
      </c>
      <c r="M570" s="132">
        <v>42262</v>
      </c>
      <c r="N570" s="136" t="s">
        <v>5106</v>
      </c>
      <c r="O570" s="130" t="s">
        <v>4436</v>
      </c>
      <c r="P570" s="130" t="s">
        <v>127</v>
      </c>
      <c r="Q570" s="130">
        <v>38237090</v>
      </c>
      <c r="R570" s="136">
        <v>7</v>
      </c>
      <c r="S570" s="130" t="s">
        <v>70</v>
      </c>
      <c r="T570" s="136" t="s">
        <v>44</v>
      </c>
      <c r="U570" s="136" t="s">
        <v>53</v>
      </c>
      <c r="V570" s="136">
        <v>3517</v>
      </c>
      <c r="W570" s="133">
        <f t="shared" si="24"/>
        <v>24619</v>
      </c>
      <c r="X570" s="136">
        <v>8.1199999999999992</v>
      </c>
      <c r="Y570" s="136">
        <v>50</v>
      </c>
      <c r="Z570" s="136">
        <v>0</v>
      </c>
      <c r="AA570" s="136">
        <v>0</v>
      </c>
      <c r="AB570" s="131">
        <v>42263</v>
      </c>
      <c r="AC570" s="134">
        <f t="shared" si="25"/>
        <v>24560.879939209724</v>
      </c>
      <c r="AD570" s="135">
        <v>65.8</v>
      </c>
      <c r="AE570" s="136">
        <f t="shared" si="26"/>
        <v>1619930.2</v>
      </c>
      <c r="AF570" s="137">
        <v>1616105.9</v>
      </c>
      <c r="AG570" s="138">
        <v>65.8</v>
      </c>
      <c r="AH570" s="136" t="s">
        <v>5960</v>
      </c>
      <c r="AI570" s="133">
        <v>24619</v>
      </c>
      <c r="AJ570" s="132">
        <v>42321</v>
      </c>
      <c r="AK570" s="136" t="s">
        <v>5961</v>
      </c>
      <c r="AL570" s="132">
        <v>42324</v>
      </c>
      <c r="AM570" s="131" t="s">
        <v>49</v>
      </c>
      <c r="AN570" s="133" t="s">
        <v>4440</v>
      </c>
    </row>
    <row r="571" spans="1:40" s="129" customFormat="1" x14ac:dyDescent="0.25">
      <c r="A571" s="136">
        <v>570</v>
      </c>
      <c r="B571" s="130" t="s">
        <v>4428</v>
      </c>
      <c r="C571" s="130" t="s">
        <v>38</v>
      </c>
      <c r="D571" s="136">
        <v>9103650529</v>
      </c>
      <c r="E571" s="132">
        <v>42271</v>
      </c>
      <c r="F571" s="132" t="s">
        <v>5803</v>
      </c>
      <c r="G571" s="132" t="s">
        <v>5962</v>
      </c>
      <c r="H571" s="130" t="s">
        <v>4463</v>
      </c>
      <c r="I571" s="132" t="s">
        <v>40</v>
      </c>
      <c r="J571" s="131" t="s">
        <v>4432</v>
      </c>
      <c r="K571" s="132" t="s">
        <v>4433</v>
      </c>
      <c r="L571" s="136">
        <v>3027971</v>
      </c>
      <c r="M571" s="132" t="s">
        <v>4805</v>
      </c>
      <c r="N571" s="136" t="s">
        <v>5963</v>
      </c>
      <c r="O571" s="130" t="s">
        <v>4436</v>
      </c>
      <c r="P571" s="130" t="s">
        <v>143</v>
      </c>
      <c r="Q571" s="130">
        <v>38231200</v>
      </c>
      <c r="R571" s="136">
        <v>39.21</v>
      </c>
      <c r="S571" s="130" t="s">
        <v>70</v>
      </c>
      <c r="T571" s="136" t="s">
        <v>44</v>
      </c>
      <c r="U571" s="136" t="s">
        <v>53</v>
      </c>
      <c r="V571" s="136">
        <v>650</v>
      </c>
      <c r="W571" s="133">
        <f t="shared" si="24"/>
        <v>25486.5</v>
      </c>
      <c r="X571" s="136">
        <v>8.41</v>
      </c>
      <c r="Y571" s="136">
        <v>1600</v>
      </c>
      <c r="Z571" s="136">
        <v>0</v>
      </c>
      <c r="AA571" s="136">
        <v>392.1</v>
      </c>
      <c r="AB571" s="131">
        <v>42265</v>
      </c>
      <c r="AC571" s="134">
        <f t="shared" si="25"/>
        <v>23878.089969604865</v>
      </c>
      <c r="AD571" s="135">
        <v>65.8</v>
      </c>
      <c r="AE571" s="136">
        <f t="shared" si="26"/>
        <v>1677011.7</v>
      </c>
      <c r="AF571" s="137">
        <v>1571178.32</v>
      </c>
      <c r="AG571" s="138">
        <v>65.8</v>
      </c>
      <c r="AH571" s="136" t="s">
        <v>5964</v>
      </c>
      <c r="AI571" s="136">
        <v>25171.5</v>
      </c>
      <c r="AJ571" s="132" t="s">
        <v>5724</v>
      </c>
      <c r="AK571" s="136" t="s">
        <v>5965</v>
      </c>
      <c r="AL571" s="132" t="s">
        <v>5726</v>
      </c>
      <c r="AM571" s="131" t="s">
        <v>49</v>
      </c>
      <c r="AN571" s="136" t="s">
        <v>4440</v>
      </c>
    </row>
    <row r="572" spans="1:40" s="129" customFormat="1" x14ac:dyDescent="0.25">
      <c r="A572" s="130">
        <v>571</v>
      </c>
      <c r="B572" s="130" t="s">
        <v>4428</v>
      </c>
      <c r="C572" s="130" t="s">
        <v>38</v>
      </c>
      <c r="D572" s="136" t="s">
        <v>5966</v>
      </c>
      <c r="E572" s="132">
        <v>42268</v>
      </c>
      <c r="F572" s="132" t="s">
        <v>5803</v>
      </c>
      <c r="G572" s="132" t="s">
        <v>5967</v>
      </c>
      <c r="H572" s="130" t="s">
        <v>4446</v>
      </c>
      <c r="I572" s="132" t="s">
        <v>40</v>
      </c>
      <c r="J572" s="131" t="s">
        <v>4432</v>
      </c>
      <c r="K572" s="132" t="s">
        <v>4433</v>
      </c>
      <c r="L572" s="136">
        <v>3036112</v>
      </c>
      <c r="M572" s="132">
        <v>42263</v>
      </c>
      <c r="N572" s="136" t="s">
        <v>4733</v>
      </c>
      <c r="O572" s="130" t="s">
        <v>4436</v>
      </c>
      <c r="P572" s="130" t="s">
        <v>492</v>
      </c>
      <c r="Q572" s="130">
        <v>38231900</v>
      </c>
      <c r="R572" s="136">
        <v>39.97</v>
      </c>
      <c r="S572" s="130" t="s">
        <v>70</v>
      </c>
      <c r="T572" s="136" t="s">
        <v>44</v>
      </c>
      <c r="U572" s="136" t="s">
        <v>53</v>
      </c>
      <c r="V572" s="136">
        <v>3750</v>
      </c>
      <c r="W572" s="133">
        <f t="shared" si="24"/>
        <v>149887.5</v>
      </c>
      <c r="X572" s="136">
        <v>49.46</v>
      </c>
      <c r="Y572" s="136">
        <v>600</v>
      </c>
      <c r="Z572" s="136">
        <v>0</v>
      </c>
      <c r="AA572" s="136">
        <v>0</v>
      </c>
      <c r="AB572" s="131">
        <v>42265</v>
      </c>
      <c r="AC572" s="134">
        <f t="shared" si="25"/>
        <v>149238.03996960487</v>
      </c>
      <c r="AD572" s="135">
        <v>65.8</v>
      </c>
      <c r="AE572" s="136">
        <f t="shared" si="26"/>
        <v>9862597.5</v>
      </c>
      <c r="AF572" s="137">
        <v>9819863.0299999993</v>
      </c>
      <c r="AG572" s="138">
        <v>66</v>
      </c>
      <c r="AH572" s="136" t="s">
        <v>5968</v>
      </c>
      <c r="AI572" s="133">
        <v>149887.5</v>
      </c>
      <c r="AJ572" s="132">
        <v>42305</v>
      </c>
      <c r="AK572" s="136" t="s">
        <v>5969</v>
      </c>
      <c r="AL572" s="132">
        <v>42306</v>
      </c>
      <c r="AM572" s="131" t="s">
        <v>49</v>
      </c>
      <c r="AN572" s="133" t="s">
        <v>4440</v>
      </c>
    </row>
    <row r="573" spans="1:40" s="129" customFormat="1" x14ac:dyDescent="0.25">
      <c r="A573" s="136">
        <v>572</v>
      </c>
      <c r="B573" s="130" t="s">
        <v>4428</v>
      </c>
      <c r="C573" s="130" t="s">
        <v>38</v>
      </c>
      <c r="D573" s="136" t="s">
        <v>5966</v>
      </c>
      <c r="E573" s="132">
        <v>42268</v>
      </c>
      <c r="F573" s="132" t="s">
        <v>5803</v>
      </c>
      <c r="G573" s="132" t="s">
        <v>5967</v>
      </c>
      <c r="H573" s="130" t="s">
        <v>4446</v>
      </c>
      <c r="I573" s="132" t="s">
        <v>40</v>
      </c>
      <c r="J573" s="131" t="s">
        <v>4432</v>
      </c>
      <c r="K573" s="132" t="s">
        <v>4433</v>
      </c>
      <c r="L573" s="136">
        <v>3021552</v>
      </c>
      <c r="M573" s="132">
        <v>42262</v>
      </c>
      <c r="N573" s="136" t="s">
        <v>4733</v>
      </c>
      <c r="O573" s="130" t="s">
        <v>4436</v>
      </c>
      <c r="P573" s="130" t="s">
        <v>492</v>
      </c>
      <c r="Q573" s="130">
        <v>38231900</v>
      </c>
      <c r="R573" s="136">
        <v>19.97</v>
      </c>
      <c r="S573" s="130" t="s">
        <v>70</v>
      </c>
      <c r="T573" s="136" t="s">
        <v>44</v>
      </c>
      <c r="U573" s="136" t="s">
        <v>53</v>
      </c>
      <c r="V573" s="136">
        <v>3750</v>
      </c>
      <c r="W573" s="133">
        <f t="shared" ref="W573:W639" si="27">V573*R573</f>
        <v>74887.5</v>
      </c>
      <c r="X573" s="136">
        <v>24.71</v>
      </c>
      <c r="Y573" s="136">
        <v>300</v>
      </c>
      <c r="Z573" s="136">
        <v>0</v>
      </c>
      <c r="AA573" s="136">
        <v>0</v>
      </c>
      <c r="AB573" s="131">
        <v>42265</v>
      </c>
      <c r="AC573" s="134">
        <f t="shared" si="25"/>
        <v>74562.78996960487</v>
      </c>
      <c r="AD573" s="135">
        <v>65.8</v>
      </c>
      <c r="AE573" s="136">
        <f t="shared" si="26"/>
        <v>4927597.5</v>
      </c>
      <c r="AF573" s="137">
        <v>4906231.58</v>
      </c>
      <c r="AG573" s="138">
        <v>66</v>
      </c>
      <c r="AH573" s="136" t="s">
        <v>5968</v>
      </c>
      <c r="AI573" s="133">
        <v>74887.5</v>
      </c>
      <c r="AJ573" s="132">
        <v>42305</v>
      </c>
      <c r="AK573" s="136" t="s">
        <v>5970</v>
      </c>
      <c r="AL573" s="132">
        <v>42306</v>
      </c>
      <c r="AM573" s="131" t="s">
        <v>49</v>
      </c>
      <c r="AN573" s="133" t="s">
        <v>4440</v>
      </c>
    </row>
    <row r="574" spans="1:40" s="129" customFormat="1" x14ac:dyDescent="0.25">
      <c r="A574" s="130">
        <v>573</v>
      </c>
      <c r="B574" s="130" t="s">
        <v>4428</v>
      </c>
      <c r="C574" s="130" t="s">
        <v>38</v>
      </c>
      <c r="D574" s="136">
        <v>9103650532</v>
      </c>
      <c r="E574" s="132">
        <v>42267</v>
      </c>
      <c r="F574" s="132" t="s">
        <v>5803</v>
      </c>
      <c r="G574" s="132" t="s">
        <v>5971</v>
      </c>
      <c r="H574" s="130" t="s">
        <v>4446</v>
      </c>
      <c r="I574" s="132" t="s">
        <v>40</v>
      </c>
      <c r="J574" s="131" t="s">
        <v>4432</v>
      </c>
      <c r="K574" s="132" t="s">
        <v>4433</v>
      </c>
      <c r="L574" s="136">
        <v>3042533</v>
      </c>
      <c r="M574" s="132">
        <v>42263</v>
      </c>
      <c r="N574" s="136" t="s">
        <v>4532</v>
      </c>
      <c r="O574" s="130" t="s">
        <v>4436</v>
      </c>
      <c r="P574" s="130" t="s">
        <v>59</v>
      </c>
      <c r="Q574" s="130">
        <v>38231900</v>
      </c>
      <c r="R574" s="136">
        <v>78.569999999999993</v>
      </c>
      <c r="S574" s="130" t="s">
        <v>70</v>
      </c>
      <c r="T574" s="136" t="s">
        <v>44</v>
      </c>
      <c r="U574" s="136" t="s">
        <v>53</v>
      </c>
      <c r="V574" s="136">
        <v>780</v>
      </c>
      <c r="W574" s="133">
        <f t="shared" si="27"/>
        <v>61284.599999999991</v>
      </c>
      <c r="X574" s="136">
        <v>20.22</v>
      </c>
      <c r="Y574" s="136">
        <v>2000</v>
      </c>
      <c r="Z574" s="136">
        <v>0</v>
      </c>
      <c r="AA574" s="136">
        <v>0</v>
      </c>
      <c r="AB574" s="131">
        <v>42265</v>
      </c>
      <c r="AC574" s="134">
        <f t="shared" si="25"/>
        <v>59264.379939209735</v>
      </c>
      <c r="AD574" s="135">
        <v>65.8</v>
      </c>
      <c r="AE574" s="136">
        <f t="shared" si="26"/>
        <v>4032526.6799999992</v>
      </c>
      <c r="AF574" s="137">
        <v>3899596.2</v>
      </c>
      <c r="AG574" s="138">
        <v>66</v>
      </c>
      <c r="AH574" s="136" t="s">
        <v>5972</v>
      </c>
      <c r="AI574" s="136">
        <v>61280</v>
      </c>
      <c r="AJ574" s="132">
        <v>42426</v>
      </c>
      <c r="AK574" s="136" t="s">
        <v>5973</v>
      </c>
      <c r="AL574" s="132">
        <v>42429</v>
      </c>
      <c r="AM574" s="131" t="s">
        <v>49</v>
      </c>
      <c r="AN574" s="136" t="s">
        <v>4440</v>
      </c>
    </row>
    <row r="575" spans="1:40" s="129" customFormat="1" x14ac:dyDescent="0.25">
      <c r="A575" s="136">
        <v>574</v>
      </c>
      <c r="B575" s="130" t="s">
        <v>4428</v>
      </c>
      <c r="C575" s="130" t="s">
        <v>38</v>
      </c>
      <c r="D575" s="136">
        <v>9103650533</v>
      </c>
      <c r="E575" s="132">
        <v>42268</v>
      </c>
      <c r="F575" s="132" t="s">
        <v>5803</v>
      </c>
      <c r="G575" s="132" t="s">
        <v>5974</v>
      </c>
      <c r="H575" s="130" t="s">
        <v>4564</v>
      </c>
      <c r="I575" s="132" t="s">
        <v>40</v>
      </c>
      <c r="J575" s="131" t="s">
        <v>4432</v>
      </c>
      <c r="K575" s="132" t="s">
        <v>4433</v>
      </c>
      <c r="L575" s="136">
        <v>3044602</v>
      </c>
      <c r="M575" s="132">
        <v>42263</v>
      </c>
      <c r="N575" s="136" t="s">
        <v>5975</v>
      </c>
      <c r="O575" s="130" t="s">
        <v>4436</v>
      </c>
      <c r="P575" s="130" t="s">
        <v>62</v>
      </c>
      <c r="Q575" s="130">
        <v>29157010</v>
      </c>
      <c r="R575" s="136">
        <v>12</v>
      </c>
      <c r="S575" s="130" t="s">
        <v>70</v>
      </c>
      <c r="T575" s="136" t="s">
        <v>44</v>
      </c>
      <c r="U575" s="136" t="s">
        <v>53</v>
      </c>
      <c r="V575" s="136">
        <v>730</v>
      </c>
      <c r="W575" s="133">
        <f t="shared" si="27"/>
        <v>8760</v>
      </c>
      <c r="X575" s="136">
        <v>2.89</v>
      </c>
      <c r="Y575" s="136">
        <v>560</v>
      </c>
      <c r="Z575" s="136">
        <v>0</v>
      </c>
      <c r="AA575" s="136">
        <v>146.63999999999999</v>
      </c>
      <c r="AB575" s="131">
        <v>42265</v>
      </c>
      <c r="AC575" s="134">
        <f t="shared" si="25"/>
        <v>8197.1100303951371</v>
      </c>
      <c r="AD575" s="135">
        <v>65.8</v>
      </c>
      <c r="AE575" s="136">
        <f t="shared" si="26"/>
        <v>576408</v>
      </c>
      <c r="AF575" s="137">
        <v>539369.84</v>
      </c>
      <c r="AG575" s="138">
        <v>65.8</v>
      </c>
      <c r="AH575" s="136" t="s">
        <v>5976</v>
      </c>
      <c r="AI575" s="133">
        <v>8715</v>
      </c>
      <c r="AJ575" s="132" t="s">
        <v>5342</v>
      </c>
      <c r="AK575" s="136" t="s">
        <v>5977</v>
      </c>
      <c r="AL575" s="132" t="s">
        <v>5344</v>
      </c>
      <c r="AM575" s="131" t="s">
        <v>49</v>
      </c>
      <c r="AN575" s="133" t="s">
        <v>4440</v>
      </c>
    </row>
    <row r="576" spans="1:40" s="129" customFormat="1" x14ac:dyDescent="0.25">
      <c r="A576" s="130">
        <v>575</v>
      </c>
      <c r="B576" s="130" t="s">
        <v>4428</v>
      </c>
      <c r="C576" s="130" t="s">
        <v>38</v>
      </c>
      <c r="D576" s="136">
        <v>9103650534</v>
      </c>
      <c r="E576" s="132">
        <v>42268</v>
      </c>
      <c r="F576" s="132" t="s">
        <v>5803</v>
      </c>
      <c r="G576" s="132" t="s">
        <v>5978</v>
      </c>
      <c r="H576" s="130" t="s">
        <v>4556</v>
      </c>
      <c r="I576" s="132" t="s">
        <v>40</v>
      </c>
      <c r="J576" s="131" t="s">
        <v>4432</v>
      </c>
      <c r="K576" s="132" t="s">
        <v>4433</v>
      </c>
      <c r="L576" s="136">
        <v>3038138</v>
      </c>
      <c r="M576" s="132">
        <v>42263</v>
      </c>
      <c r="N576" s="136" t="s">
        <v>5002</v>
      </c>
      <c r="O576" s="130" t="s">
        <v>4436</v>
      </c>
      <c r="P576" s="130" t="s">
        <v>123</v>
      </c>
      <c r="Q576" s="130">
        <v>38237090</v>
      </c>
      <c r="R576" s="136">
        <v>24</v>
      </c>
      <c r="S576" s="130" t="s">
        <v>70</v>
      </c>
      <c r="T576" s="136" t="s">
        <v>52</v>
      </c>
      <c r="U576" s="136" t="s">
        <v>53</v>
      </c>
      <c r="V576" s="136">
        <v>1475</v>
      </c>
      <c r="W576" s="133">
        <f t="shared" si="27"/>
        <v>35400</v>
      </c>
      <c r="X576" s="136">
        <v>0</v>
      </c>
      <c r="Y576" s="136">
        <v>800</v>
      </c>
      <c r="Z576" s="136">
        <v>0</v>
      </c>
      <c r="AA576" s="136">
        <v>0</v>
      </c>
      <c r="AB576" s="131">
        <v>42265</v>
      </c>
      <c r="AC576" s="134">
        <f t="shared" si="25"/>
        <v>34600</v>
      </c>
      <c r="AD576" s="135">
        <v>65.8</v>
      </c>
      <c r="AE576" s="136">
        <f t="shared" si="26"/>
        <v>2329320</v>
      </c>
      <c r="AF576" s="137">
        <v>2276680</v>
      </c>
      <c r="AG576" s="138">
        <v>65.8</v>
      </c>
      <c r="AH576" s="136" t="s">
        <v>5979</v>
      </c>
      <c r="AI576" s="133">
        <v>35338</v>
      </c>
      <c r="AJ576" s="132">
        <v>42325</v>
      </c>
      <c r="AK576" s="136" t="s">
        <v>5980</v>
      </c>
      <c r="AL576" s="132">
        <v>42326</v>
      </c>
      <c r="AM576" s="131" t="s">
        <v>49</v>
      </c>
      <c r="AN576" s="133" t="s">
        <v>4440</v>
      </c>
    </row>
    <row r="577" spans="1:40" s="129" customFormat="1" x14ac:dyDescent="0.25">
      <c r="A577" s="136">
        <v>576</v>
      </c>
      <c r="B577" s="130" t="s">
        <v>4428</v>
      </c>
      <c r="C577" s="130" t="s">
        <v>38</v>
      </c>
      <c r="D577" s="136">
        <v>9103650535</v>
      </c>
      <c r="E577" s="132">
        <v>42268</v>
      </c>
      <c r="F577" s="132" t="s">
        <v>5803</v>
      </c>
      <c r="G577" s="132" t="s">
        <v>5981</v>
      </c>
      <c r="H577" s="130" t="s">
        <v>4556</v>
      </c>
      <c r="I577" s="132" t="s">
        <v>40</v>
      </c>
      <c r="J577" s="131" t="s">
        <v>4432</v>
      </c>
      <c r="K577" s="132" t="s">
        <v>4433</v>
      </c>
      <c r="L577" s="136">
        <v>3036106</v>
      </c>
      <c r="M577" s="132">
        <v>42263</v>
      </c>
      <c r="N577" s="136" t="s">
        <v>5002</v>
      </c>
      <c r="O577" s="130" t="s">
        <v>4436</v>
      </c>
      <c r="P577" s="130" t="s">
        <v>123</v>
      </c>
      <c r="Q577" s="130">
        <v>38237090</v>
      </c>
      <c r="R577" s="136">
        <v>24</v>
      </c>
      <c r="S577" s="130" t="s">
        <v>70</v>
      </c>
      <c r="T577" s="136" t="s">
        <v>52</v>
      </c>
      <c r="U577" s="136" t="s">
        <v>53</v>
      </c>
      <c r="V577" s="136">
        <v>1475</v>
      </c>
      <c r="W577" s="133">
        <f t="shared" si="27"/>
        <v>35400</v>
      </c>
      <c r="X577" s="136">
        <v>0</v>
      </c>
      <c r="Y577" s="136">
        <v>800</v>
      </c>
      <c r="Z577" s="136">
        <v>0</v>
      </c>
      <c r="AA577" s="136">
        <v>0</v>
      </c>
      <c r="AB577" s="131">
        <v>42265</v>
      </c>
      <c r="AC577" s="134">
        <f t="shared" si="25"/>
        <v>34600</v>
      </c>
      <c r="AD577" s="135">
        <v>65.8</v>
      </c>
      <c r="AE577" s="136">
        <f t="shared" si="26"/>
        <v>2329320</v>
      </c>
      <c r="AF577" s="137">
        <v>2276680</v>
      </c>
      <c r="AG577" s="138">
        <v>65.8</v>
      </c>
      <c r="AH577" s="136" t="s">
        <v>5982</v>
      </c>
      <c r="AI577" s="133">
        <v>35400</v>
      </c>
      <c r="AJ577" s="132">
        <v>42325</v>
      </c>
      <c r="AK577" s="136" t="s">
        <v>5983</v>
      </c>
      <c r="AL577" s="132">
        <v>42326</v>
      </c>
      <c r="AM577" s="131" t="s">
        <v>49</v>
      </c>
      <c r="AN577" s="133" t="s">
        <v>4440</v>
      </c>
    </row>
    <row r="578" spans="1:40" s="129" customFormat="1" x14ac:dyDescent="0.25">
      <c r="A578" s="130">
        <v>577</v>
      </c>
      <c r="B578" s="130" t="s">
        <v>4428</v>
      </c>
      <c r="C578" s="130" t="s">
        <v>38</v>
      </c>
      <c r="D578" s="136">
        <v>9103650536</v>
      </c>
      <c r="E578" s="132">
        <v>42268</v>
      </c>
      <c r="F578" s="132" t="s">
        <v>5803</v>
      </c>
      <c r="G578" s="132" t="s">
        <v>5984</v>
      </c>
      <c r="H578" s="130" t="s">
        <v>4491</v>
      </c>
      <c r="I578" s="132" t="s">
        <v>40</v>
      </c>
      <c r="J578" s="131" t="s">
        <v>4432</v>
      </c>
      <c r="K578" s="132" t="s">
        <v>4433</v>
      </c>
      <c r="L578" s="136">
        <v>3065013</v>
      </c>
      <c r="M578" s="132">
        <v>42265</v>
      </c>
      <c r="N578" s="136" t="s">
        <v>3741</v>
      </c>
      <c r="O578" s="130" t="s">
        <v>4436</v>
      </c>
      <c r="P578" s="130" t="s">
        <v>4492</v>
      </c>
      <c r="Q578" s="130">
        <v>38237090</v>
      </c>
      <c r="R578" s="136">
        <v>18.600000000000001</v>
      </c>
      <c r="S578" s="130" t="s">
        <v>70</v>
      </c>
      <c r="T578" s="136" t="s">
        <v>44</v>
      </c>
      <c r="U578" s="136" t="s">
        <v>53</v>
      </c>
      <c r="V578" s="136">
        <v>1503</v>
      </c>
      <c r="W578" s="133">
        <f t="shared" si="27"/>
        <v>27955.800000000003</v>
      </c>
      <c r="X578" s="136">
        <v>9.23</v>
      </c>
      <c r="Y578" s="136">
        <v>4200</v>
      </c>
      <c r="Z578" s="136">
        <v>0</v>
      </c>
      <c r="AA578" s="136">
        <v>0</v>
      </c>
      <c r="AB578" s="131">
        <v>42266</v>
      </c>
      <c r="AC578" s="134">
        <f t="shared" si="25"/>
        <v>23746.570000000003</v>
      </c>
      <c r="AD578" s="135">
        <v>66</v>
      </c>
      <c r="AE578" s="136">
        <f t="shared" si="26"/>
        <v>1845082.8000000003</v>
      </c>
      <c r="AF578" s="137">
        <v>1567273.62</v>
      </c>
      <c r="AG578" s="138">
        <v>66</v>
      </c>
      <c r="AH578" s="136" t="s">
        <v>5985</v>
      </c>
      <c r="AI578" s="133">
        <v>27955.8</v>
      </c>
      <c r="AJ578" s="132">
        <v>42318</v>
      </c>
      <c r="AK578" s="136" t="s">
        <v>5986</v>
      </c>
      <c r="AL578" s="132">
        <v>42321</v>
      </c>
      <c r="AM578" s="131" t="s">
        <v>49</v>
      </c>
      <c r="AN578" s="133" t="s">
        <v>4440</v>
      </c>
    </row>
    <row r="579" spans="1:40" s="129" customFormat="1" x14ac:dyDescent="0.25">
      <c r="A579" s="136">
        <v>578</v>
      </c>
      <c r="B579" s="130" t="s">
        <v>4428</v>
      </c>
      <c r="C579" s="130" t="s">
        <v>38</v>
      </c>
      <c r="D579" s="136">
        <v>9103650537</v>
      </c>
      <c r="E579" s="132">
        <v>42272</v>
      </c>
      <c r="F579" s="132" t="s">
        <v>5803</v>
      </c>
      <c r="G579" s="132" t="s">
        <v>5987</v>
      </c>
      <c r="H579" s="130" t="s">
        <v>4564</v>
      </c>
      <c r="I579" s="132" t="s">
        <v>40</v>
      </c>
      <c r="J579" s="131" t="s">
        <v>4432</v>
      </c>
      <c r="K579" s="132" t="s">
        <v>4433</v>
      </c>
      <c r="L579" s="136">
        <v>3066875</v>
      </c>
      <c r="M579" s="132" t="s">
        <v>5112</v>
      </c>
      <c r="N579" s="136" t="s">
        <v>4608</v>
      </c>
      <c r="O579" s="130" t="s">
        <v>4436</v>
      </c>
      <c r="P579" s="130" t="s">
        <v>205</v>
      </c>
      <c r="Q579" s="130">
        <v>38237090</v>
      </c>
      <c r="R579" s="136">
        <v>17.600000000000001</v>
      </c>
      <c r="S579" s="130" t="s">
        <v>70</v>
      </c>
      <c r="T579" s="136" t="s">
        <v>44</v>
      </c>
      <c r="U579" s="136" t="s">
        <v>53</v>
      </c>
      <c r="V579" s="136">
        <v>1620</v>
      </c>
      <c r="W579" s="133">
        <f t="shared" si="27"/>
        <v>28512.000000000004</v>
      </c>
      <c r="X579" s="136">
        <v>9.41</v>
      </c>
      <c r="Y579" s="136">
        <v>500</v>
      </c>
      <c r="Z579" s="136">
        <v>0</v>
      </c>
      <c r="AA579" s="136">
        <v>0</v>
      </c>
      <c r="AB579" s="131">
        <v>42266</v>
      </c>
      <c r="AC579" s="134">
        <f t="shared" ref="AC579:AC644" si="28">AF579/AD579</f>
        <v>28002.59</v>
      </c>
      <c r="AD579" s="135">
        <v>66</v>
      </c>
      <c r="AE579" s="136">
        <f t="shared" ref="AE579:AE644" si="29">AD579*W579</f>
        <v>1881792.0000000002</v>
      </c>
      <c r="AF579" s="137">
        <v>1848170.94</v>
      </c>
      <c r="AG579" s="138">
        <v>66</v>
      </c>
      <c r="AH579" s="136" t="s">
        <v>5988</v>
      </c>
      <c r="AI579" s="133">
        <v>28497</v>
      </c>
      <c r="AJ579" s="132" t="s">
        <v>5572</v>
      </c>
      <c r="AK579" s="136" t="s">
        <v>5989</v>
      </c>
      <c r="AL579" s="132" t="s">
        <v>5574</v>
      </c>
      <c r="AM579" s="131" t="s">
        <v>49</v>
      </c>
      <c r="AN579" s="133" t="s">
        <v>4440</v>
      </c>
    </row>
    <row r="580" spans="1:40" s="129" customFormat="1" x14ac:dyDescent="0.25">
      <c r="A580" s="130">
        <v>579</v>
      </c>
      <c r="B580" s="130" t="s">
        <v>4428</v>
      </c>
      <c r="C580" s="130" t="s">
        <v>38</v>
      </c>
      <c r="D580" s="136">
        <v>9103650538</v>
      </c>
      <c r="E580" s="132">
        <v>42270</v>
      </c>
      <c r="F580" s="132" t="s">
        <v>5803</v>
      </c>
      <c r="G580" s="132" t="s">
        <v>5990</v>
      </c>
      <c r="H580" s="130" t="s">
        <v>4564</v>
      </c>
      <c r="I580" s="132" t="s">
        <v>40</v>
      </c>
      <c r="J580" s="131" t="s">
        <v>4432</v>
      </c>
      <c r="K580" s="132" t="s">
        <v>4433</v>
      </c>
      <c r="L580" s="136">
        <v>3072882</v>
      </c>
      <c r="M580" s="132">
        <v>42265</v>
      </c>
      <c r="N580" s="136" t="s">
        <v>4604</v>
      </c>
      <c r="O580" s="130" t="s">
        <v>4436</v>
      </c>
      <c r="P580" s="130" t="s">
        <v>205</v>
      </c>
      <c r="Q580" s="130">
        <v>38237090</v>
      </c>
      <c r="R580" s="136">
        <v>12</v>
      </c>
      <c r="S580" s="130" t="s">
        <v>70</v>
      </c>
      <c r="T580" s="136" t="s">
        <v>67</v>
      </c>
      <c r="U580" s="136" t="s">
        <v>53</v>
      </c>
      <c r="V580" s="136">
        <v>1270</v>
      </c>
      <c r="W580" s="133">
        <f t="shared" si="27"/>
        <v>15240</v>
      </c>
      <c r="X580" s="136">
        <v>0</v>
      </c>
      <c r="Y580" s="136">
        <v>0</v>
      </c>
      <c r="Z580" s="136">
        <v>0</v>
      </c>
      <c r="AA580" s="136">
        <v>0</v>
      </c>
      <c r="AB580" s="131">
        <v>42266</v>
      </c>
      <c r="AC580" s="134">
        <f t="shared" si="28"/>
        <v>15240</v>
      </c>
      <c r="AD580" s="135">
        <v>66</v>
      </c>
      <c r="AE580" s="136">
        <f t="shared" si="29"/>
        <v>1005840</v>
      </c>
      <c r="AF580" s="137">
        <v>1005840</v>
      </c>
      <c r="AG580" s="138">
        <v>66</v>
      </c>
      <c r="AH580" s="136" t="s">
        <v>5991</v>
      </c>
      <c r="AI580" s="133">
        <v>15227</v>
      </c>
      <c r="AJ580" s="132">
        <v>42293</v>
      </c>
      <c r="AK580" s="136" t="s">
        <v>5992</v>
      </c>
      <c r="AL580" s="132">
        <v>42293</v>
      </c>
      <c r="AM580" s="131" t="s">
        <v>49</v>
      </c>
      <c r="AN580" s="133" t="s">
        <v>4440</v>
      </c>
    </row>
    <row r="581" spans="1:40" s="129" customFormat="1" x14ac:dyDescent="0.25">
      <c r="A581" s="136">
        <v>580</v>
      </c>
      <c r="B581" s="130" t="s">
        <v>4428</v>
      </c>
      <c r="C581" s="130" t="s">
        <v>38</v>
      </c>
      <c r="D581" s="136">
        <v>9103650539</v>
      </c>
      <c r="E581" s="132">
        <v>42272</v>
      </c>
      <c r="F581" s="132" t="s">
        <v>5803</v>
      </c>
      <c r="G581" s="132" t="s">
        <v>5993</v>
      </c>
      <c r="H581" s="130" t="s">
        <v>4491</v>
      </c>
      <c r="I581" s="132" t="s">
        <v>40</v>
      </c>
      <c r="J581" s="131" t="s">
        <v>4432</v>
      </c>
      <c r="K581" s="132" t="s">
        <v>4433</v>
      </c>
      <c r="L581" s="136">
        <v>3095813</v>
      </c>
      <c r="M581" s="132" t="s">
        <v>5148</v>
      </c>
      <c r="N581" s="136" t="s">
        <v>4858</v>
      </c>
      <c r="O581" s="130" t="s">
        <v>4436</v>
      </c>
      <c r="P581" s="130" t="s">
        <v>54</v>
      </c>
      <c r="Q581" s="130">
        <v>38237090</v>
      </c>
      <c r="R581" s="136">
        <v>36</v>
      </c>
      <c r="S581" s="130" t="s">
        <v>70</v>
      </c>
      <c r="T581" s="136" t="s">
        <v>44</v>
      </c>
      <c r="U581" s="136" t="s">
        <v>53</v>
      </c>
      <c r="V581" s="136">
        <v>3700</v>
      </c>
      <c r="W581" s="133">
        <f t="shared" si="27"/>
        <v>133200</v>
      </c>
      <c r="X581" s="136">
        <v>43.95</v>
      </c>
      <c r="Y581" s="136">
        <v>165</v>
      </c>
      <c r="Z581" s="136">
        <v>0</v>
      </c>
      <c r="AA581" s="136">
        <v>0</v>
      </c>
      <c r="AB581" s="131">
        <v>42268</v>
      </c>
      <c r="AC581" s="134">
        <f t="shared" si="28"/>
        <v>132991.04000000001</v>
      </c>
      <c r="AD581" s="135">
        <v>66</v>
      </c>
      <c r="AE581" s="136">
        <f t="shared" si="29"/>
        <v>8791200</v>
      </c>
      <c r="AF581" s="137">
        <v>8777408.6400000006</v>
      </c>
      <c r="AG581" s="138">
        <v>66</v>
      </c>
      <c r="AH581" s="136" t="s">
        <v>5994</v>
      </c>
      <c r="AI581" s="136">
        <v>133050</v>
      </c>
      <c r="AJ581" s="132" t="s">
        <v>5995</v>
      </c>
      <c r="AK581" s="136" t="s">
        <v>5996</v>
      </c>
      <c r="AL581" s="132" t="s">
        <v>5997</v>
      </c>
      <c r="AM581" s="131" t="s">
        <v>49</v>
      </c>
      <c r="AN581" s="136" t="s">
        <v>4440</v>
      </c>
    </row>
    <row r="582" spans="1:40" s="129" customFormat="1" x14ac:dyDescent="0.25">
      <c r="A582" s="130">
        <v>581</v>
      </c>
      <c r="B582" s="130" t="s">
        <v>4428</v>
      </c>
      <c r="C582" s="130" t="s">
        <v>38</v>
      </c>
      <c r="D582" s="136">
        <v>9103650540</v>
      </c>
      <c r="E582" s="132">
        <v>42271</v>
      </c>
      <c r="F582" s="132" t="s">
        <v>5803</v>
      </c>
      <c r="G582" s="132" t="s">
        <v>5998</v>
      </c>
      <c r="H582" s="130" t="s">
        <v>4463</v>
      </c>
      <c r="I582" s="132" t="s">
        <v>40</v>
      </c>
      <c r="J582" s="131" t="s">
        <v>4432</v>
      </c>
      <c r="K582" s="132" t="s">
        <v>4433</v>
      </c>
      <c r="L582" s="136">
        <v>3095810</v>
      </c>
      <c r="M582" s="132">
        <v>42266</v>
      </c>
      <c r="N582" s="136" t="s">
        <v>4840</v>
      </c>
      <c r="O582" s="130" t="s">
        <v>4436</v>
      </c>
      <c r="P582" s="130" t="s">
        <v>5921</v>
      </c>
      <c r="Q582" s="130">
        <v>38237090</v>
      </c>
      <c r="R582" s="136">
        <v>32</v>
      </c>
      <c r="S582" s="130" t="s">
        <v>70</v>
      </c>
      <c r="T582" s="136" t="s">
        <v>52</v>
      </c>
      <c r="U582" s="136" t="s">
        <v>53</v>
      </c>
      <c r="V582" s="136">
        <v>1250</v>
      </c>
      <c r="W582" s="133">
        <f t="shared" si="27"/>
        <v>40000</v>
      </c>
      <c r="X582" s="136">
        <v>0</v>
      </c>
      <c r="Y582" s="136">
        <v>2300</v>
      </c>
      <c r="Z582" s="136">
        <v>0</v>
      </c>
      <c r="AA582" s="136">
        <v>0</v>
      </c>
      <c r="AB582" s="131">
        <v>42268</v>
      </c>
      <c r="AC582" s="134">
        <f t="shared" si="28"/>
        <v>37700</v>
      </c>
      <c r="AD582" s="135">
        <v>66</v>
      </c>
      <c r="AE582" s="136">
        <f t="shared" si="29"/>
        <v>2640000</v>
      </c>
      <c r="AF582" s="137">
        <v>2488200</v>
      </c>
      <c r="AG582" s="138">
        <v>66</v>
      </c>
      <c r="AH582" s="136" t="s">
        <v>5999</v>
      </c>
      <c r="AI582" s="136">
        <v>39975</v>
      </c>
      <c r="AJ582" s="132" t="s">
        <v>5649</v>
      </c>
      <c r="AK582" s="136" t="s">
        <v>6000</v>
      </c>
      <c r="AL582" s="132" t="s">
        <v>5651</v>
      </c>
      <c r="AM582" s="131" t="s">
        <v>49</v>
      </c>
      <c r="AN582" s="136" t="s">
        <v>4440</v>
      </c>
    </row>
    <row r="583" spans="1:40" s="129" customFormat="1" x14ac:dyDescent="0.25">
      <c r="A583" s="136">
        <v>582</v>
      </c>
      <c r="B583" s="130" t="s">
        <v>4428</v>
      </c>
      <c r="C583" s="130" t="s">
        <v>38</v>
      </c>
      <c r="D583" s="136">
        <v>9103650541</v>
      </c>
      <c r="E583" s="132">
        <v>42271</v>
      </c>
      <c r="F583" s="132" t="s">
        <v>5803</v>
      </c>
      <c r="G583" s="132" t="s">
        <v>6001</v>
      </c>
      <c r="H583" s="130" t="s">
        <v>4446</v>
      </c>
      <c r="I583" s="132" t="s">
        <v>40</v>
      </c>
      <c r="J583" s="131" t="s">
        <v>4432</v>
      </c>
      <c r="K583" s="132" t="s">
        <v>4433</v>
      </c>
      <c r="L583" s="136">
        <v>3095854</v>
      </c>
      <c r="M583" s="132">
        <v>42266</v>
      </c>
      <c r="N583" s="136" t="s">
        <v>4532</v>
      </c>
      <c r="O583" s="130" t="s">
        <v>4436</v>
      </c>
      <c r="P583" s="130" t="s">
        <v>77</v>
      </c>
      <c r="Q583" s="130">
        <v>38237090</v>
      </c>
      <c r="R583" s="136">
        <v>32</v>
      </c>
      <c r="S583" s="130" t="s">
        <v>70</v>
      </c>
      <c r="T583" s="136" t="s">
        <v>67</v>
      </c>
      <c r="U583" s="136" t="s">
        <v>53</v>
      </c>
      <c r="V583" s="136">
        <v>1275</v>
      </c>
      <c r="W583" s="133">
        <f t="shared" si="27"/>
        <v>40800</v>
      </c>
      <c r="X583" s="136">
        <v>0</v>
      </c>
      <c r="Y583" s="136">
        <v>0</v>
      </c>
      <c r="Z583" s="136">
        <v>0</v>
      </c>
      <c r="AA583" s="136">
        <v>0</v>
      </c>
      <c r="AB583" s="131">
        <v>42268</v>
      </c>
      <c r="AC583" s="134">
        <f t="shared" si="28"/>
        <v>40800</v>
      </c>
      <c r="AD583" s="135">
        <v>66</v>
      </c>
      <c r="AE583" s="136">
        <f t="shared" si="29"/>
        <v>2692800</v>
      </c>
      <c r="AF583" s="137">
        <v>2692800</v>
      </c>
      <c r="AG583" s="138">
        <v>66</v>
      </c>
      <c r="AH583" s="136" t="s">
        <v>6002</v>
      </c>
      <c r="AI583" s="136">
        <v>40785</v>
      </c>
      <c r="AJ583" s="132">
        <v>42425</v>
      </c>
      <c r="AK583" s="136" t="s">
        <v>6003</v>
      </c>
      <c r="AL583" s="132">
        <v>42426</v>
      </c>
      <c r="AM583" s="131" t="s">
        <v>49</v>
      </c>
      <c r="AN583" s="136" t="s">
        <v>4440</v>
      </c>
    </row>
    <row r="584" spans="1:40" s="129" customFormat="1" x14ac:dyDescent="0.25">
      <c r="A584" s="130">
        <v>583</v>
      </c>
      <c r="B584" s="130" t="s">
        <v>4428</v>
      </c>
      <c r="C584" s="130" t="s">
        <v>38</v>
      </c>
      <c r="D584" s="136">
        <v>9103650542</v>
      </c>
      <c r="E584" s="132">
        <v>42274</v>
      </c>
      <c r="F584" s="132" t="s">
        <v>5803</v>
      </c>
      <c r="G584" s="132" t="s">
        <v>6004</v>
      </c>
      <c r="H584" s="130" t="s">
        <v>4463</v>
      </c>
      <c r="I584" s="132" t="s">
        <v>40</v>
      </c>
      <c r="J584" s="131" t="s">
        <v>4432</v>
      </c>
      <c r="K584" s="132" t="s">
        <v>4433</v>
      </c>
      <c r="L584" s="136">
        <v>3117677</v>
      </c>
      <c r="M584" s="132">
        <v>42268</v>
      </c>
      <c r="N584" s="136" t="s">
        <v>5337</v>
      </c>
      <c r="O584" s="130" t="s">
        <v>4436</v>
      </c>
      <c r="P584" s="130" t="s">
        <v>143</v>
      </c>
      <c r="Q584" s="130">
        <v>38237090</v>
      </c>
      <c r="R584" s="136">
        <v>60</v>
      </c>
      <c r="S584" s="130" t="s">
        <v>70</v>
      </c>
      <c r="T584" s="136" t="s">
        <v>52</v>
      </c>
      <c r="U584" s="136" t="s">
        <v>53</v>
      </c>
      <c r="V584" s="136">
        <v>1325</v>
      </c>
      <c r="W584" s="133">
        <f t="shared" si="27"/>
        <v>79500</v>
      </c>
      <c r="X584" s="136">
        <v>0</v>
      </c>
      <c r="Y584" s="136">
        <v>3250</v>
      </c>
      <c r="Z584" s="136">
        <v>0</v>
      </c>
      <c r="AA584" s="136">
        <v>900</v>
      </c>
      <c r="AB584" s="131">
        <v>42269</v>
      </c>
      <c r="AC584" s="134">
        <f t="shared" si="28"/>
        <v>76250</v>
      </c>
      <c r="AD584" s="135">
        <v>66</v>
      </c>
      <c r="AE584" s="136">
        <f t="shared" si="29"/>
        <v>5247000</v>
      </c>
      <c r="AF584" s="137">
        <v>5032500</v>
      </c>
      <c r="AG584" s="138">
        <v>66</v>
      </c>
      <c r="AH584" s="136" t="s">
        <v>6005</v>
      </c>
      <c r="AI584" s="133">
        <v>79488</v>
      </c>
      <c r="AJ584" s="132">
        <v>42297</v>
      </c>
      <c r="AK584" s="136" t="s">
        <v>6006</v>
      </c>
      <c r="AL584" s="132">
        <v>42297</v>
      </c>
      <c r="AM584" s="131" t="s">
        <v>49</v>
      </c>
      <c r="AN584" s="133" t="s">
        <v>4440</v>
      </c>
    </row>
    <row r="585" spans="1:40" s="129" customFormat="1" x14ac:dyDescent="0.25">
      <c r="A585" s="136">
        <v>584</v>
      </c>
      <c r="B585" s="130" t="s">
        <v>4428</v>
      </c>
      <c r="C585" s="130" t="s">
        <v>38</v>
      </c>
      <c r="D585" s="136">
        <v>9103650543</v>
      </c>
      <c r="E585" s="132">
        <v>42269</v>
      </c>
      <c r="F585" s="132" t="s">
        <v>5803</v>
      </c>
      <c r="G585" s="132" t="s">
        <v>6007</v>
      </c>
      <c r="H585" s="130" t="s">
        <v>4456</v>
      </c>
      <c r="I585" s="132" t="s">
        <v>40</v>
      </c>
      <c r="J585" s="131" t="s">
        <v>4432</v>
      </c>
      <c r="K585" s="132" t="s">
        <v>4433</v>
      </c>
      <c r="L585" s="136">
        <v>3115467</v>
      </c>
      <c r="M585" s="132">
        <v>42268</v>
      </c>
      <c r="N585" s="136" t="s">
        <v>4950</v>
      </c>
      <c r="O585" s="130" t="s">
        <v>4436</v>
      </c>
      <c r="P585" s="130" t="s">
        <v>143</v>
      </c>
      <c r="Q585" s="130">
        <v>38237090</v>
      </c>
      <c r="R585" s="136">
        <v>12</v>
      </c>
      <c r="S585" s="130" t="s">
        <v>70</v>
      </c>
      <c r="T585" s="136" t="s">
        <v>52</v>
      </c>
      <c r="U585" s="136" t="s">
        <v>53</v>
      </c>
      <c r="V585" s="136">
        <v>1545</v>
      </c>
      <c r="W585" s="133">
        <f t="shared" si="27"/>
        <v>18540</v>
      </c>
      <c r="X585" s="136">
        <v>0</v>
      </c>
      <c r="Y585" s="136">
        <v>650</v>
      </c>
      <c r="Z585" s="136">
        <v>0</v>
      </c>
      <c r="AA585" s="136">
        <v>0</v>
      </c>
      <c r="AB585" s="131">
        <v>42269</v>
      </c>
      <c r="AC585" s="134">
        <f t="shared" si="28"/>
        <v>17890</v>
      </c>
      <c r="AD585" s="135">
        <v>66</v>
      </c>
      <c r="AE585" s="136">
        <f t="shared" si="29"/>
        <v>1223640</v>
      </c>
      <c r="AF585" s="137">
        <v>1180740</v>
      </c>
      <c r="AG585" s="138">
        <v>66</v>
      </c>
      <c r="AH585" s="136" t="s">
        <v>6008</v>
      </c>
      <c r="AI585" s="136">
        <v>18520</v>
      </c>
      <c r="AJ585" s="132">
        <v>42335</v>
      </c>
      <c r="AK585" s="136" t="s">
        <v>6009</v>
      </c>
      <c r="AL585" s="132">
        <v>42338</v>
      </c>
      <c r="AM585" s="131" t="s">
        <v>49</v>
      </c>
      <c r="AN585" s="133" t="s">
        <v>4440</v>
      </c>
    </row>
    <row r="586" spans="1:40" s="129" customFormat="1" x14ac:dyDescent="0.25">
      <c r="A586" s="130">
        <v>585</v>
      </c>
      <c r="B586" s="130" t="s">
        <v>4428</v>
      </c>
      <c r="C586" s="130" t="s">
        <v>38</v>
      </c>
      <c r="D586" s="136">
        <v>9103650544</v>
      </c>
      <c r="E586" s="132">
        <v>42272</v>
      </c>
      <c r="F586" s="132" t="s">
        <v>5803</v>
      </c>
      <c r="G586" s="132" t="s">
        <v>6010</v>
      </c>
      <c r="H586" s="130" t="s">
        <v>4556</v>
      </c>
      <c r="I586" s="132" t="s">
        <v>40</v>
      </c>
      <c r="J586" s="131" t="s">
        <v>4432</v>
      </c>
      <c r="K586" s="132" t="s">
        <v>4433</v>
      </c>
      <c r="L586" s="136">
        <v>3115517</v>
      </c>
      <c r="M586" s="132">
        <v>42268</v>
      </c>
      <c r="N586" s="136" t="s">
        <v>4557</v>
      </c>
      <c r="O586" s="130" t="s">
        <v>4436</v>
      </c>
      <c r="P586" s="130" t="s">
        <v>137</v>
      </c>
      <c r="Q586" s="130">
        <v>38237090</v>
      </c>
      <c r="R586" s="136">
        <v>28.5</v>
      </c>
      <c r="S586" s="130" t="s">
        <v>70</v>
      </c>
      <c r="T586" s="136" t="s">
        <v>52</v>
      </c>
      <c r="U586" s="136" t="s">
        <v>53</v>
      </c>
      <c r="V586" s="136">
        <v>1365</v>
      </c>
      <c r="W586" s="133">
        <f t="shared" si="27"/>
        <v>38902.5</v>
      </c>
      <c r="X586" s="136">
        <v>0</v>
      </c>
      <c r="Y586" s="136">
        <v>1200</v>
      </c>
      <c r="Z586" s="136">
        <v>0</v>
      </c>
      <c r="AA586" s="136">
        <v>0</v>
      </c>
      <c r="AB586" s="131">
        <v>42269</v>
      </c>
      <c r="AC586" s="134">
        <f t="shared" si="28"/>
        <v>37702.5</v>
      </c>
      <c r="AD586" s="135">
        <v>66</v>
      </c>
      <c r="AE586" s="136">
        <f t="shared" si="29"/>
        <v>2567565</v>
      </c>
      <c r="AF586" s="137">
        <v>2488365</v>
      </c>
      <c r="AG586" s="138">
        <v>66</v>
      </c>
      <c r="AH586" s="136" t="s">
        <v>6011</v>
      </c>
      <c r="AI586" s="136">
        <v>38857.5</v>
      </c>
      <c r="AJ586" s="132">
        <v>42326</v>
      </c>
      <c r="AK586" s="136" t="s">
        <v>6012</v>
      </c>
      <c r="AL586" s="132">
        <v>42327</v>
      </c>
      <c r="AM586" s="131" t="s">
        <v>49</v>
      </c>
      <c r="AN586" s="133" t="s">
        <v>4440</v>
      </c>
    </row>
    <row r="587" spans="1:40" s="129" customFormat="1" x14ac:dyDescent="0.25">
      <c r="A587" s="136">
        <v>586</v>
      </c>
      <c r="B587" s="130" t="s">
        <v>4428</v>
      </c>
      <c r="C587" s="130" t="s">
        <v>38</v>
      </c>
      <c r="D587" s="136">
        <v>9103650545</v>
      </c>
      <c r="E587" s="132">
        <v>42273</v>
      </c>
      <c r="F587" s="132" t="s">
        <v>5803</v>
      </c>
      <c r="G587" s="132" t="s">
        <v>6013</v>
      </c>
      <c r="H587" s="130" t="s">
        <v>4463</v>
      </c>
      <c r="I587" s="132" t="s">
        <v>40</v>
      </c>
      <c r="J587" s="131" t="s">
        <v>4432</v>
      </c>
      <c r="K587" s="132" t="s">
        <v>4433</v>
      </c>
      <c r="L587" s="136">
        <v>3115468</v>
      </c>
      <c r="M587" s="132">
        <v>42268</v>
      </c>
      <c r="N587" s="136" t="s">
        <v>2944</v>
      </c>
      <c r="O587" s="130" t="s">
        <v>4436</v>
      </c>
      <c r="P587" s="130" t="s">
        <v>243</v>
      </c>
      <c r="Q587" s="130">
        <v>38237090</v>
      </c>
      <c r="R587" s="136">
        <v>26</v>
      </c>
      <c r="S587" s="130" t="s">
        <v>70</v>
      </c>
      <c r="T587" s="136" t="s">
        <v>44</v>
      </c>
      <c r="U587" s="136" t="s">
        <v>53</v>
      </c>
      <c r="V587" s="136">
        <v>1200</v>
      </c>
      <c r="W587" s="133">
        <f t="shared" si="27"/>
        <v>31200</v>
      </c>
      <c r="X587" s="136">
        <v>10.3</v>
      </c>
      <c r="Y587" s="136">
        <v>1200</v>
      </c>
      <c r="Z587" s="136">
        <v>0</v>
      </c>
      <c r="AA587" s="136">
        <v>0</v>
      </c>
      <c r="AB587" s="131">
        <v>42269</v>
      </c>
      <c r="AC587" s="134">
        <f t="shared" si="28"/>
        <v>29989.7</v>
      </c>
      <c r="AD587" s="135">
        <v>66</v>
      </c>
      <c r="AE587" s="136">
        <f t="shared" si="29"/>
        <v>2059200</v>
      </c>
      <c r="AF587" s="137">
        <v>1979320.2</v>
      </c>
      <c r="AG587" s="138">
        <v>66</v>
      </c>
      <c r="AH587" s="136" t="s">
        <v>6014</v>
      </c>
      <c r="AI587" s="136">
        <v>31180</v>
      </c>
      <c r="AJ587" s="132" t="s">
        <v>6015</v>
      </c>
      <c r="AK587" s="136" t="s">
        <v>6016</v>
      </c>
      <c r="AL587" s="132" t="s">
        <v>6017</v>
      </c>
      <c r="AM587" s="131" t="s">
        <v>49</v>
      </c>
      <c r="AN587" s="136" t="s">
        <v>4440</v>
      </c>
    </row>
    <row r="588" spans="1:40" s="129" customFormat="1" x14ac:dyDescent="0.25">
      <c r="A588" s="130">
        <v>587</v>
      </c>
      <c r="B588" s="130" t="s">
        <v>4428</v>
      </c>
      <c r="C588" s="130" t="s">
        <v>38</v>
      </c>
      <c r="D588" s="136">
        <v>9103650546</v>
      </c>
      <c r="E588" s="132">
        <v>42275</v>
      </c>
      <c r="F588" s="132" t="s">
        <v>5803</v>
      </c>
      <c r="G588" s="132" t="s">
        <v>6018</v>
      </c>
      <c r="H588" s="130" t="s">
        <v>4556</v>
      </c>
      <c r="I588" s="132" t="s">
        <v>40</v>
      </c>
      <c r="J588" s="131" t="s">
        <v>4432</v>
      </c>
      <c r="K588" s="132" t="s">
        <v>4433</v>
      </c>
      <c r="L588" s="136">
        <v>3140518</v>
      </c>
      <c r="M588" s="132">
        <v>42269</v>
      </c>
      <c r="N588" s="136" t="s">
        <v>5002</v>
      </c>
      <c r="O588" s="130" t="s">
        <v>4436</v>
      </c>
      <c r="P588" s="130" t="s">
        <v>123</v>
      </c>
      <c r="Q588" s="130">
        <v>38237090</v>
      </c>
      <c r="R588" s="136">
        <v>24</v>
      </c>
      <c r="S588" s="130" t="s">
        <v>70</v>
      </c>
      <c r="T588" s="136" t="s">
        <v>52</v>
      </c>
      <c r="U588" s="136" t="s">
        <v>53</v>
      </c>
      <c r="V588" s="136">
        <v>0</v>
      </c>
      <c r="W588" s="133">
        <f>(23.9*1475+0.1*1550)</f>
        <v>35407.5</v>
      </c>
      <c r="X588" s="136">
        <v>0</v>
      </c>
      <c r="Y588" s="136">
        <v>800</v>
      </c>
      <c r="Z588" s="136">
        <v>0</v>
      </c>
      <c r="AA588" s="136">
        <v>0</v>
      </c>
      <c r="AB588" s="131">
        <v>42270</v>
      </c>
      <c r="AC588" s="134">
        <f t="shared" si="28"/>
        <v>34607.5</v>
      </c>
      <c r="AD588" s="135">
        <v>66</v>
      </c>
      <c r="AE588" s="136">
        <f t="shared" si="29"/>
        <v>2336895</v>
      </c>
      <c r="AF588" s="137">
        <v>2284095</v>
      </c>
      <c r="AG588" s="138">
        <v>66</v>
      </c>
      <c r="AH588" s="136" t="s">
        <v>6019</v>
      </c>
      <c r="AI588" s="136">
        <v>35348</v>
      </c>
      <c r="AJ588" s="132">
        <v>42332</v>
      </c>
      <c r="AK588" s="136" t="s">
        <v>6020</v>
      </c>
      <c r="AL588" s="132">
        <v>42334</v>
      </c>
      <c r="AM588" s="131" t="s">
        <v>49</v>
      </c>
      <c r="AN588" s="133" t="s">
        <v>4440</v>
      </c>
    </row>
    <row r="589" spans="1:40" s="129" customFormat="1" x14ac:dyDescent="0.25">
      <c r="A589" s="136">
        <v>588</v>
      </c>
      <c r="B589" s="130" t="s">
        <v>4428</v>
      </c>
      <c r="C589" s="130" t="s">
        <v>38</v>
      </c>
      <c r="D589" s="136">
        <v>9103650547</v>
      </c>
      <c r="E589" s="132">
        <v>42275</v>
      </c>
      <c r="F589" s="132" t="s">
        <v>5803</v>
      </c>
      <c r="G589" s="132" t="s">
        <v>6021</v>
      </c>
      <c r="H589" s="130" t="s">
        <v>4463</v>
      </c>
      <c r="I589" s="132" t="s">
        <v>40</v>
      </c>
      <c r="J589" s="131" t="s">
        <v>4432</v>
      </c>
      <c r="K589" s="132" t="s">
        <v>4433</v>
      </c>
      <c r="L589" s="136">
        <v>3140594</v>
      </c>
      <c r="M589" s="132">
        <v>42269</v>
      </c>
      <c r="N589" s="136" t="s">
        <v>5288</v>
      </c>
      <c r="O589" s="130" t="s">
        <v>4436</v>
      </c>
      <c r="P589" s="130" t="s">
        <v>54</v>
      </c>
      <c r="Q589" s="130">
        <v>38237090</v>
      </c>
      <c r="R589" s="136">
        <v>16</v>
      </c>
      <c r="S589" s="130" t="s">
        <v>70</v>
      </c>
      <c r="T589" s="136" t="s">
        <v>44</v>
      </c>
      <c r="U589" s="136" t="s">
        <v>53</v>
      </c>
      <c r="V589" s="136">
        <v>1100</v>
      </c>
      <c r="W589" s="133">
        <f t="shared" si="27"/>
        <v>17600</v>
      </c>
      <c r="X589" s="136">
        <v>5.81</v>
      </c>
      <c r="Y589" s="136">
        <v>25</v>
      </c>
      <c r="Z589" s="136">
        <v>0</v>
      </c>
      <c r="AA589" s="136">
        <v>0</v>
      </c>
      <c r="AB589" s="131">
        <v>42270</v>
      </c>
      <c r="AC589" s="134">
        <f t="shared" si="28"/>
        <v>17569.190000000002</v>
      </c>
      <c r="AD589" s="135">
        <v>66</v>
      </c>
      <c r="AE589" s="136">
        <f t="shared" si="29"/>
        <v>1161600</v>
      </c>
      <c r="AF589" s="137">
        <v>1159566.54</v>
      </c>
      <c r="AG589" s="138">
        <v>66</v>
      </c>
      <c r="AH589" s="136" t="s">
        <v>6022</v>
      </c>
      <c r="AI589" s="136">
        <v>17561.5</v>
      </c>
      <c r="AJ589" s="132">
        <v>42261</v>
      </c>
      <c r="AK589" s="136" t="s">
        <v>6023</v>
      </c>
      <c r="AL589" s="132">
        <v>42380</v>
      </c>
      <c r="AM589" s="131" t="s">
        <v>49</v>
      </c>
      <c r="AN589" s="133" t="s">
        <v>4440</v>
      </c>
    </row>
    <row r="590" spans="1:40" s="129" customFormat="1" x14ac:dyDescent="0.25">
      <c r="A590" s="130">
        <v>589</v>
      </c>
      <c r="B590" s="130" t="s">
        <v>4428</v>
      </c>
      <c r="C590" s="130" t="s">
        <v>38</v>
      </c>
      <c r="D590" s="136">
        <v>9103650548</v>
      </c>
      <c r="E590" s="132">
        <v>42275</v>
      </c>
      <c r="F590" s="132" t="s">
        <v>5803</v>
      </c>
      <c r="G590" s="132" t="s">
        <v>6024</v>
      </c>
      <c r="H590" s="130" t="s">
        <v>4456</v>
      </c>
      <c r="I590" s="132" t="s">
        <v>40</v>
      </c>
      <c r="J590" s="131" t="s">
        <v>4432</v>
      </c>
      <c r="K590" s="132" t="s">
        <v>4433</v>
      </c>
      <c r="L590" s="136">
        <v>3140581</v>
      </c>
      <c r="M590" s="132">
        <v>42269</v>
      </c>
      <c r="N590" s="136" t="s">
        <v>4527</v>
      </c>
      <c r="O590" s="130" t="s">
        <v>4436</v>
      </c>
      <c r="P590" s="130" t="s">
        <v>59</v>
      </c>
      <c r="Q590" s="130">
        <v>38237090</v>
      </c>
      <c r="R590" s="136">
        <v>12</v>
      </c>
      <c r="S590" s="130" t="s">
        <v>70</v>
      </c>
      <c r="T590" s="136" t="s">
        <v>52</v>
      </c>
      <c r="U590" s="136" t="s">
        <v>53</v>
      </c>
      <c r="V590" s="136">
        <v>1224</v>
      </c>
      <c r="W590" s="133">
        <f t="shared" si="27"/>
        <v>14688</v>
      </c>
      <c r="X590" s="136">
        <v>0</v>
      </c>
      <c r="Y590" s="136">
        <v>500</v>
      </c>
      <c r="Z590" s="136">
        <v>0</v>
      </c>
      <c r="AA590" s="136">
        <v>0</v>
      </c>
      <c r="AB590" s="131">
        <v>42270</v>
      </c>
      <c r="AC590" s="134">
        <f t="shared" si="28"/>
        <v>14188</v>
      </c>
      <c r="AD590" s="135">
        <v>66</v>
      </c>
      <c r="AE590" s="136">
        <f t="shared" si="29"/>
        <v>969408</v>
      </c>
      <c r="AF590" s="137">
        <v>936408</v>
      </c>
      <c r="AG590" s="138">
        <v>66</v>
      </c>
      <c r="AH590" s="136" t="s">
        <v>6025</v>
      </c>
      <c r="AI590" s="133">
        <v>14688</v>
      </c>
      <c r="AJ590" s="132">
        <v>42341</v>
      </c>
      <c r="AK590" s="136" t="s">
        <v>6026</v>
      </c>
      <c r="AL590" s="132">
        <v>42341</v>
      </c>
      <c r="AM590" s="131" t="s">
        <v>49</v>
      </c>
      <c r="AN590" s="136" t="s">
        <v>4440</v>
      </c>
    </row>
    <row r="591" spans="1:40" s="129" customFormat="1" x14ac:dyDescent="0.25">
      <c r="A591" s="136">
        <v>590</v>
      </c>
      <c r="B591" s="130" t="s">
        <v>4428</v>
      </c>
      <c r="C591" s="130" t="s">
        <v>38</v>
      </c>
      <c r="D591" s="136">
        <v>9103650549</v>
      </c>
      <c r="E591" s="132">
        <v>42274</v>
      </c>
      <c r="F591" s="132" t="s">
        <v>5803</v>
      </c>
      <c r="G591" s="132" t="s">
        <v>6027</v>
      </c>
      <c r="H591" s="130" t="s">
        <v>4491</v>
      </c>
      <c r="I591" s="132" t="s">
        <v>40</v>
      </c>
      <c r="J591" s="131" t="s">
        <v>4432</v>
      </c>
      <c r="K591" s="132" t="s">
        <v>4433</v>
      </c>
      <c r="L591" s="136">
        <v>3157517</v>
      </c>
      <c r="M591" s="132">
        <v>42270</v>
      </c>
      <c r="N591" s="136" t="s">
        <v>3741</v>
      </c>
      <c r="O591" s="130" t="s">
        <v>4436</v>
      </c>
      <c r="P591" s="130" t="s">
        <v>4492</v>
      </c>
      <c r="Q591" s="130">
        <v>38237090</v>
      </c>
      <c r="R591" s="136">
        <v>18.149999999999999</v>
      </c>
      <c r="S591" s="130" t="s">
        <v>70</v>
      </c>
      <c r="T591" s="136" t="s">
        <v>44</v>
      </c>
      <c r="U591" s="136" t="s">
        <v>53</v>
      </c>
      <c r="V591" s="136">
        <v>1503</v>
      </c>
      <c r="W591" s="133">
        <f t="shared" si="27"/>
        <v>27279.449999999997</v>
      </c>
      <c r="X591" s="136">
        <v>9</v>
      </c>
      <c r="Y591" s="136">
        <v>4200</v>
      </c>
      <c r="Z591" s="136">
        <v>0</v>
      </c>
      <c r="AA591" s="136">
        <v>0</v>
      </c>
      <c r="AB591" s="131">
        <v>42272</v>
      </c>
      <c r="AC591" s="134">
        <f t="shared" si="28"/>
        <v>23070.45</v>
      </c>
      <c r="AD591" s="135">
        <v>66</v>
      </c>
      <c r="AE591" s="136">
        <f t="shared" si="29"/>
        <v>1800443.6999999997</v>
      </c>
      <c r="AF591" s="137">
        <v>1522649.7</v>
      </c>
      <c r="AG591" s="138">
        <v>66</v>
      </c>
      <c r="AH591" s="136" t="s">
        <v>6028</v>
      </c>
      <c r="AI591" s="133">
        <v>27279.45</v>
      </c>
      <c r="AJ591" s="132">
        <v>42318</v>
      </c>
      <c r="AK591" s="136" t="s">
        <v>6029</v>
      </c>
      <c r="AL591" s="132">
        <v>42321</v>
      </c>
      <c r="AM591" s="131" t="s">
        <v>49</v>
      </c>
      <c r="AN591" s="133" t="s">
        <v>4440</v>
      </c>
    </row>
    <row r="592" spans="1:40" s="129" customFormat="1" x14ac:dyDescent="0.25">
      <c r="A592" s="130">
        <v>591</v>
      </c>
      <c r="B592" s="130" t="s">
        <v>4428</v>
      </c>
      <c r="C592" s="130" t="s">
        <v>38</v>
      </c>
      <c r="D592" s="136">
        <v>9103650550</v>
      </c>
      <c r="E592" s="132">
        <v>42275</v>
      </c>
      <c r="F592" s="132" t="s">
        <v>5803</v>
      </c>
      <c r="G592" s="132" t="s">
        <v>6030</v>
      </c>
      <c r="H592" s="130" t="s">
        <v>4491</v>
      </c>
      <c r="I592" s="132" t="s">
        <v>40</v>
      </c>
      <c r="J592" s="131" t="s">
        <v>4432</v>
      </c>
      <c r="K592" s="132" t="s">
        <v>4433</v>
      </c>
      <c r="L592" s="136">
        <v>3158594</v>
      </c>
      <c r="M592" s="132">
        <v>42270</v>
      </c>
      <c r="N592" s="136" t="s">
        <v>3741</v>
      </c>
      <c r="O592" s="130" t="s">
        <v>4436</v>
      </c>
      <c r="P592" s="130" t="s">
        <v>4492</v>
      </c>
      <c r="Q592" s="130">
        <v>29051700</v>
      </c>
      <c r="R592" s="136">
        <v>18.48</v>
      </c>
      <c r="S592" s="130" t="s">
        <v>70</v>
      </c>
      <c r="T592" s="136" t="s">
        <v>44</v>
      </c>
      <c r="U592" s="136" t="s">
        <v>53</v>
      </c>
      <c r="V592" s="136">
        <v>1820</v>
      </c>
      <c r="W592" s="133">
        <f t="shared" si="27"/>
        <v>33633.599999999999</v>
      </c>
      <c r="X592" s="136">
        <v>11.1</v>
      </c>
      <c r="Y592" s="136">
        <v>4200</v>
      </c>
      <c r="Z592" s="136">
        <v>0</v>
      </c>
      <c r="AA592" s="136">
        <v>0</v>
      </c>
      <c r="AB592" s="131">
        <v>42272</v>
      </c>
      <c r="AC592" s="134">
        <f t="shared" si="28"/>
        <v>29422.5</v>
      </c>
      <c r="AD592" s="135">
        <v>66</v>
      </c>
      <c r="AE592" s="136">
        <f t="shared" si="29"/>
        <v>2219817.6</v>
      </c>
      <c r="AF592" s="137">
        <v>1941885</v>
      </c>
      <c r="AG592" s="138">
        <v>66</v>
      </c>
      <c r="AH592" s="136" t="s">
        <v>6031</v>
      </c>
      <c r="AI592" s="133">
        <v>33633.599999999999</v>
      </c>
      <c r="AJ592" s="132">
        <v>42318</v>
      </c>
      <c r="AK592" s="136" t="s">
        <v>6032</v>
      </c>
      <c r="AL592" s="132">
        <v>42321</v>
      </c>
      <c r="AM592" s="131" t="s">
        <v>49</v>
      </c>
      <c r="AN592" s="133" t="s">
        <v>4440</v>
      </c>
    </row>
    <row r="593" spans="1:40" s="129" customFormat="1" x14ac:dyDescent="0.25">
      <c r="A593" s="136">
        <v>592</v>
      </c>
      <c r="B593" s="130" t="s">
        <v>4428</v>
      </c>
      <c r="C593" s="130" t="s">
        <v>38</v>
      </c>
      <c r="D593" s="136">
        <v>9103650551</v>
      </c>
      <c r="E593" s="132">
        <v>42276</v>
      </c>
      <c r="F593" s="132" t="s">
        <v>5803</v>
      </c>
      <c r="G593" s="132" t="s">
        <v>6033</v>
      </c>
      <c r="H593" s="130" t="s">
        <v>4564</v>
      </c>
      <c r="I593" s="132" t="s">
        <v>40</v>
      </c>
      <c r="J593" s="131" t="s">
        <v>4432</v>
      </c>
      <c r="K593" s="132" t="s">
        <v>4433</v>
      </c>
      <c r="L593" s="136">
        <v>3162040</v>
      </c>
      <c r="M593" s="132">
        <v>42270</v>
      </c>
      <c r="N593" s="136" t="s">
        <v>4867</v>
      </c>
      <c r="O593" s="130" t="s">
        <v>4436</v>
      </c>
      <c r="P593" s="130" t="s">
        <v>90</v>
      </c>
      <c r="Q593" s="130">
        <v>38231190</v>
      </c>
      <c r="R593" s="136">
        <v>10</v>
      </c>
      <c r="S593" s="130" t="s">
        <v>70</v>
      </c>
      <c r="T593" s="136" t="s">
        <v>67</v>
      </c>
      <c r="U593" s="136" t="s">
        <v>53</v>
      </c>
      <c r="V593" s="136">
        <v>805</v>
      </c>
      <c r="W593" s="133">
        <f t="shared" si="27"/>
        <v>8050</v>
      </c>
      <c r="X593" s="136">
        <v>0</v>
      </c>
      <c r="Y593" s="136">
        <v>0</v>
      </c>
      <c r="Z593" s="136">
        <v>0</v>
      </c>
      <c r="AA593" s="136">
        <v>0</v>
      </c>
      <c r="AB593" s="131">
        <v>42272</v>
      </c>
      <c r="AC593" s="134">
        <f t="shared" si="28"/>
        <v>8050</v>
      </c>
      <c r="AD593" s="135">
        <v>66</v>
      </c>
      <c r="AE593" s="136">
        <f t="shared" si="29"/>
        <v>531300</v>
      </c>
      <c r="AF593" s="137">
        <v>531300</v>
      </c>
      <c r="AG593" s="138">
        <v>66</v>
      </c>
      <c r="AH593" s="136" t="s">
        <v>6034</v>
      </c>
      <c r="AI593" s="133">
        <v>8029</v>
      </c>
      <c r="AJ593" s="132" t="s">
        <v>5342</v>
      </c>
      <c r="AK593" s="136" t="s">
        <v>6035</v>
      </c>
      <c r="AL593" s="132" t="s">
        <v>5344</v>
      </c>
      <c r="AM593" s="131" t="s">
        <v>49</v>
      </c>
      <c r="AN593" s="133" t="s">
        <v>4440</v>
      </c>
    </row>
    <row r="594" spans="1:40" s="129" customFormat="1" x14ac:dyDescent="0.25">
      <c r="A594" s="130">
        <v>593</v>
      </c>
      <c r="B594" s="130" t="s">
        <v>4428</v>
      </c>
      <c r="C594" s="130" t="s">
        <v>38</v>
      </c>
      <c r="D594" s="136">
        <v>9103650552</v>
      </c>
      <c r="E594" s="132">
        <v>42275</v>
      </c>
      <c r="F594" s="132" t="s">
        <v>5803</v>
      </c>
      <c r="G594" s="132" t="s">
        <v>6036</v>
      </c>
      <c r="H594" s="130" t="s">
        <v>4556</v>
      </c>
      <c r="I594" s="132" t="s">
        <v>40</v>
      </c>
      <c r="J594" s="131" t="s">
        <v>4432</v>
      </c>
      <c r="K594" s="132" t="s">
        <v>4433</v>
      </c>
      <c r="L594" s="136">
        <v>3165300</v>
      </c>
      <c r="M594" s="132">
        <v>42270</v>
      </c>
      <c r="N594" s="136" t="s">
        <v>5002</v>
      </c>
      <c r="O594" s="130" t="s">
        <v>4436</v>
      </c>
      <c r="P594" s="130" t="s">
        <v>123</v>
      </c>
      <c r="Q594" s="130">
        <v>38237090</v>
      </c>
      <c r="R594" s="136">
        <v>24</v>
      </c>
      <c r="S594" s="130" t="s">
        <v>70</v>
      </c>
      <c r="T594" s="136" t="s">
        <v>52</v>
      </c>
      <c r="U594" s="136" t="s">
        <v>53</v>
      </c>
      <c r="V594" s="136">
        <v>1475</v>
      </c>
      <c r="W594" s="133">
        <f t="shared" si="27"/>
        <v>35400</v>
      </c>
      <c r="X594" s="136">
        <v>0</v>
      </c>
      <c r="Y594" s="136">
        <v>800</v>
      </c>
      <c r="Z594" s="136">
        <v>0</v>
      </c>
      <c r="AA594" s="136">
        <v>0</v>
      </c>
      <c r="AB594" s="131">
        <v>42273</v>
      </c>
      <c r="AC594" s="134">
        <f t="shared" si="28"/>
        <v>34600</v>
      </c>
      <c r="AD594" s="135">
        <v>66</v>
      </c>
      <c r="AE594" s="136">
        <f t="shared" si="29"/>
        <v>2336400</v>
      </c>
      <c r="AF594" s="137">
        <v>2283600</v>
      </c>
      <c r="AG594" s="138">
        <v>66</v>
      </c>
      <c r="AH594" s="136" t="s">
        <v>6037</v>
      </c>
      <c r="AI594" s="136">
        <v>35340.5</v>
      </c>
      <c r="AJ594" s="132">
        <v>42346</v>
      </c>
      <c r="AK594" s="136" t="s">
        <v>6038</v>
      </c>
      <c r="AL594" s="132">
        <v>42347</v>
      </c>
      <c r="AM594" s="131" t="s">
        <v>49</v>
      </c>
      <c r="AN594" s="133" t="s">
        <v>4440</v>
      </c>
    </row>
    <row r="595" spans="1:40" s="129" customFormat="1" x14ac:dyDescent="0.25">
      <c r="A595" s="136">
        <v>594</v>
      </c>
      <c r="B595" s="130" t="s">
        <v>4428</v>
      </c>
      <c r="C595" s="130" t="s">
        <v>38</v>
      </c>
      <c r="D595" s="136">
        <v>9103650553</v>
      </c>
      <c r="E595" s="132">
        <v>42275</v>
      </c>
      <c r="F595" s="132" t="s">
        <v>5803</v>
      </c>
      <c r="G595" s="132" t="s">
        <v>6039</v>
      </c>
      <c r="H595" s="130" t="s">
        <v>4456</v>
      </c>
      <c r="I595" s="132" t="s">
        <v>40</v>
      </c>
      <c r="J595" s="131" t="s">
        <v>4432</v>
      </c>
      <c r="K595" s="132" t="s">
        <v>4433</v>
      </c>
      <c r="L595" s="136">
        <v>3188517</v>
      </c>
      <c r="M595" s="132">
        <v>42271</v>
      </c>
      <c r="N595" s="136" t="s">
        <v>4527</v>
      </c>
      <c r="O595" s="130" t="s">
        <v>4436</v>
      </c>
      <c r="P595" s="130" t="s">
        <v>62</v>
      </c>
      <c r="Q595" s="130">
        <v>38237090</v>
      </c>
      <c r="R595" s="136">
        <v>10</v>
      </c>
      <c r="S595" s="130" t="s">
        <v>70</v>
      </c>
      <c r="T595" s="136" t="s">
        <v>52</v>
      </c>
      <c r="U595" s="136" t="s">
        <v>53</v>
      </c>
      <c r="V595" s="136">
        <v>1290</v>
      </c>
      <c r="W595" s="133">
        <f t="shared" si="27"/>
        <v>12900</v>
      </c>
      <c r="X595" s="136">
        <v>0</v>
      </c>
      <c r="Y595" s="136">
        <v>500</v>
      </c>
      <c r="Z595" s="136">
        <v>0</v>
      </c>
      <c r="AA595" s="136">
        <v>0</v>
      </c>
      <c r="AB595" s="131">
        <v>42273</v>
      </c>
      <c r="AC595" s="134">
        <f t="shared" si="28"/>
        <v>12400</v>
      </c>
      <c r="AD595" s="135">
        <v>66</v>
      </c>
      <c r="AE595" s="136">
        <f t="shared" si="29"/>
        <v>851400</v>
      </c>
      <c r="AF595" s="137">
        <v>818400</v>
      </c>
      <c r="AG595" s="138">
        <v>66</v>
      </c>
      <c r="AH595" s="136" t="s">
        <v>6040</v>
      </c>
      <c r="AI595" s="133">
        <v>12890</v>
      </c>
      <c r="AJ595" s="132">
        <v>42341</v>
      </c>
      <c r="AK595" s="136" t="s">
        <v>6041</v>
      </c>
      <c r="AL595" s="132">
        <v>42341</v>
      </c>
      <c r="AM595" s="131" t="s">
        <v>49</v>
      </c>
      <c r="AN595" s="133" t="s">
        <v>4440</v>
      </c>
    </row>
    <row r="596" spans="1:40" s="129" customFormat="1" x14ac:dyDescent="0.25">
      <c r="A596" s="130">
        <v>595</v>
      </c>
      <c r="B596" s="130" t="s">
        <v>4428</v>
      </c>
      <c r="C596" s="130" t="s">
        <v>38</v>
      </c>
      <c r="D596" s="136" t="s">
        <v>6042</v>
      </c>
      <c r="E596" s="132">
        <v>42275</v>
      </c>
      <c r="F596" s="132" t="s">
        <v>5803</v>
      </c>
      <c r="G596" s="132" t="s">
        <v>6043</v>
      </c>
      <c r="H596" s="130" t="s">
        <v>4431</v>
      </c>
      <c r="I596" s="132" t="s">
        <v>40</v>
      </c>
      <c r="J596" s="131" t="s">
        <v>4432</v>
      </c>
      <c r="K596" s="132" t="s">
        <v>4433</v>
      </c>
      <c r="L596" s="136">
        <v>3176920</v>
      </c>
      <c r="M596" s="132">
        <v>42271</v>
      </c>
      <c r="N596" s="136" t="s">
        <v>5621</v>
      </c>
      <c r="O596" s="130" t="s">
        <v>4436</v>
      </c>
      <c r="P596" s="130" t="s">
        <v>361</v>
      </c>
      <c r="Q596" s="130">
        <v>38237090</v>
      </c>
      <c r="R596" s="136">
        <v>36.96</v>
      </c>
      <c r="S596" s="130" t="s">
        <v>70</v>
      </c>
      <c r="T596" s="136" t="s">
        <v>52</v>
      </c>
      <c r="U596" s="136" t="s">
        <v>1117</v>
      </c>
      <c r="V596" s="136">
        <v>87289</v>
      </c>
      <c r="W596" s="133">
        <f t="shared" si="27"/>
        <v>3226201.44</v>
      </c>
      <c r="X596" s="136">
        <v>0</v>
      </c>
      <c r="Y596" s="136">
        <v>86460</v>
      </c>
      <c r="Z596" s="136">
        <v>0</v>
      </c>
      <c r="AA596" s="136">
        <v>47102.54</v>
      </c>
      <c r="AB596" s="131">
        <v>42271</v>
      </c>
      <c r="AC596" s="134">
        <f t="shared" si="28"/>
        <v>3139741.44</v>
      </c>
      <c r="AD596" s="135">
        <v>1</v>
      </c>
      <c r="AE596" s="136">
        <f t="shared" si="29"/>
        <v>3226201.44</v>
      </c>
      <c r="AF596" s="130">
        <v>3139741.44</v>
      </c>
      <c r="AG596" s="138">
        <v>1</v>
      </c>
      <c r="AH596" s="136" t="s">
        <v>6044</v>
      </c>
      <c r="AI596" s="136">
        <v>3195839.02</v>
      </c>
      <c r="AJ596" s="132">
        <v>42315</v>
      </c>
      <c r="AK596" s="136" t="s">
        <v>6045</v>
      </c>
      <c r="AL596" s="132">
        <v>42317</v>
      </c>
      <c r="AM596" s="131" t="s">
        <v>49</v>
      </c>
      <c r="AN596" s="136" t="s">
        <v>4440</v>
      </c>
    </row>
    <row r="597" spans="1:40" s="129" customFormat="1" x14ac:dyDescent="0.25">
      <c r="A597" s="136">
        <v>596</v>
      </c>
      <c r="B597" s="130" t="s">
        <v>4428</v>
      </c>
      <c r="C597" s="130" t="s">
        <v>38</v>
      </c>
      <c r="D597" s="136" t="s">
        <v>6042</v>
      </c>
      <c r="E597" s="132">
        <v>42275</v>
      </c>
      <c r="F597" s="132" t="s">
        <v>5803</v>
      </c>
      <c r="G597" s="132" t="s">
        <v>6046</v>
      </c>
      <c r="H597" s="130" t="s">
        <v>4431</v>
      </c>
      <c r="I597" s="132" t="s">
        <v>40</v>
      </c>
      <c r="J597" s="131" t="s">
        <v>4432</v>
      </c>
      <c r="K597" s="132" t="s">
        <v>4433</v>
      </c>
      <c r="L597" s="136">
        <v>3181097</v>
      </c>
      <c r="M597" s="132">
        <v>42271</v>
      </c>
      <c r="N597" s="136" t="s">
        <v>5621</v>
      </c>
      <c r="O597" s="130" t="s">
        <v>4436</v>
      </c>
      <c r="P597" s="130" t="s">
        <v>361</v>
      </c>
      <c r="Q597" s="130">
        <v>38237090</v>
      </c>
      <c r="R597" s="136">
        <v>129.88</v>
      </c>
      <c r="S597" s="130" t="s">
        <v>70</v>
      </c>
      <c r="T597" s="136" t="s">
        <v>52</v>
      </c>
      <c r="U597" s="136" t="s">
        <v>1117</v>
      </c>
      <c r="V597" s="136">
        <v>87289</v>
      </c>
      <c r="W597" s="133">
        <f t="shared" si="27"/>
        <v>11337095.32</v>
      </c>
      <c r="X597" s="136">
        <v>0</v>
      </c>
      <c r="Y597" s="136">
        <v>302610</v>
      </c>
      <c r="Z597" s="136">
        <v>0</v>
      </c>
      <c r="AA597" s="136">
        <v>165521.59</v>
      </c>
      <c r="AB597" s="131">
        <v>42272</v>
      </c>
      <c r="AC597" s="134">
        <f t="shared" si="28"/>
        <v>11034485.32</v>
      </c>
      <c r="AD597" s="135">
        <v>1</v>
      </c>
      <c r="AE597" s="136">
        <f t="shared" si="29"/>
        <v>11337095.32</v>
      </c>
      <c r="AF597" s="130">
        <v>11034485.32</v>
      </c>
      <c r="AG597" s="138">
        <v>1</v>
      </c>
      <c r="AH597" s="136" t="s">
        <v>6044</v>
      </c>
      <c r="AI597" s="136">
        <v>11337095.32</v>
      </c>
      <c r="AJ597" s="132">
        <v>42315</v>
      </c>
      <c r="AK597" s="136" t="s">
        <v>6047</v>
      </c>
      <c r="AL597" s="132">
        <v>42317</v>
      </c>
      <c r="AM597" s="131" t="s">
        <v>49</v>
      </c>
      <c r="AN597" s="136" t="s">
        <v>4440</v>
      </c>
    </row>
    <row r="598" spans="1:40" s="129" customFormat="1" x14ac:dyDescent="0.25">
      <c r="A598" s="130">
        <v>597</v>
      </c>
      <c r="B598" s="130" t="s">
        <v>4428</v>
      </c>
      <c r="C598" s="130" t="s">
        <v>38</v>
      </c>
      <c r="D598" s="136" t="s">
        <v>6042</v>
      </c>
      <c r="E598" s="132">
        <v>42275</v>
      </c>
      <c r="F598" s="132" t="s">
        <v>5803</v>
      </c>
      <c r="G598" s="132" t="s">
        <v>6048</v>
      </c>
      <c r="H598" s="130" t="s">
        <v>4431</v>
      </c>
      <c r="I598" s="132" t="s">
        <v>40</v>
      </c>
      <c r="J598" s="131" t="s">
        <v>4432</v>
      </c>
      <c r="K598" s="132" t="s">
        <v>4433</v>
      </c>
      <c r="L598" s="136">
        <v>3189883</v>
      </c>
      <c r="M598" s="132">
        <v>42271</v>
      </c>
      <c r="N598" s="136" t="s">
        <v>5621</v>
      </c>
      <c r="O598" s="130" t="s">
        <v>4436</v>
      </c>
      <c r="P598" s="130" t="s">
        <v>361</v>
      </c>
      <c r="Q598" s="130">
        <v>38237090</v>
      </c>
      <c r="R598" s="136">
        <v>37.5</v>
      </c>
      <c r="S598" s="130" t="s">
        <v>70</v>
      </c>
      <c r="T598" s="136" t="s">
        <v>52</v>
      </c>
      <c r="U598" s="136" t="s">
        <v>1117</v>
      </c>
      <c r="V598" s="136">
        <v>87289</v>
      </c>
      <c r="W598" s="133">
        <f>V598*R598</f>
        <v>3273337.5</v>
      </c>
      <c r="X598" s="136">
        <v>0</v>
      </c>
      <c r="Y598" s="136">
        <v>86460</v>
      </c>
      <c r="Z598" s="136">
        <v>0</v>
      </c>
      <c r="AA598" s="136">
        <v>47790.73</v>
      </c>
      <c r="AB598" s="131">
        <v>42273</v>
      </c>
      <c r="AC598" s="134">
        <f t="shared" si="28"/>
        <v>3186877.5</v>
      </c>
      <c r="AD598" s="135">
        <v>1</v>
      </c>
      <c r="AE598" s="136">
        <f>AD598*W598</f>
        <v>3273337.5</v>
      </c>
      <c r="AF598" s="130">
        <v>3186877.5</v>
      </c>
      <c r="AG598" s="138">
        <v>1</v>
      </c>
      <c r="AH598" s="136" t="s">
        <v>6044</v>
      </c>
      <c r="AI598" s="136">
        <v>3273337.5</v>
      </c>
      <c r="AJ598" s="132">
        <v>42315</v>
      </c>
      <c r="AK598" s="136" t="s">
        <v>6047</v>
      </c>
      <c r="AL598" s="132">
        <v>42317</v>
      </c>
      <c r="AM598" s="131" t="s">
        <v>49</v>
      </c>
      <c r="AN598" s="136" t="s">
        <v>4440</v>
      </c>
    </row>
    <row r="599" spans="1:40" s="129" customFormat="1" x14ac:dyDescent="0.2">
      <c r="A599" s="136">
        <v>598</v>
      </c>
      <c r="B599" s="130" t="s">
        <v>4428</v>
      </c>
      <c r="C599" s="130" t="s">
        <v>38</v>
      </c>
      <c r="D599" s="136">
        <v>9103650559</v>
      </c>
      <c r="E599" s="132">
        <v>42275</v>
      </c>
      <c r="F599" s="132" t="s">
        <v>5803</v>
      </c>
      <c r="G599" s="132" t="s">
        <v>6049</v>
      </c>
      <c r="H599" s="130" t="s">
        <v>4431</v>
      </c>
      <c r="I599" s="132" t="s">
        <v>40</v>
      </c>
      <c r="J599" s="131" t="s">
        <v>4432</v>
      </c>
      <c r="K599" s="132" t="s">
        <v>4433</v>
      </c>
      <c r="L599" s="136">
        <v>3219259</v>
      </c>
      <c r="M599" s="132">
        <v>42273</v>
      </c>
      <c r="N599" s="136" t="s">
        <v>4473</v>
      </c>
      <c r="O599" s="130" t="s">
        <v>4436</v>
      </c>
      <c r="P599" s="130" t="s">
        <v>361</v>
      </c>
      <c r="Q599" s="130">
        <v>38237090</v>
      </c>
      <c r="R599" s="136">
        <v>56.23</v>
      </c>
      <c r="S599" s="130" t="s">
        <v>70</v>
      </c>
      <c r="T599" s="136" t="s">
        <v>67</v>
      </c>
      <c r="U599" s="136" t="s">
        <v>1117</v>
      </c>
      <c r="V599" s="136">
        <v>95890</v>
      </c>
      <c r="W599" s="133">
        <f t="shared" si="27"/>
        <v>5391894.6999999993</v>
      </c>
      <c r="X599" s="136">
        <v>0</v>
      </c>
      <c r="Y599" s="136">
        <v>0</v>
      </c>
      <c r="Z599" s="136">
        <v>0</v>
      </c>
      <c r="AA599" s="136"/>
      <c r="AB599" s="131"/>
      <c r="AC599" s="134">
        <f t="shared" si="28"/>
        <v>5391894.7000000002</v>
      </c>
      <c r="AD599" s="135">
        <v>1</v>
      </c>
      <c r="AE599" s="136">
        <f t="shared" si="29"/>
        <v>5391894.6999999993</v>
      </c>
      <c r="AF599" s="130">
        <v>5391894.7000000002</v>
      </c>
      <c r="AG599" s="138">
        <v>1</v>
      </c>
      <c r="AH599" s="154" t="s">
        <v>6050</v>
      </c>
      <c r="AI599" s="136">
        <v>5391894.7000000002</v>
      </c>
      <c r="AJ599" s="132">
        <v>42289</v>
      </c>
      <c r="AK599" s="136" t="s">
        <v>6051</v>
      </c>
      <c r="AL599" s="132">
        <v>42290</v>
      </c>
      <c r="AM599" s="131" t="s">
        <v>49</v>
      </c>
      <c r="AN599" s="136" t="s">
        <v>4440</v>
      </c>
    </row>
    <row r="600" spans="1:40" s="129" customFormat="1" x14ac:dyDescent="0.25">
      <c r="A600" s="130">
        <v>599</v>
      </c>
      <c r="B600" s="130" t="s">
        <v>4428</v>
      </c>
      <c r="C600" s="130" t="s">
        <v>38</v>
      </c>
      <c r="D600" s="136" t="s">
        <v>6052</v>
      </c>
      <c r="E600" s="132">
        <v>42275</v>
      </c>
      <c r="F600" s="132" t="s">
        <v>5803</v>
      </c>
      <c r="G600" s="132" t="s">
        <v>6053</v>
      </c>
      <c r="H600" s="130" t="s">
        <v>4431</v>
      </c>
      <c r="I600" s="132" t="s">
        <v>40</v>
      </c>
      <c r="J600" s="131" t="s">
        <v>4432</v>
      </c>
      <c r="K600" s="132" t="s">
        <v>4433</v>
      </c>
      <c r="L600" s="136">
        <v>3192977</v>
      </c>
      <c r="M600" s="132">
        <v>42271</v>
      </c>
      <c r="N600" s="136" t="s">
        <v>5666</v>
      </c>
      <c r="O600" s="130" t="s">
        <v>4436</v>
      </c>
      <c r="P600" s="130" t="s">
        <v>4474</v>
      </c>
      <c r="Q600" s="130">
        <v>38237090</v>
      </c>
      <c r="R600" s="136">
        <v>56.62</v>
      </c>
      <c r="S600" s="130" t="s">
        <v>70</v>
      </c>
      <c r="T600" s="136" t="s">
        <v>52</v>
      </c>
      <c r="U600" s="136" t="s">
        <v>1117</v>
      </c>
      <c r="V600" s="136">
        <v>87832</v>
      </c>
      <c r="W600" s="133">
        <f t="shared" si="27"/>
        <v>4973047.84</v>
      </c>
      <c r="X600" s="136">
        <v>0</v>
      </c>
      <c r="Y600" s="136">
        <v>129690</v>
      </c>
      <c r="Z600" s="136">
        <v>0</v>
      </c>
      <c r="AA600" s="136">
        <v>72606.5</v>
      </c>
      <c r="AB600" s="131">
        <v>42273</v>
      </c>
      <c r="AC600" s="134">
        <f t="shared" si="28"/>
        <v>4843357.84</v>
      </c>
      <c r="AD600" s="135">
        <v>1</v>
      </c>
      <c r="AE600" s="136">
        <f t="shared" si="29"/>
        <v>4973047.84</v>
      </c>
      <c r="AF600" s="130">
        <v>4843357.84</v>
      </c>
      <c r="AG600" s="138">
        <v>1</v>
      </c>
      <c r="AH600" s="136" t="s">
        <v>6054</v>
      </c>
      <c r="AI600" s="136">
        <v>4973047.84</v>
      </c>
      <c r="AJ600" s="132">
        <v>42317</v>
      </c>
      <c r="AK600" s="136" t="s">
        <v>6055</v>
      </c>
      <c r="AL600" s="132">
        <v>42320</v>
      </c>
      <c r="AM600" s="131" t="s">
        <v>49</v>
      </c>
      <c r="AN600" s="133" t="s">
        <v>4440</v>
      </c>
    </row>
    <row r="601" spans="1:40" s="129" customFormat="1" x14ac:dyDescent="0.25">
      <c r="A601" s="136">
        <v>600</v>
      </c>
      <c r="B601" s="130" t="s">
        <v>4428</v>
      </c>
      <c r="C601" s="130" t="s">
        <v>38</v>
      </c>
      <c r="D601" s="136" t="s">
        <v>6052</v>
      </c>
      <c r="E601" s="132">
        <v>42275</v>
      </c>
      <c r="F601" s="132" t="s">
        <v>5803</v>
      </c>
      <c r="G601" s="132" t="s">
        <v>6056</v>
      </c>
      <c r="H601" s="130" t="s">
        <v>4431</v>
      </c>
      <c r="I601" s="132" t="s">
        <v>40</v>
      </c>
      <c r="J601" s="131" t="s">
        <v>4432</v>
      </c>
      <c r="K601" s="132" t="s">
        <v>4433</v>
      </c>
      <c r="L601" s="136">
        <v>3194098</v>
      </c>
      <c r="M601" s="132">
        <v>42271</v>
      </c>
      <c r="N601" s="136" t="s">
        <v>5666</v>
      </c>
      <c r="O601" s="130" t="s">
        <v>4436</v>
      </c>
      <c r="P601" s="130" t="s">
        <v>4474</v>
      </c>
      <c r="Q601" s="130">
        <v>38237090</v>
      </c>
      <c r="R601" s="136">
        <v>18.77</v>
      </c>
      <c r="S601" s="130" t="s">
        <v>70</v>
      </c>
      <c r="T601" s="136" t="s">
        <v>52</v>
      </c>
      <c r="U601" s="136" t="s">
        <v>1117</v>
      </c>
      <c r="V601" s="136">
        <v>87832</v>
      </c>
      <c r="W601" s="133">
        <f t="shared" si="27"/>
        <v>1648606.64</v>
      </c>
      <c r="X601" s="136">
        <v>0</v>
      </c>
      <c r="Y601" s="136">
        <v>43230</v>
      </c>
      <c r="Z601" s="136">
        <v>0</v>
      </c>
      <c r="AA601" s="136">
        <v>24069.66</v>
      </c>
      <c r="AB601" s="131">
        <v>42273</v>
      </c>
      <c r="AC601" s="134">
        <f t="shared" si="28"/>
        <v>1605376.64</v>
      </c>
      <c r="AD601" s="135">
        <v>1</v>
      </c>
      <c r="AE601" s="136">
        <f t="shared" si="29"/>
        <v>1648606.64</v>
      </c>
      <c r="AF601" s="130">
        <v>1605376.64</v>
      </c>
      <c r="AG601" s="138">
        <v>1</v>
      </c>
      <c r="AH601" s="136" t="s">
        <v>6054</v>
      </c>
      <c r="AI601" s="136">
        <v>1630444.74</v>
      </c>
      <c r="AJ601" s="132">
        <v>42317</v>
      </c>
      <c r="AK601" s="136" t="s">
        <v>6057</v>
      </c>
      <c r="AL601" s="132">
        <v>42320</v>
      </c>
      <c r="AM601" s="131" t="s">
        <v>49</v>
      </c>
      <c r="AN601" s="133" t="s">
        <v>4440</v>
      </c>
    </row>
    <row r="602" spans="1:40" s="129" customFormat="1" x14ac:dyDescent="0.25">
      <c r="A602" s="130">
        <v>601</v>
      </c>
      <c r="B602" s="130" t="s">
        <v>4428</v>
      </c>
      <c r="C602" s="130" t="s">
        <v>38</v>
      </c>
      <c r="D602" s="136" t="s">
        <v>6052</v>
      </c>
      <c r="E602" s="132">
        <v>42275</v>
      </c>
      <c r="F602" s="132" t="s">
        <v>5803</v>
      </c>
      <c r="G602" s="141" t="s">
        <v>6058</v>
      </c>
      <c r="H602" s="130" t="s">
        <v>4431</v>
      </c>
      <c r="I602" s="132" t="s">
        <v>40</v>
      </c>
      <c r="J602" s="131" t="s">
        <v>4432</v>
      </c>
      <c r="K602" s="132" t="s">
        <v>4433</v>
      </c>
      <c r="L602" s="136">
        <v>3218264</v>
      </c>
      <c r="M602" s="132">
        <v>42273</v>
      </c>
      <c r="N602" s="136" t="s">
        <v>5666</v>
      </c>
      <c r="O602" s="130" t="s">
        <v>4436</v>
      </c>
      <c r="P602" s="130" t="s">
        <v>4474</v>
      </c>
      <c r="Q602" s="130">
        <v>38237090</v>
      </c>
      <c r="R602" s="136">
        <v>131.38999999999999</v>
      </c>
      <c r="S602" s="130" t="s">
        <v>70</v>
      </c>
      <c r="T602" s="136" t="s">
        <v>52</v>
      </c>
      <c r="U602" s="136" t="s">
        <v>1117</v>
      </c>
      <c r="V602" s="136">
        <v>87832</v>
      </c>
      <c r="W602" s="133">
        <f t="shared" si="27"/>
        <v>11540246.479999999</v>
      </c>
      <c r="X602" s="136">
        <v>0</v>
      </c>
      <c r="Y602" s="136">
        <v>302610</v>
      </c>
      <c r="Z602" s="136">
        <v>0</v>
      </c>
      <c r="AA602" s="136">
        <v>168487.6</v>
      </c>
      <c r="AB602" s="131">
        <v>42273</v>
      </c>
      <c r="AC602" s="134">
        <f t="shared" si="28"/>
        <v>11237636.48</v>
      </c>
      <c r="AD602" s="135">
        <v>1</v>
      </c>
      <c r="AE602" s="136">
        <f>AD602*W602</f>
        <v>11540246.479999999</v>
      </c>
      <c r="AF602" s="130">
        <v>11237636.48</v>
      </c>
      <c r="AG602" s="138">
        <v>1</v>
      </c>
      <c r="AH602" s="136" t="s">
        <v>6054</v>
      </c>
      <c r="AI602" s="136">
        <v>11540246.48</v>
      </c>
      <c r="AJ602" s="132">
        <v>42317</v>
      </c>
      <c r="AK602" s="136" t="s">
        <v>6059</v>
      </c>
      <c r="AL602" s="132">
        <v>42320</v>
      </c>
      <c r="AM602" s="131" t="s">
        <v>49</v>
      </c>
      <c r="AN602" s="133" t="s">
        <v>4440</v>
      </c>
    </row>
    <row r="603" spans="1:40" s="129" customFormat="1" x14ac:dyDescent="0.25">
      <c r="A603" s="136">
        <v>602</v>
      </c>
      <c r="B603" s="130" t="s">
        <v>4428</v>
      </c>
      <c r="C603" s="130" t="s">
        <v>38</v>
      </c>
      <c r="D603" s="136">
        <v>9103650562</v>
      </c>
      <c r="E603" s="132">
        <v>42278</v>
      </c>
      <c r="F603" s="132" t="s">
        <v>6060</v>
      </c>
      <c r="G603" s="132" t="s">
        <v>6061</v>
      </c>
      <c r="H603" s="130" t="s">
        <v>4564</v>
      </c>
      <c r="I603" s="132" t="s">
        <v>40</v>
      </c>
      <c r="J603" s="131" t="s">
        <v>4432</v>
      </c>
      <c r="K603" s="132" t="s">
        <v>4433</v>
      </c>
      <c r="L603" s="136">
        <v>3223191</v>
      </c>
      <c r="M603" s="136" t="s">
        <v>6062</v>
      </c>
      <c r="N603" s="136" t="s">
        <v>4899</v>
      </c>
      <c r="O603" s="130" t="s">
        <v>4436</v>
      </c>
      <c r="P603" s="130" t="s">
        <v>257</v>
      </c>
      <c r="Q603" s="130">
        <v>38237090</v>
      </c>
      <c r="R603" s="136">
        <v>12</v>
      </c>
      <c r="S603" s="130" t="s">
        <v>70</v>
      </c>
      <c r="T603" s="136" t="s">
        <v>67</v>
      </c>
      <c r="U603" s="136" t="s">
        <v>53</v>
      </c>
      <c r="V603" s="136">
        <v>2050</v>
      </c>
      <c r="W603" s="133">
        <f t="shared" si="27"/>
        <v>24600</v>
      </c>
      <c r="X603" s="136">
        <v>0</v>
      </c>
      <c r="Y603" s="136">
        <v>0</v>
      </c>
      <c r="Z603" s="136">
        <v>0</v>
      </c>
      <c r="AA603" s="136">
        <v>0</v>
      </c>
      <c r="AB603" s="131">
        <v>42275</v>
      </c>
      <c r="AC603" s="134">
        <f t="shared" si="28"/>
        <v>24600</v>
      </c>
      <c r="AD603" s="135">
        <v>66</v>
      </c>
      <c r="AE603" s="136">
        <f t="shared" si="29"/>
        <v>1623600</v>
      </c>
      <c r="AF603" s="137">
        <v>1623600</v>
      </c>
      <c r="AG603" s="138">
        <v>66</v>
      </c>
      <c r="AH603" s="136" t="s">
        <v>6063</v>
      </c>
      <c r="AI603" s="133">
        <v>24585</v>
      </c>
      <c r="AJ603" s="132">
        <v>42324</v>
      </c>
      <c r="AK603" s="136" t="s">
        <v>6064</v>
      </c>
      <c r="AL603" s="132">
        <v>42325</v>
      </c>
      <c r="AM603" s="131" t="s">
        <v>49</v>
      </c>
      <c r="AN603" s="133" t="s">
        <v>4440</v>
      </c>
    </row>
    <row r="604" spans="1:40" s="129" customFormat="1" x14ac:dyDescent="0.25">
      <c r="A604" s="130">
        <v>603</v>
      </c>
      <c r="B604" s="130" t="s">
        <v>4428</v>
      </c>
      <c r="C604" s="130" t="s">
        <v>38</v>
      </c>
      <c r="D604" s="136">
        <v>9103650564</v>
      </c>
      <c r="E604" s="132">
        <v>42279</v>
      </c>
      <c r="F604" s="132" t="s">
        <v>6060</v>
      </c>
      <c r="G604" s="132" t="s">
        <v>6065</v>
      </c>
      <c r="H604" s="130" t="s">
        <v>4564</v>
      </c>
      <c r="I604" s="132" t="s">
        <v>40</v>
      </c>
      <c r="J604" s="131" t="s">
        <v>4432</v>
      </c>
      <c r="K604" s="132" t="s">
        <v>4433</v>
      </c>
      <c r="L604" s="136">
        <v>3225911</v>
      </c>
      <c r="M604" s="132" t="s">
        <v>6062</v>
      </c>
      <c r="N604" s="136" t="s">
        <v>4608</v>
      </c>
      <c r="O604" s="130" t="s">
        <v>4436</v>
      </c>
      <c r="P604" s="130" t="s">
        <v>205</v>
      </c>
      <c r="Q604" s="130" t="s">
        <v>4645</v>
      </c>
      <c r="R604" s="136">
        <v>17.600000000000001</v>
      </c>
      <c r="S604" s="130" t="s">
        <v>70</v>
      </c>
      <c r="T604" s="136" t="s">
        <v>44</v>
      </c>
      <c r="U604" s="136" t="s">
        <v>53</v>
      </c>
      <c r="V604" s="136">
        <v>0</v>
      </c>
      <c r="W604" s="133">
        <f>(6*1700+1620*11.6)</f>
        <v>28992</v>
      </c>
      <c r="X604" s="136">
        <v>9.57</v>
      </c>
      <c r="Y604" s="136">
        <v>500</v>
      </c>
      <c r="Z604" s="136">
        <v>0</v>
      </c>
      <c r="AA604" s="136">
        <v>0</v>
      </c>
      <c r="AB604" s="131">
        <v>42275</v>
      </c>
      <c r="AC604" s="134">
        <f t="shared" si="28"/>
        <v>28482.429999999997</v>
      </c>
      <c r="AD604" s="135">
        <v>66</v>
      </c>
      <c r="AE604" s="136">
        <f t="shared" si="29"/>
        <v>1913472</v>
      </c>
      <c r="AF604" s="137">
        <v>1879840.38</v>
      </c>
      <c r="AG604" s="138">
        <v>66</v>
      </c>
      <c r="AH604" s="136" t="s">
        <v>6066</v>
      </c>
      <c r="AI604" s="136">
        <v>28977</v>
      </c>
      <c r="AJ604" s="132" t="s">
        <v>5595</v>
      </c>
      <c r="AK604" s="136" t="s">
        <v>6067</v>
      </c>
      <c r="AL604" s="132" t="s">
        <v>5597</v>
      </c>
      <c r="AM604" s="131" t="s">
        <v>49</v>
      </c>
      <c r="AN604" s="133" t="s">
        <v>4440</v>
      </c>
    </row>
    <row r="605" spans="1:40" s="129" customFormat="1" x14ac:dyDescent="0.25">
      <c r="A605" s="136">
        <v>604</v>
      </c>
      <c r="B605" s="130" t="s">
        <v>4428</v>
      </c>
      <c r="C605" s="130" t="s">
        <v>38</v>
      </c>
      <c r="D605" s="136">
        <v>9116650011</v>
      </c>
      <c r="E605" s="132">
        <v>42279</v>
      </c>
      <c r="F605" s="132" t="s">
        <v>6060</v>
      </c>
      <c r="G605" s="132" t="s">
        <v>6068</v>
      </c>
      <c r="H605" s="130" t="s">
        <v>4456</v>
      </c>
      <c r="I605" s="132" t="s">
        <v>65</v>
      </c>
      <c r="J605" s="131" t="s">
        <v>5507</v>
      </c>
      <c r="K605" s="132" t="s">
        <v>4433</v>
      </c>
      <c r="L605" s="136">
        <v>3032387</v>
      </c>
      <c r="M605" s="132" t="s">
        <v>4805</v>
      </c>
      <c r="N605" s="136" t="s">
        <v>5509</v>
      </c>
      <c r="O605" s="130" t="s">
        <v>4436</v>
      </c>
      <c r="P605" s="130" t="s">
        <v>4492</v>
      </c>
      <c r="Q605" s="130">
        <v>34011190</v>
      </c>
      <c r="R605" s="136">
        <v>115200</v>
      </c>
      <c r="S605" s="130" t="s">
        <v>70</v>
      </c>
      <c r="T605" s="136" t="s">
        <v>5788</v>
      </c>
      <c r="U605" s="136" t="s">
        <v>53</v>
      </c>
      <c r="V605" s="136">
        <v>0.25</v>
      </c>
      <c r="W605" s="133">
        <f t="shared" si="27"/>
        <v>28800</v>
      </c>
      <c r="X605" s="136">
        <v>9.5</v>
      </c>
      <c r="Y605" s="136">
        <v>4850</v>
      </c>
      <c r="Z605" s="136">
        <v>0</v>
      </c>
      <c r="AA605" s="136">
        <v>0</v>
      </c>
      <c r="AB605" s="131">
        <v>42271</v>
      </c>
      <c r="AC605" s="134">
        <f t="shared" si="28"/>
        <v>23940.5</v>
      </c>
      <c r="AD605" s="135">
        <v>65.8</v>
      </c>
      <c r="AE605" s="136">
        <f t="shared" si="29"/>
        <v>1895040</v>
      </c>
      <c r="AF605" s="130">
        <v>1575284.9</v>
      </c>
      <c r="AG605" s="138">
        <v>66</v>
      </c>
      <c r="AH605" s="136" t="s">
        <v>6069</v>
      </c>
      <c r="AI605" s="133">
        <v>28800</v>
      </c>
      <c r="AJ605" s="132">
        <v>42318</v>
      </c>
      <c r="AK605" s="136" t="s">
        <v>6070</v>
      </c>
      <c r="AL605" s="132">
        <v>42321</v>
      </c>
      <c r="AM605" s="131" t="s">
        <v>49</v>
      </c>
      <c r="AN605" s="133" t="s">
        <v>4440</v>
      </c>
    </row>
    <row r="606" spans="1:40" s="129" customFormat="1" x14ac:dyDescent="0.25">
      <c r="A606" s="130">
        <v>605</v>
      </c>
      <c r="B606" s="130" t="s">
        <v>4428</v>
      </c>
      <c r="C606" s="130" t="s">
        <v>38</v>
      </c>
      <c r="D606" s="136">
        <v>9103650563</v>
      </c>
      <c r="E606" s="132">
        <v>42280</v>
      </c>
      <c r="F606" s="132" t="s">
        <v>6060</v>
      </c>
      <c r="G606" s="132" t="s">
        <v>6071</v>
      </c>
      <c r="H606" s="130" t="s">
        <v>4491</v>
      </c>
      <c r="I606" s="132" t="s">
        <v>40</v>
      </c>
      <c r="J606" s="131" t="s">
        <v>4432</v>
      </c>
      <c r="K606" s="132" t="s">
        <v>4433</v>
      </c>
      <c r="L606" s="136">
        <v>3225798</v>
      </c>
      <c r="M606" s="132">
        <v>42273</v>
      </c>
      <c r="N606" s="136" t="s">
        <v>3741</v>
      </c>
      <c r="O606" s="130" t="s">
        <v>4436</v>
      </c>
      <c r="P606" s="130" t="s">
        <v>4492</v>
      </c>
      <c r="Q606" s="130">
        <v>38237090</v>
      </c>
      <c r="R606" s="136">
        <v>18.14</v>
      </c>
      <c r="S606" s="130" t="s">
        <v>70</v>
      </c>
      <c r="T606" s="136" t="s">
        <v>44</v>
      </c>
      <c r="U606" s="136" t="s">
        <v>53</v>
      </c>
      <c r="V606" s="136">
        <v>1452</v>
      </c>
      <c r="W606" s="133">
        <f t="shared" si="27"/>
        <v>26339.280000000002</v>
      </c>
      <c r="X606" s="136">
        <v>8.69</v>
      </c>
      <c r="Y606" s="136">
        <v>1900</v>
      </c>
      <c r="Z606" s="136">
        <v>0</v>
      </c>
      <c r="AA606" s="136">
        <v>0</v>
      </c>
      <c r="AB606" s="131">
        <v>42275</v>
      </c>
      <c r="AC606" s="134">
        <f t="shared" si="28"/>
        <v>24430.59</v>
      </c>
      <c r="AD606" s="135">
        <v>66</v>
      </c>
      <c r="AE606" s="136">
        <f t="shared" si="29"/>
        <v>1738392.4800000002</v>
      </c>
      <c r="AF606" s="137">
        <v>1612418.94</v>
      </c>
      <c r="AG606" s="138">
        <v>66</v>
      </c>
      <c r="AH606" s="136" t="s">
        <v>6072</v>
      </c>
      <c r="AI606" s="133">
        <v>26339.279999999999</v>
      </c>
      <c r="AJ606" s="132">
        <v>42318</v>
      </c>
      <c r="AK606" s="136" t="s">
        <v>6073</v>
      </c>
      <c r="AL606" s="132">
        <v>42321</v>
      </c>
      <c r="AM606" s="131" t="s">
        <v>49</v>
      </c>
      <c r="AN606" s="133" t="s">
        <v>4440</v>
      </c>
    </row>
    <row r="607" spans="1:40" s="129" customFormat="1" x14ac:dyDescent="0.25">
      <c r="A607" s="136">
        <v>606</v>
      </c>
      <c r="B607" s="130" t="s">
        <v>4428</v>
      </c>
      <c r="C607" s="130" t="s">
        <v>38</v>
      </c>
      <c r="D607" s="136">
        <v>9103650565</v>
      </c>
      <c r="E607" s="132">
        <v>42280</v>
      </c>
      <c r="F607" s="132" t="s">
        <v>6060</v>
      </c>
      <c r="G607" s="132" t="s">
        <v>6074</v>
      </c>
      <c r="H607" s="130" t="s">
        <v>4491</v>
      </c>
      <c r="I607" s="132" t="s">
        <v>40</v>
      </c>
      <c r="J607" s="131" t="s">
        <v>4432</v>
      </c>
      <c r="K607" s="132" t="s">
        <v>4433</v>
      </c>
      <c r="L607" s="136">
        <v>3246319</v>
      </c>
      <c r="M607" s="132">
        <v>42275</v>
      </c>
      <c r="N607" s="136" t="s">
        <v>3741</v>
      </c>
      <c r="O607" s="130" t="s">
        <v>4436</v>
      </c>
      <c r="P607" s="130" t="s">
        <v>4492</v>
      </c>
      <c r="Q607" s="130">
        <v>29051700</v>
      </c>
      <c r="R607" s="136">
        <v>54.42</v>
      </c>
      <c r="S607" s="130" t="s">
        <v>70</v>
      </c>
      <c r="T607" s="136" t="s">
        <v>44</v>
      </c>
      <c r="U607" s="136" t="s">
        <v>53</v>
      </c>
      <c r="V607" s="136">
        <v>1872</v>
      </c>
      <c r="W607" s="133">
        <f t="shared" si="27"/>
        <v>101874.24000000001</v>
      </c>
      <c r="X607" s="136">
        <v>33.619999999999997</v>
      </c>
      <c r="Y607" s="136">
        <v>5700</v>
      </c>
      <c r="Z607" s="136">
        <v>0</v>
      </c>
      <c r="AA607" s="136">
        <v>0</v>
      </c>
      <c r="AB607" s="131">
        <v>42277</v>
      </c>
      <c r="AC607" s="134">
        <f t="shared" si="28"/>
        <v>96140.62</v>
      </c>
      <c r="AD607" s="135">
        <v>66</v>
      </c>
      <c r="AE607" s="136">
        <f t="shared" si="29"/>
        <v>6723699.8400000008</v>
      </c>
      <c r="AF607" s="137">
        <v>6345280.9199999999</v>
      </c>
      <c r="AG607" s="138">
        <v>66</v>
      </c>
      <c r="AH607" s="136" t="s">
        <v>6075</v>
      </c>
      <c r="AI607" s="133">
        <v>101874.24000000001</v>
      </c>
      <c r="AJ607" s="132">
        <v>42318</v>
      </c>
      <c r="AK607" s="136" t="s">
        <v>6076</v>
      </c>
      <c r="AL607" s="132">
        <v>42321</v>
      </c>
      <c r="AM607" s="131" t="s">
        <v>49</v>
      </c>
      <c r="AN607" s="133" t="s">
        <v>4440</v>
      </c>
    </row>
    <row r="608" spans="1:40" s="129" customFormat="1" x14ac:dyDescent="0.25">
      <c r="A608" s="130">
        <v>607</v>
      </c>
      <c r="B608" s="130" t="s">
        <v>4428</v>
      </c>
      <c r="C608" s="130" t="s">
        <v>38</v>
      </c>
      <c r="D608" s="136">
        <v>9103650571</v>
      </c>
      <c r="E608" s="132">
        <v>42280</v>
      </c>
      <c r="F608" s="132" t="s">
        <v>6060</v>
      </c>
      <c r="G608" s="132" t="s">
        <v>6077</v>
      </c>
      <c r="H608" s="130" t="s">
        <v>4491</v>
      </c>
      <c r="I608" s="132" t="s">
        <v>40</v>
      </c>
      <c r="J608" s="131" t="s">
        <v>4432</v>
      </c>
      <c r="K608" s="132" t="s">
        <v>4433</v>
      </c>
      <c r="L608" s="136">
        <v>3296713</v>
      </c>
      <c r="M608" s="132">
        <v>42277</v>
      </c>
      <c r="N608" s="136" t="s">
        <v>3741</v>
      </c>
      <c r="O608" s="130" t="s">
        <v>4436</v>
      </c>
      <c r="P608" s="130" t="s">
        <v>4492</v>
      </c>
      <c r="Q608" s="130">
        <v>29051700</v>
      </c>
      <c r="R608" s="136">
        <v>36.28</v>
      </c>
      <c r="S608" s="130" t="s">
        <v>70</v>
      </c>
      <c r="T608" s="136" t="s">
        <v>44</v>
      </c>
      <c r="U608" s="136" t="s">
        <v>53</v>
      </c>
      <c r="V608" s="136">
        <v>1432</v>
      </c>
      <c r="W608" s="133">
        <f t="shared" si="27"/>
        <v>51952.959999999999</v>
      </c>
      <c r="X608" s="136">
        <v>17.14</v>
      </c>
      <c r="Y608" s="136">
        <v>5800</v>
      </c>
      <c r="Z608" s="136">
        <v>0</v>
      </c>
      <c r="AA608" s="136">
        <v>0</v>
      </c>
      <c r="AB608" s="131">
        <v>42278</v>
      </c>
      <c r="AC608" s="134">
        <f t="shared" si="28"/>
        <v>46135.82</v>
      </c>
      <c r="AD608" s="135">
        <v>66</v>
      </c>
      <c r="AE608" s="136">
        <f t="shared" si="29"/>
        <v>3428895.36</v>
      </c>
      <c r="AF608" s="137">
        <v>3044964.12</v>
      </c>
      <c r="AG608" s="138">
        <v>66</v>
      </c>
      <c r="AH608" s="136" t="s">
        <v>6078</v>
      </c>
      <c r="AI608" s="133">
        <v>51952.959999999999</v>
      </c>
      <c r="AJ608" s="132">
        <v>42318</v>
      </c>
      <c r="AK608" s="136" t="s">
        <v>6079</v>
      </c>
      <c r="AL608" s="132">
        <v>42321</v>
      </c>
      <c r="AM608" s="131" t="s">
        <v>49</v>
      </c>
      <c r="AN608" s="133" t="s">
        <v>4440</v>
      </c>
    </row>
    <row r="609" spans="1:40" s="129" customFormat="1" x14ac:dyDescent="0.25">
      <c r="A609" s="136">
        <v>608</v>
      </c>
      <c r="B609" s="130" t="s">
        <v>4428</v>
      </c>
      <c r="C609" s="130" t="s">
        <v>38</v>
      </c>
      <c r="D609" s="136">
        <v>9103650578</v>
      </c>
      <c r="E609" s="132">
        <v>42280</v>
      </c>
      <c r="F609" s="132" t="s">
        <v>6060</v>
      </c>
      <c r="G609" s="132" t="s">
        <v>6080</v>
      </c>
      <c r="H609" s="130" t="s">
        <v>4463</v>
      </c>
      <c r="I609" s="132" t="s">
        <v>40</v>
      </c>
      <c r="J609" s="131" t="s">
        <v>4432</v>
      </c>
      <c r="K609" s="132" t="s">
        <v>4433</v>
      </c>
      <c r="L609" s="136">
        <v>3328878</v>
      </c>
      <c r="M609" s="132" t="s">
        <v>4906</v>
      </c>
      <c r="N609" s="136" t="s">
        <v>6081</v>
      </c>
      <c r="O609" s="130" t="s">
        <v>4436</v>
      </c>
      <c r="P609" s="130" t="s">
        <v>243</v>
      </c>
      <c r="Q609" s="130">
        <v>38237090</v>
      </c>
      <c r="R609" s="136">
        <v>26</v>
      </c>
      <c r="S609" s="130" t="s">
        <v>70</v>
      </c>
      <c r="T609" s="136" t="s">
        <v>44</v>
      </c>
      <c r="U609" s="136" t="s">
        <v>53</v>
      </c>
      <c r="V609" s="136">
        <v>1220</v>
      </c>
      <c r="W609" s="133">
        <f t="shared" si="27"/>
        <v>31720</v>
      </c>
      <c r="X609" s="136">
        <v>10.47</v>
      </c>
      <c r="Y609" s="136">
        <v>700</v>
      </c>
      <c r="Z609" s="136">
        <v>0</v>
      </c>
      <c r="AA609" s="136">
        <v>0</v>
      </c>
      <c r="AB609" s="131"/>
      <c r="AC609" s="134">
        <f t="shared" si="28"/>
        <v>30859.53</v>
      </c>
      <c r="AD609" s="135">
        <v>66</v>
      </c>
      <c r="AE609" s="136">
        <f t="shared" si="29"/>
        <v>2093520</v>
      </c>
      <c r="AF609" s="137">
        <v>2036728.98</v>
      </c>
      <c r="AG609" s="138">
        <v>65.099999999999994</v>
      </c>
      <c r="AH609" s="136" t="s">
        <v>6082</v>
      </c>
      <c r="AI609" s="136">
        <v>31680</v>
      </c>
      <c r="AJ609" s="132" t="s">
        <v>5199</v>
      </c>
      <c r="AK609" s="136" t="s">
        <v>6083</v>
      </c>
      <c r="AL609" s="132" t="s">
        <v>4915</v>
      </c>
      <c r="AM609" s="131" t="s">
        <v>49</v>
      </c>
      <c r="AN609" s="136" t="s">
        <v>4440</v>
      </c>
    </row>
    <row r="610" spans="1:40" s="129" customFormat="1" x14ac:dyDescent="0.25">
      <c r="A610" s="130">
        <v>609</v>
      </c>
      <c r="B610" s="130" t="s">
        <v>4428</v>
      </c>
      <c r="C610" s="130" t="s">
        <v>38</v>
      </c>
      <c r="D610" s="136">
        <v>9103650566</v>
      </c>
      <c r="E610" s="132">
        <v>42281</v>
      </c>
      <c r="F610" s="132" t="s">
        <v>6060</v>
      </c>
      <c r="G610" s="132" t="s">
        <v>6084</v>
      </c>
      <c r="H610" s="130" t="s">
        <v>4564</v>
      </c>
      <c r="I610" s="132" t="s">
        <v>40</v>
      </c>
      <c r="J610" s="131" t="s">
        <v>4432</v>
      </c>
      <c r="K610" s="132" t="s">
        <v>4433</v>
      </c>
      <c r="L610" s="136">
        <v>3246518</v>
      </c>
      <c r="M610" s="132" t="s">
        <v>6085</v>
      </c>
      <c r="N610" s="136" t="s">
        <v>4570</v>
      </c>
      <c r="O610" s="130" t="s">
        <v>4436</v>
      </c>
      <c r="P610" s="130" t="s">
        <v>143</v>
      </c>
      <c r="Q610" s="130">
        <v>38237090</v>
      </c>
      <c r="R610" s="136">
        <v>16</v>
      </c>
      <c r="S610" s="130" t="s">
        <v>70</v>
      </c>
      <c r="T610" s="136" t="s">
        <v>44</v>
      </c>
      <c r="U610" s="136" t="s">
        <v>53</v>
      </c>
      <c r="V610" s="136">
        <v>1410</v>
      </c>
      <c r="W610" s="133">
        <f t="shared" si="27"/>
        <v>22560</v>
      </c>
      <c r="X610" s="136">
        <v>7.44</v>
      </c>
      <c r="Y610" s="136">
        <v>550</v>
      </c>
      <c r="Z610" s="136">
        <v>0</v>
      </c>
      <c r="AA610" s="136">
        <v>0</v>
      </c>
      <c r="AB610" s="131">
        <v>42276</v>
      </c>
      <c r="AC610" s="134">
        <f t="shared" si="28"/>
        <v>22002.559999999998</v>
      </c>
      <c r="AD610" s="135">
        <v>66</v>
      </c>
      <c r="AE610" s="136">
        <f t="shared" si="29"/>
        <v>1488960</v>
      </c>
      <c r="AF610" s="137">
        <v>1452168.96</v>
      </c>
      <c r="AG610" s="138">
        <v>66</v>
      </c>
      <c r="AH610" s="136" t="s">
        <v>6086</v>
      </c>
      <c r="AI610" s="136">
        <v>22560</v>
      </c>
      <c r="AJ610" s="132" t="s">
        <v>5687</v>
      </c>
      <c r="AK610" s="136" t="s">
        <v>6087</v>
      </c>
      <c r="AL610" s="132" t="s">
        <v>5540</v>
      </c>
      <c r="AM610" s="131" t="s">
        <v>49</v>
      </c>
      <c r="AN610" s="133" t="s">
        <v>4440</v>
      </c>
    </row>
    <row r="611" spans="1:40" s="129" customFormat="1" x14ac:dyDescent="0.25">
      <c r="A611" s="136">
        <v>610</v>
      </c>
      <c r="B611" s="130" t="s">
        <v>4428</v>
      </c>
      <c r="C611" s="130" t="s">
        <v>38</v>
      </c>
      <c r="D611" s="136" t="s">
        <v>6088</v>
      </c>
      <c r="E611" s="132">
        <v>42281</v>
      </c>
      <c r="F611" s="132" t="s">
        <v>6060</v>
      </c>
      <c r="G611" s="132" t="s">
        <v>6089</v>
      </c>
      <c r="H611" s="130" t="s">
        <v>4564</v>
      </c>
      <c r="I611" s="132" t="s">
        <v>40</v>
      </c>
      <c r="J611" s="131" t="s">
        <v>4432</v>
      </c>
      <c r="K611" s="132" t="s">
        <v>4433</v>
      </c>
      <c r="L611" s="136">
        <v>3278419</v>
      </c>
      <c r="M611" s="132">
        <v>42276</v>
      </c>
      <c r="N611" s="136" t="s">
        <v>4588</v>
      </c>
      <c r="O611" s="130" t="s">
        <v>4436</v>
      </c>
      <c r="P611" s="130" t="s">
        <v>59</v>
      </c>
      <c r="Q611" s="130">
        <v>29157010</v>
      </c>
      <c r="R611" s="136">
        <v>19.64</v>
      </c>
      <c r="S611" s="130" t="s">
        <v>70</v>
      </c>
      <c r="T611" s="136" t="s">
        <v>44</v>
      </c>
      <c r="U611" s="136" t="s">
        <v>53</v>
      </c>
      <c r="V611" s="136">
        <v>680</v>
      </c>
      <c r="W611" s="133">
        <f t="shared" si="27"/>
        <v>13355.2</v>
      </c>
      <c r="X611" s="136">
        <v>4.41</v>
      </c>
      <c r="Y611" s="136">
        <v>500</v>
      </c>
      <c r="Z611" s="136">
        <v>0</v>
      </c>
      <c r="AA611" s="136">
        <v>247.46</v>
      </c>
      <c r="AB611" s="131"/>
      <c r="AC611" s="134">
        <f t="shared" si="28"/>
        <v>12850.79</v>
      </c>
      <c r="AD611" s="135">
        <v>66</v>
      </c>
      <c r="AE611" s="136">
        <f t="shared" si="29"/>
        <v>881443.20000000007</v>
      </c>
      <c r="AF611" s="137">
        <v>848152.14</v>
      </c>
      <c r="AG611" s="138">
        <v>66</v>
      </c>
      <c r="AH611" s="136" t="s">
        <v>6090</v>
      </c>
      <c r="AI611" s="136">
        <v>13355</v>
      </c>
      <c r="AJ611" s="132">
        <v>42310</v>
      </c>
      <c r="AK611" s="136" t="s">
        <v>6091</v>
      </c>
      <c r="AL611" s="132">
        <v>42329</v>
      </c>
      <c r="AM611" s="131" t="s">
        <v>49</v>
      </c>
      <c r="AN611" s="133" t="s">
        <v>4440</v>
      </c>
    </row>
    <row r="612" spans="1:40" s="129" customFormat="1" x14ac:dyDescent="0.25">
      <c r="A612" s="130">
        <v>611</v>
      </c>
      <c r="B612" s="130" t="s">
        <v>4428</v>
      </c>
      <c r="C612" s="130" t="s">
        <v>38</v>
      </c>
      <c r="D612" s="136" t="s">
        <v>6088</v>
      </c>
      <c r="E612" s="132">
        <v>42281</v>
      </c>
      <c r="F612" s="132" t="s">
        <v>6060</v>
      </c>
      <c r="G612" s="132" t="s">
        <v>6092</v>
      </c>
      <c r="H612" s="130" t="s">
        <v>4564</v>
      </c>
      <c r="I612" s="132" t="s">
        <v>40</v>
      </c>
      <c r="J612" s="131" t="s">
        <v>4432</v>
      </c>
      <c r="K612" s="132" t="s">
        <v>4433</v>
      </c>
      <c r="L612" s="136">
        <v>3305474</v>
      </c>
      <c r="M612" s="132">
        <v>42277</v>
      </c>
      <c r="N612" s="136" t="s">
        <v>4588</v>
      </c>
      <c r="O612" s="130" t="s">
        <v>4436</v>
      </c>
      <c r="P612" s="130" t="s">
        <v>59</v>
      </c>
      <c r="Q612" s="130">
        <v>29157010</v>
      </c>
      <c r="R612" s="136">
        <v>59.34</v>
      </c>
      <c r="S612" s="130" t="s">
        <v>70</v>
      </c>
      <c r="T612" s="136" t="s">
        <v>44</v>
      </c>
      <c r="U612" s="136" t="s">
        <v>53</v>
      </c>
      <c r="V612" s="136">
        <v>680</v>
      </c>
      <c r="W612" s="133">
        <f t="shared" si="27"/>
        <v>40351.200000000004</v>
      </c>
      <c r="X612" s="136">
        <v>13.32</v>
      </c>
      <c r="Y612" s="136">
        <v>1500</v>
      </c>
      <c r="Z612" s="136">
        <v>0</v>
      </c>
      <c r="AA612" s="136">
        <v>747.68</v>
      </c>
      <c r="AB612" s="131"/>
      <c r="AC612" s="134">
        <f t="shared" si="28"/>
        <v>38837.880000000005</v>
      </c>
      <c r="AD612" s="135">
        <v>66</v>
      </c>
      <c r="AE612" s="136">
        <f t="shared" si="29"/>
        <v>2663179.2000000002</v>
      </c>
      <c r="AF612" s="137">
        <v>2563300.08</v>
      </c>
      <c r="AG612" s="138">
        <v>66</v>
      </c>
      <c r="AH612" s="136" t="s">
        <v>6090</v>
      </c>
      <c r="AI612" s="136">
        <v>40351</v>
      </c>
      <c r="AJ612" s="132">
        <v>42310</v>
      </c>
      <c r="AK612" s="136" t="s">
        <v>6093</v>
      </c>
      <c r="AL612" s="132">
        <v>42329</v>
      </c>
      <c r="AM612" s="131" t="s">
        <v>49</v>
      </c>
      <c r="AN612" s="133" t="s">
        <v>4440</v>
      </c>
    </row>
    <row r="613" spans="1:40" s="129" customFormat="1" x14ac:dyDescent="0.25">
      <c r="A613" s="136">
        <v>612</v>
      </c>
      <c r="B613" s="130" t="s">
        <v>4428</v>
      </c>
      <c r="C613" s="130" t="s">
        <v>38</v>
      </c>
      <c r="D613" s="136">
        <v>9103650558</v>
      </c>
      <c r="E613" s="132">
        <v>42282</v>
      </c>
      <c r="F613" s="132" t="s">
        <v>6060</v>
      </c>
      <c r="G613" s="132" t="s">
        <v>6094</v>
      </c>
      <c r="H613" s="130" t="s">
        <v>4446</v>
      </c>
      <c r="I613" s="132" t="s">
        <v>40</v>
      </c>
      <c r="J613" s="131" t="s">
        <v>4432</v>
      </c>
      <c r="K613" s="132" t="s">
        <v>4433</v>
      </c>
      <c r="L613" s="136">
        <v>3231712</v>
      </c>
      <c r="M613" s="132">
        <v>42275</v>
      </c>
      <c r="N613" s="136" t="s">
        <v>4733</v>
      </c>
      <c r="O613" s="130" t="s">
        <v>4436</v>
      </c>
      <c r="P613" s="130" t="s">
        <v>492</v>
      </c>
      <c r="Q613" s="130">
        <v>38231900</v>
      </c>
      <c r="R613" s="136">
        <v>39.79</v>
      </c>
      <c r="S613" s="130" t="s">
        <v>70</v>
      </c>
      <c r="T613" s="136" t="s">
        <v>44</v>
      </c>
      <c r="U613" s="136" t="s">
        <v>53</v>
      </c>
      <c r="V613" s="136">
        <v>3750</v>
      </c>
      <c r="W613" s="133">
        <f t="shared" si="27"/>
        <v>149212.5</v>
      </c>
      <c r="X613" s="136">
        <v>49.24</v>
      </c>
      <c r="Y613" s="136">
        <v>300</v>
      </c>
      <c r="Z613" s="136">
        <v>0</v>
      </c>
      <c r="AA613" s="136">
        <v>0</v>
      </c>
      <c r="AB613" s="131">
        <v>42275</v>
      </c>
      <c r="AC613" s="134">
        <f t="shared" si="28"/>
        <v>148863.26</v>
      </c>
      <c r="AD613" s="135">
        <v>66</v>
      </c>
      <c r="AE613" s="136">
        <f t="shared" si="29"/>
        <v>9848025</v>
      </c>
      <c r="AF613" s="137">
        <v>9824975.1600000001</v>
      </c>
      <c r="AG613" s="138">
        <v>66</v>
      </c>
      <c r="AH613" s="136" t="s">
        <v>6095</v>
      </c>
      <c r="AI613" s="136">
        <v>149175.5</v>
      </c>
      <c r="AJ613" s="132">
        <v>42357</v>
      </c>
      <c r="AK613" s="136" t="s">
        <v>6096</v>
      </c>
      <c r="AL613" s="155">
        <v>42359</v>
      </c>
      <c r="AM613" s="131" t="s">
        <v>49</v>
      </c>
      <c r="AN613" s="133" t="s">
        <v>4440</v>
      </c>
    </row>
    <row r="614" spans="1:40" s="129" customFormat="1" x14ac:dyDescent="0.25">
      <c r="A614" s="130">
        <v>613</v>
      </c>
      <c r="B614" s="130" t="s">
        <v>4428</v>
      </c>
      <c r="C614" s="130" t="s">
        <v>38</v>
      </c>
      <c r="D614" s="136">
        <v>9103650567</v>
      </c>
      <c r="E614" s="132">
        <v>42282</v>
      </c>
      <c r="F614" s="132" t="s">
        <v>6060</v>
      </c>
      <c r="G614" s="132" t="s">
        <v>6097</v>
      </c>
      <c r="H614" s="130" t="s">
        <v>4456</v>
      </c>
      <c r="I614" s="132" t="s">
        <v>40</v>
      </c>
      <c r="J614" s="131" t="s">
        <v>4432</v>
      </c>
      <c r="K614" s="132" t="s">
        <v>4433</v>
      </c>
      <c r="L614" s="136">
        <v>3247244</v>
      </c>
      <c r="M614" s="132">
        <v>42275</v>
      </c>
      <c r="N614" s="136" t="s">
        <v>4527</v>
      </c>
      <c r="O614" s="130" t="s">
        <v>4436</v>
      </c>
      <c r="P614" s="130" t="s">
        <v>2657</v>
      </c>
      <c r="Q614" s="130">
        <v>38237090</v>
      </c>
      <c r="R614" s="136">
        <v>56.73</v>
      </c>
      <c r="S614" s="130" t="s">
        <v>70</v>
      </c>
      <c r="T614" s="136" t="s">
        <v>52</v>
      </c>
      <c r="U614" s="136" t="s">
        <v>4528</v>
      </c>
      <c r="V614" s="136">
        <v>1000</v>
      </c>
      <c r="W614" s="133">
        <f t="shared" si="27"/>
        <v>56730</v>
      </c>
      <c r="X614" s="136">
        <v>0</v>
      </c>
      <c r="Y614" s="136">
        <v>1333.33</v>
      </c>
      <c r="Z614" s="136">
        <v>0</v>
      </c>
      <c r="AA614" s="136">
        <v>0</v>
      </c>
      <c r="AB614" s="131">
        <v>42277</v>
      </c>
      <c r="AC614" s="134">
        <f t="shared" si="28"/>
        <v>55396.670033670031</v>
      </c>
      <c r="AD614" s="135">
        <v>74.25</v>
      </c>
      <c r="AE614" s="136">
        <f t="shared" si="29"/>
        <v>4212202.5</v>
      </c>
      <c r="AF614" s="130">
        <v>4113202.75</v>
      </c>
      <c r="AG614" s="138">
        <v>74.25</v>
      </c>
      <c r="AH614" s="136" t="s">
        <v>6098</v>
      </c>
      <c r="AI614" s="133">
        <v>56730</v>
      </c>
      <c r="AJ614" s="132">
        <v>42345</v>
      </c>
      <c r="AK614" s="136" t="s">
        <v>6099</v>
      </c>
      <c r="AL614" s="132">
        <v>42345</v>
      </c>
      <c r="AM614" s="131" t="s">
        <v>49</v>
      </c>
      <c r="AN614" s="136" t="s">
        <v>4440</v>
      </c>
    </row>
    <row r="615" spans="1:40" s="129" customFormat="1" x14ac:dyDescent="0.25">
      <c r="A615" s="136">
        <v>614</v>
      </c>
      <c r="B615" s="130" t="s">
        <v>4428</v>
      </c>
      <c r="C615" s="130" t="s">
        <v>38</v>
      </c>
      <c r="D615" s="136">
        <v>9103650568</v>
      </c>
      <c r="E615" s="132">
        <v>42282</v>
      </c>
      <c r="F615" s="132" t="s">
        <v>6060</v>
      </c>
      <c r="G615" s="132" t="s">
        <v>6100</v>
      </c>
      <c r="H615" s="130" t="s">
        <v>4491</v>
      </c>
      <c r="I615" s="132" t="s">
        <v>40</v>
      </c>
      <c r="J615" s="131" t="s">
        <v>4432</v>
      </c>
      <c r="K615" s="132" t="s">
        <v>4433</v>
      </c>
      <c r="L615" s="136">
        <v>3267064</v>
      </c>
      <c r="M615" s="132" t="s">
        <v>5676</v>
      </c>
      <c r="N615" s="136" t="s">
        <v>4858</v>
      </c>
      <c r="O615" s="130" t="s">
        <v>4436</v>
      </c>
      <c r="P615" s="130" t="s">
        <v>54</v>
      </c>
      <c r="Q615" s="130">
        <v>38237090</v>
      </c>
      <c r="R615" s="136">
        <v>150.87</v>
      </c>
      <c r="S615" s="130" t="s">
        <v>70</v>
      </c>
      <c r="T615" s="136" t="s">
        <v>44</v>
      </c>
      <c r="U615" s="136" t="s">
        <v>53</v>
      </c>
      <c r="V615" s="136">
        <v>1045</v>
      </c>
      <c r="W615" s="133">
        <f t="shared" si="27"/>
        <v>157659.15</v>
      </c>
      <c r="X615" s="136">
        <v>52.03</v>
      </c>
      <c r="Y615" s="136">
        <v>4400</v>
      </c>
      <c r="Z615" s="136">
        <v>0</v>
      </c>
      <c r="AA615" s="136">
        <v>0</v>
      </c>
      <c r="AB615" s="131">
        <v>42278</v>
      </c>
      <c r="AC615" s="134">
        <f t="shared" si="28"/>
        <v>153207.12</v>
      </c>
      <c r="AD615" s="135">
        <v>66</v>
      </c>
      <c r="AE615" s="136">
        <f t="shared" si="29"/>
        <v>10405503.9</v>
      </c>
      <c r="AF615" s="137">
        <v>10111669.92</v>
      </c>
      <c r="AG615" s="138">
        <v>66</v>
      </c>
      <c r="AH615" s="136" t="s">
        <v>6101</v>
      </c>
      <c r="AI615" s="136">
        <v>157396.49</v>
      </c>
      <c r="AJ615" s="132" t="s">
        <v>5726</v>
      </c>
      <c r="AK615" s="136" t="s">
        <v>6102</v>
      </c>
      <c r="AL615" s="132" t="s">
        <v>6103</v>
      </c>
      <c r="AM615" s="131" t="s">
        <v>49</v>
      </c>
      <c r="AN615" s="136" t="s">
        <v>4440</v>
      </c>
    </row>
    <row r="616" spans="1:40" s="129" customFormat="1" x14ac:dyDescent="0.25">
      <c r="A616" s="130">
        <v>615</v>
      </c>
      <c r="B616" s="130" t="s">
        <v>4428</v>
      </c>
      <c r="C616" s="130" t="s">
        <v>38</v>
      </c>
      <c r="D616" s="136">
        <v>9103650569</v>
      </c>
      <c r="E616" s="132">
        <v>42282</v>
      </c>
      <c r="F616" s="132" t="s">
        <v>6060</v>
      </c>
      <c r="G616" s="132" t="s">
        <v>6104</v>
      </c>
      <c r="H616" s="130" t="s">
        <v>4456</v>
      </c>
      <c r="I616" s="132" t="s">
        <v>40</v>
      </c>
      <c r="J616" s="131" t="s">
        <v>4432</v>
      </c>
      <c r="K616" s="132" t="s">
        <v>4433</v>
      </c>
      <c r="L616" s="136">
        <v>3278470</v>
      </c>
      <c r="M616" s="132" t="s">
        <v>5676</v>
      </c>
      <c r="N616" s="136" t="s">
        <v>4527</v>
      </c>
      <c r="O616" s="130" t="s">
        <v>4436</v>
      </c>
      <c r="P616" s="130" t="s">
        <v>2657</v>
      </c>
      <c r="Q616" s="130">
        <v>38237090</v>
      </c>
      <c r="R616" s="136">
        <v>37.61</v>
      </c>
      <c r="S616" s="130" t="s">
        <v>70</v>
      </c>
      <c r="T616" s="136" t="s">
        <v>52</v>
      </c>
      <c r="U616" s="136" t="s">
        <v>4528</v>
      </c>
      <c r="V616" s="136">
        <v>1000</v>
      </c>
      <c r="W616" s="133">
        <f t="shared" si="27"/>
        <v>37610</v>
      </c>
      <c r="X616" s="136">
        <v>0</v>
      </c>
      <c r="Y616" s="136">
        <v>888.88</v>
      </c>
      <c r="Z616" s="136">
        <v>0</v>
      </c>
      <c r="AA616" s="136">
        <v>0</v>
      </c>
      <c r="AB616" s="131">
        <v>42278</v>
      </c>
      <c r="AC616" s="134">
        <f t="shared" si="28"/>
        <v>36721.120000000003</v>
      </c>
      <c r="AD616" s="135">
        <v>74.25</v>
      </c>
      <c r="AE616" s="136">
        <f t="shared" si="29"/>
        <v>2792542.5</v>
      </c>
      <c r="AF616" s="130">
        <v>2726543.16</v>
      </c>
      <c r="AG616" s="138">
        <v>74.25</v>
      </c>
      <c r="AH616" s="136" t="s">
        <v>6105</v>
      </c>
      <c r="AI616" s="136">
        <v>37610</v>
      </c>
      <c r="AJ616" s="132">
        <v>42353</v>
      </c>
      <c r="AK616" s="136" t="s">
        <v>6106</v>
      </c>
      <c r="AL616" s="132">
        <v>42353</v>
      </c>
      <c r="AM616" s="131" t="s">
        <v>49</v>
      </c>
      <c r="AN616" s="133" t="s">
        <v>4440</v>
      </c>
    </row>
    <row r="617" spans="1:40" s="129" customFormat="1" x14ac:dyDescent="0.25">
      <c r="A617" s="136">
        <v>616</v>
      </c>
      <c r="B617" s="130" t="s">
        <v>4428</v>
      </c>
      <c r="C617" s="130" t="s">
        <v>38</v>
      </c>
      <c r="D617" s="136">
        <v>9103650570</v>
      </c>
      <c r="E617" s="132">
        <v>42282</v>
      </c>
      <c r="F617" s="132" t="s">
        <v>6060</v>
      </c>
      <c r="G617" s="132" t="s">
        <v>6107</v>
      </c>
      <c r="H617" s="130" t="s">
        <v>4456</v>
      </c>
      <c r="I617" s="132" t="s">
        <v>40</v>
      </c>
      <c r="J617" s="131" t="s">
        <v>4432</v>
      </c>
      <c r="K617" s="132" t="s">
        <v>4433</v>
      </c>
      <c r="L617" s="136">
        <v>3296697</v>
      </c>
      <c r="M617" s="132">
        <v>42277</v>
      </c>
      <c r="N617" s="136" t="s">
        <v>4527</v>
      </c>
      <c r="O617" s="130" t="s">
        <v>4436</v>
      </c>
      <c r="P617" s="130" t="s">
        <v>59</v>
      </c>
      <c r="Q617" s="130">
        <v>38237090</v>
      </c>
      <c r="R617" s="136">
        <v>38.06</v>
      </c>
      <c r="S617" s="130" t="s">
        <v>70</v>
      </c>
      <c r="T617" s="136" t="s">
        <v>52</v>
      </c>
      <c r="U617" s="136" t="s">
        <v>4528</v>
      </c>
      <c r="V617" s="136">
        <v>1000</v>
      </c>
      <c r="W617" s="133">
        <f t="shared" si="27"/>
        <v>38060</v>
      </c>
      <c r="X617" s="136">
        <v>0</v>
      </c>
      <c r="Y617" s="136">
        <v>888.88</v>
      </c>
      <c r="Z617" s="136">
        <v>0</v>
      </c>
      <c r="AA617" s="136">
        <v>0</v>
      </c>
      <c r="AB617" s="131">
        <v>42278</v>
      </c>
      <c r="AC617" s="134">
        <f t="shared" si="28"/>
        <v>37171.120000000003</v>
      </c>
      <c r="AD617" s="135">
        <v>74.25</v>
      </c>
      <c r="AE617" s="136">
        <f t="shared" si="29"/>
        <v>2825955</v>
      </c>
      <c r="AF617" s="130">
        <v>2759955.66</v>
      </c>
      <c r="AG617" s="138">
        <v>74.25</v>
      </c>
      <c r="AH617" s="136" t="s">
        <v>6105</v>
      </c>
      <c r="AI617" s="136">
        <v>38060</v>
      </c>
      <c r="AJ617" s="132">
        <v>42353</v>
      </c>
      <c r="AK617" s="136" t="s">
        <v>6108</v>
      </c>
      <c r="AL617" s="132">
        <v>42353</v>
      </c>
      <c r="AM617" s="131" t="s">
        <v>49</v>
      </c>
      <c r="AN617" s="133" t="s">
        <v>4440</v>
      </c>
    </row>
    <row r="618" spans="1:40" s="129" customFormat="1" x14ac:dyDescent="0.25">
      <c r="A618" s="130">
        <v>617</v>
      </c>
      <c r="B618" s="130" t="s">
        <v>4428</v>
      </c>
      <c r="C618" s="130" t="s">
        <v>38</v>
      </c>
      <c r="D618" s="136">
        <v>9103650575</v>
      </c>
      <c r="E618" s="132">
        <v>42282</v>
      </c>
      <c r="F618" s="132" t="s">
        <v>6060</v>
      </c>
      <c r="G618" s="132" t="s">
        <v>6109</v>
      </c>
      <c r="H618" s="130" t="s">
        <v>4446</v>
      </c>
      <c r="I618" s="132" t="s">
        <v>40</v>
      </c>
      <c r="J618" s="131" t="s">
        <v>4432</v>
      </c>
      <c r="K618" s="132" t="s">
        <v>4433</v>
      </c>
      <c r="L618" s="136">
        <v>3308771</v>
      </c>
      <c r="M618" s="132">
        <v>42277</v>
      </c>
      <c r="N618" s="136" t="s">
        <v>4532</v>
      </c>
      <c r="O618" s="130" t="s">
        <v>4436</v>
      </c>
      <c r="P618" s="130" t="s">
        <v>59</v>
      </c>
      <c r="Q618" s="130">
        <v>38231900</v>
      </c>
      <c r="R618" s="136">
        <v>39.29</v>
      </c>
      <c r="S618" s="130" t="s">
        <v>70</v>
      </c>
      <c r="T618" s="136" t="s">
        <v>44</v>
      </c>
      <c r="U618" s="136" t="s">
        <v>53</v>
      </c>
      <c r="V618" s="136">
        <v>780</v>
      </c>
      <c r="W618" s="133">
        <f t="shared" si="27"/>
        <v>30646.2</v>
      </c>
      <c r="X618" s="136">
        <v>10.11</v>
      </c>
      <c r="Y618" s="136">
        <v>900</v>
      </c>
      <c r="Z618" s="136">
        <v>0</v>
      </c>
      <c r="AA618" s="136">
        <v>0</v>
      </c>
      <c r="AB618" s="131">
        <v>42278</v>
      </c>
      <c r="AC618" s="134">
        <f t="shared" si="28"/>
        <v>29736.09</v>
      </c>
      <c r="AD618" s="135">
        <v>66</v>
      </c>
      <c r="AE618" s="136">
        <f t="shared" si="29"/>
        <v>2022649.2</v>
      </c>
      <c r="AF618" s="137">
        <v>1962581.94</v>
      </c>
      <c r="AG618" s="138">
        <v>66</v>
      </c>
      <c r="AH618" s="136" t="s">
        <v>6110</v>
      </c>
      <c r="AI618" s="136">
        <v>30646.2</v>
      </c>
      <c r="AJ618" s="132">
        <v>42473</v>
      </c>
      <c r="AK618" s="136" t="s">
        <v>6111</v>
      </c>
      <c r="AL618" s="132">
        <v>42482</v>
      </c>
      <c r="AM618" s="131" t="s">
        <v>49</v>
      </c>
      <c r="AN618" s="133" t="s">
        <v>4440</v>
      </c>
    </row>
    <row r="619" spans="1:40" s="129" customFormat="1" x14ac:dyDescent="0.25">
      <c r="A619" s="136">
        <v>618</v>
      </c>
      <c r="B619" s="130" t="s">
        <v>4428</v>
      </c>
      <c r="C619" s="130" t="s">
        <v>38</v>
      </c>
      <c r="D619" s="136">
        <v>9103650577</v>
      </c>
      <c r="E619" s="132">
        <v>42282</v>
      </c>
      <c r="F619" s="132" t="s">
        <v>6060</v>
      </c>
      <c r="G619" s="132" t="s">
        <v>6112</v>
      </c>
      <c r="H619" s="130" t="s">
        <v>4446</v>
      </c>
      <c r="I619" s="132" t="s">
        <v>40</v>
      </c>
      <c r="J619" s="131" t="s">
        <v>4432</v>
      </c>
      <c r="K619" s="132" t="s">
        <v>4433</v>
      </c>
      <c r="L619" s="136">
        <v>3328496</v>
      </c>
      <c r="M619" s="132">
        <v>42278</v>
      </c>
      <c r="N619" s="136" t="s">
        <v>4532</v>
      </c>
      <c r="O619" s="130" t="s">
        <v>4436</v>
      </c>
      <c r="P619" s="130" t="s">
        <v>59</v>
      </c>
      <c r="Q619" s="130">
        <v>38231900</v>
      </c>
      <c r="R619" s="136">
        <v>39.700000000000003</v>
      </c>
      <c r="S619" s="130" t="s">
        <v>70</v>
      </c>
      <c r="T619" s="136" t="s">
        <v>44</v>
      </c>
      <c r="U619" s="136" t="s">
        <v>53</v>
      </c>
      <c r="V619" s="136">
        <v>780</v>
      </c>
      <c r="W619" s="133">
        <f t="shared" si="27"/>
        <v>30966.000000000004</v>
      </c>
      <c r="X619" s="136">
        <v>10.220000000000001</v>
      </c>
      <c r="Y619" s="136">
        <v>900</v>
      </c>
      <c r="Z619" s="136">
        <v>0</v>
      </c>
      <c r="AA619" s="136">
        <v>0</v>
      </c>
      <c r="AB619" s="131">
        <v>42279</v>
      </c>
      <c r="AC619" s="134">
        <f t="shared" si="28"/>
        <v>30055.78</v>
      </c>
      <c r="AD619" s="135">
        <v>66</v>
      </c>
      <c r="AE619" s="136">
        <f t="shared" si="29"/>
        <v>2043756.0000000002</v>
      </c>
      <c r="AF619" s="137">
        <v>1983681.48</v>
      </c>
      <c r="AG619" s="138">
        <v>65.099999999999994</v>
      </c>
      <c r="AH619" s="136" t="s">
        <v>6110</v>
      </c>
      <c r="AI619" s="136">
        <v>30966</v>
      </c>
      <c r="AJ619" s="132">
        <v>42473</v>
      </c>
      <c r="AK619" s="136" t="s">
        <v>6113</v>
      </c>
      <c r="AL619" s="132">
        <v>42482</v>
      </c>
      <c r="AM619" s="131" t="s">
        <v>49</v>
      </c>
      <c r="AN619" s="133" t="s">
        <v>4440</v>
      </c>
    </row>
    <row r="620" spans="1:40" s="129" customFormat="1" x14ac:dyDescent="0.25">
      <c r="A620" s="130">
        <v>619</v>
      </c>
      <c r="B620" s="130" t="s">
        <v>4428</v>
      </c>
      <c r="C620" s="130" t="s">
        <v>38</v>
      </c>
      <c r="D620" s="136">
        <v>9103650579</v>
      </c>
      <c r="E620" s="132">
        <v>42282</v>
      </c>
      <c r="F620" s="132" t="s">
        <v>6060</v>
      </c>
      <c r="G620" s="132" t="s">
        <v>6114</v>
      </c>
      <c r="H620" s="130" t="s">
        <v>4446</v>
      </c>
      <c r="I620" s="132" t="s">
        <v>40</v>
      </c>
      <c r="J620" s="131" t="s">
        <v>4432</v>
      </c>
      <c r="K620" s="132" t="s">
        <v>4433</v>
      </c>
      <c r="L620" s="136">
        <v>3332121</v>
      </c>
      <c r="M620" s="132">
        <v>42278</v>
      </c>
      <c r="N620" s="136" t="s">
        <v>4670</v>
      </c>
      <c r="O620" s="130" t="s">
        <v>4436</v>
      </c>
      <c r="P620" s="130" t="s">
        <v>243</v>
      </c>
      <c r="Q620" s="130">
        <v>38237090</v>
      </c>
      <c r="R620" s="136">
        <v>26</v>
      </c>
      <c r="S620" s="130" t="s">
        <v>70</v>
      </c>
      <c r="T620" s="136" t="s">
        <v>52</v>
      </c>
      <c r="U620" s="136" t="s">
        <v>53</v>
      </c>
      <c r="V620" s="136">
        <v>1275</v>
      </c>
      <c r="W620" s="133">
        <f t="shared" si="27"/>
        <v>33150</v>
      </c>
      <c r="X620" s="136">
        <v>0</v>
      </c>
      <c r="Y620" s="136">
        <v>1500</v>
      </c>
      <c r="Z620" s="136">
        <v>0</v>
      </c>
      <c r="AA620" s="136">
        <v>0</v>
      </c>
      <c r="AB620" s="131">
        <v>42280</v>
      </c>
      <c r="AC620" s="134">
        <f t="shared" si="28"/>
        <v>31650</v>
      </c>
      <c r="AD620" s="135">
        <v>66</v>
      </c>
      <c r="AE620" s="136">
        <f t="shared" si="29"/>
        <v>2187900</v>
      </c>
      <c r="AF620" s="137">
        <v>2088900</v>
      </c>
      <c r="AG620" s="138">
        <v>65.099999999999994</v>
      </c>
      <c r="AH620" s="136" t="s">
        <v>6115</v>
      </c>
      <c r="AI620" s="136">
        <v>33025</v>
      </c>
      <c r="AJ620" s="132">
        <v>42314</v>
      </c>
      <c r="AK620" s="136" t="s">
        <v>6116</v>
      </c>
      <c r="AL620" s="132">
        <v>42315</v>
      </c>
      <c r="AM620" s="131" t="s">
        <v>49</v>
      </c>
      <c r="AN620" s="133" t="s">
        <v>4440</v>
      </c>
    </row>
    <row r="621" spans="1:40" s="129" customFormat="1" x14ac:dyDescent="0.25">
      <c r="A621" s="136">
        <v>620</v>
      </c>
      <c r="B621" s="130" t="s">
        <v>4428</v>
      </c>
      <c r="C621" s="130" t="s">
        <v>38</v>
      </c>
      <c r="D621" s="136">
        <v>9103650576</v>
      </c>
      <c r="E621" s="132">
        <v>42284</v>
      </c>
      <c r="F621" s="132" t="s">
        <v>6060</v>
      </c>
      <c r="G621" s="132" t="s">
        <v>6117</v>
      </c>
      <c r="H621" s="130" t="s">
        <v>4456</v>
      </c>
      <c r="I621" s="132" t="s">
        <v>40</v>
      </c>
      <c r="J621" s="131" t="s">
        <v>4432</v>
      </c>
      <c r="K621" s="132" t="s">
        <v>4433</v>
      </c>
      <c r="L621" s="136">
        <v>3323482</v>
      </c>
      <c r="M621" s="132">
        <v>42278</v>
      </c>
      <c r="N621" s="136" t="s">
        <v>4527</v>
      </c>
      <c r="O621" s="130" t="s">
        <v>4436</v>
      </c>
      <c r="P621" s="130" t="s">
        <v>2657</v>
      </c>
      <c r="Q621" s="130">
        <v>38237090</v>
      </c>
      <c r="R621" s="136">
        <v>56.08</v>
      </c>
      <c r="S621" s="130" t="s">
        <v>70</v>
      </c>
      <c r="T621" s="136" t="s">
        <v>52</v>
      </c>
      <c r="U621" s="136" t="s">
        <v>4528</v>
      </c>
      <c r="V621" s="136">
        <v>1000</v>
      </c>
      <c r="W621" s="133">
        <f t="shared" si="27"/>
        <v>56080</v>
      </c>
      <c r="X621" s="136">
        <v>0</v>
      </c>
      <c r="Y621" s="136">
        <v>1333.32</v>
      </c>
      <c r="Z621" s="136">
        <v>0</v>
      </c>
      <c r="AA621" s="136">
        <v>0</v>
      </c>
      <c r="AB621" s="131">
        <v>42279</v>
      </c>
      <c r="AC621" s="134">
        <f t="shared" si="28"/>
        <v>54746.68</v>
      </c>
      <c r="AD621" s="135">
        <v>74.25</v>
      </c>
      <c r="AE621" s="136">
        <f t="shared" si="29"/>
        <v>4163940</v>
      </c>
      <c r="AF621" s="130">
        <v>4064940.99</v>
      </c>
      <c r="AG621" s="138">
        <v>74.25</v>
      </c>
      <c r="AH621" s="136" t="s">
        <v>6118</v>
      </c>
      <c r="AI621" s="136">
        <v>56080</v>
      </c>
      <c r="AJ621" s="132">
        <v>42353</v>
      </c>
      <c r="AK621" s="136" t="s">
        <v>6119</v>
      </c>
      <c r="AL621" s="132">
        <v>42353</v>
      </c>
      <c r="AM621" s="131" t="s">
        <v>49</v>
      </c>
      <c r="AN621" s="133" t="s">
        <v>4440</v>
      </c>
    </row>
    <row r="622" spans="1:40" s="129" customFormat="1" x14ac:dyDescent="0.25">
      <c r="A622" s="130">
        <v>621</v>
      </c>
      <c r="B622" s="130" t="s">
        <v>4428</v>
      </c>
      <c r="C622" s="130" t="s">
        <v>38</v>
      </c>
      <c r="D622" s="136">
        <v>9103650581</v>
      </c>
      <c r="E622" s="132">
        <v>42284</v>
      </c>
      <c r="F622" s="132" t="s">
        <v>6060</v>
      </c>
      <c r="G622" s="132" t="s">
        <v>6120</v>
      </c>
      <c r="H622" s="130" t="s">
        <v>4456</v>
      </c>
      <c r="I622" s="132" t="s">
        <v>40</v>
      </c>
      <c r="J622" s="131" t="s">
        <v>4432</v>
      </c>
      <c r="K622" s="132" t="s">
        <v>4433</v>
      </c>
      <c r="L622" s="136">
        <v>3334613</v>
      </c>
      <c r="M622" s="132">
        <v>42278</v>
      </c>
      <c r="N622" s="136" t="s">
        <v>4527</v>
      </c>
      <c r="O622" s="130" t="s">
        <v>4436</v>
      </c>
      <c r="P622" s="130" t="s">
        <v>2657</v>
      </c>
      <c r="Q622" s="130">
        <v>38237090</v>
      </c>
      <c r="R622" s="136">
        <v>75.22</v>
      </c>
      <c r="S622" s="130" t="s">
        <v>70</v>
      </c>
      <c r="T622" s="136" t="s">
        <v>52</v>
      </c>
      <c r="U622" s="136" t="s">
        <v>4528</v>
      </c>
      <c r="V622" s="136">
        <v>1000</v>
      </c>
      <c r="W622" s="133">
        <f t="shared" si="27"/>
        <v>75220</v>
      </c>
      <c r="X622" s="136">
        <v>0</v>
      </c>
      <c r="Y622" s="136">
        <v>1777.76</v>
      </c>
      <c r="Z622" s="136">
        <v>0</v>
      </c>
      <c r="AA622" s="136">
        <v>0</v>
      </c>
      <c r="AB622" s="131">
        <v>42279</v>
      </c>
      <c r="AC622" s="134">
        <f t="shared" si="28"/>
        <v>73442.240000000005</v>
      </c>
      <c r="AD622" s="135">
        <v>74.25</v>
      </c>
      <c r="AE622" s="136">
        <f t="shared" si="29"/>
        <v>5585085</v>
      </c>
      <c r="AF622" s="130">
        <v>5453086.3200000003</v>
      </c>
      <c r="AG622" s="138">
        <v>74.25</v>
      </c>
      <c r="AH622" s="136" t="s">
        <v>6121</v>
      </c>
      <c r="AI622" s="136">
        <v>75220</v>
      </c>
      <c r="AJ622" s="132">
        <v>42353</v>
      </c>
      <c r="AK622" s="136" t="s">
        <v>6122</v>
      </c>
      <c r="AL622" s="132">
        <v>42353</v>
      </c>
      <c r="AM622" s="131" t="s">
        <v>49</v>
      </c>
      <c r="AN622" s="133" t="s">
        <v>4440</v>
      </c>
    </row>
    <row r="623" spans="1:40" s="129" customFormat="1" x14ac:dyDescent="0.25">
      <c r="A623" s="136">
        <v>622</v>
      </c>
      <c r="B623" s="130" t="s">
        <v>4428</v>
      </c>
      <c r="C623" s="130" t="s">
        <v>38</v>
      </c>
      <c r="D623" s="136">
        <v>9103650583</v>
      </c>
      <c r="E623" s="132">
        <v>42285</v>
      </c>
      <c r="F623" s="132" t="s">
        <v>6060</v>
      </c>
      <c r="G623" s="132" t="s">
        <v>6123</v>
      </c>
      <c r="H623" s="130" t="s">
        <v>4463</v>
      </c>
      <c r="I623" s="132" t="s">
        <v>40</v>
      </c>
      <c r="J623" s="131" t="s">
        <v>4432</v>
      </c>
      <c r="K623" s="132" t="s">
        <v>4433</v>
      </c>
      <c r="L623" s="136">
        <v>3378296</v>
      </c>
      <c r="M623" s="132" t="s">
        <v>5211</v>
      </c>
      <c r="N623" s="136" t="s">
        <v>5193</v>
      </c>
      <c r="O623" s="130" t="s">
        <v>4436</v>
      </c>
      <c r="P623" s="130" t="s">
        <v>64</v>
      </c>
      <c r="Q623" s="130">
        <v>38237090</v>
      </c>
      <c r="R623" s="136">
        <v>12</v>
      </c>
      <c r="S623" s="130" t="s">
        <v>70</v>
      </c>
      <c r="T623" s="136" t="s">
        <v>44</v>
      </c>
      <c r="U623" s="136" t="s">
        <v>53</v>
      </c>
      <c r="V623" s="136">
        <v>1340</v>
      </c>
      <c r="W623" s="133">
        <f t="shared" si="27"/>
        <v>16080</v>
      </c>
      <c r="X623" s="136">
        <v>5.31</v>
      </c>
      <c r="Y623" s="136">
        <v>25</v>
      </c>
      <c r="Z623" s="136">
        <v>0</v>
      </c>
      <c r="AA623" s="136">
        <v>360</v>
      </c>
      <c r="AB623" s="131">
        <v>42283</v>
      </c>
      <c r="AC623" s="134">
        <f t="shared" si="28"/>
        <v>16049.690015360984</v>
      </c>
      <c r="AD623" s="135">
        <v>65.099999999999994</v>
      </c>
      <c r="AE623" s="136">
        <f t="shared" si="29"/>
        <v>1046807.9999999999</v>
      </c>
      <c r="AF623" s="137">
        <v>1044834.82</v>
      </c>
      <c r="AG623" s="138">
        <v>65.099999999999994</v>
      </c>
      <c r="AH623" s="136" t="s">
        <v>6124</v>
      </c>
      <c r="AI623" s="136">
        <v>16050.5</v>
      </c>
      <c r="AJ623" s="132" t="s">
        <v>5687</v>
      </c>
      <c r="AK623" s="136" t="s">
        <v>6125</v>
      </c>
      <c r="AL623" s="132" t="s">
        <v>5540</v>
      </c>
      <c r="AM623" s="131" t="s">
        <v>49</v>
      </c>
      <c r="AN623" s="133" t="s">
        <v>4440</v>
      </c>
    </row>
    <row r="624" spans="1:40" s="129" customFormat="1" x14ac:dyDescent="0.25">
      <c r="A624" s="130">
        <v>623</v>
      </c>
      <c r="B624" s="130" t="s">
        <v>4428</v>
      </c>
      <c r="C624" s="130" t="s">
        <v>38</v>
      </c>
      <c r="D624" s="136">
        <v>9103650584</v>
      </c>
      <c r="E624" s="132">
        <v>42285</v>
      </c>
      <c r="F624" s="132" t="s">
        <v>6060</v>
      </c>
      <c r="G624" s="132" t="s">
        <v>6126</v>
      </c>
      <c r="H624" s="130" t="s">
        <v>4556</v>
      </c>
      <c r="I624" s="132" t="s">
        <v>40</v>
      </c>
      <c r="J624" s="131" t="s">
        <v>4432</v>
      </c>
      <c r="K624" s="132" t="s">
        <v>4433</v>
      </c>
      <c r="L624" s="136">
        <v>3378869</v>
      </c>
      <c r="M624" s="132" t="s">
        <v>5211</v>
      </c>
      <c r="N624" s="136" t="s">
        <v>4972</v>
      </c>
      <c r="O624" s="130" t="s">
        <v>4436</v>
      </c>
      <c r="P624" s="130" t="s">
        <v>90</v>
      </c>
      <c r="Q624" s="130">
        <v>29051700</v>
      </c>
      <c r="R624" s="136">
        <v>12</v>
      </c>
      <c r="S624" s="130" t="s">
        <v>70</v>
      </c>
      <c r="T624" s="136" t="s">
        <v>44</v>
      </c>
      <c r="U624" s="136" t="s">
        <v>53</v>
      </c>
      <c r="V624" s="129">
        <v>0</v>
      </c>
      <c r="W624" s="136">
        <f>(1478*11.4+0.6*1572)</f>
        <v>17792.400000000001</v>
      </c>
      <c r="X624" s="136">
        <v>5.87</v>
      </c>
      <c r="Y624" s="136">
        <v>500</v>
      </c>
      <c r="Z624" s="136">
        <v>0</v>
      </c>
      <c r="AA624" s="136">
        <v>346.25</v>
      </c>
      <c r="AB624" s="131">
        <v>42283</v>
      </c>
      <c r="AC624" s="134">
        <f t="shared" si="28"/>
        <v>17286.529953917052</v>
      </c>
      <c r="AD624" s="135">
        <v>65.099999999999994</v>
      </c>
      <c r="AE624" s="136">
        <f t="shared" si="29"/>
        <v>1158285.24</v>
      </c>
      <c r="AF624" s="137">
        <v>1125353.1000000001</v>
      </c>
      <c r="AG624" s="138">
        <v>65.099999999999994</v>
      </c>
      <c r="AH624" s="136" t="s">
        <v>6127</v>
      </c>
      <c r="AI624" s="136">
        <v>17745.400000000001</v>
      </c>
      <c r="AJ624" s="132" t="s">
        <v>5438</v>
      </c>
      <c r="AK624" s="136" t="s">
        <v>6128</v>
      </c>
      <c r="AL624" s="132" t="s">
        <v>5440</v>
      </c>
      <c r="AM624" s="131" t="s">
        <v>49</v>
      </c>
      <c r="AN624" s="133" t="s">
        <v>4440</v>
      </c>
    </row>
    <row r="625" spans="1:40" s="129" customFormat="1" x14ac:dyDescent="0.25">
      <c r="A625" s="136">
        <v>624</v>
      </c>
      <c r="B625" s="130" t="s">
        <v>4428</v>
      </c>
      <c r="C625" s="130" t="s">
        <v>38</v>
      </c>
      <c r="D625" s="136">
        <v>9103650582</v>
      </c>
      <c r="E625" s="132">
        <v>42286</v>
      </c>
      <c r="F625" s="132" t="s">
        <v>6060</v>
      </c>
      <c r="G625" s="132" t="s">
        <v>6129</v>
      </c>
      <c r="H625" s="130" t="s">
        <v>4463</v>
      </c>
      <c r="I625" s="132" t="s">
        <v>40</v>
      </c>
      <c r="J625" s="131" t="s">
        <v>4432</v>
      </c>
      <c r="K625" s="132" t="s">
        <v>4433</v>
      </c>
      <c r="L625" s="136">
        <v>3370654</v>
      </c>
      <c r="M625" s="132" t="s">
        <v>5211</v>
      </c>
      <c r="N625" s="136" t="s">
        <v>4443</v>
      </c>
      <c r="O625" s="130" t="s">
        <v>4436</v>
      </c>
      <c r="P625" s="130" t="s">
        <v>59</v>
      </c>
      <c r="Q625" s="130" t="s">
        <v>6130</v>
      </c>
      <c r="R625" s="136">
        <v>15</v>
      </c>
      <c r="S625" s="130" t="s">
        <v>70</v>
      </c>
      <c r="T625" s="136" t="s">
        <v>67</v>
      </c>
      <c r="U625" s="136" t="s">
        <v>53</v>
      </c>
      <c r="V625" s="136">
        <v>0</v>
      </c>
      <c r="W625" s="133">
        <f>(1130*1+1365*14)</f>
        <v>20240</v>
      </c>
      <c r="X625" s="136">
        <v>0</v>
      </c>
      <c r="Y625" s="136">
        <v>0</v>
      </c>
      <c r="Z625" s="136">
        <v>0</v>
      </c>
      <c r="AA625" s="136">
        <v>0</v>
      </c>
      <c r="AB625" s="131">
        <v>42283</v>
      </c>
      <c r="AC625" s="134">
        <f t="shared" si="28"/>
        <v>20240</v>
      </c>
      <c r="AD625" s="135">
        <v>65.099999999999994</v>
      </c>
      <c r="AE625" s="136">
        <f t="shared" si="29"/>
        <v>1317624</v>
      </c>
      <c r="AF625" s="137">
        <v>1317624</v>
      </c>
      <c r="AG625" s="138">
        <v>65.099999999999994</v>
      </c>
      <c r="AH625" s="136" t="s">
        <v>6131</v>
      </c>
      <c r="AI625" s="136">
        <v>20240</v>
      </c>
      <c r="AJ625" s="132">
        <v>42277</v>
      </c>
      <c r="AK625" s="136" t="s">
        <v>6132</v>
      </c>
      <c r="AL625" s="132">
        <v>42296</v>
      </c>
      <c r="AM625" s="131" t="s">
        <v>49</v>
      </c>
      <c r="AN625" s="136" t="s">
        <v>4440</v>
      </c>
    </row>
    <row r="626" spans="1:40" s="129" customFormat="1" x14ac:dyDescent="0.25">
      <c r="A626" s="130">
        <v>625</v>
      </c>
      <c r="B626" s="130" t="s">
        <v>4428</v>
      </c>
      <c r="C626" s="130" t="s">
        <v>38</v>
      </c>
      <c r="D626" s="136">
        <v>9103650554</v>
      </c>
      <c r="E626" s="132">
        <v>42287</v>
      </c>
      <c r="F626" s="132" t="s">
        <v>6060</v>
      </c>
      <c r="G626" s="132" t="s">
        <v>6133</v>
      </c>
      <c r="H626" s="130" t="s">
        <v>4463</v>
      </c>
      <c r="I626" s="132" t="s">
        <v>40</v>
      </c>
      <c r="J626" s="131" t="s">
        <v>4432</v>
      </c>
      <c r="K626" s="132" t="s">
        <v>4433</v>
      </c>
      <c r="L626" s="136">
        <v>3193384</v>
      </c>
      <c r="M626" s="132" t="s">
        <v>5205</v>
      </c>
      <c r="N626" s="136" t="s">
        <v>5963</v>
      </c>
      <c r="O626" s="130" t="s">
        <v>4436</v>
      </c>
      <c r="P626" s="130" t="s">
        <v>64</v>
      </c>
      <c r="Q626" s="130">
        <v>38231200</v>
      </c>
      <c r="R626" s="136">
        <v>39.29</v>
      </c>
      <c r="S626" s="130" t="s">
        <v>70</v>
      </c>
      <c r="T626" s="136" t="s">
        <v>44</v>
      </c>
      <c r="U626" s="136" t="s">
        <v>53</v>
      </c>
      <c r="V626" s="136">
        <v>650</v>
      </c>
      <c r="W626" s="133">
        <f t="shared" si="27"/>
        <v>25538.5</v>
      </c>
      <c r="X626" s="136">
        <v>8.43</v>
      </c>
      <c r="Y626" s="136">
        <v>1500</v>
      </c>
      <c r="Z626" s="136">
        <v>0</v>
      </c>
      <c r="AA626" s="136">
        <v>392.9</v>
      </c>
      <c r="AB626" s="131">
        <v>42275</v>
      </c>
      <c r="AC626" s="134">
        <f t="shared" si="28"/>
        <v>24030.070000000003</v>
      </c>
      <c r="AD626" s="135">
        <v>66</v>
      </c>
      <c r="AE626" s="136">
        <f t="shared" si="29"/>
        <v>1685541</v>
      </c>
      <c r="AF626" s="137">
        <v>1585984.62</v>
      </c>
      <c r="AG626" s="138">
        <v>66</v>
      </c>
      <c r="AH626" s="136" t="s">
        <v>6134</v>
      </c>
      <c r="AI626" s="136">
        <v>25223.5</v>
      </c>
      <c r="AJ626" s="132" t="s">
        <v>5724</v>
      </c>
      <c r="AK626" s="136" t="s">
        <v>6135</v>
      </c>
      <c r="AL626" s="132" t="s">
        <v>5726</v>
      </c>
      <c r="AM626" s="131" t="s">
        <v>49</v>
      </c>
      <c r="AN626" s="133" t="s">
        <v>4440</v>
      </c>
    </row>
    <row r="627" spans="1:40" s="129" customFormat="1" x14ac:dyDescent="0.25">
      <c r="A627" s="136">
        <v>626</v>
      </c>
      <c r="B627" s="130" t="s">
        <v>4428</v>
      </c>
      <c r="C627" s="130" t="s">
        <v>38</v>
      </c>
      <c r="D627" s="136">
        <v>9103650574</v>
      </c>
      <c r="E627" s="132">
        <v>42287</v>
      </c>
      <c r="F627" s="132" t="s">
        <v>6060</v>
      </c>
      <c r="G627" s="132" t="s">
        <v>6136</v>
      </c>
      <c r="H627" s="130" t="s">
        <v>4463</v>
      </c>
      <c r="I627" s="132" t="s">
        <v>40</v>
      </c>
      <c r="J627" s="131" t="s">
        <v>4432</v>
      </c>
      <c r="K627" s="132" t="s">
        <v>4433</v>
      </c>
      <c r="L627" s="136">
        <v>3307975</v>
      </c>
      <c r="M627" s="132" t="s">
        <v>5678</v>
      </c>
      <c r="N627" s="136" t="s">
        <v>5963</v>
      </c>
      <c r="O627" s="130" t="s">
        <v>4436</v>
      </c>
      <c r="P627" s="130" t="s">
        <v>64</v>
      </c>
      <c r="Q627" s="130">
        <v>38231200</v>
      </c>
      <c r="R627" s="136">
        <v>38.64</v>
      </c>
      <c r="S627" s="130" t="s">
        <v>70</v>
      </c>
      <c r="T627" s="136" t="s">
        <v>44</v>
      </c>
      <c r="U627" s="136" t="s">
        <v>53</v>
      </c>
      <c r="V627" s="136">
        <v>650</v>
      </c>
      <c r="W627" s="133">
        <f t="shared" si="27"/>
        <v>25116</v>
      </c>
      <c r="X627" s="136">
        <v>8.2899999999999991</v>
      </c>
      <c r="Y627" s="136">
        <v>1500</v>
      </c>
      <c r="Z627" s="136">
        <v>0</v>
      </c>
      <c r="AA627" s="136">
        <v>386.4</v>
      </c>
      <c r="AB627" s="131">
        <v>42278</v>
      </c>
      <c r="AC627" s="134">
        <f t="shared" si="28"/>
        <v>23607.710000000003</v>
      </c>
      <c r="AD627" s="135">
        <v>66</v>
      </c>
      <c r="AE627" s="136">
        <f t="shared" si="29"/>
        <v>1657656</v>
      </c>
      <c r="AF627" s="137">
        <v>1558108.86</v>
      </c>
      <c r="AG627" s="138">
        <v>66</v>
      </c>
      <c r="AH627" s="136" t="s">
        <v>6137</v>
      </c>
      <c r="AI627" s="136">
        <v>24801</v>
      </c>
      <c r="AJ627" s="132" t="s">
        <v>5724</v>
      </c>
      <c r="AK627" s="136" t="s">
        <v>6138</v>
      </c>
      <c r="AL627" s="132" t="s">
        <v>5726</v>
      </c>
      <c r="AM627" s="131" t="s">
        <v>49</v>
      </c>
      <c r="AN627" s="133" t="s">
        <v>4440</v>
      </c>
    </row>
    <row r="628" spans="1:40" s="129" customFormat="1" x14ac:dyDescent="0.25">
      <c r="A628" s="130">
        <v>627</v>
      </c>
      <c r="B628" s="130" t="s">
        <v>4428</v>
      </c>
      <c r="C628" s="130" t="s">
        <v>38</v>
      </c>
      <c r="D628" s="136">
        <v>9103650580</v>
      </c>
      <c r="E628" s="132">
        <v>42287</v>
      </c>
      <c r="F628" s="132" t="s">
        <v>6060</v>
      </c>
      <c r="G628" s="132" t="s">
        <v>6139</v>
      </c>
      <c r="H628" s="130" t="s">
        <v>4463</v>
      </c>
      <c r="I628" s="132" t="s">
        <v>40</v>
      </c>
      <c r="J628" s="131" t="s">
        <v>4432</v>
      </c>
      <c r="K628" s="132" t="s">
        <v>4433</v>
      </c>
      <c r="L628" s="136">
        <v>3323403</v>
      </c>
      <c r="M628" s="132" t="s">
        <v>4906</v>
      </c>
      <c r="N628" s="136" t="s">
        <v>5963</v>
      </c>
      <c r="O628" s="130" t="s">
        <v>4436</v>
      </c>
      <c r="P628" s="130" t="s">
        <v>143</v>
      </c>
      <c r="Q628" s="130">
        <v>38231200</v>
      </c>
      <c r="R628" s="136">
        <v>19.260000000000002</v>
      </c>
      <c r="S628" s="130" t="s">
        <v>70</v>
      </c>
      <c r="T628" s="136" t="s">
        <v>44</v>
      </c>
      <c r="U628" s="136" t="s">
        <v>53</v>
      </c>
      <c r="V628" s="136">
        <v>650</v>
      </c>
      <c r="W628" s="133">
        <f t="shared" si="27"/>
        <v>12519.000000000002</v>
      </c>
      <c r="X628" s="136">
        <v>4.13</v>
      </c>
      <c r="Y628" s="136">
        <v>750</v>
      </c>
      <c r="Z628" s="136">
        <v>0</v>
      </c>
      <c r="AA628" s="136">
        <v>192.6</v>
      </c>
      <c r="AB628" s="131">
        <v>42279</v>
      </c>
      <c r="AC628" s="134">
        <f t="shared" si="28"/>
        <v>11764.87</v>
      </c>
      <c r="AD628" s="135">
        <v>66</v>
      </c>
      <c r="AE628" s="136">
        <f t="shared" si="29"/>
        <v>826254.00000000012</v>
      </c>
      <c r="AF628" s="137">
        <v>776481.42</v>
      </c>
      <c r="AG628" s="138">
        <v>66</v>
      </c>
      <c r="AH628" s="136" t="s">
        <v>6140</v>
      </c>
      <c r="AI628" s="136">
        <v>12204</v>
      </c>
      <c r="AJ628" s="132" t="s">
        <v>5724</v>
      </c>
      <c r="AK628" s="136" t="s">
        <v>6141</v>
      </c>
      <c r="AL628" s="132" t="s">
        <v>5726</v>
      </c>
      <c r="AM628" s="131" t="s">
        <v>49</v>
      </c>
      <c r="AN628" s="133" t="s">
        <v>4440</v>
      </c>
    </row>
    <row r="629" spans="1:40" s="129" customFormat="1" x14ac:dyDescent="0.25">
      <c r="A629" s="136">
        <v>628</v>
      </c>
      <c r="B629" s="130" t="s">
        <v>4428</v>
      </c>
      <c r="C629" s="130" t="s">
        <v>38</v>
      </c>
      <c r="D629" s="136">
        <v>9103650586</v>
      </c>
      <c r="E629" s="132">
        <v>42287</v>
      </c>
      <c r="F629" s="132" t="s">
        <v>6060</v>
      </c>
      <c r="G629" s="132" t="s">
        <v>6142</v>
      </c>
      <c r="H629" s="130" t="s">
        <v>4491</v>
      </c>
      <c r="I629" s="132" t="s">
        <v>40</v>
      </c>
      <c r="J629" s="131" t="s">
        <v>4432</v>
      </c>
      <c r="K629" s="132" t="s">
        <v>4433</v>
      </c>
      <c r="L629" s="136">
        <v>3404565</v>
      </c>
      <c r="M629" s="132">
        <v>42283</v>
      </c>
      <c r="N629" s="136" t="s">
        <v>3741</v>
      </c>
      <c r="O629" s="130" t="s">
        <v>4436</v>
      </c>
      <c r="P629" s="130" t="s">
        <v>188</v>
      </c>
      <c r="Q629" s="130">
        <v>38237090</v>
      </c>
      <c r="R629" s="136">
        <v>36</v>
      </c>
      <c r="S629" s="130" t="s">
        <v>70</v>
      </c>
      <c r="T629" s="136" t="s">
        <v>44</v>
      </c>
      <c r="U629" s="136" t="s">
        <v>53</v>
      </c>
      <c r="V629" s="136">
        <v>1246</v>
      </c>
      <c r="W629" s="133">
        <f t="shared" si="27"/>
        <v>44856</v>
      </c>
      <c r="X629" s="136">
        <v>14.8</v>
      </c>
      <c r="Y629" s="136">
        <v>6000</v>
      </c>
      <c r="Z629" s="136">
        <v>0</v>
      </c>
      <c r="AA629" s="136">
        <v>0</v>
      </c>
      <c r="AB629" s="131">
        <v>42285</v>
      </c>
      <c r="AC629" s="134">
        <f t="shared" si="28"/>
        <v>38841.200000000004</v>
      </c>
      <c r="AD629" s="135">
        <v>65.099999999999994</v>
      </c>
      <c r="AE629" s="136">
        <f t="shared" si="29"/>
        <v>2920125.5999999996</v>
      </c>
      <c r="AF629" s="137">
        <v>2528562.12</v>
      </c>
      <c r="AG629" s="138">
        <v>65.099999999999994</v>
      </c>
      <c r="AH629" s="136" t="s">
        <v>6143</v>
      </c>
      <c r="AI629" s="133">
        <v>44856</v>
      </c>
      <c r="AJ629" s="132">
        <v>42318</v>
      </c>
      <c r="AK629" s="136" t="s">
        <v>6144</v>
      </c>
      <c r="AL629" s="132">
        <v>42321</v>
      </c>
      <c r="AM629" s="131" t="s">
        <v>49</v>
      </c>
      <c r="AN629" s="136" t="s">
        <v>4440</v>
      </c>
    </row>
    <row r="630" spans="1:40" s="129" customFormat="1" x14ac:dyDescent="0.25">
      <c r="A630" s="130">
        <v>629</v>
      </c>
      <c r="B630" s="130" t="s">
        <v>4428</v>
      </c>
      <c r="C630" s="130" t="s">
        <v>38</v>
      </c>
      <c r="D630" s="136">
        <v>9103650585</v>
      </c>
      <c r="E630" s="132">
        <v>42288</v>
      </c>
      <c r="F630" s="132" t="s">
        <v>6060</v>
      </c>
      <c r="G630" s="132" t="s">
        <v>6145</v>
      </c>
      <c r="H630" s="130" t="s">
        <v>4564</v>
      </c>
      <c r="I630" s="132" t="s">
        <v>40</v>
      </c>
      <c r="J630" s="131" t="s">
        <v>4432</v>
      </c>
      <c r="K630" s="132" t="s">
        <v>4433</v>
      </c>
      <c r="L630" s="136">
        <v>3404606</v>
      </c>
      <c r="M630" s="132">
        <v>42283</v>
      </c>
      <c r="N630" s="136" t="s">
        <v>5337</v>
      </c>
      <c r="O630" s="130" t="s">
        <v>4436</v>
      </c>
      <c r="P630" s="130" t="s">
        <v>143</v>
      </c>
      <c r="Q630" s="130">
        <v>38237090</v>
      </c>
      <c r="R630" s="136">
        <v>60</v>
      </c>
      <c r="S630" s="130" t="s">
        <v>70</v>
      </c>
      <c r="T630" s="136" t="s">
        <v>52</v>
      </c>
      <c r="U630" s="136" t="s">
        <v>53</v>
      </c>
      <c r="V630" s="136">
        <v>1325</v>
      </c>
      <c r="W630" s="133">
        <f t="shared" si="27"/>
        <v>79500</v>
      </c>
      <c r="X630" s="136">
        <v>0</v>
      </c>
      <c r="Y630" s="136">
        <v>3000</v>
      </c>
      <c r="Z630" s="136">
        <v>0</v>
      </c>
      <c r="AA630" s="136">
        <v>900</v>
      </c>
      <c r="AB630" s="131">
        <v>42284</v>
      </c>
      <c r="AC630" s="134">
        <f t="shared" si="28"/>
        <v>76500</v>
      </c>
      <c r="AD630" s="135">
        <v>65.099999999999994</v>
      </c>
      <c r="AE630" s="136">
        <f t="shared" si="29"/>
        <v>5175450</v>
      </c>
      <c r="AF630" s="137">
        <v>4980150</v>
      </c>
      <c r="AG630" s="138">
        <v>65.099999999999994</v>
      </c>
      <c r="AH630" s="136" t="s">
        <v>6146</v>
      </c>
      <c r="AI630" s="136">
        <v>79488</v>
      </c>
      <c r="AJ630" s="132">
        <v>42303</v>
      </c>
      <c r="AK630" s="136" t="s">
        <v>6147</v>
      </c>
      <c r="AL630" s="132">
        <v>42303</v>
      </c>
      <c r="AM630" s="131" t="s">
        <v>49</v>
      </c>
      <c r="AN630" s="136" t="s">
        <v>4440</v>
      </c>
    </row>
    <row r="631" spans="1:40" s="129" customFormat="1" x14ac:dyDescent="0.25">
      <c r="A631" s="136">
        <v>630</v>
      </c>
      <c r="B631" s="130" t="s">
        <v>4428</v>
      </c>
      <c r="C631" s="130" t="s">
        <v>38</v>
      </c>
      <c r="D631" s="136">
        <v>9103650589</v>
      </c>
      <c r="E631" s="132">
        <v>42289</v>
      </c>
      <c r="F631" s="132" t="s">
        <v>6060</v>
      </c>
      <c r="G631" s="132" t="s">
        <v>6148</v>
      </c>
      <c r="H631" s="130" t="s">
        <v>4491</v>
      </c>
      <c r="I631" s="132" t="s">
        <v>40</v>
      </c>
      <c r="J631" s="131" t="s">
        <v>4432</v>
      </c>
      <c r="K631" s="132" t="s">
        <v>4433</v>
      </c>
      <c r="L631" s="136">
        <v>3421366</v>
      </c>
      <c r="M631" s="132">
        <v>42284</v>
      </c>
      <c r="N631" s="136" t="s">
        <v>3741</v>
      </c>
      <c r="O631" s="130" t="s">
        <v>4436</v>
      </c>
      <c r="P631" s="130" t="s">
        <v>188</v>
      </c>
      <c r="Q631" s="130">
        <v>38237090</v>
      </c>
      <c r="R631" s="136">
        <v>18</v>
      </c>
      <c r="S631" s="130" t="s">
        <v>70</v>
      </c>
      <c r="T631" s="136" t="s">
        <v>44</v>
      </c>
      <c r="U631" s="136" t="s">
        <v>53</v>
      </c>
      <c r="V631" s="136">
        <v>1246</v>
      </c>
      <c r="W631" s="133">
        <f t="shared" si="27"/>
        <v>22428</v>
      </c>
      <c r="X631" s="136">
        <v>7.4</v>
      </c>
      <c r="Y631" s="136">
        <v>2900</v>
      </c>
      <c r="Z631" s="136">
        <v>0</v>
      </c>
      <c r="AA631" s="136">
        <v>0</v>
      </c>
      <c r="AB631" s="131">
        <v>42285</v>
      </c>
      <c r="AC631" s="134">
        <f t="shared" si="28"/>
        <v>19520.599078341016</v>
      </c>
      <c r="AD631" s="135">
        <v>65.099999999999994</v>
      </c>
      <c r="AE631" s="136">
        <f t="shared" si="29"/>
        <v>1460062.7999999998</v>
      </c>
      <c r="AF631" s="137">
        <v>1270791</v>
      </c>
      <c r="AG631" s="138">
        <v>65.099999999999994</v>
      </c>
      <c r="AH631" s="136" t="s">
        <v>6149</v>
      </c>
      <c r="AI631" s="133">
        <v>22428</v>
      </c>
      <c r="AJ631" s="132">
        <v>42318</v>
      </c>
      <c r="AK631" s="136" t="s">
        <v>6150</v>
      </c>
      <c r="AL631" s="132">
        <v>42321</v>
      </c>
      <c r="AM631" s="131" t="s">
        <v>49</v>
      </c>
      <c r="AN631" s="133" t="s">
        <v>4440</v>
      </c>
    </row>
    <row r="632" spans="1:40" s="129" customFormat="1" x14ac:dyDescent="0.25">
      <c r="A632" s="130">
        <v>631</v>
      </c>
      <c r="B632" s="130" t="s">
        <v>4428</v>
      </c>
      <c r="C632" s="130" t="s">
        <v>38</v>
      </c>
      <c r="D632" s="136">
        <v>9103650590</v>
      </c>
      <c r="E632" s="132">
        <v>42289</v>
      </c>
      <c r="F632" s="132" t="s">
        <v>6060</v>
      </c>
      <c r="G632" s="132" t="s">
        <v>6151</v>
      </c>
      <c r="H632" s="130" t="s">
        <v>4491</v>
      </c>
      <c r="I632" s="132" t="s">
        <v>40</v>
      </c>
      <c r="J632" s="131" t="s">
        <v>4432</v>
      </c>
      <c r="K632" s="132" t="s">
        <v>4433</v>
      </c>
      <c r="L632" s="136">
        <v>3444576</v>
      </c>
      <c r="M632" s="132" t="s">
        <v>6152</v>
      </c>
      <c r="N632" s="136" t="s">
        <v>3741</v>
      </c>
      <c r="O632" s="130" t="s">
        <v>4436</v>
      </c>
      <c r="P632" s="130" t="s">
        <v>4492</v>
      </c>
      <c r="Q632" s="130">
        <v>38237090</v>
      </c>
      <c r="R632" s="136">
        <v>36</v>
      </c>
      <c r="S632" s="130" t="s">
        <v>70</v>
      </c>
      <c r="T632" s="136" t="s">
        <v>44</v>
      </c>
      <c r="U632" s="136" t="s">
        <v>53</v>
      </c>
      <c r="V632" s="136">
        <v>4094</v>
      </c>
      <c r="W632" s="133">
        <f t="shared" si="27"/>
        <v>147384</v>
      </c>
      <c r="X632" s="136">
        <v>48.64</v>
      </c>
      <c r="Y632" s="136">
        <v>6000</v>
      </c>
      <c r="Z632" s="136">
        <v>0</v>
      </c>
      <c r="AA632" s="136">
        <v>0</v>
      </c>
      <c r="AB632" s="131">
        <v>42286</v>
      </c>
      <c r="AC632" s="134">
        <f t="shared" si="28"/>
        <v>141335.36006144393</v>
      </c>
      <c r="AD632" s="135">
        <v>65.099999999999994</v>
      </c>
      <c r="AE632" s="136">
        <f t="shared" si="29"/>
        <v>9594698.3999999985</v>
      </c>
      <c r="AF632" s="137">
        <v>9200931.9399999995</v>
      </c>
      <c r="AG632" s="138">
        <v>65.099999999999994</v>
      </c>
      <c r="AH632" s="136" t="s">
        <v>6153</v>
      </c>
      <c r="AI632" s="136">
        <v>147384</v>
      </c>
      <c r="AJ632" s="132" t="s">
        <v>6154</v>
      </c>
      <c r="AK632" s="136" t="s">
        <v>6155</v>
      </c>
      <c r="AL632" s="132" t="s">
        <v>6156</v>
      </c>
      <c r="AM632" s="131" t="s">
        <v>49</v>
      </c>
      <c r="AN632" s="133" t="s">
        <v>4440</v>
      </c>
    </row>
    <row r="633" spans="1:40" s="129" customFormat="1" x14ac:dyDescent="0.25">
      <c r="A633" s="136">
        <v>632</v>
      </c>
      <c r="B633" s="130" t="s">
        <v>4428</v>
      </c>
      <c r="C633" s="130" t="s">
        <v>38</v>
      </c>
      <c r="D633" s="136">
        <v>9103650557</v>
      </c>
      <c r="E633" s="132">
        <v>42290</v>
      </c>
      <c r="F633" s="132" t="s">
        <v>6060</v>
      </c>
      <c r="G633" s="132" t="s">
        <v>6157</v>
      </c>
      <c r="H633" s="130" t="s">
        <v>4446</v>
      </c>
      <c r="I633" s="132" t="s">
        <v>40</v>
      </c>
      <c r="J633" s="131" t="s">
        <v>4432</v>
      </c>
      <c r="K633" s="132" t="s">
        <v>4433</v>
      </c>
      <c r="L633" s="136">
        <v>3193379</v>
      </c>
      <c r="M633" s="132">
        <v>42271</v>
      </c>
      <c r="N633" s="136" t="s">
        <v>4532</v>
      </c>
      <c r="O633" s="130" t="s">
        <v>4436</v>
      </c>
      <c r="P633" s="130" t="s">
        <v>77</v>
      </c>
      <c r="Q633" s="130">
        <v>38237090</v>
      </c>
      <c r="R633" s="136">
        <v>10</v>
      </c>
      <c r="S633" s="130" t="s">
        <v>70</v>
      </c>
      <c r="T633" s="136" t="s">
        <v>67</v>
      </c>
      <c r="U633" s="136" t="s">
        <v>53</v>
      </c>
      <c r="V633" s="136">
        <v>1345</v>
      </c>
      <c r="W633" s="133">
        <f t="shared" si="27"/>
        <v>13450</v>
      </c>
      <c r="X633" s="136">
        <v>0</v>
      </c>
      <c r="Y633" s="136">
        <v>0</v>
      </c>
      <c r="Z633" s="136">
        <v>0</v>
      </c>
      <c r="AA633" s="136">
        <v>0</v>
      </c>
      <c r="AB633" s="131">
        <v>42639</v>
      </c>
      <c r="AC633" s="134">
        <f t="shared" si="28"/>
        <v>13450</v>
      </c>
      <c r="AD633" s="135">
        <v>66</v>
      </c>
      <c r="AE633" s="136">
        <f t="shared" si="29"/>
        <v>887700</v>
      </c>
      <c r="AF633" s="137">
        <v>887700</v>
      </c>
      <c r="AG633" s="138">
        <v>66</v>
      </c>
      <c r="AH633" s="136" t="s">
        <v>6158</v>
      </c>
      <c r="AI633" s="136">
        <v>13450</v>
      </c>
      <c r="AJ633" s="132">
        <v>42492</v>
      </c>
      <c r="AK633" s="136" t="s">
        <v>6159</v>
      </c>
      <c r="AL633" s="132">
        <v>42493</v>
      </c>
      <c r="AM633" s="131" t="s">
        <v>49</v>
      </c>
      <c r="AN633" s="136" t="s">
        <v>4440</v>
      </c>
    </row>
    <row r="634" spans="1:40" s="129" customFormat="1" x14ac:dyDescent="0.25">
      <c r="A634" s="130">
        <v>633</v>
      </c>
      <c r="B634" s="130" t="s">
        <v>4428</v>
      </c>
      <c r="C634" s="130" t="s">
        <v>38</v>
      </c>
      <c r="D634" s="136">
        <v>9103650587</v>
      </c>
      <c r="E634" s="132">
        <v>42290</v>
      </c>
      <c r="F634" s="132" t="s">
        <v>6060</v>
      </c>
      <c r="G634" s="132" t="s">
        <v>6160</v>
      </c>
      <c r="H634" s="130" t="s">
        <v>4446</v>
      </c>
      <c r="I634" s="132" t="s">
        <v>40</v>
      </c>
      <c r="J634" s="131" t="s">
        <v>4432</v>
      </c>
      <c r="K634" s="132" t="s">
        <v>4433</v>
      </c>
      <c r="L634" s="136">
        <v>3423445</v>
      </c>
      <c r="M634" s="132">
        <v>42284</v>
      </c>
      <c r="N634" s="136" t="s">
        <v>4448</v>
      </c>
      <c r="O634" s="130" t="s">
        <v>4436</v>
      </c>
      <c r="P634" s="130" t="s">
        <v>47</v>
      </c>
      <c r="Q634" s="130">
        <v>29159020</v>
      </c>
      <c r="R634" s="136">
        <v>19.8</v>
      </c>
      <c r="S634" s="130" t="s">
        <v>70</v>
      </c>
      <c r="T634" s="136" t="s">
        <v>44</v>
      </c>
      <c r="U634" s="136" t="s">
        <v>53</v>
      </c>
      <c r="V634" s="136">
        <v>4795</v>
      </c>
      <c r="W634" s="133">
        <f t="shared" si="27"/>
        <v>94941</v>
      </c>
      <c r="X634" s="136">
        <v>31.33</v>
      </c>
      <c r="Y634" s="136">
        <v>550</v>
      </c>
      <c r="Z634" s="136">
        <v>0</v>
      </c>
      <c r="AA634" s="136">
        <v>0</v>
      </c>
      <c r="AB634" s="131">
        <v>42286</v>
      </c>
      <c r="AC634" s="134">
        <f t="shared" si="28"/>
        <v>94359.670046082945</v>
      </c>
      <c r="AD634" s="135">
        <v>65.099999999999994</v>
      </c>
      <c r="AE634" s="136">
        <f t="shared" si="29"/>
        <v>6180659.0999999996</v>
      </c>
      <c r="AF634" s="137">
        <v>6142814.5199999996</v>
      </c>
      <c r="AG634" s="138">
        <v>65.099999999999994</v>
      </c>
      <c r="AH634" s="136" t="s">
        <v>6161</v>
      </c>
      <c r="AI634" s="133">
        <v>94926</v>
      </c>
      <c r="AJ634" s="132">
        <v>42324</v>
      </c>
      <c r="AK634" s="136" t="s">
        <v>6162</v>
      </c>
      <c r="AL634" s="132">
        <v>42325</v>
      </c>
      <c r="AM634" s="131" t="s">
        <v>49</v>
      </c>
      <c r="AN634" s="133" t="s">
        <v>4440</v>
      </c>
    </row>
    <row r="635" spans="1:40" s="129" customFormat="1" x14ac:dyDescent="0.25">
      <c r="A635" s="136">
        <v>634</v>
      </c>
      <c r="B635" s="130" t="s">
        <v>4428</v>
      </c>
      <c r="C635" s="130" t="s">
        <v>38</v>
      </c>
      <c r="D635" s="136">
        <v>9103650588</v>
      </c>
      <c r="E635" s="132">
        <v>42290</v>
      </c>
      <c r="F635" s="132" t="s">
        <v>6060</v>
      </c>
      <c r="G635" s="132" t="s">
        <v>6163</v>
      </c>
      <c r="H635" s="130" t="s">
        <v>4456</v>
      </c>
      <c r="I635" s="132" t="s">
        <v>40</v>
      </c>
      <c r="J635" s="131" t="s">
        <v>4432</v>
      </c>
      <c r="K635" s="132" t="s">
        <v>4433</v>
      </c>
      <c r="L635" s="136">
        <v>3427780</v>
      </c>
      <c r="M635" s="132" t="s">
        <v>4962</v>
      </c>
      <c r="N635" s="136" t="s">
        <v>4448</v>
      </c>
      <c r="O635" s="130" t="s">
        <v>4436</v>
      </c>
      <c r="P635" s="130" t="s">
        <v>47</v>
      </c>
      <c r="Q635" s="130">
        <v>38231900</v>
      </c>
      <c r="R635" s="136">
        <v>39.619999999999997</v>
      </c>
      <c r="S635" s="130" t="s">
        <v>70</v>
      </c>
      <c r="T635" s="136" t="s">
        <v>44</v>
      </c>
      <c r="U635" s="136" t="s">
        <v>53</v>
      </c>
      <c r="V635" s="136">
        <v>4025</v>
      </c>
      <c r="W635" s="133">
        <f t="shared" si="27"/>
        <v>159470.5</v>
      </c>
      <c r="X635" s="136">
        <v>52.63</v>
      </c>
      <c r="Y635" s="136">
        <v>1100</v>
      </c>
      <c r="Z635" s="136">
        <v>0</v>
      </c>
      <c r="AA635" s="136">
        <v>0</v>
      </c>
      <c r="AB635" s="131">
        <v>42286</v>
      </c>
      <c r="AC635" s="134">
        <f t="shared" si="28"/>
        <v>158317.87004608297</v>
      </c>
      <c r="AD635" s="135">
        <v>65.099999999999994</v>
      </c>
      <c r="AE635" s="136">
        <f t="shared" si="29"/>
        <v>10381529.549999999</v>
      </c>
      <c r="AF635" s="137">
        <v>10306493.34</v>
      </c>
      <c r="AG635" s="138">
        <v>65.099999999999994</v>
      </c>
      <c r="AH635" s="136" t="s">
        <v>6164</v>
      </c>
      <c r="AI635" s="136">
        <v>159450.5</v>
      </c>
      <c r="AJ635" s="132" t="s">
        <v>5407</v>
      </c>
      <c r="AK635" s="136" t="s">
        <v>6165</v>
      </c>
      <c r="AL635" s="132" t="s">
        <v>6166</v>
      </c>
      <c r="AM635" s="131" t="s">
        <v>49</v>
      </c>
      <c r="AN635" s="133" t="s">
        <v>4440</v>
      </c>
    </row>
    <row r="636" spans="1:40" s="129" customFormat="1" x14ac:dyDescent="0.25">
      <c r="A636" s="130">
        <v>635</v>
      </c>
      <c r="B636" s="130" t="s">
        <v>4428</v>
      </c>
      <c r="C636" s="130" t="s">
        <v>38</v>
      </c>
      <c r="D636" s="136">
        <v>9103650597</v>
      </c>
      <c r="E636" s="132">
        <v>42290</v>
      </c>
      <c r="F636" s="132" t="s">
        <v>6060</v>
      </c>
      <c r="G636" s="132" t="s">
        <v>6167</v>
      </c>
      <c r="H636" s="130" t="s">
        <v>4431</v>
      </c>
      <c r="I636" s="132" t="s">
        <v>40</v>
      </c>
      <c r="J636" s="131" t="s">
        <v>4432</v>
      </c>
      <c r="K636" s="132" t="s">
        <v>4433</v>
      </c>
      <c r="L636" s="136">
        <v>3483891</v>
      </c>
      <c r="M636" s="132">
        <v>42287</v>
      </c>
      <c r="N636" s="136" t="s">
        <v>5839</v>
      </c>
      <c r="O636" s="130" t="s">
        <v>4436</v>
      </c>
      <c r="P636" s="130" t="s">
        <v>64</v>
      </c>
      <c r="Q636" s="130">
        <v>38237090</v>
      </c>
      <c r="R636" s="136">
        <v>20</v>
      </c>
      <c r="S636" s="130" t="s">
        <v>70</v>
      </c>
      <c r="T636" s="136" t="s">
        <v>44</v>
      </c>
      <c r="U636" s="136" t="s">
        <v>53</v>
      </c>
      <c r="V636" s="136">
        <v>3885</v>
      </c>
      <c r="W636" s="133">
        <f t="shared" si="27"/>
        <v>77700</v>
      </c>
      <c r="X636" s="136">
        <v>25.84</v>
      </c>
      <c r="Y636" s="136">
        <v>50</v>
      </c>
      <c r="Z636" s="136">
        <v>0</v>
      </c>
      <c r="AA636" s="136">
        <v>0</v>
      </c>
      <c r="AB636" s="131">
        <v>42289</v>
      </c>
      <c r="AC636" s="134">
        <f t="shared" si="28"/>
        <v>77624.360061443935</v>
      </c>
      <c r="AD636" s="135">
        <v>65.099999999999994</v>
      </c>
      <c r="AE636" s="136">
        <f t="shared" si="29"/>
        <v>5058270</v>
      </c>
      <c r="AF636" s="137">
        <v>5053345.84</v>
      </c>
      <c r="AG636" s="138">
        <v>65.099999999999994</v>
      </c>
      <c r="AH636" s="136" t="s">
        <v>6168</v>
      </c>
      <c r="AI636" s="133">
        <v>77555</v>
      </c>
      <c r="AJ636" s="132">
        <v>42312</v>
      </c>
      <c r="AK636" s="136" t="s">
        <v>6169</v>
      </c>
      <c r="AL636" s="132">
        <v>42313</v>
      </c>
      <c r="AM636" s="131" t="s">
        <v>49</v>
      </c>
      <c r="AN636" s="133" t="s">
        <v>4440</v>
      </c>
    </row>
    <row r="637" spans="1:40" s="129" customFormat="1" x14ac:dyDescent="0.25">
      <c r="A637" s="136">
        <v>636</v>
      </c>
      <c r="B637" s="130" t="s">
        <v>4428</v>
      </c>
      <c r="C637" s="130" t="s">
        <v>38</v>
      </c>
      <c r="D637" s="136">
        <v>9103650591</v>
      </c>
      <c r="E637" s="132">
        <v>42291</v>
      </c>
      <c r="F637" s="132" t="s">
        <v>6060</v>
      </c>
      <c r="G637" s="132" t="s">
        <v>722</v>
      </c>
      <c r="H637" s="130" t="s">
        <v>4446</v>
      </c>
      <c r="I637" s="132" t="s">
        <v>40</v>
      </c>
      <c r="J637" s="131" t="s">
        <v>4432</v>
      </c>
      <c r="K637" s="132" t="s">
        <v>4433</v>
      </c>
      <c r="L637" s="136">
        <v>3451989</v>
      </c>
      <c r="M637" s="132">
        <v>42285</v>
      </c>
      <c r="N637" s="136" t="s">
        <v>4670</v>
      </c>
      <c r="O637" s="130" t="s">
        <v>4436</v>
      </c>
      <c r="P637" s="130" t="s">
        <v>243</v>
      </c>
      <c r="Q637" s="130">
        <v>38237090</v>
      </c>
      <c r="R637" s="136">
        <v>26</v>
      </c>
      <c r="S637" s="130" t="s">
        <v>70</v>
      </c>
      <c r="T637" s="136" t="s">
        <v>52</v>
      </c>
      <c r="U637" s="136" t="s">
        <v>53</v>
      </c>
      <c r="V637" s="136">
        <v>1250</v>
      </c>
      <c r="W637" s="133">
        <f t="shared" si="27"/>
        <v>32500</v>
      </c>
      <c r="X637" s="136">
        <v>0</v>
      </c>
      <c r="Y637" s="136">
        <v>650</v>
      </c>
      <c r="Z637" s="136">
        <v>0</v>
      </c>
      <c r="AA637" s="136">
        <v>0</v>
      </c>
      <c r="AB637" s="131"/>
      <c r="AC637" s="134">
        <f t="shared" si="28"/>
        <v>31850.000000000004</v>
      </c>
      <c r="AD637" s="135">
        <v>65.099999999999994</v>
      </c>
      <c r="AE637" s="136">
        <f t="shared" si="29"/>
        <v>2115750</v>
      </c>
      <c r="AF637" s="137">
        <v>2073435</v>
      </c>
      <c r="AG637" s="138">
        <v>65.099999999999994</v>
      </c>
      <c r="AH637" s="136" t="s">
        <v>6170</v>
      </c>
      <c r="AI637" s="136">
        <f>22735+9683</f>
        <v>32418</v>
      </c>
      <c r="AJ637" s="132" t="s">
        <v>5405</v>
      </c>
      <c r="AK637" s="136" t="s">
        <v>6171</v>
      </c>
      <c r="AL637" s="132" t="s">
        <v>5407</v>
      </c>
      <c r="AM637" s="131" t="s">
        <v>6172</v>
      </c>
      <c r="AN637" s="136" t="s">
        <v>4440</v>
      </c>
    </row>
    <row r="638" spans="1:40" s="129" customFormat="1" ht="25.5" x14ac:dyDescent="0.25">
      <c r="A638" s="130">
        <v>637</v>
      </c>
      <c r="B638" s="130" t="s">
        <v>4428</v>
      </c>
      <c r="C638" s="130" t="s">
        <v>38</v>
      </c>
      <c r="D638" s="136">
        <v>9103650592</v>
      </c>
      <c r="E638" s="132">
        <v>42291</v>
      </c>
      <c r="F638" s="132" t="s">
        <v>6060</v>
      </c>
      <c r="G638" s="132" t="s">
        <v>6173</v>
      </c>
      <c r="H638" s="130" t="s">
        <v>4446</v>
      </c>
      <c r="I638" s="132" t="s">
        <v>40</v>
      </c>
      <c r="J638" s="131" t="s">
        <v>4432</v>
      </c>
      <c r="K638" s="132" t="s">
        <v>4433</v>
      </c>
      <c r="L638" s="136">
        <v>3451528</v>
      </c>
      <c r="M638" s="132">
        <v>42285</v>
      </c>
      <c r="N638" s="136" t="s">
        <v>4670</v>
      </c>
      <c r="O638" s="130" t="s">
        <v>4436</v>
      </c>
      <c r="P638" s="130" t="s">
        <v>243</v>
      </c>
      <c r="Q638" s="130">
        <v>38237090</v>
      </c>
      <c r="R638" s="136">
        <v>26</v>
      </c>
      <c r="S638" s="130" t="s">
        <v>70</v>
      </c>
      <c r="T638" s="136" t="s">
        <v>52</v>
      </c>
      <c r="U638" s="136" t="s">
        <v>53</v>
      </c>
      <c r="V638" s="136">
        <v>1250</v>
      </c>
      <c r="W638" s="133">
        <f t="shared" si="27"/>
        <v>32500</v>
      </c>
      <c r="X638" s="136">
        <v>0</v>
      </c>
      <c r="Y638" s="136">
        <v>650</v>
      </c>
      <c r="Z638" s="136">
        <v>0</v>
      </c>
      <c r="AA638" s="136">
        <v>0</v>
      </c>
      <c r="AB638" s="131">
        <v>42286</v>
      </c>
      <c r="AC638" s="134">
        <f t="shared" si="28"/>
        <v>31850.000000000004</v>
      </c>
      <c r="AD638" s="135">
        <v>65.099999999999994</v>
      </c>
      <c r="AE638" s="136">
        <f t="shared" si="29"/>
        <v>2115750</v>
      </c>
      <c r="AF638" s="137">
        <v>2073435</v>
      </c>
      <c r="AG638" s="138">
        <v>65.099999999999994</v>
      </c>
      <c r="AH638" s="136" t="s">
        <v>6174</v>
      </c>
      <c r="AI638" s="136">
        <v>32418</v>
      </c>
      <c r="AJ638" s="132">
        <v>42347</v>
      </c>
      <c r="AK638" s="139" t="s">
        <v>6175</v>
      </c>
      <c r="AL638" s="142" t="s">
        <v>6176</v>
      </c>
      <c r="AM638" s="131" t="s">
        <v>49</v>
      </c>
      <c r="AN638" s="133" t="s">
        <v>4440</v>
      </c>
    </row>
    <row r="639" spans="1:40" s="129" customFormat="1" x14ac:dyDescent="0.25">
      <c r="A639" s="136">
        <v>638</v>
      </c>
      <c r="B639" s="130" t="s">
        <v>4428</v>
      </c>
      <c r="C639" s="130" t="s">
        <v>38</v>
      </c>
      <c r="D639" s="136">
        <v>9103650593</v>
      </c>
      <c r="E639" s="132">
        <v>42291</v>
      </c>
      <c r="F639" s="132" t="s">
        <v>6060</v>
      </c>
      <c r="G639" s="132" t="s">
        <v>6177</v>
      </c>
      <c r="H639" s="130" t="s">
        <v>4456</v>
      </c>
      <c r="I639" s="132" t="s">
        <v>40</v>
      </c>
      <c r="J639" s="131" t="s">
        <v>4432</v>
      </c>
      <c r="K639" s="132" t="s">
        <v>4433</v>
      </c>
      <c r="L639" s="136">
        <v>3447953</v>
      </c>
      <c r="M639" s="132" t="s">
        <v>6152</v>
      </c>
      <c r="N639" s="136" t="s">
        <v>5106</v>
      </c>
      <c r="O639" s="130" t="s">
        <v>4436</v>
      </c>
      <c r="P639" s="130" t="s">
        <v>127</v>
      </c>
      <c r="Q639" s="130">
        <v>38237090</v>
      </c>
      <c r="R639" s="136">
        <v>16</v>
      </c>
      <c r="S639" s="130" t="s">
        <v>70</v>
      </c>
      <c r="T639" s="136" t="s">
        <v>44</v>
      </c>
      <c r="U639" s="136" t="s">
        <v>53</v>
      </c>
      <c r="V639" s="136">
        <v>3731</v>
      </c>
      <c r="W639" s="133">
        <f t="shared" si="27"/>
        <v>59696</v>
      </c>
      <c r="X639" s="136">
        <v>19.7</v>
      </c>
      <c r="Y639" s="136">
        <v>65</v>
      </c>
      <c r="Z639" s="136">
        <v>0</v>
      </c>
      <c r="AA639" s="136">
        <v>0</v>
      </c>
      <c r="AB639" s="131">
        <v>42286</v>
      </c>
      <c r="AC639" s="134">
        <f t="shared" si="28"/>
        <v>59611.3</v>
      </c>
      <c r="AD639" s="135">
        <v>65.099999999999994</v>
      </c>
      <c r="AE639" s="136">
        <f t="shared" si="29"/>
        <v>3886209.5999999996</v>
      </c>
      <c r="AF639" s="137">
        <v>3880695.63</v>
      </c>
      <c r="AG639" s="138">
        <v>65.099999999999994</v>
      </c>
      <c r="AH639" s="136" t="s">
        <v>6178</v>
      </c>
      <c r="AI639" s="136">
        <v>59649</v>
      </c>
      <c r="AJ639" s="132" t="s">
        <v>5407</v>
      </c>
      <c r="AK639" s="136" t="s">
        <v>6179</v>
      </c>
      <c r="AL639" s="132" t="s">
        <v>6166</v>
      </c>
      <c r="AM639" s="131" t="s">
        <v>49</v>
      </c>
      <c r="AN639" s="133" t="s">
        <v>4440</v>
      </c>
    </row>
    <row r="640" spans="1:40" s="129" customFormat="1" x14ac:dyDescent="0.25">
      <c r="A640" s="130">
        <v>639</v>
      </c>
      <c r="B640" s="130" t="s">
        <v>4428</v>
      </c>
      <c r="C640" s="130" t="s">
        <v>38</v>
      </c>
      <c r="D640" s="136">
        <v>9103650594</v>
      </c>
      <c r="E640" s="132">
        <v>42291</v>
      </c>
      <c r="F640" s="132" t="s">
        <v>6060</v>
      </c>
      <c r="G640" s="132" t="s">
        <v>6180</v>
      </c>
      <c r="H640" s="130" t="s">
        <v>4431</v>
      </c>
      <c r="I640" s="132" t="s">
        <v>40</v>
      </c>
      <c r="J640" s="131" t="s">
        <v>4432</v>
      </c>
      <c r="K640" s="132" t="s">
        <v>4433</v>
      </c>
      <c r="L640" s="136">
        <v>3448193</v>
      </c>
      <c r="M640" s="132" t="s">
        <v>6152</v>
      </c>
      <c r="N640" s="136" t="s">
        <v>6181</v>
      </c>
      <c r="O640" s="130" t="s">
        <v>4436</v>
      </c>
      <c r="P640" s="130" t="s">
        <v>143</v>
      </c>
      <c r="Q640" s="130">
        <v>38231900</v>
      </c>
      <c r="R640" s="136">
        <v>19.87</v>
      </c>
      <c r="S640" s="130" t="s">
        <v>70</v>
      </c>
      <c r="T640" s="136" t="s">
        <v>44</v>
      </c>
      <c r="U640" s="136" t="s">
        <v>53</v>
      </c>
      <c r="V640" s="136">
        <v>1175</v>
      </c>
      <c r="W640" s="133">
        <f t="shared" ref="W640:W704" si="30">V640*R640</f>
        <v>23347.25</v>
      </c>
      <c r="X640" s="136">
        <v>7.7</v>
      </c>
      <c r="Y640" s="136">
        <v>750</v>
      </c>
      <c r="Z640" s="136">
        <v>0</v>
      </c>
      <c r="AA640" s="136">
        <v>0</v>
      </c>
      <c r="AB640" s="131">
        <v>42286</v>
      </c>
      <c r="AC640" s="134">
        <f t="shared" si="28"/>
        <v>22589.550076804917</v>
      </c>
      <c r="AD640" s="135">
        <v>65.099999999999994</v>
      </c>
      <c r="AE640" s="136">
        <f t="shared" si="29"/>
        <v>1519905.9749999999</v>
      </c>
      <c r="AF640" s="137">
        <v>1470579.71</v>
      </c>
      <c r="AG640" s="138">
        <v>65.099999999999994</v>
      </c>
      <c r="AH640" s="136" t="s">
        <v>6182</v>
      </c>
      <c r="AI640" s="136">
        <v>23079.25</v>
      </c>
      <c r="AJ640" s="132" t="s">
        <v>6183</v>
      </c>
      <c r="AK640" s="136" t="s">
        <v>6184</v>
      </c>
      <c r="AL640" s="132" t="s">
        <v>6185</v>
      </c>
      <c r="AM640" s="131" t="s">
        <v>49</v>
      </c>
      <c r="AN640" s="133" t="s">
        <v>4440</v>
      </c>
    </row>
    <row r="641" spans="1:40" s="129" customFormat="1" x14ac:dyDescent="0.25">
      <c r="A641" s="136">
        <v>640</v>
      </c>
      <c r="B641" s="130" t="s">
        <v>4428</v>
      </c>
      <c r="C641" s="130" t="s">
        <v>38</v>
      </c>
      <c r="D641" s="136">
        <v>9103650595</v>
      </c>
      <c r="E641" s="132">
        <v>42291</v>
      </c>
      <c r="F641" s="132" t="s">
        <v>6060</v>
      </c>
      <c r="G641" s="132" t="s">
        <v>6186</v>
      </c>
      <c r="H641" s="130" t="s">
        <v>4446</v>
      </c>
      <c r="I641" s="132" t="s">
        <v>40</v>
      </c>
      <c r="J641" s="131" t="s">
        <v>4432</v>
      </c>
      <c r="K641" s="132" t="s">
        <v>4433</v>
      </c>
      <c r="L641" s="136">
        <v>3473683</v>
      </c>
      <c r="M641" s="132">
        <v>42286</v>
      </c>
      <c r="N641" s="136" t="s">
        <v>5073</v>
      </c>
      <c r="O641" s="130" t="s">
        <v>4436</v>
      </c>
      <c r="P641" s="130" t="s">
        <v>2657</v>
      </c>
      <c r="Q641" s="130">
        <v>29159020</v>
      </c>
      <c r="R641" s="136">
        <v>59.19</v>
      </c>
      <c r="S641" s="130" t="s">
        <v>70</v>
      </c>
      <c r="T641" s="136" t="s">
        <v>44</v>
      </c>
      <c r="U641" s="136" t="s">
        <v>53</v>
      </c>
      <c r="V641" s="136">
        <v>4780</v>
      </c>
      <c r="W641" s="133">
        <f t="shared" si="30"/>
        <v>282928.2</v>
      </c>
      <c r="X641" s="136">
        <v>93.37</v>
      </c>
      <c r="Y641" s="136">
        <v>1500</v>
      </c>
      <c r="Z641" s="136">
        <v>0</v>
      </c>
      <c r="AA641" s="136">
        <v>0</v>
      </c>
      <c r="AB641" s="131">
        <v>42287</v>
      </c>
      <c r="AC641" s="134">
        <f t="shared" si="28"/>
        <v>281334.82995391707</v>
      </c>
      <c r="AD641" s="135">
        <v>65.099999999999994</v>
      </c>
      <c r="AE641" s="136">
        <f t="shared" si="29"/>
        <v>18418625.82</v>
      </c>
      <c r="AF641" s="137">
        <v>18314897.43</v>
      </c>
      <c r="AG641" s="138">
        <v>65.099999999999994</v>
      </c>
      <c r="AH641" s="136" t="s">
        <v>6187</v>
      </c>
      <c r="AI641" s="136">
        <v>282907.2</v>
      </c>
      <c r="AJ641" s="132">
        <v>42326</v>
      </c>
      <c r="AK641" s="136" t="s">
        <v>6188</v>
      </c>
      <c r="AL641" s="132">
        <v>42327</v>
      </c>
      <c r="AM641" s="131" t="s">
        <v>49</v>
      </c>
      <c r="AN641" s="133" t="s">
        <v>4440</v>
      </c>
    </row>
    <row r="642" spans="1:40" s="129" customFormat="1" x14ac:dyDescent="0.25">
      <c r="A642" s="130">
        <v>641</v>
      </c>
      <c r="B642" s="130" t="s">
        <v>4428</v>
      </c>
      <c r="C642" s="130" t="s">
        <v>38</v>
      </c>
      <c r="D642" s="136">
        <v>9103650603</v>
      </c>
      <c r="E642" s="132">
        <v>42294</v>
      </c>
      <c r="F642" s="132" t="s">
        <v>6060</v>
      </c>
      <c r="G642" s="132" t="s">
        <v>6189</v>
      </c>
      <c r="H642" s="130" t="s">
        <v>4463</v>
      </c>
      <c r="I642" s="132" t="s">
        <v>40</v>
      </c>
      <c r="J642" s="131" t="s">
        <v>4432</v>
      </c>
      <c r="K642" s="132" t="s">
        <v>4433</v>
      </c>
      <c r="L642" s="136">
        <v>3559830</v>
      </c>
      <c r="M642" s="132" t="s">
        <v>5572</v>
      </c>
      <c r="N642" s="136" t="s">
        <v>6190</v>
      </c>
      <c r="O642" s="130" t="s">
        <v>4436</v>
      </c>
      <c r="P642" s="130" t="s">
        <v>54</v>
      </c>
      <c r="Q642" s="130">
        <v>38237090</v>
      </c>
      <c r="R642" s="136">
        <v>25</v>
      </c>
      <c r="S642" s="130" t="s">
        <v>70</v>
      </c>
      <c r="T642" s="136" t="s">
        <v>52</v>
      </c>
      <c r="U642" s="136" t="s">
        <v>53</v>
      </c>
      <c r="V642" s="136">
        <v>3822</v>
      </c>
      <c r="W642" s="133">
        <f t="shared" si="30"/>
        <v>95550</v>
      </c>
      <c r="X642" s="136">
        <v>0</v>
      </c>
      <c r="Y642" s="136">
        <v>25</v>
      </c>
      <c r="Z642" s="136">
        <v>0</v>
      </c>
      <c r="AA642" s="136">
        <v>0</v>
      </c>
      <c r="AB642" s="131">
        <v>42292</v>
      </c>
      <c r="AC642" s="134">
        <f t="shared" si="28"/>
        <v>95525.000000000015</v>
      </c>
      <c r="AD642" s="135">
        <v>65.099999999999994</v>
      </c>
      <c r="AE642" s="136">
        <f t="shared" si="29"/>
        <v>6220304.9999999991</v>
      </c>
      <c r="AF642" s="137">
        <v>6218677.5</v>
      </c>
      <c r="AG642" s="138">
        <v>65.099999999999994</v>
      </c>
      <c r="AH642" s="136" t="s">
        <v>6191</v>
      </c>
      <c r="AI642" s="136">
        <v>95400</v>
      </c>
      <c r="AJ642" s="132" t="s">
        <v>5820</v>
      </c>
      <c r="AK642" s="136" t="s">
        <v>6192</v>
      </c>
      <c r="AL642" s="132" t="s">
        <v>5822</v>
      </c>
      <c r="AM642" s="131" t="s">
        <v>49</v>
      </c>
      <c r="AN642" s="133" t="s">
        <v>4440</v>
      </c>
    </row>
    <row r="643" spans="1:40" s="129" customFormat="1" x14ac:dyDescent="0.25">
      <c r="A643" s="136">
        <v>642</v>
      </c>
      <c r="B643" s="130" t="s">
        <v>4428</v>
      </c>
      <c r="C643" s="130" t="s">
        <v>38</v>
      </c>
      <c r="D643" s="136">
        <v>9103650606</v>
      </c>
      <c r="E643" s="132">
        <v>42294</v>
      </c>
      <c r="F643" s="132" t="s">
        <v>6060</v>
      </c>
      <c r="G643" s="132" t="s">
        <v>6193</v>
      </c>
      <c r="H643" s="130" t="s">
        <v>4456</v>
      </c>
      <c r="I643" s="132" t="s">
        <v>40</v>
      </c>
      <c r="J643" s="131" t="s">
        <v>4432</v>
      </c>
      <c r="K643" s="132" t="s">
        <v>4433</v>
      </c>
      <c r="L643" s="136">
        <v>3582367</v>
      </c>
      <c r="M643" s="132">
        <v>42292</v>
      </c>
      <c r="N643" s="136" t="s">
        <v>4527</v>
      </c>
      <c r="O643" s="130" t="s">
        <v>4436</v>
      </c>
      <c r="P643" s="130" t="s">
        <v>223</v>
      </c>
      <c r="Q643" s="130" t="s">
        <v>6194</v>
      </c>
      <c r="R643" s="136">
        <v>24</v>
      </c>
      <c r="S643" s="130" t="s">
        <v>70</v>
      </c>
      <c r="T643" s="136" t="s">
        <v>44</v>
      </c>
      <c r="U643" s="136" t="s">
        <v>53</v>
      </c>
      <c r="V643" s="136">
        <v>0</v>
      </c>
      <c r="W643" s="133">
        <f>(1190*16+1325*8)</f>
        <v>29640</v>
      </c>
      <c r="X643" s="136">
        <v>9.7799999999999994</v>
      </c>
      <c r="Y643" s="136">
        <v>400</v>
      </c>
      <c r="Z643" s="136">
        <v>0</v>
      </c>
      <c r="AA643" s="136">
        <v>0</v>
      </c>
      <c r="AB643" s="131">
        <v>42293</v>
      </c>
      <c r="AC643" s="134">
        <f t="shared" si="28"/>
        <v>29230.219969278038</v>
      </c>
      <c r="AD643" s="135">
        <v>65.099999999999994</v>
      </c>
      <c r="AE643" s="136">
        <f t="shared" si="29"/>
        <v>1929563.9999999998</v>
      </c>
      <c r="AF643" s="137">
        <v>1902887.32</v>
      </c>
      <c r="AG643" s="138">
        <v>64.3</v>
      </c>
      <c r="AH643" s="136" t="s">
        <v>6195</v>
      </c>
      <c r="AI643" s="136">
        <v>29630</v>
      </c>
      <c r="AJ643" s="132">
        <v>42360</v>
      </c>
      <c r="AK643" s="136" t="s">
        <v>6196</v>
      </c>
      <c r="AL643" s="132">
        <v>42360</v>
      </c>
      <c r="AM643" s="131" t="s">
        <v>49</v>
      </c>
      <c r="AN643" s="136" t="s">
        <v>4440</v>
      </c>
    </row>
    <row r="644" spans="1:40" s="129" customFormat="1" x14ac:dyDescent="0.25">
      <c r="A644" s="130">
        <v>643</v>
      </c>
      <c r="B644" s="130" t="s">
        <v>4428</v>
      </c>
      <c r="C644" s="130" t="s">
        <v>38</v>
      </c>
      <c r="D644" s="136">
        <v>9103650598</v>
      </c>
      <c r="E644" s="132">
        <v>42295</v>
      </c>
      <c r="F644" s="132" t="s">
        <v>6060</v>
      </c>
      <c r="G644" s="132" t="s">
        <v>6197</v>
      </c>
      <c r="H644" s="130" t="s">
        <v>4463</v>
      </c>
      <c r="I644" s="132" t="s">
        <v>40</v>
      </c>
      <c r="J644" s="131" t="s">
        <v>4432</v>
      </c>
      <c r="K644" s="132" t="s">
        <v>4433</v>
      </c>
      <c r="L644" s="136">
        <v>3483111</v>
      </c>
      <c r="M644" s="132">
        <v>42287</v>
      </c>
      <c r="N644" s="136" t="s">
        <v>4608</v>
      </c>
      <c r="O644" s="130" t="s">
        <v>4436</v>
      </c>
      <c r="P644" s="130" t="s">
        <v>205</v>
      </c>
      <c r="Q644" s="130">
        <v>38237090</v>
      </c>
      <c r="R644" s="136">
        <v>17.600000000000001</v>
      </c>
      <c r="S644" s="130" t="s">
        <v>70</v>
      </c>
      <c r="T644" s="136" t="s">
        <v>44</v>
      </c>
      <c r="U644" s="136" t="s">
        <v>53</v>
      </c>
      <c r="V644" s="136">
        <v>1620</v>
      </c>
      <c r="W644" s="133">
        <f t="shared" si="30"/>
        <v>28512.000000000004</v>
      </c>
      <c r="X644" s="136">
        <v>9.41</v>
      </c>
      <c r="Y644" s="136">
        <v>500</v>
      </c>
      <c r="Z644" s="136">
        <v>0</v>
      </c>
      <c r="AA644" s="136">
        <v>0</v>
      </c>
      <c r="AB644" s="131">
        <v>42289</v>
      </c>
      <c r="AC644" s="134">
        <f t="shared" si="28"/>
        <v>28002.590015360987</v>
      </c>
      <c r="AD644" s="135">
        <v>65.099999999999994</v>
      </c>
      <c r="AE644" s="136">
        <f t="shared" si="29"/>
        <v>1856131.2000000002</v>
      </c>
      <c r="AF644" s="137">
        <v>1822968.61</v>
      </c>
      <c r="AG644" s="138">
        <v>65.099999999999994</v>
      </c>
      <c r="AH644" s="136" t="s">
        <v>6198</v>
      </c>
      <c r="AI644" s="136">
        <v>28497</v>
      </c>
      <c r="AJ644" s="132">
        <v>42318</v>
      </c>
      <c r="AK644" s="136" t="s">
        <v>6199</v>
      </c>
      <c r="AL644" s="132">
        <v>42321</v>
      </c>
      <c r="AM644" s="131" t="s">
        <v>49</v>
      </c>
      <c r="AN644" s="133" t="s">
        <v>4440</v>
      </c>
    </row>
    <row r="645" spans="1:40" s="129" customFormat="1" x14ac:dyDescent="0.25">
      <c r="A645" s="136">
        <v>644</v>
      </c>
      <c r="B645" s="130" t="s">
        <v>4428</v>
      </c>
      <c r="C645" s="130" t="s">
        <v>38</v>
      </c>
      <c r="D645" s="136">
        <v>9103650599</v>
      </c>
      <c r="E645" s="132">
        <v>42295</v>
      </c>
      <c r="F645" s="132" t="s">
        <v>6060</v>
      </c>
      <c r="G645" s="132" t="s">
        <v>6200</v>
      </c>
      <c r="H645" s="130" t="s">
        <v>4463</v>
      </c>
      <c r="I645" s="132" t="s">
        <v>40</v>
      </c>
      <c r="J645" s="131" t="s">
        <v>4432</v>
      </c>
      <c r="K645" s="132" t="s">
        <v>4433</v>
      </c>
      <c r="L645" s="136">
        <v>3485087</v>
      </c>
      <c r="M645" s="132">
        <v>42287</v>
      </c>
      <c r="N645" s="136" t="s">
        <v>4608</v>
      </c>
      <c r="O645" s="130" t="s">
        <v>4436</v>
      </c>
      <c r="P645" s="130" t="s">
        <v>205</v>
      </c>
      <c r="Q645" s="130">
        <v>38237090</v>
      </c>
      <c r="R645" s="136">
        <v>17.600000000000001</v>
      </c>
      <c r="S645" s="130" t="s">
        <v>70</v>
      </c>
      <c r="T645" s="136" t="s">
        <v>44</v>
      </c>
      <c r="U645" s="136" t="s">
        <v>53</v>
      </c>
      <c r="V645" s="136">
        <v>1620</v>
      </c>
      <c r="W645" s="133">
        <f t="shared" si="30"/>
        <v>28512.000000000004</v>
      </c>
      <c r="X645" s="136">
        <v>9.41</v>
      </c>
      <c r="Y645" s="136">
        <v>500</v>
      </c>
      <c r="Z645" s="136">
        <v>0</v>
      </c>
      <c r="AA645" s="136">
        <v>0</v>
      </c>
      <c r="AB645" s="131">
        <v>42289</v>
      </c>
      <c r="AC645" s="134">
        <f t="shared" ref="AC645:AC709" si="31">AF645/AD645</f>
        <v>28002.590015360987</v>
      </c>
      <c r="AD645" s="135">
        <v>65.099999999999994</v>
      </c>
      <c r="AE645" s="136">
        <f t="shared" ref="AE645:AE709" si="32">AD645*W645</f>
        <v>1856131.2000000002</v>
      </c>
      <c r="AF645" s="137">
        <v>1822968.61</v>
      </c>
      <c r="AG645" s="138">
        <v>65.099999999999994</v>
      </c>
      <c r="AH645" s="136" t="s">
        <v>6201</v>
      </c>
      <c r="AI645" s="133">
        <v>28497</v>
      </c>
      <c r="AJ645" s="132">
        <v>42318</v>
      </c>
      <c r="AK645" s="136" t="s">
        <v>6202</v>
      </c>
      <c r="AL645" s="132">
        <v>42321</v>
      </c>
      <c r="AM645" s="131" t="s">
        <v>49</v>
      </c>
      <c r="AN645" s="133" t="s">
        <v>4440</v>
      </c>
    </row>
    <row r="646" spans="1:40" s="129" customFormat="1" x14ac:dyDescent="0.25">
      <c r="A646" s="130">
        <v>645</v>
      </c>
      <c r="B646" s="130" t="s">
        <v>4428</v>
      </c>
      <c r="C646" s="130" t="s">
        <v>38</v>
      </c>
      <c r="D646" s="136">
        <v>9103650600</v>
      </c>
      <c r="E646" s="132">
        <v>42295</v>
      </c>
      <c r="F646" s="132" t="s">
        <v>6060</v>
      </c>
      <c r="G646" s="132" t="s">
        <v>6203</v>
      </c>
      <c r="H646" s="130" t="s">
        <v>4463</v>
      </c>
      <c r="I646" s="132" t="s">
        <v>40</v>
      </c>
      <c r="J646" s="131" t="s">
        <v>4432</v>
      </c>
      <c r="K646" s="132" t="s">
        <v>4433</v>
      </c>
      <c r="L646" s="136">
        <v>3496727</v>
      </c>
      <c r="M646" s="132">
        <v>42289</v>
      </c>
      <c r="N646" s="136" t="s">
        <v>4608</v>
      </c>
      <c r="O646" s="130" t="s">
        <v>4436</v>
      </c>
      <c r="P646" s="130" t="s">
        <v>205</v>
      </c>
      <c r="Q646" s="130">
        <v>38237090</v>
      </c>
      <c r="R646" s="136">
        <v>17.600000000000001</v>
      </c>
      <c r="S646" s="130" t="s">
        <v>70</v>
      </c>
      <c r="T646" s="136" t="s">
        <v>44</v>
      </c>
      <c r="U646" s="136" t="s">
        <v>53</v>
      </c>
      <c r="V646" s="136">
        <v>1620</v>
      </c>
      <c r="W646" s="133">
        <f t="shared" si="30"/>
        <v>28512.000000000004</v>
      </c>
      <c r="X646" s="136">
        <v>9.41</v>
      </c>
      <c r="Y646" s="136">
        <v>500</v>
      </c>
      <c r="Z646" s="136">
        <v>0</v>
      </c>
      <c r="AA646" s="136">
        <v>0</v>
      </c>
      <c r="AB646" s="131">
        <v>42290</v>
      </c>
      <c r="AC646" s="134">
        <f t="shared" si="31"/>
        <v>28002.590015360987</v>
      </c>
      <c r="AD646" s="135">
        <v>65.099999999999994</v>
      </c>
      <c r="AE646" s="136">
        <f t="shared" si="32"/>
        <v>1856131.2000000002</v>
      </c>
      <c r="AF646" s="137">
        <v>1822968.61</v>
      </c>
      <c r="AG646" s="138">
        <v>65.099999999999994</v>
      </c>
      <c r="AH646" s="136" t="s">
        <v>6204</v>
      </c>
      <c r="AI646" s="133">
        <v>28497</v>
      </c>
      <c r="AJ646" s="132">
        <v>42318</v>
      </c>
      <c r="AK646" s="136" t="s">
        <v>6205</v>
      </c>
      <c r="AL646" s="132">
        <v>42321</v>
      </c>
      <c r="AM646" s="131" t="s">
        <v>49</v>
      </c>
      <c r="AN646" s="133" t="s">
        <v>4440</v>
      </c>
    </row>
    <row r="647" spans="1:40" s="129" customFormat="1" x14ac:dyDescent="0.25">
      <c r="A647" s="136">
        <v>646</v>
      </c>
      <c r="B647" s="130" t="s">
        <v>4428</v>
      </c>
      <c r="C647" s="130" t="s">
        <v>38</v>
      </c>
      <c r="D647" s="136">
        <v>9103650601</v>
      </c>
      <c r="E647" s="132">
        <v>42295</v>
      </c>
      <c r="F647" s="132" t="s">
        <v>6060</v>
      </c>
      <c r="G647" s="132" t="s">
        <v>6206</v>
      </c>
      <c r="H647" s="130" t="s">
        <v>4491</v>
      </c>
      <c r="I647" s="132" t="s">
        <v>40</v>
      </c>
      <c r="J647" s="131" t="s">
        <v>4432</v>
      </c>
      <c r="K647" s="132" t="s">
        <v>4433</v>
      </c>
      <c r="L647" s="136">
        <v>3542859</v>
      </c>
      <c r="M647" s="132" t="s">
        <v>5572</v>
      </c>
      <c r="N647" s="136" t="s">
        <v>3741</v>
      </c>
      <c r="O647" s="130" t="s">
        <v>4436</v>
      </c>
      <c r="P647" s="130" t="s">
        <v>4492</v>
      </c>
      <c r="Q647" s="130">
        <v>29051700</v>
      </c>
      <c r="R647" s="136">
        <v>18.239999999999998</v>
      </c>
      <c r="S647" s="130" t="s">
        <v>70</v>
      </c>
      <c r="T647" s="136" t="s">
        <v>44</v>
      </c>
      <c r="U647" s="136" t="s">
        <v>53</v>
      </c>
      <c r="V647" s="136">
        <v>1820</v>
      </c>
      <c r="W647" s="133">
        <f t="shared" si="30"/>
        <v>33196.799999999996</v>
      </c>
      <c r="X647" s="136">
        <v>10.95</v>
      </c>
      <c r="Y647" s="136">
        <v>3500</v>
      </c>
      <c r="Z647" s="136">
        <v>0</v>
      </c>
      <c r="AA647" s="136">
        <v>0</v>
      </c>
      <c r="AB647" s="131">
        <v>42293</v>
      </c>
      <c r="AC647" s="134">
        <f t="shared" si="31"/>
        <v>29685.85007680492</v>
      </c>
      <c r="AD647" s="135">
        <v>65.099999999999994</v>
      </c>
      <c r="AE647" s="136">
        <f t="shared" si="32"/>
        <v>2161111.6799999997</v>
      </c>
      <c r="AF647" s="137">
        <v>1932548.84</v>
      </c>
      <c r="AG647" s="138">
        <v>64.3</v>
      </c>
      <c r="AH647" s="136" t="s">
        <v>6207</v>
      </c>
      <c r="AI647" s="136">
        <v>33196.800000000003</v>
      </c>
      <c r="AJ647" s="132" t="s">
        <v>6154</v>
      </c>
      <c r="AK647" s="136" t="s">
        <v>6208</v>
      </c>
      <c r="AL647" s="132" t="s">
        <v>6156</v>
      </c>
      <c r="AM647" s="131" t="s">
        <v>49</v>
      </c>
      <c r="AN647" s="133" t="s">
        <v>4440</v>
      </c>
    </row>
    <row r="648" spans="1:40" s="129" customFormat="1" x14ac:dyDescent="0.25">
      <c r="A648" s="130">
        <v>647</v>
      </c>
      <c r="B648" s="130" t="s">
        <v>4428</v>
      </c>
      <c r="C648" s="130" t="s">
        <v>38</v>
      </c>
      <c r="D648" s="136">
        <v>9103650604</v>
      </c>
      <c r="E648" s="132">
        <v>42296</v>
      </c>
      <c r="F648" s="132" t="s">
        <v>6060</v>
      </c>
      <c r="G648" s="132" t="s">
        <v>6209</v>
      </c>
      <c r="H648" s="130" t="s">
        <v>4446</v>
      </c>
      <c r="I648" s="132" t="s">
        <v>40</v>
      </c>
      <c r="J648" s="131" t="s">
        <v>4432</v>
      </c>
      <c r="K648" s="132" t="s">
        <v>4433</v>
      </c>
      <c r="L648" s="136">
        <v>3568248</v>
      </c>
      <c r="M648" s="132">
        <v>42292</v>
      </c>
      <c r="N648" s="136" t="s">
        <v>4532</v>
      </c>
      <c r="O648" s="130" t="s">
        <v>4436</v>
      </c>
      <c r="P648" s="130" t="s">
        <v>137</v>
      </c>
      <c r="Q648" s="130" t="s">
        <v>4645</v>
      </c>
      <c r="R648" s="136">
        <v>15</v>
      </c>
      <c r="S648" s="130" t="s">
        <v>70</v>
      </c>
      <c r="T648" s="136" t="s">
        <v>44</v>
      </c>
      <c r="U648" s="136" t="s">
        <v>53</v>
      </c>
      <c r="V648" s="136">
        <v>0</v>
      </c>
      <c r="W648" s="133">
        <f>(8*1415+7*1330)</f>
        <v>20630</v>
      </c>
      <c r="X648" s="136">
        <v>6.81</v>
      </c>
      <c r="Y648" s="136">
        <v>500</v>
      </c>
      <c r="Z648" s="136">
        <v>0</v>
      </c>
      <c r="AA648" s="136">
        <v>0</v>
      </c>
      <c r="AB648" s="131">
        <v>42293</v>
      </c>
      <c r="AC648" s="134">
        <f t="shared" si="31"/>
        <v>20123.190015360982</v>
      </c>
      <c r="AD648" s="135">
        <v>65.099999999999994</v>
      </c>
      <c r="AE648" s="136">
        <f t="shared" si="32"/>
        <v>1343012.9999999998</v>
      </c>
      <c r="AF648" s="137">
        <v>1310019.67</v>
      </c>
      <c r="AG648" s="138">
        <v>64.3</v>
      </c>
      <c r="AH648" s="136" t="s">
        <v>6210</v>
      </c>
      <c r="AI648" s="136">
        <v>20630</v>
      </c>
      <c r="AJ648" s="132">
        <v>42492</v>
      </c>
      <c r="AK648" s="136" t="s">
        <v>6211</v>
      </c>
      <c r="AL648" s="132">
        <v>42493</v>
      </c>
      <c r="AM648" s="131" t="s">
        <v>49</v>
      </c>
      <c r="AN648" s="136" t="s">
        <v>4440</v>
      </c>
    </row>
    <row r="649" spans="1:40" s="129" customFormat="1" x14ac:dyDescent="0.25">
      <c r="A649" s="136">
        <v>648</v>
      </c>
      <c r="B649" s="130" t="s">
        <v>4428</v>
      </c>
      <c r="C649" s="130" t="s">
        <v>38</v>
      </c>
      <c r="D649" s="136">
        <v>9103650611</v>
      </c>
      <c r="E649" s="132">
        <v>42296</v>
      </c>
      <c r="F649" s="132" t="s">
        <v>6060</v>
      </c>
      <c r="G649" s="132" t="s">
        <v>6212</v>
      </c>
      <c r="H649" s="130" t="s">
        <v>4463</v>
      </c>
      <c r="I649" s="132" t="s">
        <v>40</v>
      </c>
      <c r="J649" s="131" t="s">
        <v>4432</v>
      </c>
      <c r="K649" s="132" t="s">
        <v>4433</v>
      </c>
      <c r="L649" s="136">
        <v>3602287</v>
      </c>
      <c r="M649" s="132" t="s">
        <v>5342</v>
      </c>
      <c r="N649" s="136" t="s">
        <v>6213</v>
      </c>
      <c r="O649" s="130" t="s">
        <v>4436</v>
      </c>
      <c r="P649" s="130" t="s">
        <v>243</v>
      </c>
      <c r="Q649" s="130">
        <v>38237090</v>
      </c>
      <c r="R649" s="136">
        <v>26</v>
      </c>
      <c r="S649" s="130" t="s">
        <v>70</v>
      </c>
      <c r="T649" s="136" t="s">
        <v>67</v>
      </c>
      <c r="U649" s="136" t="s">
        <v>53</v>
      </c>
      <c r="V649" s="136">
        <v>1150</v>
      </c>
      <c r="W649" s="133">
        <f t="shared" si="30"/>
        <v>29900</v>
      </c>
      <c r="X649" s="136">
        <v>0</v>
      </c>
      <c r="Y649" s="136">
        <v>0</v>
      </c>
      <c r="Z649" s="136">
        <v>0</v>
      </c>
      <c r="AA649" s="136">
        <v>0</v>
      </c>
      <c r="AB649" s="131">
        <v>42294</v>
      </c>
      <c r="AC649" s="134">
        <f t="shared" si="31"/>
        <v>29900</v>
      </c>
      <c r="AD649" s="135">
        <v>64.3</v>
      </c>
      <c r="AE649" s="136">
        <f t="shared" si="32"/>
        <v>1922570</v>
      </c>
      <c r="AF649" s="137">
        <v>1922570</v>
      </c>
      <c r="AG649" s="138">
        <v>64.3</v>
      </c>
      <c r="AH649" s="136" t="s">
        <v>6214</v>
      </c>
      <c r="AI649" s="136">
        <v>29900</v>
      </c>
      <c r="AJ649" s="132" t="s">
        <v>5649</v>
      </c>
      <c r="AK649" s="136" t="s">
        <v>6215</v>
      </c>
      <c r="AL649" s="132" t="s">
        <v>5651</v>
      </c>
      <c r="AM649" s="131" t="s">
        <v>49</v>
      </c>
      <c r="AN649" s="136" t="s">
        <v>4440</v>
      </c>
    </row>
    <row r="650" spans="1:40" s="129" customFormat="1" x14ac:dyDescent="0.25">
      <c r="A650" s="130">
        <v>649</v>
      </c>
      <c r="B650" s="130" t="s">
        <v>4428</v>
      </c>
      <c r="C650" s="130" t="s">
        <v>38</v>
      </c>
      <c r="D650" s="136">
        <v>9103650613</v>
      </c>
      <c r="E650" s="132">
        <v>42296</v>
      </c>
      <c r="F650" s="132" t="s">
        <v>6060</v>
      </c>
      <c r="G650" s="132" t="s">
        <v>6216</v>
      </c>
      <c r="H650" s="130" t="s">
        <v>4456</v>
      </c>
      <c r="I650" s="132" t="s">
        <v>40</v>
      </c>
      <c r="J650" s="131" t="s">
        <v>4432</v>
      </c>
      <c r="K650" s="132" t="s">
        <v>4433</v>
      </c>
      <c r="L650" s="136">
        <v>3605672</v>
      </c>
      <c r="M650" s="132" t="s">
        <v>5342</v>
      </c>
      <c r="N650" s="136" t="s">
        <v>4527</v>
      </c>
      <c r="O650" s="130" t="s">
        <v>4436</v>
      </c>
      <c r="P650" s="130" t="s">
        <v>2657</v>
      </c>
      <c r="Q650" s="130">
        <v>38237090</v>
      </c>
      <c r="R650" s="136">
        <v>16</v>
      </c>
      <c r="S650" s="130" t="s">
        <v>70</v>
      </c>
      <c r="T650" s="136" t="s">
        <v>52</v>
      </c>
      <c r="U650" s="136" t="s">
        <v>53</v>
      </c>
      <c r="V650" s="136">
        <v>1187</v>
      </c>
      <c r="W650" s="133">
        <f t="shared" si="30"/>
        <v>18992</v>
      </c>
      <c r="X650" s="136">
        <v>0</v>
      </c>
      <c r="Y650" s="136">
        <v>350</v>
      </c>
      <c r="Z650" s="136">
        <v>0</v>
      </c>
      <c r="AA650" s="136">
        <v>0</v>
      </c>
      <c r="AB650" s="131">
        <v>42294</v>
      </c>
      <c r="AC650" s="134">
        <f t="shared" si="31"/>
        <v>18642.000000000004</v>
      </c>
      <c r="AD650" s="135">
        <v>64.3</v>
      </c>
      <c r="AE650" s="136">
        <f t="shared" si="32"/>
        <v>1221185.5999999999</v>
      </c>
      <c r="AF650" s="137">
        <v>1198680.6000000001</v>
      </c>
      <c r="AG650" s="138">
        <v>64.3</v>
      </c>
      <c r="AH650" s="136" t="s">
        <v>6217</v>
      </c>
      <c r="AI650" s="136">
        <v>18980</v>
      </c>
      <c r="AJ650" s="132">
        <v>42366</v>
      </c>
      <c r="AK650" s="136" t="s">
        <v>6218</v>
      </c>
      <c r="AL650" s="132">
        <v>42366</v>
      </c>
      <c r="AM650" s="131" t="s">
        <v>49</v>
      </c>
      <c r="AN650" s="136" t="s">
        <v>4440</v>
      </c>
    </row>
    <row r="651" spans="1:40" s="129" customFormat="1" x14ac:dyDescent="0.25">
      <c r="A651" s="136">
        <v>650</v>
      </c>
      <c r="B651" s="130" t="s">
        <v>4428</v>
      </c>
      <c r="C651" s="130" t="s">
        <v>38</v>
      </c>
      <c r="D651" s="136" t="s">
        <v>6219</v>
      </c>
      <c r="E651" s="132">
        <v>42297</v>
      </c>
      <c r="F651" s="132" t="s">
        <v>6060</v>
      </c>
      <c r="G651" s="132" t="s">
        <v>6220</v>
      </c>
      <c r="H651" s="130" t="s">
        <v>4463</v>
      </c>
      <c r="I651" s="132" t="s">
        <v>40</v>
      </c>
      <c r="J651" s="131" t="s">
        <v>4432</v>
      </c>
      <c r="K651" s="132" t="s">
        <v>4433</v>
      </c>
      <c r="L651" s="136">
        <v>3582168</v>
      </c>
      <c r="M651" s="132">
        <v>42292</v>
      </c>
      <c r="N651" s="136" t="s">
        <v>5744</v>
      </c>
      <c r="O651" s="130" t="s">
        <v>4436</v>
      </c>
      <c r="P651" s="130" t="s">
        <v>4474</v>
      </c>
      <c r="Q651" s="130">
        <v>38237090</v>
      </c>
      <c r="R651" s="136">
        <v>80</v>
      </c>
      <c r="S651" s="130" t="s">
        <v>70</v>
      </c>
      <c r="T651" s="136" t="s">
        <v>52</v>
      </c>
      <c r="U651" s="136" t="s">
        <v>1117</v>
      </c>
      <c r="V651" s="136">
        <v>88780</v>
      </c>
      <c r="W651" s="133">
        <f t="shared" si="30"/>
        <v>7102400</v>
      </c>
      <c r="X651" s="136">
        <v>0</v>
      </c>
      <c r="Y651" s="136">
        <v>56960</v>
      </c>
      <c r="Z651" s="136">
        <v>0</v>
      </c>
      <c r="AA651" s="136">
        <v>127488.08</v>
      </c>
      <c r="AB651" s="131">
        <v>42293</v>
      </c>
      <c r="AC651" s="134">
        <f t="shared" si="31"/>
        <v>7045440</v>
      </c>
      <c r="AD651" s="135">
        <v>1</v>
      </c>
      <c r="AE651" s="136">
        <f t="shared" si="32"/>
        <v>7102400</v>
      </c>
      <c r="AF651" s="130">
        <v>7045440</v>
      </c>
      <c r="AG651" s="138">
        <v>1</v>
      </c>
      <c r="AH651" s="136" t="s">
        <v>6221</v>
      </c>
      <c r="AI651" s="136">
        <v>7102400</v>
      </c>
      <c r="AJ651" s="132">
        <v>42315</v>
      </c>
      <c r="AK651" s="136" t="s">
        <v>6222</v>
      </c>
      <c r="AL651" s="132">
        <v>42317</v>
      </c>
      <c r="AM651" s="131" t="s">
        <v>49</v>
      </c>
      <c r="AN651" s="136" t="s">
        <v>4440</v>
      </c>
    </row>
    <row r="652" spans="1:40" s="129" customFormat="1" x14ac:dyDescent="0.25">
      <c r="A652" s="130">
        <v>651</v>
      </c>
      <c r="B652" s="130" t="s">
        <v>4428</v>
      </c>
      <c r="C652" s="130" t="s">
        <v>38</v>
      </c>
      <c r="D652" s="136" t="s">
        <v>6219</v>
      </c>
      <c r="E652" s="132">
        <v>42297</v>
      </c>
      <c r="F652" s="132" t="s">
        <v>6060</v>
      </c>
      <c r="G652" s="132" t="s">
        <v>6223</v>
      </c>
      <c r="H652" s="130" t="s">
        <v>4463</v>
      </c>
      <c r="I652" s="132" t="s">
        <v>40</v>
      </c>
      <c r="J652" s="131" t="s">
        <v>4432</v>
      </c>
      <c r="K652" s="132" t="s">
        <v>4433</v>
      </c>
      <c r="L652" s="136">
        <v>3588075</v>
      </c>
      <c r="M652" s="132">
        <v>42293</v>
      </c>
      <c r="N652" s="136" t="s">
        <v>5744</v>
      </c>
      <c r="O652" s="130" t="s">
        <v>4436</v>
      </c>
      <c r="P652" s="130" t="s">
        <v>4474</v>
      </c>
      <c r="Q652" s="130">
        <v>29051700</v>
      </c>
      <c r="R652" s="136">
        <v>32</v>
      </c>
      <c r="S652" s="130" t="s">
        <v>70</v>
      </c>
      <c r="T652" s="136" t="s">
        <v>52</v>
      </c>
      <c r="U652" s="136" t="s">
        <v>1117</v>
      </c>
      <c r="V652" s="136">
        <v>91000</v>
      </c>
      <c r="W652" s="133">
        <f t="shared" si="30"/>
        <v>2912000</v>
      </c>
      <c r="X652" s="136">
        <v>0</v>
      </c>
      <c r="Y652" s="136">
        <v>22785</v>
      </c>
      <c r="Z652" s="136">
        <v>0</v>
      </c>
      <c r="AA652" s="136">
        <v>30576</v>
      </c>
      <c r="AB652" s="131">
        <v>42293</v>
      </c>
      <c r="AC652" s="134">
        <f t="shared" si="31"/>
        <v>2889215</v>
      </c>
      <c r="AD652" s="135">
        <v>1</v>
      </c>
      <c r="AE652" s="136">
        <f t="shared" si="32"/>
        <v>2912000</v>
      </c>
      <c r="AF652" s="130">
        <v>2889215</v>
      </c>
      <c r="AG652" s="138">
        <v>1</v>
      </c>
      <c r="AH652" s="136" t="s">
        <v>6221</v>
      </c>
      <c r="AI652" s="136">
        <v>2912000</v>
      </c>
      <c r="AJ652" s="132">
        <v>42315</v>
      </c>
      <c r="AK652" s="136" t="s">
        <v>6224</v>
      </c>
      <c r="AL652" s="132">
        <v>42317</v>
      </c>
      <c r="AM652" s="131" t="s">
        <v>49</v>
      </c>
      <c r="AN652" s="136" t="s">
        <v>4440</v>
      </c>
    </row>
    <row r="653" spans="1:40" s="129" customFormat="1" x14ac:dyDescent="0.25">
      <c r="A653" s="136">
        <v>652</v>
      </c>
      <c r="B653" s="130" t="s">
        <v>4428</v>
      </c>
      <c r="C653" s="130" t="s">
        <v>38</v>
      </c>
      <c r="D653" s="136" t="s">
        <v>6219</v>
      </c>
      <c r="E653" s="132">
        <v>42297</v>
      </c>
      <c r="F653" s="132" t="s">
        <v>6060</v>
      </c>
      <c r="G653" s="132" t="s">
        <v>6225</v>
      </c>
      <c r="H653" s="130" t="s">
        <v>4463</v>
      </c>
      <c r="I653" s="132" t="s">
        <v>40</v>
      </c>
      <c r="J653" s="131" t="s">
        <v>4432</v>
      </c>
      <c r="K653" s="132" t="s">
        <v>4433</v>
      </c>
      <c r="L653" s="136">
        <v>3594731</v>
      </c>
      <c r="M653" s="132">
        <v>42293</v>
      </c>
      <c r="N653" s="136" t="s">
        <v>5744</v>
      </c>
      <c r="O653" s="130" t="s">
        <v>4436</v>
      </c>
      <c r="P653" s="130" t="s">
        <v>4474</v>
      </c>
      <c r="Q653" s="130">
        <v>29051700</v>
      </c>
      <c r="R653" s="136">
        <v>16</v>
      </c>
      <c r="S653" s="130" t="s">
        <v>70</v>
      </c>
      <c r="T653" s="136" t="s">
        <v>52</v>
      </c>
      <c r="U653" s="136" t="s">
        <v>1117</v>
      </c>
      <c r="V653" s="136">
        <v>91000</v>
      </c>
      <c r="W653" s="133">
        <f>V653*R653</f>
        <v>1456000</v>
      </c>
      <c r="X653" s="136">
        <v>0</v>
      </c>
      <c r="Y653" s="136">
        <v>11392.5</v>
      </c>
      <c r="Z653" s="136">
        <v>0</v>
      </c>
      <c r="AA653" s="136">
        <v>15288</v>
      </c>
      <c r="AB653" s="131">
        <v>42294</v>
      </c>
      <c r="AC653" s="134">
        <f t="shared" si="31"/>
        <v>1444607.5</v>
      </c>
      <c r="AD653" s="135">
        <v>1</v>
      </c>
      <c r="AE653" s="136">
        <f>AD653*W653</f>
        <v>1456000</v>
      </c>
      <c r="AF653" s="130">
        <v>1444607.5</v>
      </c>
      <c r="AG653" s="138">
        <v>1</v>
      </c>
      <c r="AH653" s="136" t="s">
        <v>6221</v>
      </c>
      <c r="AI653" s="136">
        <v>1444529.6</v>
      </c>
      <c r="AJ653" s="132">
        <v>42315</v>
      </c>
      <c r="AK653" s="136" t="s">
        <v>6226</v>
      </c>
      <c r="AL653" s="132">
        <v>42317</v>
      </c>
      <c r="AM653" s="131" t="s">
        <v>49</v>
      </c>
      <c r="AN653" s="136" t="s">
        <v>4440</v>
      </c>
    </row>
    <row r="654" spans="1:40" s="129" customFormat="1" x14ac:dyDescent="0.25">
      <c r="A654" s="130">
        <v>653</v>
      </c>
      <c r="B654" s="130" t="s">
        <v>4428</v>
      </c>
      <c r="C654" s="130" t="s">
        <v>38</v>
      </c>
      <c r="D654" s="136">
        <v>9103650596</v>
      </c>
      <c r="E654" s="132">
        <v>42298</v>
      </c>
      <c r="F654" s="132" t="s">
        <v>6060</v>
      </c>
      <c r="G654" s="132" t="s">
        <v>6227</v>
      </c>
      <c r="H654" s="130" t="s">
        <v>4564</v>
      </c>
      <c r="I654" s="132" t="s">
        <v>40</v>
      </c>
      <c r="J654" s="131" t="s">
        <v>4432</v>
      </c>
      <c r="K654" s="132" t="s">
        <v>4433</v>
      </c>
      <c r="L654" s="136">
        <v>3442161</v>
      </c>
      <c r="M654" s="132" t="s">
        <v>6152</v>
      </c>
      <c r="N654" s="136" t="s">
        <v>5360</v>
      </c>
      <c r="O654" s="130" t="s">
        <v>4436</v>
      </c>
      <c r="P654" s="130" t="s">
        <v>6228</v>
      </c>
      <c r="Q654" s="130">
        <v>38237090</v>
      </c>
      <c r="R654" s="136">
        <v>3</v>
      </c>
      <c r="S654" s="130" t="s">
        <v>70</v>
      </c>
      <c r="T654" s="136" t="s">
        <v>67</v>
      </c>
      <c r="U654" s="136" t="s">
        <v>53</v>
      </c>
      <c r="V654" s="136">
        <v>2350</v>
      </c>
      <c r="W654" s="133">
        <f t="shared" si="30"/>
        <v>7050</v>
      </c>
      <c r="X654" s="136">
        <v>0</v>
      </c>
      <c r="Y654" s="136">
        <v>0</v>
      </c>
      <c r="Z654" s="136">
        <v>0</v>
      </c>
      <c r="AA654" s="136">
        <v>0</v>
      </c>
      <c r="AB654" s="131"/>
      <c r="AC654" s="134">
        <f t="shared" si="31"/>
        <v>7050.0000000000009</v>
      </c>
      <c r="AD654" s="135">
        <v>65.099999999999994</v>
      </c>
      <c r="AE654" s="136">
        <f t="shared" si="32"/>
        <v>458954.99999999994</v>
      </c>
      <c r="AF654" s="137">
        <v>458955</v>
      </c>
      <c r="AG654" s="138">
        <v>65.099999999999994</v>
      </c>
      <c r="AH654" s="136" t="s">
        <v>6229</v>
      </c>
      <c r="AI654" s="136">
        <v>6960</v>
      </c>
      <c r="AJ654" s="132" t="s">
        <v>5407</v>
      </c>
      <c r="AK654" s="136" t="s">
        <v>6230</v>
      </c>
      <c r="AL654" s="132" t="s">
        <v>6166</v>
      </c>
      <c r="AM654" s="131" t="s">
        <v>49</v>
      </c>
      <c r="AN654" s="136" t="s">
        <v>4440</v>
      </c>
    </row>
    <row r="655" spans="1:40" s="129" customFormat="1" x14ac:dyDescent="0.25">
      <c r="A655" s="136">
        <v>654</v>
      </c>
      <c r="B655" s="130" t="s">
        <v>4428</v>
      </c>
      <c r="C655" s="130" t="s">
        <v>38</v>
      </c>
      <c r="D655" s="136">
        <v>9103650605</v>
      </c>
      <c r="E655" s="132">
        <v>42298</v>
      </c>
      <c r="F655" s="132" t="s">
        <v>6060</v>
      </c>
      <c r="G655" s="132" t="s">
        <v>6231</v>
      </c>
      <c r="H655" s="130" t="s">
        <v>4446</v>
      </c>
      <c r="I655" s="132" t="s">
        <v>40</v>
      </c>
      <c r="J655" s="131" t="s">
        <v>4432</v>
      </c>
      <c r="K655" s="132" t="s">
        <v>4433</v>
      </c>
      <c r="L655" s="136">
        <v>3559287</v>
      </c>
      <c r="M655" s="132" t="s">
        <v>5572</v>
      </c>
      <c r="N655" s="136" t="s">
        <v>5580</v>
      </c>
      <c r="O655" s="130" t="s">
        <v>4436</v>
      </c>
      <c r="P655" s="130" t="s">
        <v>4566</v>
      </c>
      <c r="Q655" s="130">
        <v>38231190</v>
      </c>
      <c r="R655" s="136">
        <v>1</v>
      </c>
      <c r="S655" s="130" t="s">
        <v>70</v>
      </c>
      <c r="T655" s="136" t="s">
        <v>44</v>
      </c>
      <c r="U655" s="136" t="s">
        <v>53</v>
      </c>
      <c r="V655" s="136">
        <v>1210</v>
      </c>
      <c r="W655" s="133">
        <f t="shared" si="30"/>
        <v>1210</v>
      </c>
      <c r="X655" s="136">
        <v>0.4</v>
      </c>
      <c r="Y655" s="136">
        <v>10</v>
      </c>
      <c r="Z655" s="136">
        <v>0</v>
      </c>
      <c r="AA655" s="136">
        <v>0</v>
      </c>
      <c r="AB655" s="131">
        <v>42292</v>
      </c>
      <c r="AC655" s="134">
        <f t="shared" si="31"/>
        <v>1199.6000000000001</v>
      </c>
      <c r="AD655" s="135">
        <v>65.099999999999994</v>
      </c>
      <c r="AE655" s="136">
        <f t="shared" si="32"/>
        <v>78771</v>
      </c>
      <c r="AF655" s="137">
        <v>78093.960000000006</v>
      </c>
      <c r="AG655" s="138">
        <v>65.099999999999994</v>
      </c>
      <c r="AH655" s="136" t="s">
        <v>6232</v>
      </c>
      <c r="AI655" s="136">
        <v>1185</v>
      </c>
      <c r="AJ655" s="132" t="s">
        <v>5405</v>
      </c>
      <c r="AK655" s="136" t="s">
        <v>6233</v>
      </c>
      <c r="AL655" s="132" t="s">
        <v>5407</v>
      </c>
      <c r="AM655" s="131" t="s">
        <v>49</v>
      </c>
      <c r="AN655" s="136" t="s">
        <v>4440</v>
      </c>
    </row>
    <row r="656" spans="1:40" s="129" customFormat="1" x14ac:dyDescent="0.25">
      <c r="A656" s="130">
        <v>655</v>
      </c>
      <c r="B656" s="130" t="s">
        <v>4428</v>
      </c>
      <c r="C656" s="130" t="s">
        <v>38</v>
      </c>
      <c r="D656" s="136">
        <v>9103650608</v>
      </c>
      <c r="E656" s="132">
        <v>42298</v>
      </c>
      <c r="F656" s="132" t="s">
        <v>6060</v>
      </c>
      <c r="G656" s="132" t="s">
        <v>6234</v>
      </c>
      <c r="H656" s="130" t="s">
        <v>4446</v>
      </c>
      <c r="I656" s="132" t="s">
        <v>40</v>
      </c>
      <c r="J656" s="131" t="s">
        <v>4432</v>
      </c>
      <c r="K656" s="132" t="s">
        <v>4433</v>
      </c>
      <c r="L656" s="136">
        <v>3594380</v>
      </c>
      <c r="M656" s="132">
        <v>42293</v>
      </c>
      <c r="N656" s="136" t="s">
        <v>4733</v>
      </c>
      <c r="O656" s="130" t="s">
        <v>4436</v>
      </c>
      <c r="P656" s="130" t="s">
        <v>492</v>
      </c>
      <c r="Q656" s="130">
        <v>38231900</v>
      </c>
      <c r="R656" s="136">
        <v>39.729999999999997</v>
      </c>
      <c r="S656" s="130" t="s">
        <v>70</v>
      </c>
      <c r="T656" s="136" t="s">
        <v>44</v>
      </c>
      <c r="U656" s="136" t="s">
        <v>53</v>
      </c>
      <c r="V656" s="136">
        <v>3750</v>
      </c>
      <c r="W656" s="133">
        <f t="shared" si="30"/>
        <v>148987.5</v>
      </c>
      <c r="X656" s="136">
        <v>49.17</v>
      </c>
      <c r="Y656" s="136">
        <v>600</v>
      </c>
      <c r="Z656" s="136">
        <v>0</v>
      </c>
      <c r="AA656" s="136">
        <v>0</v>
      </c>
      <c r="AB656" s="131">
        <v>42294</v>
      </c>
      <c r="AC656" s="134">
        <f t="shared" si="31"/>
        <v>148338.33001555208</v>
      </c>
      <c r="AD656" s="135">
        <v>64.3</v>
      </c>
      <c r="AE656" s="136">
        <f t="shared" si="32"/>
        <v>9579896.25</v>
      </c>
      <c r="AF656" s="137">
        <v>9538154.6199999992</v>
      </c>
      <c r="AG656" s="138">
        <v>64.3</v>
      </c>
      <c r="AH656" s="136" t="s">
        <v>6235</v>
      </c>
      <c r="AI656" s="133">
        <v>148987.5</v>
      </c>
      <c r="AJ656" s="132">
        <v>42341</v>
      </c>
      <c r="AK656" s="136" t="s">
        <v>6236</v>
      </c>
      <c r="AL656" s="132">
        <v>42343</v>
      </c>
      <c r="AM656" s="131" t="s">
        <v>49</v>
      </c>
      <c r="AN656" s="136" t="s">
        <v>4440</v>
      </c>
    </row>
    <row r="657" spans="1:40" s="129" customFormat="1" x14ac:dyDescent="0.25">
      <c r="A657" s="136">
        <v>656</v>
      </c>
      <c r="B657" s="130" t="s">
        <v>4428</v>
      </c>
      <c r="C657" s="130" t="s">
        <v>38</v>
      </c>
      <c r="D657" s="136" t="s">
        <v>6237</v>
      </c>
      <c r="E657" s="132">
        <v>42298</v>
      </c>
      <c r="F657" s="132" t="s">
        <v>6060</v>
      </c>
      <c r="G657" s="132" t="s">
        <v>6238</v>
      </c>
      <c r="H657" s="130" t="s">
        <v>4446</v>
      </c>
      <c r="I657" s="132" t="s">
        <v>40</v>
      </c>
      <c r="J657" s="131" t="s">
        <v>4432</v>
      </c>
      <c r="K657" s="132" t="s">
        <v>4433</v>
      </c>
      <c r="L657" s="136">
        <v>3582941</v>
      </c>
      <c r="M657" s="132">
        <v>42292</v>
      </c>
      <c r="N657" s="136" t="s">
        <v>4733</v>
      </c>
      <c r="O657" s="130" t="s">
        <v>4436</v>
      </c>
      <c r="P657" s="130" t="s">
        <v>492</v>
      </c>
      <c r="Q657" s="130">
        <v>38231900</v>
      </c>
      <c r="R657" s="136">
        <v>19.64</v>
      </c>
      <c r="S657" s="130" t="s">
        <v>70</v>
      </c>
      <c r="T657" s="136" t="s">
        <v>44</v>
      </c>
      <c r="U657" s="136" t="s">
        <v>53</v>
      </c>
      <c r="V657" s="136">
        <v>3750</v>
      </c>
      <c r="W657" s="133">
        <f t="shared" si="30"/>
        <v>73650</v>
      </c>
      <c r="X657" s="136">
        <v>24.3</v>
      </c>
      <c r="Y657" s="136">
        <v>300</v>
      </c>
      <c r="Z657" s="136">
        <v>0</v>
      </c>
      <c r="AA657" s="136">
        <v>0</v>
      </c>
      <c r="AB657" s="131">
        <v>42293</v>
      </c>
      <c r="AC657" s="134">
        <f t="shared" si="31"/>
        <v>73325.700000000012</v>
      </c>
      <c r="AD657" s="135">
        <v>65.099999999999994</v>
      </c>
      <c r="AE657" s="136">
        <f t="shared" si="32"/>
        <v>4794615</v>
      </c>
      <c r="AF657" s="137">
        <v>4773503.07</v>
      </c>
      <c r="AG657" s="138">
        <v>64.3</v>
      </c>
      <c r="AH657" s="136" t="s">
        <v>6239</v>
      </c>
      <c r="AI657" s="136">
        <v>73650</v>
      </c>
      <c r="AJ657" s="132">
        <v>42341</v>
      </c>
      <c r="AK657" s="136" t="s">
        <v>6240</v>
      </c>
      <c r="AL657" s="132">
        <v>42343</v>
      </c>
      <c r="AM657" s="131" t="s">
        <v>49</v>
      </c>
      <c r="AN657" s="136" t="s">
        <v>4440</v>
      </c>
    </row>
    <row r="658" spans="1:40" s="129" customFormat="1" x14ac:dyDescent="0.25">
      <c r="A658" s="130">
        <v>657</v>
      </c>
      <c r="B658" s="130" t="s">
        <v>4428</v>
      </c>
      <c r="C658" s="130" t="s">
        <v>38</v>
      </c>
      <c r="D658" s="136" t="s">
        <v>6237</v>
      </c>
      <c r="E658" s="132">
        <v>42298</v>
      </c>
      <c r="F658" s="132" t="s">
        <v>6060</v>
      </c>
      <c r="G658" s="132" t="s">
        <v>6241</v>
      </c>
      <c r="H658" s="130" t="s">
        <v>4446</v>
      </c>
      <c r="I658" s="132" t="s">
        <v>40</v>
      </c>
      <c r="J658" s="131" t="s">
        <v>4432</v>
      </c>
      <c r="K658" s="132" t="s">
        <v>4433</v>
      </c>
      <c r="L658" s="136">
        <v>3596386</v>
      </c>
      <c r="M658" s="132">
        <v>42293</v>
      </c>
      <c r="N658" s="136" t="s">
        <v>4733</v>
      </c>
      <c r="O658" s="130" t="s">
        <v>4436</v>
      </c>
      <c r="P658" s="130" t="s">
        <v>492</v>
      </c>
      <c r="Q658" s="130">
        <v>38231900</v>
      </c>
      <c r="R658" s="136">
        <v>19.87</v>
      </c>
      <c r="S658" s="130" t="s">
        <v>70</v>
      </c>
      <c r="T658" s="136" t="s">
        <v>44</v>
      </c>
      <c r="U658" s="136" t="s">
        <v>53</v>
      </c>
      <c r="V658" s="136">
        <v>3750</v>
      </c>
      <c r="W658" s="133">
        <f t="shared" si="30"/>
        <v>74512.5</v>
      </c>
      <c r="X658" s="136">
        <v>24.59</v>
      </c>
      <c r="Y658" s="136">
        <v>300</v>
      </c>
      <c r="Z658" s="136">
        <v>0</v>
      </c>
      <c r="AA658" s="136">
        <v>0</v>
      </c>
      <c r="AB658" s="131">
        <v>42294</v>
      </c>
      <c r="AC658" s="134">
        <f t="shared" si="31"/>
        <v>74187.909953343711</v>
      </c>
      <c r="AD658" s="135">
        <v>64.3</v>
      </c>
      <c r="AE658" s="136">
        <f t="shared" si="32"/>
        <v>4791153.75</v>
      </c>
      <c r="AF658" s="137">
        <v>4770282.6100000003</v>
      </c>
      <c r="AG658" s="138">
        <v>64.3</v>
      </c>
      <c r="AH658" s="136" t="s">
        <v>6239</v>
      </c>
      <c r="AI658" s="136">
        <v>74512.5</v>
      </c>
      <c r="AJ658" s="132">
        <v>42341</v>
      </c>
      <c r="AK658" s="136" t="s">
        <v>6242</v>
      </c>
      <c r="AL658" s="132">
        <v>42343</v>
      </c>
      <c r="AM658" s="131" t="s">
        <v>49</v>
      </c>
      <c r="AN658" s="136" t="s">
        <v>4440</v>
      </c>
    </row>
    <row r="659" spans="1:40" s="129" customFormat="1" x14ac:dyDescent="0.25">
      <c r="A659" s="136">
        <v>658</v>
      </c>
      <c r="B659" s="130" t="s">
        <v>4428</v>
      </c>
      <c r="C659" s="130" t="s">
        <v>38</v>
      </c>
      <c r="D659" s="136">
        <v>9103650612</v>
      </c>
      <c r="E659" s="132">
        <v>42298</v>
      </c>
      <c r="F659" s="132" t="s">
        <v>6060</v>
      </c>
      <c r="G659" s="132" t="s">
        <v>6243</v>
      </c>
      <c r="H659" s="130" t="s">
        <v>4446</v>
      </c>
      <c r="I659" s="132" t="s">
        <v>40</v>
      </c>
      <c r="J659" s="131" t="s">
        <v>4432</v>
      </c>
      <c r="K659" s="132" t="s">
        <v>4433</v>
      </c>
      <c r="L659" s="136">
        <v>3605756</v>
      </c>
      <c r="M659" s="132" t="s">
        <v>5342</v>
      </c>
      <c r="N659" s="136" t="s">
        <v>4452</v>
      </c>
      <c r="O659" s="130" t="s">
        <v>4436</v>
      </c>
      <c r="P659" s="130" t="s">
        <v>75</v>
      </c>
      <c r="Q659" s="130">
        <v>29161990</v>
      </c>
      <c r="R659" s="136">
        <v>19.690000000000001</v>
      </c>
      <c r="S659" s="130" t="s">
        <v>70</v>
      </c>
      <c r="T659" s="136" t="s">
        <v>44</v>
      </c>
      <c r="U659" s="136" t="s">
        <v>53</v>
      </c>
      <c r="V659" s="136">
        <v>2800</v>
      </c>
      <c r="W659" s="133">
        <f t="shared" si="30"/>
        <v>55132</v>
      </c>
      <c r="X659" s="136">
        <v>18.190000000000001</v>
      </c>
      <c r="Y659" s="136">
        <v>1050</v>
      </c>
      <c r="Z659" s="136">
        <v>0</v>
      </c>
      <c r="AA659" s="136">
        <v>0</v>
      </c>
      <c r="AB659" s="131">
        <v>42294</v>
      </c>
      <c r="AC659" s="134">
        <f t="shared" si="31"/>
        <v>54063.809953343705</v>
      </c>
      <c r="AD659" s="135">
        <v>64.3</v>
      </c>
      <c r="AE659" s="136">
        <f t="shared" si="32"/>
        <v>3544987.5999999996</v>
      </c>
      <c r="AF659" s="137">
        <v>3476302.98</v>
      </c>
      <c r="AG659" s="138">
        <v>64.3</v>
      </c>
      <c r="AH659" s="136" t="s">
        <v>6244</v>
      </c>
      <c r="AI659" s="136">
        <v>55132</v>
      </c>
      <c r="AJ659" s="132" t="s">
        <v>6245</v>
      </c>
      <c r="AK659" s="136" t="s">
        <v>6246</v>
      </c>
      <c r="AL659" s="132" t="s">
        <v>6247</v>
      </c>
      <c r="AM659" s="131" t="s">
        <v>49</v>
      </c>
      <c r="AN659" s="136" t="s">
        <v>4440</v>
      </c>
    </row>
    <row r="660" spans="1:40" s="129" customFormat="1" x14ac:dyDescent="0.25">
      <c r="A660" s="130">
        <v>659</v>
      </c>
      <c r="B660" s="130" t="s">
        <v>4428</v>
      </c>
      <c r="C660" s="130" t="s">
        <v>38</v>
      </c>
      <c r="D660" s="136">
        <v>9103650618</v>
      </c>
      <c r="E660" s="132">
        <v>42298</v>
      </c>
      <c r="F660" s="132" t="s">
        <v>6060</v>
      </c>
      <c r="G660" s="132" t="s">
        <v>6248</v>
      </c>
      <c r="H660" s="130" t="s">
        <v>4456</v>
      </c>
      <c r="I660" s="132" t="s">
        <v>40</v>
      </c>
      <c r="J660" s="131" t="s">
        <v>4432</v>
      </c>
      <c r="K660" s="132" t="s">
        <v>4433</v>
      </c>
      <c r="L660" s="136">
        <v>3605722</v>
      </c>
      <c r="M660" s="132" t="s">
        <v>5342</v>
      </c>
      <c r="N660" s="136" t="s">
        <v>5360</v>
      </c>
      <c r="O660" s="130" t="s">
        <v>4436</v>
      </c>
      <c r="P660" s="130" t="s">
        <v>1120</v>
      </c>
      <c r="Q660" s="130" t="s">
        <v>6249</v>
      </c>
      <c r="R660" s="136">
        <v>6.12</v>
      </c>
      <c r="S660" s="130" t="s">
        <v>70</v>
      </c>
      <c r="T660" s="136" t="s">
        <v>52</v>
      </c>
      <c r="U660" s="136" t="s">
        <v>53</v>
      </c>
      <c r="V660" s="136">
        <v>0</v>
      </c>
      <c r="W660" s="133">
        <f>(3.06*5260+3.06*4260)</f>
        <v>29131.200000000001</v>
      </c>
      <c r="X660" s="136">
        <v>0</v>
      </c>
      <c r="Y660" s="136">
        <v>600</v>
      </c>
      <c r="Z660" s="136">
        <v>0</v>
      </c>
      <c r="AA660" s="136">
        <v>0</v>
      </c>
      <c r="AB660" s="131">
        <v>42294</v>
      </c>
      <c r="AC660" s="134">
        <f t="shared" si="31"/>
        <v>28531.200000000001</v>
      </c>
      <c r="AD660" s="135">
        <v>64.3</v>
      </c>
      <c r="AE660" s="136">
        <f t="shared" si="32"/>
        <v>1873136.16</v>
      </c>
      <c r="AF660" s="137">
        <v>1834556.16</v>
      </c>
      <c r="AG660" s="138">
        <v>64.3</v>
      </c>
      <c r="AH660" s="136" t="s">
        <v>6250</v>
      </c>
      <c r="AI660" s="136">
        <v>29121.200000000001</v>
      </c>
      <c r="AJ660" s="132" t="s">
        <v>5724</v>
      </c>
      <c r="AK660" s="136" t="s">
        <v>6251</v>
      </c>
      <c r="AL660" s="132" t="s">
        <v>5726</v>
      </c>
      <c r="AM660" s="131" t="s">
        <v>49</v>
      </c>
      <c r="AN660" s="136" t="s">
        <v>4440</v>
      </c>
    </row>
    <row r="661" spans="1:40" s="129" customFormat="1" x14ac:dyDescent="0.25">
      <c r="A661" s="136">
        <v>660</v>
      </c>
      <c r="B661" s="130" t="s">
        <v>4428</v>
      </c>
      <c r="C661" s="130" t="s">
        <v>38</v>
      </c>
      <c r="D661" s="136">
        <v>9103650602</v>
      </c>
      <c r="E661" s="132">
        <v>42299</v>
      </c>
      <c r="F661" s="132" t="s">
        <v>6060</v>
      </c>
      <c r="G661" s="132" t="s">
        <v>6252</v>
      </c>
      <c r="H661" s="130" t="s">
        <v>4446</v>
      </c>
      <c r="I661" s="132" t="s">
        <v>40</v>
      </c>
      <c r="J661" s="131" t="s">
        <v>4432</v>
      </c>
      <c r="K661" s="132" t="s">
        <v>4433</v>
      </c>
      <c r="L661" s="136">
        <v>3546371</v>
      </c>
      <c r="M661" s="132">
        <v>42291</v>
      </c>
      <c r="N661" s="136" t="s">
        <v>4670</v>
      </c>
      <c r="O661" s="130" t="s">
        <v>4436</v>
      </c>
      <c r="P661" s="130" t="s">
        <v>243</v>
      </c>
      <c r="Q661" s="130">
        <v>38237090</v>
      </c>
      <c r="R661" s="136">
        <v>26</v>
      </c>
      <c r="S661" s="130" t="s">
        <v>70</v>
      </c>
      <c r="T661" s="136" t="s">
        <v>52</v>
      </c>
      <c r="U661" s="136" t="s">
        <v>53</v>
      </c>
      <c r="V661" s="136">
        <v>1250</v>
      </c>
      <c r="W661" s="133">
        <f t="shared" si="30"/>
        <v>32500</v>
      </c>
      <c r="X661" s="136">
        <v>0</v>
      </c>
      <c r="Y661" s="136">
        <v>650</v>
      </c>
      <c r="Z661" s="136">
        <v>0</v>
      </c>
      <c r="AA661" s="136">
        <v>0</v>
      </c>
      <c r="AB661" s="131">
        <v>42292</v>
      </c>
      <c r="AC661" s="134">
        <f t="shared" si="31"/>
        <v>31850.000000000004</v>
      </c>
      <c r="AD661" s="135">
        <v>65.099999999999994</v>
      </c>
      <c r="AE661" s="136">
        <f t="shared" si="32"/>
        <v>2115750</v>
      </c>
      <c r="AF661" s="137">
        <v>2073435</v>
      </c>
      <c r="AG661" s="138">
        <v>65.099999999999994</v>
      </c>
      <c r="AH661" s="136" t="s">
        <v>6253</v>
      </c>
      <c r="AI661" s="136">
        <v>32500</v>
      </c>
      <c r="AJ661" s="132">
        <v>42360</v>
      </c>
      <c r="AK661" s="136" t="s">
        <v>6254</v>
      </c>
      <c r="AL661" s="132">
        <v>42361</v>
      </c>
      <c r="AM661" s="131" t="s">
        <v>49</v>
      </c>
      <c r="AN661" s="136" t="s">
        <v>4440</v>
      </c>
    </row>
    <row r="662" spans="1:40" s="129" customFormat="1" x14ac:dyDescent="0.25">
      <c r="A662" s="130">
        <v>661</v>
      </c>
      <c r="B662" s="130" t="s">
        <v>4428</v>
      </c>
      <c r="C662" s="130" t="s">
        <v>38</v>
      </c>
      <c r="D662" s="136">
        <v>9103650607</v>
      </c>
      <c r="E662" s="132">
        <v>42299</v>
      </c>
      <c r="F662" s="132" t="s">
        <v>6060</v>
      </c>
      <c r="G662" s="132" t="s">
        <v>6255</v>
      </c>
      <c r="H662" s="130" t="s">
        <v>4446</v>
      </c>
      <c r="I662" s="132" t="s">
        <v>40</v>
      </c>
      <c r="J662" s="131" t="s">
        <v>4432</v>
      </c>
      <c r="K662" s="132" t="s">
        <v>4433</v>
      </c>
      <c r="L662" s="136">
        <v>3582633</v>
      </c>
      <c r="M662" s="132">
        <v>42292</v>
      </c>
      <c r="N662" s="136" t="s">
        <v>4670</v>
      </c>
      <c r="O662" s="130" t="s">
        <v>4436</v>
      </c>
      <c r="P662" s="130" t="s">
        <v>243</v>
      </c>
      <c r="Q662" s="130">
        <v>38237090</v>
      </c>
      <c r="R662" s="136">
        <v>26</v>
      </c>
      <c r="S662" s="130" t="s">
        <v>70</v>
      </c>
      <c r="T662" s="136" t="s">
        <v>52</v>
      </c>
      <c r="U662" s="136" t="s">
        <v>53</v>
      </c>
      <c r="V662" s="136">
        <v>1250</v>
      </c>
      <c r="W662" s="133">
        <f t="shared" si="30"/>
        <v>32500</v>
      </c>
      <c r="X662" s="136">
        <v>0</v>
      </c>
      <c r="Y662" s="136">
        <v>650</v>
      </c>
      <c r="Z662" s="136">
        <v>0</v>
      </c>
      <c r="AA662" s="136">
        <v>0</v>
      </c>
      <c r="AB662" s="131">
        <v>42293</v>
      </c>
      <c r="AC662" s="134">
        <f t="shared" si="31"/>
        <v>31850.000000000004</v>
      </c>
      <c r="AD662" s="135">
        <v>65.099999999999994</v>
      </c>
      <c r="AE662" s="136">
        <f t="shared" si="32"/>
        <v>2115750</v>
      </c>
      <c r="AF662" s="137">
        <v>2073435</v>
      </c>
      <c r="AG662" s="138">
        <v>64.3</v>
      </c>
      <c r="AH662" s="136" t="s">
        <v>6253</v>
      </c>
      <c r="AI662" s="136">
        <v>32500</v>
      </c>
      <c r="AJ662" s="132">
        <v>42360</v>
      </c>
      <c r="AK662" s="136" t="s">
        <v>6256</v>
      </c>
      <c r="AL662" s="132">
        <v>42361</v>
      </c>
      <c r="AM662" s="131" t="s">
        <v>49</v>
      </c>
      <c r="AN662" s="136" t="s">
        <v>4440</v>
      </c>
    </row>
    <row r="663" spans="1:40" s="129" customFormat="1" x14ac:dyDescent="0.25">
      <c r="A663" s="136">
        <v>662</v>
      </c>
      <c r="B663" s="130" t="s">
        <v>4428</v>
      </c>
      <c r="C663" s="130" t="s">
        <v>38</v>
      </c>
      <c r="D663" s="136">
        <v>9103650614</v>
      </c>
      <c r="E663" s="132">
        <v>42300</v>
      </c>
      <c r="F663" s="132" t="s">
        <v>6060</v>
      </c>
      <c r="G663" s="132" t="s">
        <v>6257</v>
      </c>
      <c r="H663" s="130" t="s">
        <v>4463</v>
      </c>
      <c r="I663" s="132" t="s">
        <v>40</v>
      </c>
      <c r="J663" s="131" t="s">
        <v>4432</v>
      </c>
      <c r="K663" s="132" t="s">
        <v>4433</v>
      </c>
      <c r="L663" s="136">
        <v>3605674</v>
      </c>
      <c r="M663" s="132">
        <v>42293</v>
      </c>
      <c r="N663" s="136" t="s">
        <v>4867</v>
      </c>
      <c r="O663" s="130" t="s">
        <v>4436</v>
      </c>
      <c r="P663" s="130" t="s">
        <v>90</v>
      </c>
      <c r="Q663" s="130">
        <v>38231190</v>
      </c>
      <c r="R663" s="136">
        <v>10</v>
      </c>
      <c r="S663" s="130" t="s">
        <v>70</v>
      </c>
      <c r="T663" s="136" t="s">
        <v>67</v>
      </c>
      <c r="U663" s="136" t="s">
        <v>53</v>
      </c>
      <c r="V663" s="136">
        <v>730</v>
      </c>
      <c r="W663" s="133">
        <f t="shared" si="30"/>
        <v>7300</v>
      </c>
      <c r="X663" s="136">
        <v>0</v>
      </c>
      <c r="Y663" s="136">
        <v>0</v>
      </c>
      <c r="Z663" s="136">
        <v>0</v>
      </c>
      <c r="AA663" s="136">
        <v>0</v>
      </c>
      <c r="AB663" s="131">
        <v>42296</v>
      </c>
      <c r="AC663" s="134">
        <f t="shared" si="31"/>
        <v>7300</v>
      </c>
      <c r="AD663" s="135">
        <v>64.3</v>
      </c>
      <c r="AE663" s="136">
        <f t="shared" si="32"/>
        <v>469390</v>
      </c>
      <c r="AF663" s="137">
        <v>469390</v>
      </c>
      <c r="AG663" s="138">
        <v>64.3</v>
      </c>
      <c r="AH663" s="136" t="s">
        <v>6258</v>
      </c>
      <c r="AI663" s="133">
        <v>7300</v>
      </c>
      <c r="AJ663" s="132">
        <v>42312</v>
      </c>
      <c r="AK663" s="136" t="s">
        <v>6259</v>
      </c>
      <c r="AL663" s="132">
        <v>42313</v>
      </c>
      <c r="AM663" s="131" t="s">
        <v>49</v>
      </c>
      <c r="AN663" s="136" t="s">
        <v>4440</v>
      </c>
    </row>
    <row r="664" spans="1:40" s="129" customFormat="1" x14ac:dyDescent="0.25">
      <c r="A664" s="130">
        <v>663</v>
      </c>
      <c r="B664" s="130" t="s">
        <v>4428</v>
      </c>
      <c r="C664" s="130" t="s">
        <v>38</v>
      </c>
      <c r="D664" s="136">
        <v>9103650615</v>
      </c>
      <c r="E664" s="132">
        <v>42322</v>
      </c>
      <c r="F664" s="132" t="s">
        <v>6260</v>
      </c>
      <c r="G664" s="132" t="s">
        <v>6261</v>
      </c>
      <c r="H664" s="130" t="s">
        <v>4564</v>
      </c>
      <c r="I664" s="132" t="s">
        <v>40</v>
      </c>
      <c r="J664" s="131" t="s">
        <v>4432</v>
      </c>
      <c r="K664" s="132" t="s">
        <v>4433</v>
      </c>
      <c r="L664" s="136">
        <v>3559232</v>
      </c>
      <c r="M664" s="132">
        <v>42291</v>
      </c>
      <c r="N664" s="136" t="s">
        <v>6262</v>
      </c>
      <c r="O664" s="130" t="s">
        <v>4436</v>
      </c>
      <c r="P664" s="130" t="s">
        <v>77</v>
      </c>
      <c r="Q664" s="130">
        <v>38237090</v>
      </c>
      <c r="R664" s="136">
        <v>6</v>
      </c>
      <c r="S664" s="130" t="s">
        <v>6263</v>
      </c>
      <c r="T664" s="136" t="s">
        <v>67</v>
      </c>
      <c r="U664" s="136" t="s">
        <v>53</v>
      </c>
      <c r="V664" s="136">
        <v>1230</v>
      </c>
      <c r="W664" s="133">
        <f t="shared" si="30"/>
        <v>7380</v>
      </c>
      <c r="X664" s="136">
        <v>0</v>
      </c>
      <c r="Y664" s="136">
        <v>0</v>
      </c>
      <c r="Z664" s="136">
        <v>0</v>
      </c>
      <c r="AA664" s="136">
        <v>0</v>
      </c>
      <c r="AB664" s="131">
        <v>42292</v>
      </c>
      <c r="AC664" s="134">
        <v>480438</v>
      </c>
      <c r="AD664" s="135">
        <v>65.099999999999994</v>
      </c>
      <c r="AE664" s="136">
        <v>480438</v>
      </c>
      <c r="AF664" s="137">
        <v>480438</v>
      </c>
      <c r="AG664" s="138">
        <v>65.099999999999994</v>
      </c>
      <c r="AH664" s="136" t="s">
        <v>6264</v>
      </c>
      <c r="AI664" s="133">
        <v>7352</v>
      </c>
      <c r="AJ664" s="132">
        <v>42346</v>
      </c>
      <c r="AK664" s="136" t="s">
        <v>6265</v>
      </c>
      <c r="AL664" s="132">
        <v>42347</v>
      </c>
      <c r="AM664" s="131" t="s">
        <v>49</v>
      </c>
      <c r="AN664" s="136" t="s">
        <v>4440</v>
      </c>
    </row>
    <row r="665" spans="1:40" s="129" customFormat="1" x14ac:dyDescent="0.25">
      <c r="A665" s="136">
        <v>664</v>
      </c>
      <c r="B665" s="130" t="s">
        <v>4428</v>
      </c>
      <c r="C665" s="130" t="s">
        <v>38</v>
      </c>
      <c r="D665" s="136">
        <v>9103650616</v>
      </c>
      <c r="E665" s="132">
        <v>42300</v>
      </c>
      <c r="F665" s="132" t="s">
        <v>6060</v>
      </c>
      <c r="G665" s="132" t="s">
        <v>6266</v>
      </c>
      <c r="H665" s="130" t="s">
        <v>4456</v>
      </c>
      <c r="I665" s="132" t="s">
        <v>40</v>
      </c>
      <c r="J665" s="131" t="s">
        <v>4432</v>
      </c>
      <c r="K665" s="132" t="s">
        <v>4433</v>
      </c>
      <c r="L665" s="136">
        <v>3530613</v>
      </c>
      <c r="M665" s="132">
        <v>42290</v>
      </c>
      <c r="N665" s="136" t="s">
        <v>5009</v>
      </c>
      <c r="O665" s="130" t="s">
        <v>4436</v>
      </c>
      <c r="P665" s="130" t="s">
        <v>90</v>
      </c>
      <c r="Q665" s="130">
        <v>38237090</v>
      </c>
      <c r="R665" s="136">
        <v>1.6500000000000001</v>
      </c>
      <c r="S665" s="130" t="s">
        <v>70</v>
      </c>
      <c r="T665" s="136" t="s">
        <v>44</v>
      </c>
      <c r="U665" s="136" t="s">
        <v>53</v>
      </c>
      <c r="V665" s="136">
        <v>0</v>
      </c>
      <c r="W665" s="133">
        <f>(1600*1.1+2000*0.55)</f>
        <v>2860</v>
      </c>
      <c r="X665" s="136">
        <v>0.94</v>
      </c>
      <c r="Y665" s="136">
        <v>75</v>
      </c>
      <c r="Z665" s="136">
        <v>0</v>
      </c>
      <c r="AA665" s="136">
        <v>0</v>
      </c>
      <c r="AB665" s="131">
        <v>42291</v>
      </c>
      <c r="AC665" s="134">
        <f t="shared" si="31"/>
        <v>2784.0600614439327</v>
      </c>
      <c r="AD665" s="135">
        <v>65.099999999999994</v>
      </c>
      <c r="AE665" s="136">
        <f t="shared" si="32"/>
        <v>186185.99999999997</v>
      </c>
      <c r="AF665" s="137">
        <v>181242.31</v>
      </c>
      <c r="AG665" s="138">
        <v>65.099999999999994</v>
      </c>
      <c r="AH665" s="136" t="s">
        <v>6267</v>
      </c>
      <c r="AI665" s="136">
        <v>2860</v>
      </c>
      <c r="AJ665" s="132">
        <v>42402</v>
      </c>
      <c r="AK665" s="136" t="s">
        <v>6268</v>
      </c>
      <c r="AL665" s="132">
        <v>42403</v>
      </c>
      <c r="AM665" s="131" t="s">
        <v>49</v>
      </c>
      <c r="AN665" s="136" t="s">
        <v>4440</v>
      </c>
    </row>
    <row r="666" spans="1:40" s="129" customFormat="1" x14ac:dyDescent="0.25">
      <c r="A666" s="130">
        <v>665</v>
      </c>
      <c r="B666" s="130" t="s">
        <v>4428</v>
      </c>
      <c r="C666" s="130" t="s">
        <v>38</v>
      </c>
      <c r="D666" s="136">
        <v>9103650619</v>
      </c>
      <c r="E666" s="132">
        <v>42300</v>
      </c>
      <c r="F666" s="132" t="s">
        <v>6060</v>
      </c>
      <c r="G666" s="132" t="s">
        <v>6269</v>
      </c>
      <c r="H666" s="130" t="s">
        <v>4491</v>
      </c>
      <c r="I666" s="132" t="s">
        <v>40</v>
      </c>
      <c r="J666" s="131" t="s">
        <v>4432</v>
      </c>
      <c r="K666" s="132" t="s">
        <v>4433</v>
      </c>
      <c r="L666" s="136">
        <v>3640679</v>
      </c>
      <c r="M666" s="132">
        <v>42296</v>
      </c>
      <c r="N666" s="136" t="s">
        <v>3741</v>
      </c>
      <c r="O666" s="130" t="s">
        <v>4436</v>
      </c>
      <c r="P666" s="130" t="s">
        <v>4492</v>
      </c>
      <c r="Q666" s="130">
        <v>29051700</v>
      </c>
      <c r="R666" s="136">
        <v>54.42</v>
      </c>
      <c r="S666" s="130" t="s">
        <v>70</v>
      </c>
      <c r="T666" s="136" t="s">
        <v>44</v>
      </c>
      <c r="U666" s="136" t="s">
        <v>53</v>
      </c>
      <c r="V666" s="136">
        <v>1532</v>
      </c>
      <c r="W666" s="133">
        <f t="shared" si="30"/>
        <v>83371.44</v>
      </c>
      <c r="X666" s="136">
        <v>27.51</v>
      </c>
      <c r="Y666" s="136">
        <v>8400</v>
      </c>
      <c r="Z666" s="136">
        <v>0</v>
      </c>
      <c r="AA666" s="136">
        <v>0</v>
      </c>
      <c r="AB666" s="131">
        <v>42297</v>
      </c>
      <c r="AC666" s="134">
        <f t="shared" si="31"/>
        <v>74943.930015552105</v>
      </c>
      <c r="AD666" s="135">
        <v>64.3</v>
      </c>
      <c r="AE666" s="136">
        <f t="shared" si="32"/>
        <v>5360783.5920000002</v>
      </c>
      <c r="AF666" s="137">
        <v>4818894.7</v>
      </c>
      <c r="AG666" s="138">
        <v>64.3</v>
      </c>
      <c r="AH666" s="136" t="s">
        <v>6270</v>
      </c>
      <c r="AI666" s="133">
        <v>83371.44</v>
      </c>
      <c r="AJ666" s="132">
        <v>42318</v>
      </c>
      <c r="AK666" s="136" t="s">
        <v>6271</v>
      </c>
      <c r="AL666" s="132">
        <v>42321</v>
      </c>
      <c r="AM666" s="131" t="s">
        <v>49</v>
      </c>
      <c r="AN666" s="136" t="s">
        <v>4440</v>
      </c>
    </row>
    <row r="667" spans="1:40" s="129" customFormat="1" x14ac:dyDescent="0.25">
      <c r="A667" s="136">
        <v>666</v>
      </c>
      <c r="B667" s="130" t="s">
        <v>4428</v>
      </c>
      <c r="C667" s="130" t="s">
        <v>38</v>
      </c>
      <c r="D667" s="136">
        <v>9103650623</v>
      </c>
      <c r="E667" s="132">
        <v>42300</v>
      </c>
      <c r="F667" s="132" t="s">
        <v>6060</v>
      </c>
      <c r="G667" s="132" t="s">
        <v>6272</v>
      </c>
      <c r="H667" s="130" t="s">
        <v>4556</v>
      </c>
      <c r="I667" s="132" t="s">
        <v>40</v>
      </c>
      <c r="J667" s="131" t="s">
        <v>4432</v>
      </c>
      <c r="K667" s="132" t="s">
        <v>4433</v>
      </c>
      <c r="L667" s="136">
        <v>3647645</v>
      </c>
      <c r="M667" s="132" t="s">
        <v>5438</v>
      </c>
      <c r="N667" s="136" t="s">
        <v>4557</v>
      </c>
      <c r="O667" s="130" t="s">
        <v>4436</v>
      </c>
      <c r="P667" s="130" t="s">
        <v>137</v>
      </c>
      <c r="Q667" s="130" t="s">
        <v>4559</v>
      </c>
      <c r="R667" s="136">
        <v>36</v>
      </c>
      <c r="S667" s="130" t="s">
        <v>70</v>
      </c>
      <c r="T667" s="136" t="s">
        <v>52</v>
      </c>
      <c r="U667" s="136" t="s">
        <v>53</v>
      </c>
      <c r="V667" s="136">
        <v>0</v>
      </c>
      <c r="W667" s="133">
        <f>(28.5*1365+7.5*1415)</f>
        <v>49515</v>
      </c>
      <c r="X667" s="136">
        <v>0</v>
      </c>
      <c r="Y667" s="136">
        <v>1003.5</v>
      </c>
      <c r="Z667" s="136">
        <v>0</v>
      </c>
      <c r="AA667" s="136">
        <v>0</v>
      </c>
      <c r="AB667" s="131">
        <v>42297</v>
      </c>
      <c r="AC667" s="134">
        <f t="shared" si="31"/>
        <v>48511.500000000007</v>
      </c>
      <c r="AD667" s="135">
        <v>64.3</v>
      </c>
      <c r="AE667" s="136">
        <f t="shared" si="32"/>
        <v>3183814.5</v>
      </c>
      <c r="AF667" s="137">
        <v>3119289.45</v>
      </c>
      <c r="AG667" s="138">
        <v>64.3</v>
      </c>
      <c r="AH667" s="136" t="s">
        <v>6273</v>
      </c>
      <c r="AI667" s="136">
        <v>49470</v>
      </c>
      <c r="AJ667" s="132" t="s">
        <v>5822</v>
      </c>
      <c r="AK667" s="136" t="s">
        <v>6274</v>
      </c>
      <c r="AL667" s="132" t="s">
        <v>6275</v>
      </c>
      <c r="AM667" s="131" t="s">
        <v>49</v>
      </c>
      <c r="AN667" s="136" t="s">
        <v>4440</v>
      </c>
    </row>
    <row r="668" spans="1:40" s="129" customFormat="1" x14ac:dyDescent="0.25">
      <c r="A668" s="130">
        <v>667</v>
      </c>
      <c r="B668" s="130" t="s">
        <v>4428</v>
      </c>
      <c r="C668" s="130" t="s">
        <v>38</v>
      </c>
      <c r="D668" s="136">
        <v>9103650627</v>
      </c>
      <c r="E668" s="132">
        <v>42300</v>
      </c>
      <c r="F668" s="132" t="s">
        <v>6060</v>
      </c>
      <c r="G668" s="132" t="s">
        <v>6276</v>
      </c>
      <c r="H668" s="130" t="s">
        <v>4491</v>
      </c>
      <c r="I668" s="132" t="s">
        <v>40</v>
      </c>
      <c r="J668" s="131" t="s">
        <v>4432</v>
      </c>
      <c r="K668" s="132" t="s">
        <v>4433</v>
      </c>
      <c r="L668" s="136">
        <v>3666462</v>
      </c>
      <c r="M668" s="132">
        <v>42297</v>
      </c>
      <c r="N668" s="136" t="s">
        <v>3741</v>
      </c>
      <c r="O668" s="130" t="s">
        <v>4436</v>
      </c>
      <c r="P668" s="130" t="s">
        <v>4492</v>
      </c>
      <c r="Q668" s="130">
        <v>29051700</v>
      </c>
      <c r="R668" s="136">
        <v>18.14</v>
      </c>
      <c r="S668" s="130" t="s">
        <v>70</v>
      </c>
      <c r="T668" s="136" t="s">
        <v>44</v>
      </c>
      <c r="U668" s="136" t="s">
        <v>53</v>
      </c>
      <c r="V668" s="136">
        <v>1502</v>
      </c>
      <c r="W668" s="133">
        <f t="shared" si="30"/>
        <v>27246.280000000002</v>
      </c>
      <c r="X668" s="136">
        <v>8.99</v>
      </c>
      <c r="Y668" s="136">
        <v>2900</v>
      </c>
      <c r="Z668" s="136">
        <v>0</v>
      </c>
      <c r="AA668" s="136">
        <v>0</v>
      </c>
      <c r="AB668" s="131">
        <v>42298</v>
      </c>
      <c r="AC668" s="134">
        <f t="shared" si="31"/>
        <v>24337.289891135304</v>
      </c>
      <c r="AD668" s="135">
        <v>64.3</v>
      </c>
      <c r="AE668" s="136">
        <f t="shared" si="32"/>
        <v>1751935.804</v>
      </c>
      <c r="AF668" s="137">
        <v>1564887.74</v>
      </c>
      <c r="AG668" s="138">
        <v>64.3</v>
      </c>
      <c r="AH668" s="136" t="s">
        <v>6277</v>
      </c>
      <c r="AI668" s="133">
        <f>24487.29+2758.99</f>
        <v>27246.28</v>
      </c>
      <c r="AJ668" s="132">
        <v>42318</v>
      </c>
      <c r="AK668" s="136" t="s">
        <v>6278</v>
      </c>
      <c r="AL668" s="132">
        <v>42321</v>
      </c>
      <c r="AM668" s="131" t="s">
        <v>49</v>
      </c>
      <c r="AN668" s="136" t="s">
        <v>4440</v>
      </c>
    </row>
    <row r="669" spans="1:40" s="129" customFormat="1" x14ac:dyDescent="0.25">
      <c r="A669" s="136">
        <v>668</v>
      </c>
      <c r="B669" s="130" t="s">
        <v>4428</v>
      </c>
      <c r="C669" s="130" t="s">
        <v>38</v>
      </c>
      <c r="D669" s="136">
        <v>9103650621</v>
      </c>
      <c r="E669" s="132">
        <v>42302</v>
      </c>
      <c r="F669" s="132" t="s">
        <v>6060</v>
      </c>
      <c r="G669" s="132" t="s">
        <v>6279</v>
      </c>
      <c r="H669" s="130" t="s">
        <v>4463</v>
      </c>
      <c r="I669" s="132" t="s">
        <v>40</v>
      </c>
      <c r="J669" s="131" t="s">
        <v>4432</v>
      </c>
      <c r="K669" s="132" t="s">
        <v>4433</v>
      </c>
      <c r="L669" s="136">
        <v>3642339</v>
      </c>
      <c r="M669" s="132" t="s">
        <v>5438</v>
      </c>
      <c r="N669" s="136" t="s">
        <v>6280</v>
      </c>
      <c r="O669" s="130" t="s">
        <v>4436</v>
      </c>
      <c r="P669" s="130" t="s">
        <v>6281</v>
      </c>
      <c r="Q669" s="130" t="s">
        <v>4717</v>
      </c>
      <c r="R669" s="136">
        <v>15</v>
      </c>
      <c r="S669" s="130" t="s">
        <v>70</v>
      </c>
      <c r="T669" s="136" t="s">
        <v>67</v>
      </c>
      <c r="U669" s="136" t="s">
        <v>53</v>
      </c>
      <c r="V669" s="136">
        <v>0</v>
      </c>
      <c r="W669" s="133">
        <f>(2*1343+6*1403+7*748)</f>
        <v>16340</v>
      </c>
      <c r="X669" s="136">
        <v>0</v>
      </c>
      <c r="Y669" s="136">
        <v>0</v>
      </c>
      <c r="Z669" s="136">
        <v>0</v>
      </c>
      <c r="AA669" s="136">
        <v>0</v>
      </c>
      <c r="AB669" s="131">
        <v>42298</v>
      </c>
      <c r="AC669" s="134">
        <f t="shared" si="31"/>
        <v>16340</v>
      </c>
      <c r="AD669" s="135">
        <v>64.3</v>
      </c>
      <c r="AE669" s="136">
        <f t="shared" si="32"/>
        <v>1050662</v>
      </c>
      <c r="AF669" s="137">
        <v>1050662</v>
      </c>
      <c r="AG669" s="138">
        <v>64.3</v>
      </c>
      <c r="AH669" s="136" t="s">
        <v>6282</v>
      </c>
      <c r="AI669" s="136">
        <v>16315</v>
      </c>
      <c r="AJ669" s="132" t="s">
        <v>5687</v>
      </c>
      <c r="AK669" s="136" t="s">
        <v>6283</v>
      </c>
      <c r="AL669" s="132" t="s">
        <v>5540</v>
      </c>
      <c r="AM669" s="131" t="s">
        <v>49</v>
      </c>
      <c r="AN669" s="136" t="s">
        <v>4440</v>
      </c>
    </row>
    <row r="670" spans="1:40" s="129" customFormat="1" x14ac:dyDescent="0.25">
      <c r="A670" s="130">
        <v>669</v>
      </c>
      <c r="B670" s="130" t="s">
        <v>4428</v>
      </c>
      <c r="C670" s="130" t="s">
        <v>38</v>
      </c>
      <c r="D670" s="136">
        <v>9103650622</v>
      </c>
      <c r="E670" s="132">
        <v>42302</v>
      </c>
      <c r="F670" s="132" t="s">
        <v>6060</v>
      </c>
      <c r="G670" s="132" t="s">
        <v>6284</v>
      </c>
      <c r="H670" s="130" t="s">
        <v>4564</v>
      </c>
      <c r="I670" s="132" t="s">
        <v>40</v>
      </c>
      <c r="J670" s="131" t="s">
        <v>4432</v>
      </c>
      <c r="K670" s="132" t="s">
        <v>4433</v>
      </c>
      <c r="L670" s="136">
        <v>3640710</v>
      </c>
      <c r="M670" s="132">
        <v>42296</v>
      </c>
      <c r="N670" s="136" t="s">
        <v>5337</v>
      </c>
      <c r="O670" s="130" t="s">
        <v>4436</v>
      </c>
      <c r="P670" s="130" t="s">
        <v>143</v>
      </c>
      <c r="Q670" s="130">
        <v>38237090</v>
      </c>
      <c r="R670" s="136">
        <v>96</v>
      </c>
      <c r="S670" s="130" t="s">
        <v>70</v>
      </c>
      <c r="T670" s="136" t="s">
        <v>52</v>
      </c>
      <c r="U670" s="136" t="s">
        <v>53</v>
      </c>
      <c r="V670" s="136">
        <v>1250</v>
      </c>
      <c r="W670" s="133">
        <f t="shared" si="30"/>
        <v>120000</v>
      </c>
      <c r="X670" s="136">
        <v>0</v>
      </c>
      <c r="Y670" s="136">
        <v>3600</v>
      </c>
      <c r="Z670" s="136">
        <v>0</v>
      </c>
      <c r="AA670" s="136">
        <v>1440</v>
      </c>
      <c r="AB670" s="131">
        <v>42298</v>
      </c>
      <c r="AC670" s="134">
        <f t="shared" si="31"/>
        <v>116400</v>
      </c>
      <c r="AD670" s="135">
        <v>64.3</v>
      </c>
      <c r="AE670" s="136">
        <f t="shared" si="32"/>
        <v>7716000</v>
      </c>
      <c r="AF670" s="137">
        <v>7484520</v>
      </c>
      <c r="AG670" s="138">
        <v>64.3</v>
      </c>
      <c r="AH670" s="136" t="s">
        <v>6285</v>
      </c>
      <c r="AI670" s="133">
        <v>119988</v>
      </c>
      <c r="AJ670" s="132">
        <v>42324</v>
      </c>
      <c r="AK670" s="136" t="s">
        <v>6286</v>
      </c>
      <c r="AL670" s="132">
        <v>42324</v>
      </c>
      <c r="AM670" s="131" t="s">
        <v>49</v>
      </c>
      <c r="AN670" s="136" t="s">
        <v>4440</v>
      </c>
    </row>
    <row r="671" spans="1:40" s="129" customFormat="1" x14ac:dyDescent="0.25">
      <c r="A671" s="136">
        <v>670</v>
      </c>
      <c r="B671" s="130" t="s">
        <v>4428</v>
      </c>
      <c r="C671" s="130" t="s">
        <v>38</v>
      </c>
      <c r="D671" s="141">
        <v>9103650624</v>
      </c>
      <c r="E671" s="132">
        <v>42302</v>
      </c>
      <c r="F671" s="132" t="s">
        <v>6060</v>
      </c>
      <c r="G671" s="132" t="s">
        <v>6287</v>
      </c>
      <c r="H671" s="130" t="s">
        <v>4463</v>
      </c>
      <c r="I671" s="132" t="s">
        <v>40</v>
      </c>
      <c r="J671" s="131" t="s">
        <v>4432</v>
      </c>
      <c r="K671" s="132" t="s">
        <v>4433</v>
      </c>
      <c r="L671" s="136">
        <v>3647989</v>
      </c>
      <c r="M671" s="132">
        <v>42296</v>
      </c>
      <c r="N671" s="136" t="s">
        <v>6288</v>
      </c>
      <c r="O671" s="130" t="s">
        <v>4436</v>
      </c>
      <c r="P671" s="130" t="s">
        <v>6289</v>
      </c>
      <c r="Q671" s="130">
        <v>38237090</v>
      </c>
      <c r="R671" s="136">
        <v>16</v>
      </c>
      <c r="S671" s="130" t="s">
        <v>70</v>
      </c>
      <c r="T671" s="136" t="s">
        <v>44</v>
      </c>
      <c r="U671" s="136" t="s">
        <v>53</v>
      </c>
      <c r="V671" s="136">
        <v>0</v>
      </c>
      <c r="W671" s="133">
        <f>(12*1455+4*4260)</f>
        <v>34500</v>
      </c>
      <c r="X671" s="136">
        <v>11.39</v>
      </c>
      <c r="Y671" s="136">
        <v>150</v>
      </c>
      <c r="Z671" s="136">
        <v>0</v>
      </c>
      <c r="AA671" s="136">
        <v>0</v>
      </c>
      <c r="AB671" s="131">
        <v>42297</v>
      </c>
      <c r="AC671" s="134">
        <f t="shared" si="31"/>
        <v>34338.609953343708</v>
      </c>
      <c r="AD671" s="135">
        <v>64.3</v>
      </c>
      <c r="AE671" s="136">
        <f t="shared" si="32"/>
        <v>2218350</v>
      </c>
      <c r="AF671" s="137">
        <v>2207972.62</v>
      </c>
      <c r="AG671" s="138">
        <v>64.3</v>
      </c>
      <c r="AH671" s="136" t="s">
        <v>6290</v>
      </c>
      <c r="AI671" s="133">
        <v>34468</v>
      </c>
      <c r="AJ671" s="132">
        <v>42290</v>
      </c>
      <c r="AK671" s="136" t="s">
        <v>6291</v>
      </c>
      <c r="AL671" s="132">
        <v>42313</v>
      </c>
      <c r="AM671" s="131" t="s">
        <v>49</v>
      </c>
      <c r="AN671" s="136" t="s">
        <v>4440</v>
      </c>
    </row>
    <row r="672" spans="1:40" s="129" customFormat="1" x14ac:dyDescent="0.25">
      <c r="A672" s="130">
        <v>671</v>
      </c>
      <c r="B672" s="130" t="s">
        <v>4428</v>
      </c>
      <c r="C672" s="130" t="s">
        <v>38</v>
      </c>
      <c r="D672" s="141">
        <v>9103650628</v>
      </c>
      <c r="E672" s="132">
        <v>42303</v>
      </c>
      <c r="F672" s="132" t="s">
        <v>6060</v>
      </c>
      <c r="G672" s="132" t="s">
        <v>6292</v>
      </c>
      <c r="H672" s="130" t="s">
        <v>4491</v>
      </c>
      <c r="I672" s="132" t="s">
        <v>40</v>
      </c>
      <c r="J672" s="131" t="s">
        <v>4432</v>
      </c>
      <c r="K672" s="132" t="s">
        <v>4433</v>
      </c>
      <c r="L672" s="136">
        <v>3669963</v>
      </c>
      <c r="M672" s="132" t="s">
        <v>5440</v>
      </c>
      <c r="N672" s="136" t="s">
        <v>3741</v>
      </c>
      <c r="O672" s="130" t="s">
        <v>4436</v>
      </c>
      <c r="P672" s="130" t="s">
        <v>188</v>
      </c>
      <c r="Q672" s="130">
        <v>38237090</v>
      </c>
      <c r="R672" s="136">
        <v>36.28</v>
      </c>
      <c r="S672" s="130" t="s">
        <v>70</v>
      </c>
      <c r="T672" s="136" t="s">
        <v>44</v>
      </c>
      <c r="U672" s="136" t="s">
        <v>53</v>
      </c>
      <c r="V672" s="136">
        <v>1246</v>
      </c>
      <c r="W672" s="133">
        <f t="shared" si="30"/>
        <v>45204.880000000005</v>
      </c>
      <c r="X672" s="136">
        <v>14.92</v>
      </c>
      <c r="Y672" s="136">
        <v>5600</v>
      </c>
      <c r="Z672" s="136">
        <v>0</v>
      </c>
      <c r="AA672" s="136">
        <v>0</v>
      </c>
      <c r="AB672" s="131">
        <v>42300</v>
      </c>
      <c r="AC672" s="134">
        <f t="shared" si="31"/>
        <v>39589.959875583205</v>
      </c>
      <c r="AD672" s="135">
        <v>64.3</v>
      </c>
      <c r="AE672" s="136">
        <f t="shared" si="32"/>
        <v>2906673.784</v>
      </c>
      <c r="AF672" s="137">
        <v>2545634.42</v>
      </c>
      <c r="AG672" s="138">
        <v>64.3</v>
      </c>
      <c r="AH672" s="136" t="s">
        <v>6293</v>
      </c>
      <c r="AI672" s="136">
        <v>45204.88</v>
      </c>
      <c r="AJ672" s="132" t="s">
        <v>6294</v>
      </c>
      <c r="AK672" s="136" t="s">
        <v>6295</v>
      </c>
      <c r="AL672" s="132" t="s">
        <v>6296</v>
      </c>
      <c r="AM672" s="131" t="s">
        <v>49</v>
      </c>
      <c r="AN672" s="136" t="s">
        <v>4440</v>
      </c>
    </row>
    <row r="673" spans="1:40" s="129" customFormat="1" x14ac:dyDescent="0.25">
      <c r="A673" s="136">
        <v>672</v>
      </c>
      <c r="B673" s="130" t="s">
        <v>4428</v>
      </c>
      <c r="C673" s="130" t="s">
        <v>38</v>
      </c>
      <c r="D673" s="141">
        <v>9103650629</v>
      </c>
      <c r="E673" s="132">
        <v>42303</v>
      </c>
      <c r="F673" s="132" t="s">
        <v>6060</v>
      </c>
      <c r="G673" s="132" t="s">
        <v>6297</v>
      </c>
      <c r="H673" s="130" t="s">
        <v>4491</v>
      </c>
      <c r="I673" s="132" t="s">
        <v>40</v>
      </c>
      <c r="J673" s="131" t="s">
        <v>4432</v>
      </c>
      <c r="K673" s="132" t="s">
        <v>4433</v>
      </c>
      <c r="L673" s="136">
        <v>3669565</v>
      </c>
      <c r="M673" s="132" t="s">
        <v>5440</v>
      </c>
      <c r="N673" s="136" t="s">
        <v>3741</v>
      </c>
      <c r="O673" s="130" t="s">
        <v>4436</v>
      </c>
      <c r="P673" s="130" t="s">
        <v>4492</v>
      </c>
      <c r="Q673" s="130">
        <v>29051700</v>
      </c>
      <c r="R673" s="136">
        <v>36.28</v>
      </c>
      <c r="S673" s="130" t="s">
        <v>70</v>
      </c>
      <c r="T673" s="136" t="s">
        <v>44</v>
      </c>
      <c r="U673" s="136" t="s">
        <v>53</v>
      </c>
      <c r="V673" s="136">
        <v>1532</v>
      </c>
      <c r="W673" s="133">
        <f t="shared" si="30"/>
        <v>55580.959999999999</v>
      </c>
      <c r="X673" s="136">
        <v>18.34</v>
      </c>
      <c r="Y673" s="136">
        <v>5800</v>
      </c>
      <c r="Z673" s="136">
        <v>0</v>
      </c>
      <c r="AA673" s="136">
        <v>0</v>
      </c>
      <c r="AB673" s="131">
        <v>42298</v>
      </c>
      <c r="AC673" s="134">
        <f t="shared" si="31"/>
        <v>49762.620062208407</v>
      </c>
      <c r="AD673" s="135">
        <v>64.3</v>
      </c>
      <c r="AE673" s="136">
        <f t="shared" si="32"/>
        <v>3573855.7279999997</v>
      </c>
      <c r="AF673" s="137">
        <v>3199736.47</v>
      </c>
      <c r="AG673" s="138">
        <v>64.3</v>
      </c>
      <c r="AH673" s="136" t="s">
        <v>6298</v>
      </c>
      <c r="AI673" s="136">
        <v>55580.959999999999</v>
      </c>
      <c r="AJ673" s="132" t="s">
        <v>6294</v>
      </c>
      <c r="AK673" s="136" t="s">
        <v>6299</v>
      </c>
      <c r="AL673" s="132" t="s">
        <v>6296</v>
      </c>
      <c r="AM673" s="131" t="s">
        <v>49</v>
      </c>
      <c r="AN673" s="136" t="s">
        <v>4440</v>
      </c>
    </row>
    <row r="674" spans="1:40" s="129" customFormat="1" x14ac:dyDescent="0.25">
      <c r="A674" s="130">
        <v>673</v>
      </c>
      <c r="B674" s="130" t="s">
        <v>4428</v>
      </c>
      <c r="C674" s="130" t="s">
        <v>38</v>
      </c>
      <c r="D674" s="141">
        <v>9103650630</v>
      </c>
      <c r="E674" s="132">
        <v>42303</v>
      </c>
      <c r="F674" s="132" t="s">
        <v>6060</v>
      </c>
      <c r="G674" s="132" t="s">
        <v>6300</v>
      </c>
      <c r="H674" s="130" t="s">
        <v>4456</v>
      </c>
      <c r="I674" s="132" t="s">
        <v>40</v>
      </c>
      <c r="J674" s="131" t="s">
        <v>4432</v>
      </c>
      <c r="K674" s="132" t="s">
        <v>4433</v>
      </c>
      <c r="L674" s="136">
        <v>3662879</v>
      </c>
      <c r="M674" s="132" t="s">
        <v>5440</v>
      </c>
      <c r="N674" s="136" t="s">
        <v>4527</v>
      </c>
      <c r="O674" s="130" t="s">
        <v>4436</v>
      </c>
      <c r="P674" s="130" t="s">
        <v>2657</v>
      </c>
      <c r="Q674" s="130">
        <v>29051700</v>
      </c>
      <c r="R674" s="136">
        <v>26</v>
      </c>
      <c r="S674" s="130" t="s">
        <v>70</v>
      </c>
      <c r="T674" s="136" t="s">
        <v>52</v>
      </c>
      <c r="U674" s="136" t="s">
        <v>53</v>
      </c>
      <c r="V674" s="136">
        <v>1320</v>
      </c>
      <c r="W674" s="133">
        <f t="shared" si="30"/>
        <v>34320</v>
      </c>
      <c r="X674" s="136">
        <v>0</v>
      </c>
      <c r="Y674" s="136">
        <v>400</v>
      </c>
      <c r="Z674" s="136">
        <v>0</v>
      </c>
      <c r="AA674" s="136">
        <v>0</v>
      </c>
      <c r="AB674" s="131">
        <v>42298</v>
      </c>
      <c r="AC674" s="134">
        <f t="shared" si="31"/>
        <v>33920</v>
      </c>
      <c r="AD674" s="135">
        <v>64.3</v>
      </c>
      <c r="AE674" s="136">
        <f t="shared" si="32"/>
        <v>2206776</v>
      </c>
      <c r="AF674" s="137">
        <v>2181056</v>
      </c>
      <c r="AG674" s="138">
        <v>64.3</v>
      </c>
      <c r="AH674" s="136" t="s">
        <v>6301</v>
      </c>
      <c r="AI674" s="133">
        <v>34320</v>
      </c>
      <c r="AJ674" s="132">
        <v>42366</v>
      </c>
      <c r="AK674" s="136" t="s">
        <v>6302</v>
      </c>
      <c r="AL674" s="132">
        <v>42366</v>
      </c>
      <c r="AM674" s="131" t="s">
        <v>49</v>
      </c>
      <c r="AN674" s="136" t="s">
        <v>4440</v>
      </c>
    </row>
    <row r="675" spans="1:40" s="129" customFormat="1" x14ac:dyDescent="0.25">
      <c r="A675" s="136">
        <v>674</v>
      </c>
      <c r="B675" s="130" t="s">
        <v>4428</v>
      </c>
      <c r="C675" s="130" t="s">
        <v>38</v>
      </c>
      <c r="D675" s="141">
        <v>9103650631</v>
      </c>
      <c r="E675" s="132">
        <v>42303</v>
      </c>
      <c r="F675" s="132" t="s">
        <v>6060</v>
      </c>
      <c r="G675" s="132" t="s">
        <v>6303</v>
      </c>
      <c r="H675" s="130" t="s">
        <v>4456</v>
      </c>
      <c r="I675" s="132" t="s">
        <v>40</v>
      </c>
      <c r="J675" s="131" t="s">
        <v>4432</v>
      </c>
      <c r="K675" s="132" t="s">
        <v>4433</v>
      </c>
      <c r="L675" s="136">
        <v>3664097</v>
      </c>
      <c r="M675" s="132" t="s">
        <v>5440</v>
      </c>
      <c r="N675" s="136" t="s">
        <v>4527</v>
      </c>
      <c r="O675" s="130" t="s">
        <v>4436</v>
      </c>
      <c r="P675" s="130" t="s">
        <v>62</v>
      </c>
      <c r="Q675" s="130" t="s">
        <v>4645</v>
      </c>
      <c r="R675" s="136">
        <v>12</v>
      </c>
      <c r="S675" s="130" t="s">
        <v>70</v>
      </c>
      <c r="T675" s="136" t="s">
        <v>52</v>
      </c>
      <c r="U675" s="136" t="s">
        <v>53</v>
      </c>
      <c r="V675" s="136">
        <v>1335</v>
      </c>
      <c r="W675" s="133">
        <f t="shared" si="30"/>
        <v>16020</v>
      </c>
      <c r="X675" s="136">
        <v>0</v>
      </c>
      <c r="Y675" s="136">
        <v>400</v>
      </c>
      <c r="Z675" s="136">
        <v>0</v>
      </c>
      <c r="AA675" s="136">
        <v>0</v>
      </c>
      <c r="AB675" s="131">
        <v>42298</v>
      </c>
      <c r="AC675" s="134">
        <f t="shared" si="31"/>
        <v>15620</v>
      </c>
      <c r="AD675" s="135">
        <v>64.3</v>
      </c>
      <c r="AE675" s="136">
        <f t="shared" si="32"/>
        <v>1030086</v>
      </c>
      <c r="AF675" s="137">
        <v>1004366</v>
      </c>
      <c r="AG675" s="138">
        <v>64.3</v>
      </c>
      <c r="AH675" s="136" t="s">
        <v>6304</v>
      </c>
      <c r="AI675" s="133">
        <v>16020</v>
      </c>
      <c r="AJ675" s="132">
        <v>42366</v>
      </c>
      <c r="AK675" s="136" t="s">
        <v>6305</v>
      </c>
      <c r="AL675" s="132">
        <v>42366</v>
      </c>
      <c r="AM675" s="131" t="s">
        <v>49</v>
      </c>
      <c r="AN675" s="136" t="s">
        <v>4440</v>
      </c>
    </row>
    <row r="676" spans="1:40" s="129" customFormat="1" x14ac:dyDescent="0.25">
      <c r="A676" s="130">
        <v>675</v>
      </c>
      <c r="B676" s="130" t="s">
        <v>4428</v>
      </c>
      <c r="C676" s="130" t="s">
        <v>38</v>
      </c>
      <c r="D676" s="141">
        <v>9103650632</v>
      </c>
      <c r="E676" s="132">
        <v>42303</v>
      </c>
      <c r="F676" s="132" t="s">
        <v>6060</v>
      </c>
      <c r="G676" s="132" t="s">
        <v>6306</v>
      </c>
      <c r="H676" s="130" t="s">
        <v>4463</v>
      </c>
      <c r="I676" s="132" t="s">
        <v>40</v>
      </c>
      <c r="J676" s="131" t="s">
        <v>4432</v>
      </c>
      <c r="K676" s="132" t="s">
        <v>4433</v>
      </c>
      <c r="L676" s="136">
        <v>3666479</v>
      </c>
      <c r="M676" s="132" t="s">
        <v>5440</v>
      </c>
      <c r="N676" s="136" t="s">
        <v>5610</v>
      </c>
      <c r="O676" s="130" t="s">
        <v>4436</v>
      </c>
      <c r="P676" s="130" t="s">
        <v>329</v>
      </c>
      <c r="Q676" s="130">
        <v>29051700</v>
      </c>
      <c r="R676" s="136">
        <v>16</v>
      </c>
      <c r="S676" s="130" t="s">
        <v>70</v>
      </c>
      <c r="T676" s="136" t="s">
        <v>52</v>
      </c>
      <c r="U676" s="136" t="s">
        <v>53</v>
      </c>
      <c r="V676" s="136">
        <v>1314</v>
      </c>
      <c r="W676" s="133">
        <f t="shared" si="30"/>
        <v>21024</v>
      </c>
      <c r="X676" s="136">
        <v>0</v>
      </c>
      <c r="Y676" s="136">
        <v>600</v>
      </c>
      <c r="Z676" s="136">
        <v>0</v>
      </c>
      <c r="AA676" s="136">
        <v>0</v>
      </c>
      <c r="AB676" s="131">
        <v>42298</v>
      </c>
      <c r="AC676" s="134">
        <f t="shared" si="31"/>
        <v>20424</v>
      </c>
      <c r="AD676" s="135">
        <v>64.3</v>
      </c>
      <c r="AE676" s="136">
        <f t="shared" si="32"/>
        <v>1351843.2</v>
      </c>
      <c r="AF676" s="137">
        <v>1313263.2</v>
      </c>
      <c r="AG676" s="138">
        <v>64.3</v>
      </c>
      <c r="AH676" s="136" t="s">
        <v>6307</v>
      </c>
      <c r="AI676" s="136">
        <v>21014</v>
      </c>
      <c r="AJ676" s="132" t="s">
        <v>5687</v>
      </c>
      <c r="AK676" s="136" t="s">
        <v>6308</v>
      </c>
      <c r="AL676" s="132" t="s">
        <v>5540</v>
      </c>
      <c r="AM676" s="131" t="s">
        <v>49</v>
      </c>
      <c r="AN676" s="136" t="s">
        <v>4440</v>
      </c>
    </row>
    <row r="677" spans="1:40" s="129" customFormat="1" x14ac:dyDescent="0.25">
      <c r="A677" s="136">
        <v>676</v>
      </c>
      <c r="B677" s="130" t="s">
        <v>4428</v>
      </c>
      <c r="C677" s="130" t="s">
        <v>38</v>
      </c>
      <c r="D677" s="141">
        <v>9103650633</v>
      </c>
      <c r="E677" s="132">
        <v>42303</v>
      </c>
      <c r="F677" s="132" t="s">
        <v>6060</v>
      </c>
      <c r="G677" s="132" t="s">
        <v>6309</v>
      </c>
      <c r="H677" s="130" t="s">
        <v>4491</v>
      </c>
      <c r="I677" s="132" t="s">
        <v>40</v>
      </c>
      <c r="J677" s="131" t="s">
        <v>4432</v>
      </c>
      <c r="K677" s="132" t="s">
        <v>4433</v>
      </c>
      <c r="L677" s="136">
        <v>3692498</v>
      </c>
      <c r="M677" s="132" t="s">
        <v>5006</v>
      </c>
      <c r="N677" s="136" t="s">
        <v>3741</v>
      </c>
      <c r="O677" s="130" t="s">
        <v>4436</v>
      </c>
      <c r="P677" s="130" t="s">
        <v>188</v>
      </c>
      <c r="Q677" s="130">
        <v>38237090</v>
      </c>
      <c r="R677" s="136">
        <v>18.07</v>
      </c>
      <c r="S677" s="130" t="s">
        <v>70</v>
      </c>
      <c r="T677" s="136" t="s">
        <v>44</v>
      </c>
      <c r="U677" s="136" t="s">
        <v>53</v>
      </c>
      <c r="V677" s="136">
        <v>1503</v>
      </c>
      <c r="W677" s="133">
        <f t="shared" si="30"/>
        <v>27159.21</v>
      </c>
      <c r="X677" s="136">
        <v>8.98</v>
      </c>
      <c r="Y677" s="136">
        <v>3600</v>
      </c>
      <c r="Z677" s="136">
        <v>0</v>
      </c>
      <c r="AA677" s="136">
        <v>0</v>
      </c>
      <c r="AB677" s="131">
        <v>42300</v>
      </c>
      <c r="AC677" s="134">
        <f t="shared" si="31"/>
        <v>23550.249922239505</v>
      </c>
      <c r="AD677" s="135">
        <v>64.3</v>
      </c>
      <c r="AE677" s="136">
        <f t="shared" si="32"/>
        <v>1746337.203</v>
      </c>
      <c r="AF677" s="137">
        <v>1514281.07</v>
      </c>
      <c r="AG677" s="138">
        <v>64.3</v>
      </c>
      <c r="AH677" s="136" t="s">
        <v>6310</v>
      </c>
      <c r="AI677" s="136">
        <v>27159.21</v>
      </c>
      <c r="AJ677" s="132" t="s">
        <v>6294</v>
      </c>
      <c r="AK677" s="136" t="s">
        <v>6311</v>
      </c>
      <c r="AL677" s="132" t="s">
        <v>6296</v>
      </c>
      <c r="AM677" s="131" t="s">
        <v>49</v>
      </c>
      <c r="AN677" s="136" t="s">
        <v>4440</v>
      </c>
    </row>
    <row r="678" spans="1:40" s="129" customFormat="1" x14ac:dyDescent="0.25">
      <c r="A678" s="130">
        <v>677</v>
      </c>
      <c r="B678" s="130" t="s">
        <v>4428</v>
      </c>
      <c r="C678" s="130" t="s">
        <v>38</v>
      </c>
      <c r="D678" s="141" t="s">
        <v>6312</v>
      </c>
      <c r="E678" s="132">
        <v>42303</v>
      </c>
      <c r="F678" s="132" t="s">
        <v>6060</v>
      </c>
      <c r="G678" s="132" t="s">
        <v>6313</v>
      </c>
      <c r="H678" s="130" t="s">
        <v>4491</v>
      </c>
      <c r="I678" s="132" t="s">
        <v>40</v>
      </c>
      <c r="J678" s="131" t="s">
        <v>4432</v>
      </c>
      <c r="K678" s="132" t="s">
        <v>4433</v>
      </c>
      <c r="L678" s="136">
        <v>3692365</v>
      </c>
      <c r="M678" s="132">
        <v>42298</v>
      </c>
      <c r="N678" s="136" t="s">
        <v>3741</v>
      </c>
      <c r="O678" s="130" t="s">
        <v>4436</v>
      </c>
      <c r="P678" s="130" t="s">
        <v>188</v>
      </c>
      <c r="Q678" s="130">
        <v>29051700</v>
      </c>
      <c r="R678" s="136">
        <v>18.14</v>
      </c>
      <c r="S678" s="130" t="s">
        <v>70</v>
      </c>
      <c r="T678" s="136" t="s">
        <v>44</v>
      </c>
      <c r="U678" s="136" t="s">
        <v>53</v>
      </c>
      <c r="V678" s="136">
        <v>1523</v>
      </c>
      <c r="W678" s="133">
        <f t="shared" si="30"/>
        <v>27627.22</v>
      </c>
      <c r="X678" s="136">
        <v>9.1199999999999992</v>
      </c>
      <c r="Y678" s="136">
        <v>2600</v>
      </c>
      <c r="Z678" s="136">
        <v>0</v>
      </c>
      <c r="AA678" s="136">
        <v>0</v>
      </c>
      <c r="AB678" s="131">
        <v>42300</v>
      </c>
      <c r="AC678" s="134">
        <f t="shared" si="31"/>
        <v>25018.100000000002</v>
      </c>
      <c r="AD678" s="135">
        <v>64.3</v>
      </c>
      <c r="AE678" s="136">
        <f t="shared" si="32"/>
        <v>1776430.246</v>
      </c>
      <c r="AF678" s="137">
        <v>1608663.83</v>
      </c>
      <c r="AG678" s="138">
        <v>64.3</v>
      </c>
      <c r="AH678" s="136" t="s">
        <v>6314</v>
      </c>
      <c r="AI678" s="133">
        <v>27627.22</v>
      </c>
      <c r="AJ678" s="132">
        <v>42369</v>
      </c>
      <c r="AK678" s="136" t="s">
        <v>6315</v>
      </c>
      <c r="AL678" s="132" t="s">
        <v>6296</v>
      </c>
      <c r="AM678" s="131" t="s">
        <v>49</v>
      </c>
      <c r="AN678" s="136" t="s">
        <v>4440</v>
      </c>
    </row>
    <row r="679" spans="1:40" s="129" customFormat="1" x14ac:dyDescent="0.25">
      <c r="A679" s="136">
        <v>678</v>
      </c>
      <c r="B679" s="130" t="s">
        <v>4428</v>
      </c>
      <c r="C679" s="130" t="s">
        <v>38</v>
      </c>
      <c r="D679" s="141">
        <v>9103650635</v>
      </c>
      <c r="E679" s="132">
        <v>42303</v>
      </c>
      <c r="F679" s="132" t="s">
        <v>6060</v>
      </c>
      <c r="G679" s="132" t="s">
        <v>6316</v>
      </c>
      <c r="H679" s="130" t="s">
        <v>4491</v>
      </c>
      <c r="I679" s="132" t="s">
        <v>40</v>
      </c>
      <c r="J679" s="131" t="s">
        <v>4432</v>
      </c>
      <c r="K679" s="132" t="s">
        <v>4433</v>
      </c>
      <c r="L679" s="136">
        <v>3691425</v>
      </c>
      <c r="M679" s="132" t="s">
        <v>5006</v>
      </c>
      <c r="N679" s="136" t="s">
        <v>3741</v>
      </c>
      <c r="O679" s="130" t="s">
        <v>4436</v>
      </c>
      <c r="P679" s="130" t="s">
        <v>188</v>
      </c>
      <c r="Q679" s="130">
        <v>38237090</v>
      </c>
      <c r="R679" s="136">
        <v>18.16</v>
      </c>
      <c r="S679" s="130" t="s">
        <v>70</v>
      </c>
      <c r="T679" s="136" t="s">
        <v>44</v>
      </c>
      <c r="U679" s="136" t="s">
        <v>53</v>
      </c>
      <c r="V679" s="136">
        <v>1543</v>
      </c>
      <c r="W679" s="133">
        <f t="shared" si="30"/>
        <v>28020.880000000001</v>
      </c>
      <c r="X679" s="136">
        <v>9.25</v>
      </c>
      <c r="Y679" s="136">
        <v>2900</v>
      </c>
      <c r="Z679" s="136">
        <v>0</v>
      </c>
      <c r="AA679" s="136">
        <v>0</v>
      </c>
      <c r="AB679" s="131">
        <v>42300</v>
      </c>
      <c r="AC679" s="134">
        <f t="shared" si="31"/>
        <v>25111.630015552102</v>
      </c>
      <c r="AD679" s="135">
        <v>64.3</v>
      </c>
      <c r="AE679" s="136">
        <f t="shared" si="32"/>
        <v>1801742.584</v>
      </c>
      <c r="AF679" s="137">
        <v>1614677.81</v>
      </c>
      <c r="AG679" s="138">
        <v>64.3</v>
      </c>
      <c r="AH679" s="136" t="s">
        <v>6317</v>
      </c>
      <c r="AI679" s="136">
        <v>28020.880000000001</v>
      </c>
      <c r="AJ679" s="132" t="s">
        <v>6294</v>
      </c>
      <c r="AK679" s="136" t="s">
        <v>6318</v>
      </c>
      <c r="AL679" s="132" t="s">
        <v>6296</v>
      </c>
      <c r="AM679" s="131" t="s">
        <v>49</v>
      </c>
      <c r="AN679" s="136" t="s">
        <v>4440</v>
      </c>
    </row>
    <row r="680" spans="1:40" s="129" customFormat="1" x14ac:dyDescent="0.25">
      <c r="A680" s="130">
        <v>679</v>
      </c>
      <c r="B680" s="130" t="s">
        <v>4428</v>
      </c>
      <c r="C680" s="130" t="s">
        <v>38</v>
      </c>
      <c r="D680" s="141">
        <v>9103650636</v>
      </c>
      <c r="E680" s="132">
        <v>42303</v>
      </c>
      <c r="F680" s="132" t="s">
        <v>6060</v>
      </c>
      <c r="G680" s="132" t="s">
        <v>6319</v>
      </c>
      <c r="H680" s="130" t="s">
        <v>4463</v>
      </c>
      <c r="I680" s="132" t="s">
        <v>40</v>
      </c>
      <c r="J680" s="131" t="s">
        <v>4432</v>
      </c>
      <c r="K680" s="132" t="s">
        <v>4433</v>
      </c>
      <c r="L680" s="136">
        <v>3692370</v>
      </c>
      <c r="M680" s="132" t="s">
        <v>5006</v>
      </c>
      <c r="N680" s="136" t="s">
        <v>5610</v>
      </c>
      <c r="O680" s="130" t="s">
        <v>4436</v>
      </c>
      <c r="P680" s="130" t="s">
        <v>329</v>
      </c>
      <c r="Q680" s="130">
        <v>29051700</v>
      </c>
      <c r="R680" s="136">
        <v>48</v>
      </c>
      <c r="S680" s="130" t="s">
        <v>70</v>
      </c>
      <c r="T680" s="136" t="s">
        <v>52</v>
      </c>
      <c r="U680" s="136" t="s">
        <v>53</v>
      </c>
      <c r="V680" s="136">
        <v>1348</v>
      </c>
      <c r="W680" s="133">
        <f t="shared" si="30"/>
        <v>64704</v>
      </c>
      <c r="X680" s="136">
        <v>0</v>
      </c>
      <c r="Y680" s="136">
        <v>1400</v>
      </c>
      <c r="Z680" s="136">
        <v>0</v>
      </c>
      <c r="AA680" s="136">
        <v>0</v>
      </c>
      <c r="AB680" s="131">
        <v>42300</v>
      </c>
      <c r="AC680" s="134">
        <f t="shared" si="31"/>
        <v>63304.000000000007</v>
      </c>
      <c r="AD680" s="135">
        <v>64.3</v>
      </c>
      <c r="AE680" s="136">
        <f t="shared" si="32"/>
        <v>4160467.1999999997</v>
      </c>
      <c r="AF680" s="137">
        <v>4070447.2</v>
      </c>
      <c r="AG680" s="138">
        <v>64.3</v>
      </c>
      <c r="AH680" s="136" t="s">
        <v>6320</v>
      </c>
      <c r="AI680" s="136">
        <v>64689</v>
      </c>
      <c r="AJ680" s="132">
        <v>42346</v>
      </c>
      <c r="AK680" s="136" t="s">
        <v>6321</v>
      </c>
      <c r="AL680" s="132">
        <v>42347</v>
      </c>
      <c r="AM680" s="131" t="s">
        <v>49</v>
      </c>
      <c r="AN680" s="136" t="s">
        <v>4440</v>
      </c>
    </row>
    <row r="681" spans="1:40" s="129" customFormat="1" x14ac:dyDescent="0.25">
      <c r="A681" s="136">
        <v>680</v>
      </c>
      <c r="B681" s="130" t="s">
        <v>4428</v>
      </c>
      <c r="C681" s="130" t="s">
        <v>38</v>
      </c>
      <c r="D681" s="141" t="s">
        <v>6312</v>
      </c>
      <c r="E681" s="132">
        <v>42303</v>
      </c>
      <c r="F681" s="132" t="s">
        <v>6060</v>
      </c>
      <c r="G681" s="132" t="s">
        <v>6322</v>
      </c>
      <c r="H681" s="130" t="s">
        <v>4491</v>
      </c>
      <c r="I681" s="132" t="s">
        <v>40</v>
      </c>
      <c r="J681" s="131" t="s">
        <v>4432</v>
      </c>
      <c r="K681" s="132" t="s">
        <v>4433</v>
      </c>
      <c r="L681" s="136">
        <v>3709806</v>
      </c>
      <c r="M681" s="132">
        <v>42300</v>
      </c>
      <c r="N681" s="136" t="s">
        <v>3741</v>
      </c>
      <c r="O681" s="130" t="s">
        <v>4436</v>
      </c>
      <c r="P681" s="130" t="s">
        <v>188</v>
      </c>
      <c r="Q681" s="130">
        <v>29051700</v>
      </c>
      <c r="R681" s="136">
        <v>18.14</v>
      </c>
      <c r="S681" s="130" t="s">
        <v>70</v>
      </c>
      <c r="T681" s="136" t="s">
        <v>44</v>
      </c>
      <c r="U681" s="136" t="s">
        <v>53</v>
      </c>
      <c r="V681" s="136">
        <v>1523</v>
      </c>
      <c r="W681" s="133">
        <f t="shared" si="30"/>
        <v>27627.22</v>
      </c>
      <c r="X681" s="136">
        <v>9.1199999999999992</v>
      </c>
      <c r="Y681" s="136">
        <v>2600</v>
      </c>
      <c r="Z681" s="136">
        <v>0</v>
      </c>
      <c r="AA681" s="136">
        <v>0</v>
      </c>
      <c r="AB681" s="131">
        <v>42301</v>
      </c>
      <c r="AC681" s="134">
        <f t="shared" si="31"/>
        <v>25018.100000000002</v>
      </c>
      <c r="AD681" s="135">
        <v>64.3</v>
      </c>
      <c r="AE681" s="136">
        <f t="shared" si="32"/>
        <v>1776430.246</v>
      </c>
      <c r="AF681" s="137">
        <v>1608663.83</v>
      </c>
      <c r="AG681" s="138">
        <v>64.3</v>
      </c>
      <c r="AH681" s="136" t="s">
        <v>6314</v>
      </c>
      <c r="AI681" s="133">
        <v>27627.22</v>
      </c>
      <c r="AJ681" s="132">
        <v>42369</v>
      </c>
      <c r="AK681" s="136" t="s">
        <v>6323</v>
      </c>
      <c r="AL681" s="132" t="s">
        <v>6296</v>
      </c>
      <c r="AM681" s="131" t="s">
        <v>49</v>
      </c>
      <c r="AN681" s="136" t="s">
        <v>4440</v>
      </c>
    </row>
    <row r="682" spans="1:40" s="129" customFormat="1" x14ac:dyDescent="0.25">
      <c r="A682" s="130">
        <v>681</v>
      </c>
      <c r="B682" s="130" t="s">
        <v>4428</v>
      </c>
      <c r="C682" s="130" t="s">
        <v>38</v>
      </c>
      <c r="D682" s="141">
        <v>9103650645</v>
      </c>
      <c r="E682" s="132">
        <v>42303</v>
      </c>
      <c r="F682" s="132" t="s">
        <v>6060</v>
      </c>
      <c r="G682" s="132" t="s">
        <v>6324</v>
      </c>
      <c r="H682" s="130" t="s">
        <v>4431</v>
      </c>
      <c r="I682" s="132" t="s">
        <v>40</v>
      </c>
      <c r="J682" s="131" t="s">
        <v>4432</v>
      </c>
      <c r="K682" s="132" t="s">
        <v>4433</v>
      </c>
      <c r="L682" s="136">
        <v>3719681</v>
      </c>
      <c r="M682" s="132">
        <v>42300</v>
      </c>
      <c r="N682" s="136" t="s">
        <v>5621</v>
      </c>
      <c r="O682" s="130" t="s">
        <v>4436</v>
      </c>
      <c r="P682" s="130" t="s">
        <v>361</v>
      </c>
      <c r="Q682" s="130">
        <v>38237090</v>
      </c>
      <c r="R682" s="136">
        <v>206.73</v>
      </c>
      <c r="S682" s="130" t="s">
        <v>70</v>
      </c>
      <c r="T682" s="136" t="s">
        <v>52</v>
      </c>
      <c r="U682" s="136" t="s">
        <v>1117</v>
      </c>
      <c r="V682" s="136">
        <v>72995</v>
      </c>
      <c r="W682" s="133">
        <f t="shared" si="30"/>
        <v>15090256.35</v>
      </c>
      <c r="X682" s="136">
        <v>0</v>
      </c>
      <c r="Y682" s="136">
        <v>463281.5</v>
      </c>
      <c r="Z682" s="136">
        <v>0</v>
      </c>
      <c r="AA682" s="136">
        <v>343001.53</v>
      </c>
      <c r="AB682" s="131">
        <v>42303</v>
      </c>
      <c r="AC682" s="134">
        <f t="shared" si="31"/>
        <v>14626975</v>
      </c>
      <c r="AD682" s="135">
        <v>1</v>
      </c>
      <c r="AE682" s="136">
        <f t="shared" si="32"/>
        <v>15090256.35</v>
      </c>
      <c r="AF682" s="130">
        <v>14626975</v>
      </c>
      <c r="AG682" s="138">
        <v>1</v>
      </c>
      <c r="AH682" s="136" t="s">
        <v>6325</v>
      </c>
      <c r="AI682" s="133">
        <v>15075166.09</v>
      </c>
      <c r="AJ682" s="132">
        <v>42328</v>
      </c>
      <c r="AK682" s="136" t="s">
        <v>6326</v>
      </c>
      <c r="AL682" s="132">
        <v>42331</v>
      </c>
      <c r="AM682" s="131" t="s">
        <v>49</v>
      </c>
      <c r="AN682" s="136" t="s">
        <v>4440</v>
      </c>
    </row>
    <row r="683" spans="1:40" s="129" customFormat="1" ht="15.95" customHeight="1" x14ac:dyDescent="0.25">
      <c r="A683" s="136">
        <v>682</v>
      </c>
      <c r="B683" s="130" t="s">
        <v>4428</v>
      </c>
      <c r="C683" s="130" t="s">
        <v>38</v>
      </c>
      <c r="D683" s="141">
        <v>9103650617</v>
      </c>
      <c r="E683" s="132">
        <v>42304</v>
      </c>
      <c r="F683" s="132" t="s">
        <v>6060</v>
      </c>
      <c r="G683" s="132" t="s">
        <v>6327</v>
      </c>
      <c r="H683" s="130" t="s">
        <v>4446</v>
      </c>
      <c r="I683" s="132" t="s">
        <v>40</v>
      </c>
      <c r="J683" s="131" t="s">
        <v>4432</v>
      </c>
      <c r="K683" s="132" t="s">
        <v>4433</v>
      </c>
      <c r="L683" s="136">
        <v>3530876</v>
      </c>
      <c r="M683" s="132">
        <v>42290</v>
      </c>
      <c r="N683" s="136" t="s">
        <v>4532</v>
      </c>
      <c r="O683" s="130" t="s">
        <v>4436</v>
      </c>
      <c r="P683" s="130" t="s">
        <v>75</v>
      </c>
      <c r="Q683" s="130" t="s">
        <v>6328</v>
      </c>
      <c r="R683" s="136">
        <v>0.3</v>
      </c>
      <c r="S683" s="130" t="s">
        <v>70</v>
      </c>
      <c r="T683" s="136" t="s">
        <v>44</v>
      </c>
      <c r="U683" s="136" t="s">
        <v>53</v>
      </c>
      <c r="V683" s="136">
        <v>0</v>
      </c>
      <c r="W683" s="133">
        <f>(0.125*737+0.125*1310+0.025*1410+0.025*1490)</f>
        <v>328.375</v>
      </c>
      <c r="X683" s="136">
        <v>0.11</v>
      </c>
      <c r="Y683" s="136">
        <v>45</v>
      </c>
      <c r="Z683" s="136">
        <v>0</v>
      </c>
      <c r="AA683" s="136">
        <v>0</v>
      </c>
      <c r="AB683" s="131">
        <v>42291</v>
      </c>
      <c r="AC683" s="134">
        <f t="shared" si="31"/>
        <v>283.27004608294936</v>
      </c>
      <c r="AD683" s="135">
        <v>65.099999999999994</v>
      </c>
      <c r="AE683" s="136">
        <f t="shared" si="32"/>
        <v>21377.212499999998</v>
      </c>
      <c r="AF683" s="137">
        <v>18440.88</v>
      </c>
      <c r="AG683" s="138">
        <v>65.099999999999994</v>
      </c>
      <c r="AH683" s="136" t="s">
        <v>6329</v>
      </c>
      <c r="AI683" s="136">
        <v>328.38</v>
      </c>
      <c r="AJ683" s="132">
        <v>42492</v>
      </c>
      <c r="AK683" s="136" t="s">
        <v>6330</v>
      </c>
      <c r="AL683" s="132">
        <v>42493</v>
      </c>
      <c r="AM683" s="131" t="s">
        <v>49</v>
      </c>
      <c r="AN683" s="136" t="s">
        <v>4440</v>
      </c>
    </row>
    <row r="684" spans="1:40" s="129" customFormat="1" ht="15.95" customHeight="1" x14ac:dyDescent="0.25">
      <c r="A684" s="130">
        <v>683</v>
      </c>
      <c r="B684" s="130" t="s">
        <v>4428</v>
      </c>
      <c r="C684" s="130" t="s">
        <v>38</v>
      </c>
      <c r="D684" s="141">
        <v>9103650620</v>
      </c>
      <c r="E684" s="132">
        <v>42304</v>
      </c>
      <c r="F684" s="132" t="s">
        <v>6060</v>
      </c>
      <c r="G684" s="132" t="s">
        <v>6331</v>
      </c>
      <c r="H684" s="130" t="s">
        <v>4463</v>
      </c>
      <c r="I684" s="132" t="s">
        <v>40</v>
      </c>
      <c r="J684" s="131" t="s">
        <v>4432</v>
      </c>
      <c r="K684" s="132" t="s">
        <v>4433</v>
      </c>
      <c r="L684" s="136">
        <v>3530242</v>
      </c>
      <c r="M684" s="132">
        <v>42290</v>
      </c>
      <c r="N684" s="136" t="s">
        <v>4553</v>
      </c>
      <c r="O684" s="130" t="s">
        <v>4436</v>
      </c>
      <c r="P684" s="130" t="s">
        <v>75</v>
      </c>
      <c r="Q684" s="130">
        <v>38237090</v>
      </c>
      <c r="R684" s="136">
        <v>0.6</v>
      </c>
      <c r="S684" s="130" t="s">
        <v>70</v>
      </c>
      <c r="T684" s="136" t="s">
        <v>44</v>
      </c>
      <c r="U684" s="136" t="s">
        <v>53</v>
      </c>
      <c r="V684" s="136">
        <v>4385</v>
      </c>
      <c r="W684" s="133">
        <f t="shared" si="30"/>
        <v>2631</v>
      </c>
      <c r="X684" s="136">
        <v>0.87</v>
      </c>
      <c r="Y684" s="136">
        <v>50</v>
      </c>
      <c r="Z684" s="136">
        <v>0</v>
      </c>
      <c r="AA684" s="136">
        <v>0</v>
      </c>
      <c r="AB684" s="131">
        <v>42291</v>
      </c>
      <c r="AC684" s="134">
        <f t="shared" si="31"/>
        <v>2580.1299539170509</v>
      </c>
      <c r="AD684" s="135">
        <v>65.099999999999994</v>
      </c>
      <c r="AE684" s="136">
        <f t="shared" si="32"/>
        <v>171278.09999999998</v>
      </c>
      <c r="AF684" s="137">
        <v>167966.46</v>
      </c>
      <c r="AG684" s="138">
        <v>65.099999999999994</v>
      </c>
      <c r="AH684" s="136" t="s">
        <v>6332</v>
      </c>
      <c r="AI684" s="133">
        <v>2631</v>
      </c>
      <c r="AJ684" s="132">
        <v>42283</v>
      </c>
      <c r="AK684" s="136" t="s">
        <v>6333</v>
      </c>
      <c r="AL684" s="132">
        <v>42318</v>
      </c>
      <c r="AM684" s="131" t="s">
        <v>49</v>
      </c>
      <c r="AN684" s="136" t="s">
        <v>4440</v>
      </c>
    </row>
    <row r="685" spans="1:40" s="129" customFormat="1" ht="15.95" customHeight="1" x14ac:dyDescent="0.25">
      <c r="A685" s="136">
        <v>684</v>
      </c>
      <c r="B685" s="130" t="s">
        <v>4428</v>
      </c>
      <c r="C685" s="130" t="s">
        <v>38</v>
      </c>
      <c r="D685" s="141">
        <v>9103650638</v>
      </c>
      <c r="E685" s="132">
        <v>42305</v>
      </c>
      <c r="F685" s="132" t="s">
        <v>6060</v>
      </c>
      <c r="G685" s="132" t="s">
        <v>6334</v>
      </c>
      <c r="H685" s="130" t="s">
        <v>4456</v>
      </c>
      <c r="I685" s="132" t="s">
        <v>40</v>
      </c>
      <c r="J685" s="131" t="s">
        <v>4432</v>
      </c>
      <c r="K685" s="132" t="s">
        <v>4433</v>
      </c>
      <c r="L685" s="136">
        <v>3719138</v>
      </c>
      <c r="M685" s="132" t="s">
        <v>6335</v>
      </c>
      <c r="N685" s="136" t="s">
        <v>4457</v>
      </c>
      <c r="O685" s="130" t="s">
        <v>4436</v>
      </c>
      <c r="P685" s="130" t="s">
        <v>241</v>
      </c>
      <c r="Q685" s="130">
        <v>38231190</v>
      </c>
      <c r="R685" s="136">
        <v>17.190000000000001</v>
      </c>
      <c r="S685" s="130" t="s">
        <v>70</v>
      </c>
      <c r="T685" s="136" t="s">
        <v>44</v>
      </c>
      <c r="U685" s="136" t="s">
        <v>53</v>
      </c>
      <c r="V685" s="136">
        <v>915</v>
      </c>
      <c r="W685" s="133">
        <f t="shared" si="30"/>
        <v>15728.85</v>
      </c>
      <c r="X685" s="136">
        <v>5.19</v>
      </c>
      <c r="Y685" s="136">
        <v>550</v>
      </c>
      <c r="Z685" s="136">
        <v>0</v>
      </c>
      <c r="AA685" s="136">
        <v>0</v>
      </c>
      <c r="AB685" s="131">
        <v>42303</v>
      </c>
      <c r="AC685" s="134">
        <f t="shared" si="31"/>
        <v>15173.660031104198</v>
      </c>
      <c r="AD685" s="135">
        <v>64.3</v>
      </c>
      <c r="AE685" s="136">
        <f t="shared" si="32"/>
        <v>1011365.0549999999</v>
      </c>
      <c r="AF685" s="137">
        <v>975666.34</v>
      </c>
      <c r="AG685" s="138">
        <v>64.3</v>
      </c>
      <c r="AH685" s="136" t="s">
        <v>6336</v>
      </c>
      <c r="AI685" s="136">
        <v>15707.85</v>
      </c>
      <c r="AJ685" s="132" t="s">
        <v>6337</v>
      </c>
      <c r="AK685" s="136" t="s">
        <v>6338</v>
      </c>
      <c r="AL685" s="132" t="s">
        <v>6339</v>
      </c>
      <c r="AM685" s="131" t="s">
        <v>49</v>
      </c>
      <c r="AN685" s="136" t="s">
        <v>4440</v>
      </c>
    </row>
    <row r="686" spans="1:40" s="129" customFormat="1" ht="15.95" customHeight="1" x14ac:dyDescent="0.25">
      <c r="A686" s="130">
        <v>685</v>
      </c>
      <c r="B686" s="130" t="s">
        <v>4428</v>
      </c>
      <c r="C686" s="130" t="s">
        <v>38</v>
      </c>
      <c r="D686" s="141">
        <v>9103650639</v>
      </c>
      <c r="E686" s="132">
        <v>42305</v>
      </c>
      <c r="F686" s="132" t="s">
        <v>6060</v>
      </c>
      <c r="G686" s="132" t="s">
        <v>6340</v>
      </c>
      <c r="H686" s="130" t="s">
        <v>4463</v>
      </c>
      <c r="I686" s="132" t="s">
        <v>40</v>
      </c>
      <c r="J686" s="131" t="s">
        <v>4432</v>
      </c>
      <c r="K686" s="132" t="s">
        <v>4433</v>
      </c>
      <c r="L686" s="136">
        <v>3719108</v>
      </c>
      <c r="M686" s="132" t="s">
        <v>6335</v>
      </c>
      <c r="N686" s="136" t="s">
        <v>6280</v>
      </c>
      <c r="O686" s="130" t="s">
        <v>4436</v>
      </c>
      <c r="P686" s="130" t="s">
        <v>4659</v>
      </c>
      <c r="Q686" s="130">
        <v>29051700</v>
      </c>
      <c r="R686" s="136">
        <v>16</v>
      </c>
      <c r="S686" s="130" t="s">
        <v>70</v>
      </c>
      <c r="T686" s="136" t="s">
        <v>52</v>
      </c>
      <c r="U686" s="136" t="s">
        <v>53</v>
      </c>
      <c r="V686" s="136">
        <v>1338</v>
      </c>
      <c r="W686" s="133">
        <f t="shared" si="30"/>
        <v>21408</v>
      </c>
      <c r="X686" s="136">
        <v>0</v>
      </c>
      <c r="Y686" s="136">
        <v>700</v>
      </c>
      <c r="Z686" s="136">
        <v>0</v>
      </c>
      <c r="AA686" s="136">
        <v>320</v>
      </c>
      <c r="AB686" s="131">
        <v>42303</v>
      </c>
      <c r="AC686" s="134">
        <f t="shared" si="31"/>
        <v>20708</v>
      </c>
      <c r="AD686" s="135">
        <v>64.3</v>
      </c>
      <c r="AE686" s="136">
        <f t="shared" si="32"/>
        <v>1376534.4</v>
      </c>
      <c r="AF686" s="137">
        <v>1331524.3999999999</v>
      </c>
      <c r="AG686" s="138">
        <v>64.3</v>
      </c>
      <c r="AH686" s="136" t="s">
        <v>6341</v>
      </c>
      <c r="AI686" s="136">
        <v>21383</v>
      </c>
      <c r="AJ686" s="132">
        <v>42346</v>
      </c>
      <c r="AK686" s="136" t="s">
        <v>6342</v>
      </c>
      <c r="AL686" s="132">
        <v>42347</v>
      </c>
      <c r="AM686" s="131" t="s">
        <v>49</v>
      </c>
      <c r="AN686" s="136" t="s">
        <v>4440</v>
      </c>
    </row>
    <row r="687" spans="1:40" s="129" customFormat="1" ht="15.95" customHeight="1" x14ac:dyDescent="0.25">
      <c r="A687" s="136">
        <v>686</v>
      </c>
      <c r="B687" s="130" t="s">
        <v>4428</v>
      </c>
      <c r="C687" s="130" t="s">
        <v>38</v>
      </c>
      <c r="D687" s="141">
        <v>9103650642</v>
      </c>
      <c r="E687" s="132">
        <v>42306</v>
      </c>
      <c r="F687" s="132" t="s">
        <v>6060</v>
      </c>
      <c r="G687" s="132" t="s">
        <v>6343</v>
      </c>
      <c r="H687" s="130" t="s">
        <v>4446</v>
      </c>
      <c r="I687" s="132" t="s">
        <v>40</v>
      </c>
      <c r="J687" s="131" t="s">
        <v>4432</v>
      </c>
      <c r="K687" s="132" t="s">
        <v>4433</v>
      </c>
      <c r="L687" s="136">
        <v>3725284</v>
      </c>
      <c r="M687" s="132">
        <v>42301</v>
      </c>
      <c r="N687" s="136" t="s">
        <v>4532</v>
      </c>
      <c r="O687" s="130" t="s">
        <v>4436</v>
      </c>
      <c r="P687" s="130" t="s">
        <v>77</v>
      </c>
      <c r="Q687" s="130">
        <v>38237090</v>
      </c>
      <c r="R687" s="136">
        <v>32</v>
      </c>
      <c r="S687" s="130" t="s">
        <v>70</v>
      </c>
      <c r="T687" s="136" t="s">
        <v>67</v>
      </c>
      <c r="U687" s="136" t="s">
        <v>53</v>
      </c>
      <c r="V687" s="136">
        <v>1280</v>
      </c>
      <c r="W687" s="133">
        <f t="shared" si="30"/>
        <v>40960</v>
      </c>
      <c r="X687" s="136">
        <v>0</v>
      </c>
      <c r="Y687" s="136">
        <v>0</v>
      </c>
      <c r="Z687" s="136">
        <v>0</v>
      </c>
      <c r="AA687" s="136">
        <v>0</v>
      </c>
      <c r="AB687" s="131">
        <v>42303</v>
      </c>
      <c r="AC687" s="134">
        <f t="shared" si="31"/>
        <v>40960</v>
      </c>
      <c r="AD687" s="135">
        <v>64.3</v>
      </c>
      <c r="AE687" s="136">
        <f t="shared" si="32"/>
        <v>2633728</v>
      </c>
      <c r="AF687" s="137">
        <v>2633728</v>
      </c>
      <c r="AG687" s="138">
        <v>64.3</v>
      </c>
      <c r="AH687" s="136" t="s">
        <v>6344</v>
      </c>
      <c r="AI687" s="136">
        <v>40960</v>
      </c>
      <c r="AJ687" s="132">
        <v>42473</v>
      </c>
      <c r="AK687" s="136" t="s">
        <v>6345</v>
      </c>
      <c r="AL687" s="132">
        <v>42482</v>
      </c>
      <c r="AM687" s="131" t="s">
        <v>49</v>
      </c>
      <c r="AN687" s="136" t="s">
        <v>4440</v>
      </c>
    </row>
    <row r="688" spans="1:40" s="129" customFormat="1" ht="15.95" customHeight="1" x14ac:dyDescent="0.25">
      <c r="A688" s="130">
        <v>687</v>
      </c>
      <c r="B688" s="130" t="s">
        <v>4428</v>
      </c>
      <c r="C688" s="130" t="s">
        <v>38</v>
      </c>
      <c r="D688" s="141">
        <v>9103650643</v>
      </c>
      <c r="E688" s="132">
        <v>42306</v>
      </c>
      <c r="F688" s="132" t="s">
        <v>6060</v>
      </c>
      <c r="G688" s="132" t="s">
        <v>6346</v>
      </c>
      <c r="H688" s="130" t="s">
        <v>4564</v>
      </c>
      <c r="I688" s="132" t="s">
        <v>40</v>
      </c>
      <c r="J688" s="131" t="s">
        <v>4432</v>
      </c>
      <c r="K688" s="132" t="s">
        <v>4433</v>
      </c>
      <c r="L688" s="136">
        <v>3725161</v>
      </c>
      <c r="M688" s="132" t="s">
        <v>6347</v>
      </c>
      <c r="N688" s="136" t="s">
        <v>4899</v>
      </c>
      <c r="O688" s="130" t="s">
        <v>4436</v>
      </c>
      <c r="P688" s="130" t="s">
        <v>257</v>
      </c>
      <c r="Q688" s="130">
        <v>38237090</v>
      </c>
      <c r="R688" s="136">
        <v>12</v>
      </c>
      <c r="S688" s="130" t="s">
        <v>70</v>
      </c>
      <c r="T688" s="136" t="s">
        <v>67</v>
      </c>
      <c r="U688" s="136" t="s">
        <v>53</v>
      </c>
      <c r="V688" s="136">
        <v>2050</v>
      </c>
      <c r="W688" s="133">
        <f t="shared" si="30"/>
        <v>24600</v>
      </c>
      <c r="X688" s="136">
        <v>0</v>
      </c>
      <c r="Y688" s="136">
        <v>0</v>
      </c>
      <c r="Z688" s="136">
        <v>0</v>
      </c>
      <c r="AA688" s="136">
        <v>0</v>
      </c>
      <c r="AB688" s="131">
        <v>42303</v>
      </c>
      <c r="AC688" s="134">
        <f t="shared" si="31"/>
        <v>24600</v>
      </c>
      <c r="AD688" s="135">
        <v>64.3</v>
      </c>
      <c r="AE688" s="136">
        <f t="shared" si="32"/>
        <v>1581780</v>
      </c>
      <c r="AF688" s="137">
        <v>1581780</v>
      </c>
      <c r="AG688" s="138">
        <v>64.3</v>
      </c>
      <c r="AH688" s="136" t="s">
        <v>6348</v>
      </c>
      <c r="AI688" s="136">
        <v>24585</v>
      </c>
      <c r="AJ688" s="132" t="s">
        <v>5405</v>
      </c>
      <c r="AK688" s="136" t="s">
        <v>6349</v>
      </c>
      <c r="AL688" s="132" t="s">
        <v>5407</v>
      </c>
      <c r="AM688" s="131" t="s">
        <v>49</v>
      </c>
      <c r="AN688" s="136" t="s">
        <v>4440</v>
      </c>
    </row>
    <row r="689" spans="1:40 16228:16307" s="129" customFormat="1" ht="15.95" customHeight="1" x14ac:dyDescent="0.25">
      <c r="A689" s="136">
        <v>688</v>
      </c>
      <c r="B689" s="130" t="s">
        <v>4428</v>
      </c>
      <c r="C689" s="132" t="s">
        <v>38</v>
      </c>
      <c r="D689" s="136">
        <v>9103650646</v>
      </c>
      <c r="E689" s="131">
        <v>42307</v>
      </c>
      <c r="F689" s="132" t="s">
        <v>6060</v>
      </c>
      <c r="G689" s="132" t="s">
        <v>6350</v>
      </c>
      <c r="H689" s="130" t="s">
        <v>4564</v>
      </c>
      <c r="I689" s="132" t="s">
        <v>40</v>
      </c>
      <c r="J689" s="131" t="s">
        <v>4432</v>
      </c>
      <c r="K689" s="132" t="s">
        <v>4433</v>
      </c>
      <c r="L689" s="136">
        <v>3776338</v>
      </c>
      <c r="M689" s="132">
        <v>42304</v>
      </c>
      <c r="N689" s="136" t="s">
        <v>5337</v>
      </c>
      <c r="O689" s="130" t="s">
        <v>4436</v>
      </c>
      <c r="P689" s="130" t="s">
        <v>143</v>
      </c>
      <c r="Q689" s="130">
        <v>38237090</v>
      </c>
      <c r="R689" s="136">
        <v>60</v>
      </c>
      <c r="S689" s="130" t="s">
        <v>70</v>
      </c>
      <c r="T689" s="136" t="s">
        <v>52</v>
      </c>
      <c r="U689" s="136" t="s">
        <v>53</v>
      </c>
      <c r="V689" s="129">
        <v>1250</v>
      </c>
      <c r="W689" s="133">
        <f t="shared" si="30"/>
        <v>75000</v>
      </c>
      <c r="X689" s="136">
        <v>0</v>
      </c>
      <c r="Y689" s="136">
        <v>2280</v>
      </c>
      <c r="Z689" s="136">
        <v>0</v>
      </c>
      <c r="AA689" s="136">
        <v>900</v>
      </c>
      <c r="AB689" s="131">
        <v>42306</v>
      </c>
      <c r="AC689" s="134">
        <f t="shared" si="31"/>
        <v>72720</v>
      </c>
      <c r="AD689" s="135">
        <v>64.3</v>
      </c>
      <c r="AE689" s="136">
        <f t="shared" si="32"/>
        <v>4822500</v>
      </c>
      <c r="AF689" s="137">
        <v>4675896</v>
      </c>
      <c r="AG689" s="138">
        <v>64.3</v>
      </c>
      <c r="AH689" s="136" t="s">
        <v>6351</v>
      </c>
      <c r="AI689" s="133">
        <v>74988</v>
      </c>
      <c r="AJ689" s="132">
        <v>42326</v>
      </c>
      <c r="AK689" s="136" t="s">
        <v>6352</v>
      </c>
      <c r="AL689" s="132">
        <v>42326</v>
      </c>
      <c r="AM689" s="131" t="s">
        <v>49</v>
      </c>
      <c r="AN689" s="136" t="s">
        <v>4440</v>
      </c>
      <c r="WZD689" s="136"/>
      <c r="WZE689" s="130"/>
      <c r="WZF689" s="130"/>
      <c r="WZG689" s="136"/>
      <c r="WZH689" s="132"/>
      <c r="WZI689" s="132"/>
      <c r="WZJ689" s="131"/>
      <c r="WZK689" s="136"/>
      <c r="WZL689" s="130"/>
      <c r="WZM689" s="136"/>
      <c r="WZN689" s="136"/>
      <c r="WZO689" s="133"/>
      <c r="WZP689" s="136"/>
      <c r="WZQ689" s="132"/>
      <c r="WZR689" s="130"/>
      <c r="WZS689" s="136"/>
      <c r="WZT689" s="136"/>
      <c r="WZU689" s="133"/>
      <c r="WZV689" s="132"/>
      <c r="WZW689" s="136"/>
      <c r="WZX689" s="132"/>
      <c r="WZY689" s="133"/>
      <c r="WZZ689" s="136"/>
      <c r="XAA689" s="136"/>
      <c r="XAB689" s="136"/>
      <c r="XBG689" s="136"/>
      <c r="XBH689" s="130"/>
      <c r="XBI689" s="136"/>
      <c r="XBJ689" s="132"/>
      <c r="XBK689" s="132"/>
      <c r="XBL689" s="131"/>
      <c r="XBM689" s="136"/>
      <c r="XBN689" s="133"/>
      <c r="XBO689" s="133"/>
      <c r="XBP689" s="136"/>
      <c r="XBQ689" s="136"/>
    </row>
    <row r="690" spans="1:40 16228:16307" s="129" customFormat="1" ht="15.95" customHeight="1" x14ac:dyDescent="0.25">
      <c r="A690" s="130">
        <v>689</v>
      </c>
      <c r="B690" s="130" t="s">
        <v>4428</v>
      </c>
      <c r="C690" s="130" t="s">
        <v>38</v>
      </c>
      <c r="D690" s="136">
        <v>9103650650</v>
      </c>
      <c r="E690" s="132">
        <v>42307</v>
      </c>
      <c r="F690" s="132" t="s">
        <v>6060</v>
      </c>
      <c r="G690" s="132" t="s">
        <v>6353</v>
      </c>
      <c r="H690" s="130" t="s">
        <v>4564</v>
      </c>
      <c r="I690" s="132" t="s">
        <v>40</v>
      </c>
      <c r="J690" s="131" t="s">
        <v>4432</v>
      </c>
      <c r="K690" s="132" t="s">
        <v>4433</v>
      </c>
      <c r="L690" s="136">
        <v>3771184</v>
      </c>
      <c r="M690" s="132" t="s">
        <v>5595</v>
      </c>
      <c r="N690" s="136" t="s">
        <v>4570</v>
      </c>
      <c r="O690" s="130" t="s">
        <v>4436</v>
      </c>
      <c r="P690" s="130" t="s">
        <v>143</v>
      </c>
      <c r="Q690" s="130">
        <v>38237090</v>
      </c>
      <c r="R690" s="136">
        <v>16</v>
      </c>
      <c r="S690" s="130" t="s">
        <v>70</v>
      </c>
      <c r="T690" s="136" t="s">
        <v>44</v>
      </c>
      <c r="U690" s="136" t="s">
        <v>53</v>
      </c>
      <c r="V690" s="136">
        <v>1410</v>
      </c>
      <c r="W690" s="133">
        <f t="shared" si="30"/>
        <v>22560</v>
      </c>
      <c r="X690" s="136">
        <v>7.44</v>
      </c>
      <c r="Y690" s="136">
        <v>456</v>
      </c>
      <c r="Z690" s="136">
        <v>0</v>
      </c>
      <c r="AA690" s="136">
        <v>0</v>
      </c>
      <c r="AB690" s="131">
        <v>42306</v>
      </c>
      <c r="AC690" s="134">
        <f t="shared" si="31"/>
        <v>22096.5600311042</v>
      </c>
      <c r="AD690" s="135">
        <v>64.3</v>
      </c>
      <c r="AE690" s="136">
        <f t="shared" si="32"/>
        <v>1450608</v>
      </c>
      <c r="AF690" s="137">
        <v>1420808.81</v>
      </c>
      <c r="AG690" s="138">
        <v>64.3</v>
      </c>
      <c r="AH690" s="136" t="s">
        <v>6354</v>
      </c>
      <c r="AI690" s="136">
        <v>22560</v>
      </c>
      <c r="AJ690" s="132" t="s">
        <v>5687</v>
      </c>
      <c r="AK690" s="136" t="s">
        <v>6355</v>
      </c>
      <c r="AL690" s="132" t="s">
        <v>5540</v>
      </c>
      <c r="AM690" s="131" t="s">
        <v>49</v>
      </c>
      <c r="AN690" s="136" t="s">
        <v>4440</v>
      </c>
    </row>
    <row r="691" spans="1:40 16228:16307" s="129" customFormat="1" ht="15.95" customHeight="1" x14ac:dyDescent="0.25">
      <c r="A691" s="136">
        <v>690</v>
      </c>
      <c r="B691" s="130" t="s">
        <v>4428</v>
      </c>
      <c r="C691" s="136" t="s">
        <v>38</v>
      </c>
      <c r="D691" s="136">
        <v>9103650651</v>
      </c>
      <c r="E691" s="132">
        <v>42307</v>
      </c>
      <c r="F691" s="132" t="s">
        <v>6060</v>
      </c>
      <c r="G691" s="132" t="s">
        <v>6356</v>
      </c>
      <c r="H691" s="130" t="s">
        <v>4564</v>
      </c>
      <c r="I691" s="132" t="s">
        <v>40</v>
      </c>
      <c r="J691" s="131" t="s">
        <v>4432</v>
      </c>
      <c r="K691" s="132" t="s">
        <v>4433</v>
      </c>
      <c r="L691" s="136">
        <v>3757728</v>
      </c>
      <c r="M691" s="132">
        <v>42303</v>
      </c>
      <c r="N691" s="136" t="s">
        <v>5337</v>
      </c>
      <c r="O691" s="130" t="s">
        <v>4436</v>
      </c>
      <c r="P691" s="130" t="s">
        <v>143</v>
      </c>
      <c r="Q691" s="130">
        <v>38237090</v>
      </c>
      <c r="R691" s="136">
        <v>60</v>
      </c>
      <c r="S691" s="130" t="s">
        <v>70</v>
      </c>
      <c r="T691" s="136" t="s">
        <v>52</v>
      </c>
      <c r="U691" s="136" t="s">
        <v>53</v>
      </c>
      <c r="V691" s="156">
        <v>1250</v>
      </c>
      <c r="W691" s="133">
        <f t="shared" si="30"/>
        <v>75000</v>
      </c>
      <c r="X691" s="136">
        <v>0</v>
      </c>
      <c r="Y691" s="136">
        <v>2300</v>
      </c>
      <c r="Z691" s="136">
        <v>0</v>
      </c>
      <c r="AA691" s="136">
        <v>900</v>
      </c>
      <c r="AB691" s="131">
        <v>42304</v>
      </c>
      <c r="AC691" s="134">
        <f t="shared" si="31"/>
        <v>72700</v>
      </c>
      <c r="AD691" s="135">
        <v>64.3</v>
      </c>
      <c r="AE691" s="136">
        <f t="shared" si="32"/>
        <v>4822500</v>
      </c>
      <c r="AF691" s="137">
        <v>4674610</v>
      </c>
      <c r="AG691" s="138">
        <v>64.3</v>
      </c>
      <c r="AH691" s="136" t="s">
        <v>6357</v>
      </c>
      <c r="AI691" s="133">
        <v>74988</v>
      </c>
      <c r="AJ691" s="132">
        <v>42326</v>
      </c>
      <c r="AK691" s="136" t="s">
        <v>6358</v>
      </c>
      <c r="AL691" s="132">
        <v>42326</v>
      </c>
      <c r="AM691" s="131" t="s">
        <v>49</v>
      </c>
      <c r="AN691" s="136" t="s">
        <v>4440</v>
      </c>
      <c r="XBG691" s="136"/>
      <c r="XBH691" s="130"/>
      <c r="XBI691" s="130"/>
      <c r="XBJ691" s="136"/>
      <c r="XBK691" s="132"/>
      <c r="XBL691" s="132"/>
      <c r="XBM691" s="131"/>
      <c r="XBN691" s="136"/>
      <c r="XBO691" s="130"/>
      <c r="XBP691" s="136"/>
      <c r="XBQ691" s="136"/>
      <c r="XBR691" s="133"/>
      <c r="XBS691" s="136"/>
      <c r="XBT691" s="132"/>
      <c r="XBU691" s="130"/>
      <c r="XBV691" s="136"/>
      <c r="XBW691" s="136"/>
      <c r="XBX691" s="133"/>
      <c r="XBY691" s="132"/>
      <c r="XBZ691" s="136"/>
      <c r="XCA691" s="132"/>
      <c r="XCB691" s="133"/>
      <c r="XCC691" s="136"/>
      <c r="XCD691" s="136"/>
      <c r="XCE691" s="136"/>
    </row>
    <row r="692" spans="1:40 16228:16307" s="129" customFormat="1" ht="15.95" customHeight="1" x14ac:dyDescent="0.25">
      <c r="A692" s="130">
        <v>691</v>
      </c>
      <c r="B692" s="130" t="s">
        <v>4428</v>
      </c>
      <c r="C692" s="130" t="s">
        <v>38</v>
      </c>
      <c r="D692" s="136">
        <v>9103650640</v>
      </c>
      <c r="E692" s="132">
        <v>42308</v>
      </c>
      <c r="F692" s="132" t="s">
        <v>6060</v>
      </c>
      <c r="G692" s="132" t="s">
        <v>6359</v>
      </c>
      <c r="H692" s="130" t="s">
        <v>4491</v>
      </c>
      <c r="I692" s="132" t="s">
        <v>40</v>
      </c>
      <c r="J692" s="131" t="s">
        <v>4432</v>
      </c>
      <c r="K692" s="132" t="s">
        <v>4433</v>
      </c>
      <c r="L692" s="136">
        <v>3719119</v>
      </c>
      <c r="M692" s="132">
        <v>42300</v>
      </c>
      <c r="N692" s="136" t="s">
        <v>4858</v>
      </c>
      <c r="O692" s="130" t="s">
        <v>4436</v>
      </c>
      <c r="P692" s="130" t="s">
        <v>54</v>
      </c>
      <c r="Q692" s="130">
        <v>38237090</v>
      </c>
      <c r="R692" s="136">
        <v>36</v>
      </c>
      <c r="S692" s="130" t="s">
        <v>70</v>
      </c>
      <c r="T692" s="136" t="s">
        <v>44</v>
      </c>
      <c r="U692" s="136" t="s">
        <v>53</v>
      </c>
      <c r="V692" s="136">
        <v>3700</v>
      </c>
      <c r="W692" s="133">
        <f t="shared" si="30"/>
        <v>133200</v>
      </c>
      <c r="X692" s="136">
        <v>43.98</v>
      </c>
      <c r="Y692" s="136">
        <v>165</v>
      </c>
      <c r="Z692" s="136">
        <v>0</v>
      </c>
      <c r="AA692" s="136">
        <v>0</v>
      </c>
      <c r="AB692" s="131">
        <v>42303</v>
      </c>
      <c r="AC692" s="134">
        <f t="shared" si="31"/>
        <v>132991.03996889578</v>
      </c>
      <c r="AD692" s="135">
        <v>64.3</v>
      </c>
      <c r="AE692" s="136">
        <f t="shared" si="32"/>
        <v>8564760</v>
      </c>
      <c r="AF692" s="137">
        <v>8551323.8699999992</v>
      </c>
      <c r="AG692" s="138">
        <v>64.3</v>
      </c>
      <c r="AH692" s="136" t="s">
        <v>6360</v>
      </c>
      <c r="AI692" s="133">
        <v>133050</v>
      </c>
      <c r="AJ692" s="132">
        <v>42401</v>
      </c>
      <c r="AK692" s="136" t="s">
        <v>6361</v>
      </c>
      <c r="AL692" s="132">
        <v>42402</v>
      </c>
      <c r="AM692" s="131" t="s">
        <v>49</v>
      </c>
      <c r="AN692" s="133" t="s">
        <v>4440</v>
      </c>
    </row>
    <row r="693" spans="1:40 16228:16307" s="129" customFormat="1" ht="15.95" customHeight="1" x14ac:dyDescent="0.25">
      <c r="A693" s="136">
        <v>692</v>
      </c>
      <c r="B693" s="130" t="s">
        <v>4428</v>
      </c>
      <c r="C693" s="130" t="s">
        <v>38</v>
      </c>
      <c r="D693" s="136">
        <v>9103650641</v>
      </c>
      <c r="E693" s="132">
        <v>42308</v>
      </c>
      <c r="F693" s="132" t="s">
        <v>6060</v>
      </c>
      <c r="G693" s="132" t="s">
        <v>6362</v>
      </c>
      <c r="H693" s="130" t="s">
        <v>4491</v>
      </c>
      <c r="I693" s="132" t="s">
        <v>40</v>
      </c>
      <c r="J693" s="131" t="s">
        <v>4432</v>
      </c>
      <c r="K693" s="132" t="s">
        <v>4433</v>
      </c>
      <c r="L693" s="136">
        <v>3734484</v>
      </c>
      <c r="M693" s="132" t="s">
        <v>5008</v>
      </c>
      <c r="N693" s="136" t="s">
        <v>3741</v>
      </c>
      <c r="O693" s="130" t="s">
        <v>4436</v>
      </c>
      <c r="P693" s="130" t="s">
        <v>4492</v>
      </c>
      <c r="Q693" s="130" t="s">
        <v>4559</v>
      </c>
      <c r="R693" s="136">
        <v>18.149999999999999</v>
      </c>
      <c r="S693" s="130" t="s">
        <v>70</v>
      </c>
      <c r="T693" s="136" t="s">
        <v>44</v>
      </c>
      <c r="U693" s="136" t="s">
        <v>53</v>
      </c>
      <c r="V693" s="136">
        <v>0</v>
      </c>
      <c r="W693" s="133">
        <f>(6.81*1543+11.342*1850)</f>
        <v>31490.53</v>
      </c>
      <c r="X693" s="136">
        <v>10.39</v>
      </c>
      <c r="Y693" s="136">
        <v>2750</v>
      </c>
      <c r="Z693" s="136">
        <v>0</v>
      </c>
      <c r="AA693" s="136">
        <v>0</v>
      </c>
      <c r="AB693" s="131">
        <v>42303</v>
      </c>
      <c r="AC693" s="134">
        <f t="shared" si="31"/>
        <v>28730.139968895801</v>
      </c>
      <c r="AD693" s="135">
        <v>64.3</v>
      </c>
      <c r="AE693" s="136">
        <f t="shared" si="32"/>
        <v>2024841.0789999999</v>
      </c>
      <c r="AF693" s="137">
        <v>1847348</v>
      </c>
      <c r="AG693" s="138">
        <v>64.3</v>
      </c>
      <c r="AH693" s="136" t="s">
        <v>6363</v>
      </c>
      <c r="AI693" s="136">
        <v>31490.53</v>
      </c>
      <c r="AJ693" s="132" t="s">
        <v>6294</v>
      </c>
      <c r="AK693" s="136" t="s">
        <v>6364</v>
      </c>
      <c r="AL693" s="132" t="s">
        <v>6296</v>
      </c>
      <c r="AM693" s="131" t="s">
        <v>49</v>
      </c>
      <c r="AN693" s="136" t="s">
        <v>4440</v>
      </c>
    </row>
    <row r="694" spans="1:40 16228:16307" s="129" customFormat="1" ht="15.95" customHeight="1" x14ac:dyDescent="0.25">
      <c r="A694" s="130">
        <v>693</v>
      </c>
      <c r="B694" s="130" t="s">
        <v>4428</v>
      </c>
      <c r="C694" s="130" t="s">
        <v>38</v>
      </c>
      <c r="D694" s="136">
        <v>9103650647</v>
      </c>
      <c r="E694" s="132">
        <v>42308</v>
      </c>
      <c r="F694" s="132" t="s">
        <v>6060</v>
      </c>
      <c r="G694" s="132" t="s">
        <v>6365</v>
      </c>
      <c r="H694" s="130" t="s">
        <v>4463</v>
      </c>
      <c r="I694" s="132" t="s">
        <v>40</v>
      </c>
      <c r="J694" s="131" t="s">
        <v>4432</v>
      </c>
      <c r="K694" s="132" t="s">
        <v>4433</v>
      </c>
      <c r="L694" s="136">
        <v>3757621</v>
      </c>
      <c r="M694" s="132" t="s">
        <v>5008</v>
      </c>
      <c r="N694" s="136" t="s">
        <v>6366</v>
      </c>
      <c r="O694" s="130" t="s">
        <v>4436</v>
      </c>
      <c r="P694" s="130" t="s">
        <v>790</v>
      </c>
      <c r="Q694" s="130">
        <v>38237090</v>
      </c>
      <c r="R694" s="136">
        <v>26</v>
      </c>
      <c r="S694" s="130" t="s">
        <v>70</v>
      </c>
      <c r="T694" s="136" t="s">
        <v>44</v>
      </c>
      <c r="U694" s="136" t="s">
        <v>53</v>
      </c>
      <c r="V694" s="136">
        <v>1440</v>
      </c>
      <c r="W694" s="133">
        <f t="shared" si="30"/>
        <v>37440</v>
      </c>
      <c r="X694" s="136">
        <v>12.36</v>
      </c>
      <c r="Y694" s="136">
        <v>700</v>
      </c>
      <c r="Z694" s="136">
        <v>0</v>
      </c>
      <c r="AA694" s="136">
        <v>0</v>
      </c>
      <c r="AB694" s="131">
        <v>42304</v>
      </c>
      <c r="AC694" s="134">
        <f t="shared" si="31"/>
        <v>36727.639968895804</v>
      </c>
      <c r="AD694" s="135">
        <v>64.3</v>
      </c>
      <c r="AE694" s="136">
        <f t="shared" si="32"/>
        <v>2407392</v>
      </c>
      <c r="AF694" s="137">
        <v>2361587.25</v>
      </c>
      <c r="AG694" s="138">
        <v>64.3</v>
      </c>
      <c r="AH694" s="136" t="s">
        <v>6367</v>
      </c>
      <c r="AI694" s="136">
        <v>37440</v>
      </c>
      <c r="AJ694" s="132" t="s">
        <v>5540</v>
      </c>
      <c r="AK694" s="136" t="s">
        <v>6368</v>
      </c>
      <c r="AL694" s="132" t="s">
        <v>5542</v>
      </c>
      <c r="AM694" s="131" t="s">
        <v>49</v>
      </c>
      <c r="AN694" s="136" t="s">
        <v>4440</v>
      </c>
    </row>
    <row r="695" spans="1:40 16228:16307" s="129" customFormat="1" ht="15.95" customHeight="1" x14ac:dyDescent="0.25">
      <c r="A695" s="136">
        <v>694</v>
      </c>
      <c r="B695" s="130" t="s">
        <v>4428</v>
      </c>
      <c r="C695" s="130" t="s">
        <v>38</v>
      </c>
      <c r="D695" s="136">
        <v>9103650648</v>
      </c>
      <c r="E695" s="132">
        <v>42308</v>
      </c>
      <c r="F695" s="132" t="s">
        <v>6060</v>
      </c>
      <c r="G695" s="132" t="s">
        <v>6369</v>
      </c>
      <c r="H695" s="130" t="s">
        <v>4431</v>
      </c>
      <c r="I695" s="132" t="s">
        <v>40</v>
      </c>
      <c r="J695" s="131" t="s">
        <v>4432</v>
      </c>
      <c r="K695" s="132" t="s">
        <v>4433</v>
      </c>
      <c r="L695" s="136">
        <v>3746477</v>
      </c>
      <c r="M695" s="132">
        <v>42303</v>
      </c>
      <c r="N695" s="136" t="s">
        <v>5621</v>
      </c>
      <c r="O695" s="130" t="s">
        <v>4436</v>
      </c>
      <c r="P695" s="130" t="s">
        <v>361</v>
      </c>
      <c r="Q695" s="130">
        <v>38237090</v>
      </c>
      <c r="R695" s="136">
        <v>206.37</v>
      </c>
      <c r="S695" s="130" t="s">
        <v>70</v>
      </c>
      <c r="T695" s="136" t="s">
        <v>52</v>
      </c>
      <c r="U695" s="136" t="s">
        <v>1117</v>
      </c>
      <c r="V695" s="136">
        <v>72995</v>
      </c>
      <c r="W695" s="133">
        <f t="shared" si="30"/>
        <v>15063978.15</v>
      </c>
      <c r="X695" s="136">
        <v>0</v>
      </c>
      <c r="Y695" s="136">
        <v>470354.5</v>
      </c>
      <c r="Z695" s="136">
        <v>0</v>
      </c>
      <c r="AA695" s="136">
        <v>342404.22</v>
      </c>
      <c r="AB695" s="131">
        <v>42304</v>
      </c>
      <c r="AC695" s="134">
        <f t="shared" si="31"/>
        <v>14593623.65</v>
      </c>
      <c r="AD695" s="135">
        <v>1</v>
      </c>
      <c r="AE695" s="136">
        <f t="shared" si="32"/>
        <v>15063978.15</v>
      </c>
      <c r="AF695" s="130">
        <v>14593623.65</v>
      </c>
      <c r="AG695" s="138">
        <v>1</v>
      </c>
      <c r="AH695" s="136" t="s">
        <v>6370</v>
      </c>
      <c r="AI695" s="133">
        <v>15037773.33</v>
      </c>
      <c r="AJ695" s="132">
        <v>42339</v>
      </c>
      <c r="AK695" s="136" t="s">
        <v>6371</v>
      </c>
      <c r="AL695" s="132">
        <v>42341</v>
      </c>
      <c r="AM695" s="131" t="s">
        <v>49</v>
      </c>
      <c r="AN695" s="136" t="s">
        <v>4440</v>
      </c>
    </row>
    <row r="696" spans="1:40 16228:16307" s="129" customFormat="1" ht="15.95" customHeight="1" x14ac:dyDescent="0.25">
      <c r="A696" s="130">
        <v>695</v>
      </c>
      <c r="B696" s="130" t="s">
        <v>4428</v>
      </c>
      <c r="C696" s="130" t="s">
        <v>38</v>
      </c>
      <c r="D696" s="136">
        <v>9103650649</v>
      </c>
      <c r="E696" s="132">
        <v>42308</v>
      </c>
      <c r="F696" s="132" t="s">
        <v>6060</v>
      </c>
      <c r="G696" s="132" t="s">
        <v>6372</v>
      </c>
      <c r="H696" s="130" t="s">
        <v>4564</v>
      </c>
      <c r="I696" s="132" t="s">
        <v>40</v>
      </c>
      <c r="J696" s="131" t="s">
        <v>4432</v>
      </c>
      <c r="K696" s="132" t="s">
        <v>4433</v>
      </c>
      <c r="L696" s="136">
        <v>3757670</v>
      </c>
      <c r="M696" s="132">
        <v>42303</v>
      </c>
      <c r="N696" s="136" t="s">
        <v>5621</v>
      </c>
      <c r="O696" s="130" t="s">
        <v>4436</v>
      </c>
      <c r="P696" s="130" t="s">
        <v>361</v>
      </c>
      <c r="Q696" s="130">
        <v>38237090</v>
      </c>
      <c r="R696" s="136">
        <v>205.89</v>
      </c>
      <c r="S696" s="130" t="s">
        <v>70</v>
      </c>
      <c r="T696" s="136" t="s">
        <v>52</v>
      </c>
      <c r="U696" s="136" t="s">
        <v>1117</v>
      </c>
      <c r="V696" s="136">
        <v>72995</v>
      </c>
      <c r="W696" s="133">
        <f t="shared" si="30"/>
        <v>15028940.549999999</v>
      </c>
      <c r="X696" s="136">
        <v>0</v>
      </c>
      <c r="Y696" s="136">
        <v>470354.5</v>
      </c>
      <c r="Z696" s="136">
        <v>0</v>
      </c>
      <c r="AA696" s="136">
        <v>341607.82</v>
      </c>
      <c r="AB696" s="131">
        <v>42304</v>
      </c>
      <c r="AC696" s="134">
        <f t="shared" si="31"/>
        <v>14558586.050000001</v>
      </c>
      <c r="AD696" s="135">
        <v>1</v>
      </c>
      <c r="AE696" s="136">
        <f t="shared" si="32"/>
        <v>15028940.549999999</v>
      </c>
      <c r="AF696" s="130">
        <v>14558586.050000001</v>
      </c>
      <c r="AG696" s="138">
        <v>1</v>
      </c>
      <c r="AH696" s="136" t="s">
        <v>6373</v>
      </c>
      <c r="AI696" s="133">
        <v>15002788.27</v>
      </c>
      <c r="AJ696" s="132">
        <v>42339</v>
      </c>
      <c r="AK696" s="136" t="s">
        <v>6374</v>
      </c>
      <c r="AL696" s="132">
        <v>42341</v>
      </c>
      <c r="AM696" s="131" t="s">
        <v>49</v>
      </c>
      <c r="AN696" s="136" t="s">
        <v>4440</v>
      </c>
    </row>
    <row r="697" spans="1:40 16228:16307" s="129" customFormat="1" ht="15.95" customHeight="1" x14ac:dyDescent="0.25">
      <c r="A697" s="136">
        <v>696</v>
      </c>
      <c r="B697" s="130" t="s">
        <v>4428</v>
      </c>
      <c r="C697" s="130" t="s">
        <v>38</v>
      </c>
      <c r="D697" s="136" t="s">
        <v>6375</v>
      </c>
      <c r="E697" s="132">
        <v>42308</v>
      </c>
      <c r="F697" s="132" t="s">
        <v>6060</v>
      </c>
      <c r="G697" s="132" t="s">
        <v>6376</v>
      </c>
      <c r="H697" s="130" t="s">
        <v>6377</v>
      </c>
      <c r="I697" s="132" t="s">
        <v>40</v>
      </c>
      <c r="J697" s="131" t="s">
        <v>4432</v>
      </c>
      <c r="K697" s="132" t="s">
        <v>4433</v>
      </c>
      <c r="L697" s="136">
        <v>3780524</v>
      </c>
      <c r="M697" s="132">
        <v>42304</v>
      </c>
      <c r="N697" s="136" t="s">
        <v>6378</v>
      </c>
      <c r="O697" s="130" t="s">
        <v>4436</v>
      </c>
      <c r="P697" s="130" t="s">
        <v>4474</v>
      </c>
      <c r="Q697" s="130">
        <v>38237090</v>
      </c>
      <c r="R697" s="136">
        <v>148.58000000000001</v>
      </c>
      <c r="S697" s="130" t="s">
        <v>70</v>
      </c>
      <c r="T697" s="136" t="s">
        <v>67</v>
      </c>
      <c r="U697" s="136" t="s">
        <v>1117</v>
      </c>
      <c r="V697" s="136">
        <v>78020</v>
      </c>
      <c r="W697" s="133">
        <f t="shared" si="30"/>
        <v>11592211.600000001</v>
      </c>
      <c r="X697" s="136">
        <v>0</v>
      </c>
      <c r="Y697" s="136">
        <v>0</v>
      </c>
      <c r="Z697" s="136">
        <v>0</v>
      </c>
      <c r="AA697" s="136">
        <v>295021.78999999998</v>
      </c>
      <c r="AB697" s="131">
        <v>42305</v>
      </c>
      <c r="AC697" s="134">
        <f t="shared" si="31"/>
        <v>11592211.6</v>
      </c>
      <c r="AD697" s="135">
        <v>1</v>
      </c>
      <c r="AE697" s="136">
        <f t="shared" si="32"/>
        <v>11592211.600000001</v>
      </c>
      <c r="AF697" s="130">
        <v>11592211.6</v>
      </c>
      <c r="AG697" s="138">
        <v>1</v>
      </c>
      <c r="AH697" s="136" t="s">
        <v>6379</v>
      </c>
      <c r="AI697" s="136">
        <v>11592211.6</v>
      </c>
      <c r="AJ697" s="132">
        <v>42334</v>
      </c>
      <c r="AK697" s="136" t="s">
        <v>6380</v>
      </c>
      <c r="AL697" s="132">
        <v>42335</v>
      </c>
      <c r="AM697" s="132" t="s">
        <v>49</v>
      </c>
      <c r="AN697" s="133" t="s">
        <v>4440</v>
      </c>
    </row>
    <row r="698" spans="1:40 16228:16307" s="129" customFormat="1" ht="15.95" customHeight="1" x14ac:dyDescent="0.25">
      <c r="A698" s="130">
        <v>697</v>
      </c>
      <c r="B698" s="130" t="s">
        <v>4428</v>
      </c>
      <c r="C698" s="130" t="s">
        <v>38</v>
      </c>
      <c r="D698" s="136" t="s">
        <v>6375</v>
      </c>
      <c r="E698" s="132">
        <v>42308</v>
      </c>
      <c r="F698" s="132" t="s">
        <v>6060</v>
      </c>
      <c r="G698" s="132" t="s">
        <v>6381</v>
      </c>
      <c r="H698" s="130" t="s">
        <v>6377</v>
      </c>
      <c r="I698" s="132" t="s">
        <v>40</v>
      </c>
      <c r="J698" s="131" t="s">
        <v>4432</v>
      </c>
      <c r="K698" s="132" t="s">
        <v>4433</v>
      </c>
      <c r="L698" s="136">
        <v>3795606</v>
      </c>
      <c r="M698" s="132">
        <v>42032</v>
      </c>
      <c r="N698" s="136" t="s">
        <v>6378</v>
      </c>
      <c r="O698" s="130" t="s">
        <v>4436</v>
      </c>
      <c r="P698" s="130" t="s">
        <v>4474</v>
      </c>
      <c r="Q698" s="130">
        <v>38237090</v>
      </c>
      <c r="R698" s="136">
        <v>168.94</v>
      </c>
      <c r="S698" s="130" t="s">
        <v>70</v>
      </c>
      <c r="T698" s="136" t="s">
        <v>67</v>
      </c>
      <c r="U698" s="136" t="s">
        <v>1117</v>
      </c>
      <c r="V698" s="136">
        <v>78020</v>
      </c>
      <c r="W698" s="133">
        <f t="shared" si="30"/>
        <v>13180698.800000001</v>
      </c>
      <c r="X698" s="136">
        <v>0</v>
      </c>
      <c r="Y698" s="136">
        <v>0</v>
      </c>
      <c r="Z698" s="136">
        <v>0</v>
      </c>
      <c r="AA698" s="136">
        <v>335356.52</v>
      </c>
      <c r="AB698" s="131">
        <v>42306</v>
      </c>
      <c r="AC698" s="134">
        <f t="shared" si="31"/>
        <v>13180698.800000001</v>
      </c>
      <c r="AD698" s="135">
        <v>1</v>
      </c>
      <c r="AE698" s="136">
        <f t="shared" si="32"/>
        <v>13180698.800000001</v>
      </c>
      <c r="AF698" s="130">
        <v>13180698.800000001</v>
      </c>
      <c r="AG698" s="138">
        <v>1</v>
      </c>
      <c r="AH698" s="136" t="s">
        <v>6379</v>
      </c>
      <c r="AI698" s="136">
        <v>13180698.800000001</v>
      </c>
      <c r="AJ698" s="132">
        <v>42334</v>
      </c>
      <c r="AK698" s="136" t="s">
        <v>6382</v>
      </c>
      <c r="AL698" s="132">
        <v>42335</v>
      </c>
      <c r="AM698" s="132" t="s">
        <v>49</v>
      </c>
      <c r="AN698" s="133" t="s">
        <v>4440</v>
      </c>
    </row>
    <row r="699" spans="1:40 16228:16307" s="129" customFormat="1" x14ac:dyDescent="0.25">
      <c r="A699" s="136">
        <v>698</v>
      </c>
      <c r="B699" s="130" t="s">
        <v>4428</v>
      </c>
      <c r="C699" s="130" t="s">
        <v>38</v>
      </c>
      <c r="D699" s="136" t="s">
        <v>6383</v>
      </c>
      <c r="E699" s="132">
        <v>42308</v>
      </c>
      <c r="F699" s="132" t="s">
        <v>6060</v>
      </c>
      <c r="G699" s="132" t="s">
        <v>6384</v>
      </c>
      <c r="H699" s="130" t="s">
        <v>6377</v>
      </c>
      <c r="I699" s="132" t="s">
        <v>40</v>
      </c>
      <c r="J699" s="131" t="s">
        <v>4432</v>
      </c>
      <c r="K699" s="132" t="s">
        <v>4433</v>
      </c>
      <c r="L699" s="136">
        <v>3780556</v>
      </c>
      <c r="M699" s="132">
        <v>42304</v>
      </c>
      <c r="N699" s="136" t="s">
        <v>6385</v>
      </c>
      <c r="O699" s="130" t="s">
        <v>4436</v>
      </c>
      <c r="P699" s="130" t="s">
        <v>4474</v>
      </c>
      <c r="Q699" s="130">
        <v>38237090</v>
      </c>
      <c r="R699" s="136">
        <v>19.13</v>
      </c>
      <c r="S699" s="130" t="s">
        <v>70</v>
      </c>
      <c r="T699" s="136" t="s">
        <v>67</v>
      </c>
      <c r="U699" s="136" t="s">
        <v>1117</v>
      </c>
      <c r="V699" s="136">
        <v>76960</v>
      </c>
      <c r="W699" s="133">
        <f t="shared" si="30"/>
        <v>1472244.7999999998</v>
      </c>
      <c r="X699" s="136">
        <v>0</v>
      </c>
      <c r="Y699" s="136">
        <v>0</v>
      </c>
      <c r="Z699" s="136">
        <v>0</v>
      </c>
      <c r="AA699" s="136">
        <v>57417.55</v>
      </c>
      <c r="AB699" s="131">
        <v>42305</v>
      </c>
      <c r="AC699" s="134">
        <f t="shared" si="31"/>
        <v>1472244.8</v>
      </c>
      <c r="AD699" s="135">
        <v>1</v>
      </c>
      <c r="AE699" s="136">
        <f t="shared" si="32"/>
        <v>1472244.7999999998</v>
      </c>
      <c r="AF699" s="130">
        <v>1472244.8</v>
      </c>
      <c r="AG699" s="138">
        <v>1</v>
      </c>
      <c r="AH699" s="136" t="s">
        <v>6386</v>
      </c>
      <c r="AI699" s="136">
        <v>1472244.8</v>
      </c>
      <c r="AJ699" s="132">
        <v>42315</v>
      </c>
      <c r="AK699" s="136" t="s">
        <v>6387</v>
      </c>
      <c r="AL699" s="132">
        <v>42317</v>
      </c>
      <c r="AM699" s="132" t="s">
        <v>49</v>
      </c>
      <c r="AN699" s="133" t="s">
        <v>4440</v>
      </c>
    </row>
    <row r="700" spans="1:40 16228:16307" s="129" customFormat="1" x14ac:dyDescent="0.25">
      <c r="A700" s="130">
        <v>699</v>
      </c>
      <c r="B700" s="130" t="s">
        <v>4428</v>
      </c>
      <c r="C700" s="130" t="s">
        <v>38</v>
      </c>
      <c r="D700" s="136" t="s">
        <v>6383</v>
      </c>
      <c r="E700" s="132">
        <v>42308</v>
      </c>
      <c r="F700" s="132" t="s">
        <v>6060</v>
      </c>
      <c r="G700" s="132" t="s">
        <v>6388</v>
      </c>
      <c r="H700" s="130" t="s">
        <v>6377</v>
      </c>
      <c r="I700" s="132" t="s">
        <v>40</v>
      </c>
      <c r="J700" s="131" t="s">
        <v>4432</v>
      </c>
      <c r="K700" s="132" t="s">
        <v>4433</v>
      </c>
      <c r="L700" s="136">
        <v>3807403</v>
      </c>
      <c r="M700" s="132">
        <v>42305</v>
      </c>
      <c r="N700" s="136" t="s">
        <v>6385</v>
      </c>
      <c r="O700" s="130" t="s">
        <v>4436</v>
      </c>
      <c r="P700" s="130" t="s">
        <v>4474</v>
      </c>
      <c r="Q700" s="130">
        <v>38237090</v>
      </c>
      <c r="R700" s="136">
        <v>18.829999999999998</v>
      </c>
      <c r="S700" s="130" t="s">
        <v>70</v>
      </c>
      <c r="T700" s="136" t="s">
        <v>67</v>
      </c>
      <c r="U700" s="136" t="s">
        <v>1117</v>
      </c>
      <c r="V700" s="136">
        <v>76960</v>
      </c>
      <c r="W700" s="133">
        <f t="shared" si="30"/>
        <v>1449156.7999999998</v>
      </c>
      <c r="X700" s="136">
        <v>0</v>
      </c>
      <c r="Y700" s="136">
        <v>0</v>
      </c>
      <c r="Z700" s="136">
        <v>0</v>
      </c>
      <c r="AA700" s="136">
        <v>56517.120000000003</v>
      </c>
      <c r="AB700" s="131">
        <v>42306</v>
      </c>
      <c r="AC700" s="134">
        <f t="shared" si="31"/>
        <v>1449156.75</v>
      </c>
      <c r="AD700" s="135">
        <v>1</v>
      </c>
      <c r="AE700" s="136">
        <f t="shared" si="32"/>
        <v>1449156.7999999998</v>
      </c>
      <c r="AF700" s="130">
        <v>1449156.75</v>
      </c>
      <c r="AG700" s="138">
        <v>1</v>
      </c>
      <c r="AH700" s="136" t="s">
        <v>6386</v>
      </c>
      <c r="AI700" s="136">
        <v>1449156.8</v>
      </c>
      <c r="AJ700" s="132">
        <v>42315</v>
      </c>
      <c r="AK700" s="136" t="s">
        <v>6389</v>
      </c>
      <c r="AL700" s="132">
        <v>42317</v>
      </c>
      <c r="AM700" s="132" t="s">
        <v>49</v>
      </c>
      <c r="AN700" s="133" t="s">
        <v>4440</v>
      </c>
    </row>
    <row r="701" spans="1:40 16228:16307" s="129" customFormat="1" x14ac:dyDescent="0.25">
      <c r="A701" s="136">
        <v>700</v>
      </c>
      <c r="B701" s="130" t="s">
        <v>4428</v>
      </c>
      <c r="C701" s="130" t="s">
        <v>38</v>
      </c>
      <c r="D701" s="136" t="s">
        <v>6390</v>
      </c>
      <c r="E701" s="132">
        <v>42309</v>
      </c>
      <c r="F701" s="132" t="s">
        <v>6260</v>
      </c>
      <c r="G701" s="132" t="s">
        <v>6391</v>
      </c>
      <c r="H701" s="130" t="s">
        <v>4564</v>
      </c>
      <c r="I701" s="132" t="s">
        <v>40</v>
      </c>
      <c r="J701" s="131" t="s">
        <v>4432</v>
      </c>
      <c r="K701" s="132" t="s">
        <v>4433</v>
      </c>
      <c r="L701" s="136">
        <v>3743597</v>
      </c>
      <c r="M701" s="132">
        <v>42303</v>
      </c>
      <c r="N701" s="136" t="s">
        <v>5337</v>
      </c>
      <c r="O701" s="130" t="s">
        <v>4436</v>
      </c>
      <c r="P701" s="130" t="s">
        <v>143</v>
      </c>
      <c r="Q701" s="130">
        <v>38237090</v>
      </c>
      <c r="R701" s="136">
        <v>60</v>
      </c>
      <c r="S701" s="130" t="s">
        <v>70</v>
      </c>
      <c r="T701" s="136" t="s">
        <v>52</v>
      </c>
      <c r="U701" s="136" t="s">
        <v>53</v>
      </c>
      <c r="V701" s="136">
        <v>1325</v>
      </c>
      <c r="W701" s="133">
        <f t="shared" si="30"/>
        <v>79500</v>
      </c>
      <c r="X701" s="136">
        <v>0</v>
      </c>
      <c r="Y701" s="136">
        <v>2300</v>
      </c>
      <c r="Z701" s="136">
        <v>0</v>
      </c>
      <c r="AA701" s="136">
        <v>900</v>
      </c>
      <c r="AB701" s="131">
        <v>42304</v>
      </c>
      <c r="AC701" s="134">
        <f t="shared" si="31"/>
        <v>77200</v>
      </c>
      <c r="AD701" s="135">
        <v>64.3</v>
      </c>
      <c r="AE701" s="136">
        <f t="shared" si="32"/>
        <v>5111850</v>
      </c>
      <c r="AF701" s="137">
        <v>4963960</v>
      </c>
      <c r="AG701" s="138">
        <v>64.3</v>
      </c>
      <c r="AH701" s="136" t="s">
        <v>6392</v>
      </c>
      <c r="AI701" s="133">
        <v>79488</v>
      </c>
      <c r="AJ701" s="132">
        <v>42334</v>
      </c>
      <c r="AK701" s="136" t="s">
        <v>6393</v>
      </c>
      <c r="AL701" s="132">
        <v>42334</v>
      </c>
      <c r="AM701" s="131" t="s">
        <v>49</v>
      </c>
      <c r="AN701" s="136" t="s">
        <v>4440</v>
      </c>
    </row>
    <row r="702" spans="1:40 16228:16307" s="129" customFormat="1" x14ac:dyDescent="0.25">
      <c r="A702" s="130">
        <v>701</v>
      </c>
      <c r="B702" s="130" t="s">
        <v>4428</v>
      </c>
      <c r="C702" s="130" t="s">
        <v>38</v>
      </c>
      <c r="D702" s="136" t="s">
        <v>6394</v>
      </c>
      <c r="E702" s="132">
        <v>42310</v>
      </c>
      <c r="F702" s="132" t="s">
        <v>6260</v>
      </c>
      <c r="G702" s="132" t="s">
        <v>6395</v>
      </c>
      <c r="H702" s="130" t="s">
        <v>4463</v>
      </c>
      <c r="I702" s="132" t="s">
        <v>40</v>
      </c>
      <c r="J702" s="131" t="s">
        <v>4432</v>
      </c>
      <c r="K702" s="132" t="s">
        <v>4433</v>
      </c>
      <c r="L702" s="136">
        <v>3795913</v>
      </c>
      <c r="M702" s="132">
        <v>42305</v>
      </c>
      <c r="N702" s="136" t="s">
        <v>4630</v>
      </c>
      <c r="O702" s="130" t="s">
        <v>4436</v>
      </c>
      <c r="P702" s="130" t="s">
        <v>4566</v>
      </c>
      <c r="Q702" s="130" t="s">
        <v>6396</v>
      </c>
      <c r="R702" s="136">
        <v>15</v>
      </c>
      <c r="S702" s="130" t="s">
        <v>70</v>
      </c>
      <c r="T702" s="136" t="s">
        <v>44</v>
      </c>
      <c r="U702" s="136" t="s">
        <v>53</v>
      </c>
      <c r="V702" s="136">
        <v>1032.5</v>
      </c>
      <c r="W702" s="133">
        <f t="shared" si="30"/>
        <v>15487.5</v>
      </c>
      <c r="X702" s="136">
        <v>5.1100000000000003</v>
      </c>
      <c r="Y702" s="136">
        <v>30</v>
      </c>
      <c r="Z702" s="136">
        <v>0</v>
      </c>
      <c r="AA702" s="136">
        <v>0</v>
      </c>
      <c r="AB702" s="131">
        <v>42672</v>
      </c>
      <c r="AC702" s="134">
        <f t="shared" si="31"/>
        <v>15452.390046656301</v>
      </c>
      <c r="AD702" s="135">
        <v>64.3</v>
      </c>
      <c r="AE702" s="136">
        <f t="shared" si="32"/>
        <v>995846.25</v>
      </c>
      <c r="AF702" s="137">
        <v>993588.68</v>
      </c>
      <c r="AG702" s="138">
        <v>64.3</v>
      </c>
      <c r="AH702" s="136" t="s">
        <v>6397</v>
      </c>
      <c r="AI702" s="136">
        <v>15487.5</v>
      </c>
      <c r="AJ702" s="132">
        <v>42345</v>
      </c>
      <c r="AK702" s="136" t="s">
        <v>6398</v>
      </c>
      <c r="AL702" s="132">
        <v>42346</v>
      </c>
      <c r="AM702" s="131" t="s">
        <v>49</v>
      </c>
      <c r="AN702" s="136" t="s">
        <v>4440</v>
      </c>
    </row>
    <row r="703" spans="1:40 16228:16307" s="129" customFormat="1" x14ac:dyDescent="0.25">
      <c r="A703" s="136">
        <v>702</v>
      </c>
      <c r="B703" s="130" t="s">
        <v>4428</v>
      </c>
      <c r="C703" s="130" t="s">
        <v>38</v>
      </c>
      <c r="D703" s="136" t="s">
        <v>6399</v>
      </c>
      <c r="E703" s="132">
        <v>42315</v>
      </c>
      <c r="F703" s="132" t="s">
        <v>6260</v>
      </c>
      <c r="G703" s="132" t="s">
        <v>6400</v>
      </c>
      <c r="H703" s="130" t="s">
        <v>4456</v>
      </c>
      <c r="I703" s="132" t="s">
        <v>40</v>
      </c>
      <c r="J703" s="131" t="s">
        <v>4432</v>
      </c>
      <c r="K703" s="132" t="s">
        <v>4433</v>
      </c>
      <c r="L703" s="136">
        <v>3807395</v>
      </c>
      <c r="M703" s="132">
        <v>42305</v>
      </c>
      <c r="N703" s="136" t="s">
        <v>6401</v>
      </c>
      <c r="O703" s="130" t="s">
        <v>4436</v>
      </c>
      <c r="P703" s="130" t="s">
        <v>205</v>
      </c>
      <c r="Q703" s="130">
        <v>38237090</v>
      </c>
      <c r="R703" s="136">
        <v>5</v>
      </c>
      <c r="S703" s="130" t="s">
        <v>70</v>
      </c>
      <c r="T703" s="136" t="s">
        <v>44</v>
      </c>
      <c r="U703" s="136" t="s">
        <v>53</v>
      </c>
      <c r="V703" s="136">
        <v>1900</v>
      </c>
      <c r="W703" s="133">
        <f t="shared" si="30"/>
        <v>9500</v>
      </c>
      <c r="X703" s="136">
        <v>3.14</v>
      </c>
      <c r="Y703" s="136">
        <v>325</v>
      </c>
      <c r="Z703" s="136">
        <v>0</v>
      </c>
      <c r="AA703" s="136">
        <v>0</v>
      </c>
      <c r="AB703" s="131">
        <v>42308</v>
      </c>
      <c r="AC703" s="134">
        <f t="shared" si="31"/>
        <v>9171.858475894247</v>
      </c>
      <c r="AD703" s="135">
        <v>64.3</v>
      </c>
      <c r="AE703" s="136">
        <f t="shared" si="32"/>
        <v>610850</v>
      </c>
      <c r="AF703" s="137">
        <v>589750.5</v>
      </c>
      <c r="AG703" s="138">
        <v>64.3</v>
      </c>
      <c r="AH703" s="136" t="s">
        <v>6402</v>
      </c>
      <c r="AI703" s="133">
        <v>9485</v>
      </c>
      <c r="AJ703" s="132">
        <v>42340</v>
      </c>
      <c r="AK703" s="136" t="s">
        <v>6403</v>
      </c>
      <c r="AL703" s="132">
        <v>42341</v>
      </c>
      <c r="AM703" s="131" t="s">
        <v>49</v>
      </c>
      <c r="AN703" s="136" t="s">
        <v>4440</v>
      </c>
    </row>
    <row r="704" spans="1:40 16228:16307" s="129" customFormat="1" x14ac:dyDescent="0.25">
      <c r="A704" s="130">
        <v>703</v>
      </c>
      <c r="B704" s="130" t="s">
        <v>4428</v>
      </c>
      <c r="C704" s="130" t="s">
        <v>38</v>
      </c>
      <c r="D704" s="136" t="s">
        <v>6404</v>
      </c>
      <c r="E704" s="132">
        <v>42310</v>
      </c>
      <c r="F704" s="132" t="s">
        <v>6260</v>
      </c>
      <c r="G704" s="132" t="s">
        <v>6405</v>
      </c>
      <c r="H704" s="130" t="s">
        <v>4564</v>
      </c>
      <c r="I704" s="132" t="s">
        <v>40</v>
      </c>
      <c r="J704" s="131" t="s">
        <v>4432</v>
      </c>
      <c r="K704" s="132" t="s">
        <v>4433</v>
      </c>
      <c r="L704" s="136">
        <v>3800306</v>
      </c>
      <c r="M704" s="132">
        <v>42305</v>
      </c>
      <c r="N704" s="136" t="s">
        <v>4557</v>
      </c>
      <c r="O704" s="130" t="s">
        <v>4436</v>
      </c>
      <c r="P704" s="130" t="s">
        <v>137</v>
      </c>
      <c r="Q704" s="130">
        <v>38237090</v>
      </c>
      <c r="R704" s="136">
        <v>2</v>
      </c>
      <c r="S704" s="130" t="s">
        <v>70</v>
      </c>
      <c r="T704" s="136" t="s">
        <v>52</v>
      </c>
      <c r="U704" s="136" t="s">
        <v>53</v>
      </c>
      <c r="V704" s="136">
        <v>1415</v>
      </c>
      <c r="W704" s="133">
        <f t="shared" si="30"/>
        <v>2830</v>
      </c>
      <c r="X704" s="136">
        <v>0</v>
      </c>
      <c r="Y704" s="136">
        <v>50</v>
      </c>
      <c r="Z704" s="136">
        <v>0</v>
      </c>
      <c r="AA704" s="136">
        <v>0</v>
      </c>
      <c r="AB704" s="131">
        <v>42307</v>
      </c>
      <c r="AC704" s="134">
        <f t="shared" si="31"/>
        <v>2780</v>
      </c>
      <c r="AD704" s="135">
        <v>64.3</v>
      </c>
      <c r="AE704" s="136">
        <f t="shared" si="32"/>
        <v>181969</v>
      </c>
      <c r="AF704" s="137">
        <v>178754</v>
      </c>
      <c r="AG704" s="138">
        <v>64.3</v>
      </c>
      <c r="AH704" s="136" t="s">
        <v>6406</v>
      </c>
      <c r="AI704" s="136">
        <v>2810</v>
      </c>
      <c r="AJ704" s="132">
        <v>42361</v>
      </c>
      <c r="AK704" s="136" t="s">
        <v>6407</v>
      </c>
      <c r="AL704" s="132">
        <v>42366</v>
      </c>
      <c r="AM704" s="131" t="s">
        <v>49</v>
      </c>
      <c r="AN704" s="136" t="s">
        <v>4440</v>
      </c>
    </row>
    <row r="705" spans="1:40" s="129" customFormat="1" x14ac:dyDescent="0.25">
      <c r="A705" s="136">
        <v>704</v>
      </c>
      <c r="B705" s="130" t="s">
        <v>4428</v>
      </c>
      <c r="C705" s="130" t="s">
        <v>38</v>
      </c>
      <c r="D705" s="136" t="s">
        <v>6408</v>
      </c>
      <c r="E705" s="132">
        <v>42310</v>
      </c>
      <c r="F705" s="132" t="s">
        <v>6260</v>
      </c>
      <c r="G705" s="132" t="s">
        <v>6409</v>
      </c>
      <c r="H705" s="130" t="s">
        <v>4446</v>
      </c>
      <c r="I705" s="132" t="s">
        <v>40</v>
      </c>
      <c r="J705" s="131" t="s">
        <v>4432</v>
      </c>
      <c r="K705" s="132" t="s">
        <v>4433</v>
      </c>
      <c r="L705" s="136">
        <v>3807439</v>
      </c>
      <c r="M705" s="132">
        <v>42305</v>
      </c>
      <c r="N705" s="136" t="s">
        <v>4733</v>
      </c>
      <c r="O705" s="130" t="s">
        <v>4436</v>
      </c>
      <c r="P705" s="130" t="s">
        <v>492</v>
      </c>
      <c r="Q705" s="130">
        <v>29157010</v>
      </c>
      <c r="R705" s="136">
        <v>98.98</v>
      </c>
      <c r="S705" s="130" t="s">
        <v>70</v>
      </c>
      <c r="T705" s="136" t="s">
        <v>44</v>
      </c>
      <c r="U705" s="136" t="s">
        <v>53</v>
      </c>
      <c r="V705" s="136">
        <v>585</v>
      </c>
      <c r="W705" s="133">
        <f t="shared" ref="W705:W768" si="33">V705*R705</f>
        <v>57903.3</v>
      </c>
      <c r="X705" s="136">
        <v>19.11</v>
      </c>
      <c r="Y705" s="136">
        <v>1500</v>
      </c>
      <c r="Z705" s="136">
        <v>0</v>
      </c>
      <c r="AA705" s="136">
        <v>0</v>
      </c>
      <c r="AB705" s="131"/>
      <c r="AC705" s="134">
        <f t="shared" si="31"/>
        <v>56384.190046656302</v>
      </c>
      <c r="AD705" s="135">
        <v>64.3</v>
      </c>
      <c r="AE705" s="136">
        <f t="shared" si="32"/>
        <v>3723182.19</v>
      </c>
      <c r="AF705" s="137">
        <v>3625503.42</v>
      </c>
      <c r="AG705" s="138">
        <v>64.3</v>
      </c>
      <c r="AH705" s="136" t="s">
        <v>6410</v>
      </c>
      <c r="AI705" s="136">
        <v>57903.3</v>
      </c>
      <c r="AJ705" s="132">
        <v>42341</v>
      </c>
      <c r="AK705" s="136" t="s">
        <v>6411</v>
      </c>
      <c r="AL705" s="132">
        <v>42343</v>
      </c>
      <c r="AM705" s="131" t="s">
        <v>49</v>
      </c>
      <c r="AN705" s="133" t="s">
        <v>4440</v>
      </c>
    </row>
    <row r="706" spans="1:40" s="129" customFormat="1" x14ac:dyDescent="0.25">
      <c r="A706" s="130">
        <v>705</v>
      </c>
      <c r="B706" s="130" t="s">
        <v>4428</v>
      </c>
      <c r="C706" s="130" t="s">
        <v>38</v>
      </c>
      <c r="D706" s="136" t="s">
        <v>6408</v>
      </c>
      <c r="E706" s="132">
        <v>42310</v>
      </c>
      <c r="F706" s="132" t="s">
        <v>6260</v>
      </c>
      <c r="G706" s="132" t="s">
        <v>6412</v>
      </c>
      <c r="H706" s="130" t="s">
        <v>4446</v>
      </c>
      <c r="I706" s="132" t="s">
        <v>40</v>
      </c>
      <c r="J706" s="131" t="s">
        <v>4432</v>
      </c>
      <c r="K706" s="132" t="s">
        <v>4433</v>
      </c>
      <c r="L706" s="136">
        <v>3819552</v>
      </c>
      <c r="M706" s="132">
        <v>42306</v>
      </c>
      <c r="N706" s="136" t="s">
        <v>4733</v>
      </c>
      <c r="O706" s="130" t="s">
        <v>4436</v>
      </c>
      <c r="P706" s="130" t="s">
        <v>492</v>
      </c>
      <c r="Q706" s="130">
        <v>29157010</v>
      </c>
      <c r="R706" s="136">
        <v>19.690000000000001</v>
      </c>
      <c r="S706" s="130" t="s">
        <v>70</v>
      </c>
      <c r="T706" s="136" t="s">
        <v>44</v>
      </c>
      <c r="U706" s="136" t="s">
        <v>53</v>
      </c>
      <c r="V706" s="136">
        <v>585</v>
      </c>
      <c r="W706" s="133">
        <f t="shared" si="33"/>
        <v>11518.650000000001</v>
      </c>
      <c r="X706" s="136">
        <v>3.8</v>
      </c>
      <c r="Y706" s="136">
        <v>300</v>
      </c>
      <c r="Z706" s="136">
        <v>0</v>
      </c>
      <c r="AA706" s="136">
        <v>0</v>
      </c>
      <c r="AB706" s="131"/>
      <c r="AC706" s="134">
        <f t="shared" si="31"/>
        <v>11214.850077760499</v>
      </c>
      <c r="AD706" s="135">
        <v>64.3</v>
      </c>
      <c r="AE706" s="136">
        <f t="shared" si="32"/>
        <v>740649.19500000007</v>
      </c>
      <c r="AF706" s="137">
        <v>721114.86</v>
      </c>
      <c r="AG706" s="138">
        <v>64.3</v>
      </c>
      <c r="AH706" s="136" t="s">
        <v>6410</v>
      </c>
      <c r="AI706" s="136">
        <v>11518.65</v>
      </c>
      <c r="AJ706" s="132">
        <v>42341</v>
      </c>
      <c r="AK706" s="136" t="s">
        <v>6413</v>
      </c>
      <c r="AL706" s="132">
        <v>42343</v>
      </c>
      <c r="AM706" s="131" t="s">
        <v>49</v>
      </c>
      <c r="AN706" s="133" t="s">
        <v>4440</v>
      </c>
    </row>
    <row r="707" spans="1:40" s="129" customFormat="1" x14ac:dyDescent="0.25">
      <c r="A707" s="136">
        <v>706</v>
      </c>
      <c r="B707" s="130" t="s">
        <v>4428</v>
      </c>
      <c r="C707" s="130" t="s">
        <v>38</v>
      </c>
      <c r="D707" s="136">
        <v>9103650661</v>
      </c>
      <c r="E707" s="132">
        <v>42310</v>
      </c>
      <c r="F707" s="132" t="s">
        <v>6260</v>
      </c>
      <c r="G707" s="132" t="s">
        <v>6414</v>
      </c>
      <c r="H707" s="130" t="s">
        <v>4446</v>
      </c>
      <c r="I707" s="132" t="s">
        <v>40</v>
      </c>
      <c r="J707" s="131" t="s">
        <v>4432</v>
      </c>
      <c r="K707" s="132" t="s">
        <v>4433</v>
      </c>
      <c r="L707" s="136">
        <v>3819465</v>
      </c>
      <c r="M707" s="132">
        <v>42306</v>
      </c>
      <c r="N707" s="136" t="s">
        <v>4592</v>
      </c>
      <c r="O707" s="130" t="s">
        <v>4436</v>
      </c>
      <c r="P707" s="130" t="s">
        <v>4492</v>
      </c>
      <c r="Q707" s="130">
        <v>38237090</v>
      </c>
      <c r="R707" s="133">
        <v>38.08</v>
      </c>
      <c r="S707" s="130" t="s">
        <v>70</v>
      </c>
      <c r="T707" s="136" t="s">
        <v>67</v>
      </c>
      <c r="U707" s="136" t="s">
        <v>53</v>
      </c>
      <c r="V707" s="136">
        <v>1050</v>
      </c>
      <c r="W707" s="133">
        <f t="shared" si="33"/>
        <v>39984</v>
      </c>
      <c r="X707" s="136">
        <v>0</v>
      </c>
      <c r="Y707" s="136">
        <v>0</v>
      </c>
      <c r="Z707" s="136">
        <v>0</v>
      </c>
      <c r="AA707" s="136">
        <v>0</v>
      </c>
      <c r="AB707" s="131">
        <v>42307</v>
      </c>
      <c r="AC707" s="134">
        <f t="shared" si="31"/>
        <v>39984.000000000007</v>
      </c>
      <c r="AD707" s="135">
        <v>64.3</v>
      </c>
      <c r="AE707" s="136">
        <f t="shared" si="32"/>
        <v>2570971.1999999997</v>
      </c>
      <c r="AF707" s="137">
        <v>2570971.2000000002</v>
      </c>
      <c r="AG707" s="138">
        <v>64.3</v>
      </c>
      <c r="AH707" s="136" t="s">
        <v>6415</v>
      </c>
      <c r="AI707" s="136">
        <v>39944</v>
      </c>
      <c r="AJ707" s="132">
        <v>42341</v>
      </c>
      <c r="AK707" s="136" t="s">
        <v>6416</v>
      </c>
      <c r="AL707" s="132">
        <v>42343</v>
      </c>
      <c r="AM707" s="131" t="s">
        <v>49</v>
      </c>
      <c r="AN707" s="136" t="s">
        <v>4440</v>
      </c>
    </row>
    <row r="708" spans="1:40" s="129" customFormat="1" x14ac:dyDescent="0.25">
      <c r="A708" s="130">
        <v>707</v>
      </c>
      <c r="B708" s="130" t="s">
        <v>4428</v>
      </c>
      <c r="C708" s="130" t="s">
        <v>38</v>
      </c>
      <c r="D708" s="136" t="s">
        <v>6417</v>
      </c>
      <c r="E708" s="132">
        <v>42310</v>
      </c>
      <c r="F708" s="132" t="s">
        <v>6260</v>
      </c>
      <c r="G708" s="132" t="s">
        <v>6418</v>
      </c>
      <c r="H708" s="130" t="s">
        <v>4446</v>
      </c>
      <c r="I708" s="132" t="s">
        <v>40</v>
      </c>
      <c r="J708" s="131" t="s">
        <v>4432</v>
      </c>
      <c r="K708" s="132" t="s">
        <v>4433</v>
      </c>
      <c r="L708" s="136">
        <v>3807503</v>
      </c>
      <c r="M708" s="132">
        <v>42305</v>
      </c>
      <c r="N708" s="136" t="s">
        <v>4733</v>
      </c>
      <c r="O708" s="130" t="s">
        <v>4436</v>
      </c>
      <c r="P708" s="130" t="s">
        <v>492</v>
      </c>
      <c r="Q708" s="130">
        <v>29157010</v>
      </c>
      <c r="R708" s="136">
        <v>59.54</v>
      </c>
      <c r="S708" s="130" t="s">
        <v>70</v>
      </c>
      <c r="T708" s="136" t="e">
        <v>#N/A</v>
      </c>
      <c r="U708" s="136" t="s">
        <v>53</v>
      </c>
      <c r="V708" s="136">
        <v>585</v>
      </c>
      <c r="W708" s="133">
        <f t="shared" si="33"/>
        <v>34830.9</v>
      </c>
      <c r="X708" s="136">
        <v>11.49</v>
      </c>
      <c r="Y708" s="136">
        <v>375</v>
      </c>
      <c r="Z708" s="136">
        <v>0</v>
      </c>
      <c r="AA708" s="136">
        <v>0</v>
      </c>
      <c r="AB708" s="131"/>
      <c r="AC708" s="134">
        <f t="shared" si="31"/>
        <v>34444.409953343704</v>
      </c>
      <c r="AD708" s="135">
        <v>64.3</v>
      </c>
      <c r="AE708" s="136">
        <f t="shared" si="32"/>
        <v>2239626.87</v>
      </c>
      <c r="AF708" s="137">
        <v>2214775.56</v>
      </c>
      <c r="AG708" s="138">
        <v>64.3</v>
      </c>
      <c r="AH708" s="136" t="s">
        <v>6419</v>
      </c>
      <c r="AI708" s="136">
        <v>34830.9</v>
      </c>
      <c r="AJ708" s="132">
        <v>42341</v>
      </c>
      <c r="AK708" s="136" t="s">
        <v>6420</v>
      </c>
      <c r="AL708" s="132">
        <v>42343</v>
      </c>
      <c r="AM708" s="131" t="s">
        <v>49</v>
      </c>
      <c r="AN708" s="133" t="s">
        <v>4440</v>
      </c>
    </row>
    <row r="709" spans="1:40" s="129" customFormat="1" x14ac:dyDescent="0.25">
      <c r="A709" s="136">
        <v>708</v>
      </c>
      <c r="B709" s="130" t="s">
        <v>4428</v>
      </c>
      <c r="C709" s="130" t="s">
        <v>38</v>
      </c>
      <c r="D709" s="136" t="s">
        <v>6417</v>
      </c>
      <c r="E709" s="132">
        <v>42310</v>
      </c>
      <c r="F709" s="132" t="s">
        <v>6260</v>
      </c>
      <c r="G709" s="132" t="s">
        <v>6421</v>
      </c>
      <c r="H709" s="130" t="s">
        <v>4446</v>
      </c>
      <c r="I709" s="132" t="s">
        <v>40</v>
      </c>
      <c r="J709" s="131" t="s">
        <v>4432</v>
      </c>
      <c r="K709" s="132" t="s">
        <v>4433</v>
      </c>
      <c r="L709" s="136">
        <v>3819473</v>
      </c>
      <c r="M709" s="132">
        <v>42306</v>
      </c>
      <c r="N709" s="136" t="s">
        <v>4733</v>
      </c>
      <c r="O709" s="130" t="s">
        <v>4436</v>
      </c>
      <c r="P709" s="130" t="s">
        <v>492</v>
      </c>
      <c r="Q709" s="130">
        <v>29157010</v>
      </c>
      <c r="R709" s="136">
        <v>19.73</v>
      </c>
      <c r="S709" s="130" t="s">
        <v>70</v>
      </c>
      <c r="T709" s="136" t="e">
        <v>#N/A</v>
      </c>
      <c r="U709" s="136" t="s">
        <v>53</v>
      </c>
      <c r="V709" s="136">
        <v>585</v>
      </c>
      <c r="W709" s="133">
        <f t="shared" si="33"/>
        <v>11542.050000000001</v>
      </c>
      <c r="X709" s="136">
        <v>3.81</v>
      </c>
      <c r="Y709" s="136">
        <v>125</v>
      </c>
      <c r="Z709" s="136">
        <v>0</v>
      </c>
      <c r="AA709" s="136">
        <v>0</v>
      </c>
      <c r="AB709" s="131"/>
      <c r="AC709" s="134">
        <f t="shared" si="31"/>
        <v>11413.240124416796</v>
      </c>
      <c r="AD709" s="135">
        <v>64.3</v>
      </c>
      <c r="AE709" s="136">
        <f t="shared" si="32"/>
        <v>742153.81500000006</v>
      </c>
      <c r="AF709" s="137">
        <v>733871.34</v>
      </c>
      <c r="AG709" s="138">
        <v>64.3</v>
      </c>
      <c r="AH709" s="136" t="s">
        <v>6419</v>
      </c>
      <c r="AI709" s="136">
        <v>11542.05</v>
      </c>
      <c r="AJ709" s="132">
        <v>42341</v>
      </c>
      <c r="AK709" s="136" t="s">
        <v>6422</v>
      </c>
      <c r="AL709" s="132">
        <v>42343</v>
      </c>
      <c r="AM709" s="131" t="s">
        <v>49</v>
      </c>
      <c r="AN709" s="133" t="s">
        <v>4440</v>
      </c>
    </row>
    <row r="710" spans="1:40" s="129" customFormat="1" x14ac:dyDescent="0.25">
      <c r="A710" s="130">
        <v>709</v>
      </c>
      <c r="B710" s="130" t="s">
        <v>4428</v>
      </c>
      <c r="C710" s="130" t="s">
        <v>38</v>
      </c>
      <c r="D710" s="136">
        <v>9103650664</v>
      </c>
      <c r="E710" s="132">
        <v>42312</v>
      </c>
      <c r="F710" s="132" t="s">
        <v>6260</v>
      </c>
      <c r="G710" s="132" t="s">
        <v>6423</v>
      </c>
      <c r="H710" s="130" t="s">
        <v>4446</v>
      </c>
      <c r="I710" s="132" t="s">
        <v>40</v>
      </c>
      <c r="J710" s="131" t="s">
        <v>4432</v>
      </c>
      <c r="K710" s="132" t="s">
        <v>4433</v>
      </c>
      <c r="L710" s="136">
        <v>3825102</v>
      </c>
      <c r="M710" s="132">
        <v>42306</v>
      </c>
      <c r="N710" s="136" t="s">
        <v>4452</v>
      </c>
      <c r="O710" s="130" t="s">
        <v>4436</v>
      </c>
      <c r="P710" s="130" t="s">
        <v>81</v>
      </c>
      <c r="Q710" s="130">
        <v>38237090</v>
      </c>
      <c r="R710" s="136">
        <v>27.2</v>
      </c>
      <c r="S710" s="130" t="s">
        <v>70</v>
      </c>
      <c r="T710" s="136" t="s">
        <v>52</v>
      </c>
      <c r="U710" s="136" t="s">
        <v>53</v>
      </c>
      <c r="V710" s="136">
        <v>1355</v>
      </c>
      <c r="W710" s="133">
        <f t="shared" si="33"/>
        <v>36856</v>
      </c>
      <c r="X710" s="136">
        <v>0</v>
      </c>
      <c r="Y710" s="136">
        <v>40</v>
      </c>
      <c r="Z710" s="136">
        <v>0</v>
      </c>
      <c r="AA710" s="136">
        <v>0</v>
      </c>
      <c r="AB710" s="131">
        <v>42307</v>
      </c>
      <c r="AC710" s="134">
        <f t="shared" ref="AC710:AC773" si="34">AF710/AD710</f>
        <v>36816</v>
      </c>
      <c r="AD710" s="135">
        <v>64.3</v>
      </c>
      <c r="AE710" s="136">
        <f t="shared" ref="AE710:AE773" si="35">AD710*W710</f>
        <v>2369840.7999999998</v>
      </c>
      <c r="AF710" s="137">
        <v>2367268.7999999998</v>
      </c>
      <c r="AG710" s="138">
        <v>64.3</v>
      </c>
      <c r="AH710" s="136" t="s">
        <v>6424</v>
      </c>
      <c r="AI710" s="136">
        <v>36856</v>
      </c>
      <c r="AJ710" s="132" t="s">
        <v>5687</v>
      </c>
      <c r="AK710" s="136" t="s">
        <v>6425</v>
      </c>
      <c r="AL710" s="132" t="s">
        <v>5540</v>
      </c>
      <c r="AM710" s="131" t="s">
        <v>49</v>
      </c>
      <c r="AN710" s="136" t="s">
        <v>4440</v>
      </c>
    </row>
    <row r="711" spans="1:40" s="129" customFormat="1" x14ac:dyDescent="0.25">
      <c r="A711" s="136">
        <v>710</v>
      </c>
      <c r="B711" s="130" t="s">
        <v>4428</v>
      </c>
      <c r="C711" s="130" t="s">
        <v>38</v>
      </c>
      <c r="D711" s="136" t="s">
        <v>6426</v>
      </c>
      <c r="E711" s="132">
        <v>42310</v>
      </c>
      <c r="F711" s="132" t="s">
        <v>6260</v>
      </c>
      <c r="G711" s="132" t="s">
        <v>6427</v>
      </c>
      <c r="H711" s="130" t="s">
        <v>4463</v>
      </c>
      <c r="I711" s="132" t="s">
        <v>40</v>
      </c>
      <c r="J711" s="131" t="s">
        <v>4432</v>
      </c>
      <c r="K711" s="132" t="s">
        <v>4433</v>
      </c>
      <c r="L711" s="136">
        <v>3829769</v>
      </c>
      <c r="M711" s="132">
        <v>42306</v>
      </c>
      <c r="N711" s="136" t="s">
        <v>6428</v>
      </c>
      <c r="O711" s="130" t="s">
        <v>4436</v>
      </c>
      <c r="P711" s="130" t="s">
        <v>188</v>
      </c>
      <c r="Q711" s="136" t="s">
        <v>5872</v>
      </c>
      <c r="R711" s="136">
        <v>12</v>
      </c>
      <c r="S711" s="130" t="s">
        <v>70</v>
      </c>
      <c r="T711" s="136" t="s">
        <v>44</v>
      </c>
      <c r="U711" s="136" t="s">
        <v>53</v>
      </c>
      <c r="V711" s="129">
        <v>0</v>
      </c>
      <c r="W711" s="136">
        <f>(4.2*1420+4.2*1525+3.6*1625)</f>
        <v>18219</v>
      </c>
      <c r="X711" s="136">
        <v>6.01</v>
      </c>
      <c r="Y711" s="136">
        <v>1950</v>
      </c>
      <c r="Z711" s="136">
        <v>0</v>
      </c>
      <c r="AA711" s="136">
        <v>0</v>
      </c>
      <c r="AB711" s="131">
        <v>42307</v>
      </c>
      <c r="AC711" s="134">
        <f t="shared" si="34"/>
        <v>16262.990046656299</v>
      </c>
      <c r="AD711" s="135">
        <v>64.3</v>
      </c>
      <c r="AE711" s="136">
        <f t="shared" si="35"/>
        <v>1171481.7</v>
      </c>
      <c r="AF711" s="137">
        <v>1045710.26</v>
      </c>
      <c r="AG711" s="138">
        <v>64.3</v>
      </c>
      <c r="AH711" s="136" t="s">
        <v>6429</v>
      </c>
      <c r="AI711" s="133">
        <v>18219</v>
      </c>
      <c r="AJ711" s="132">
        <v>42399</v>
      </c>
      <c r="AK711" s="136" t="s">
        <v>6430</v>
      </c>
      <c r="AL711" s="132">
        <v>42401</v>
      </c>
      <c r="AM711" s="131" t="s">
        <v>49</v>
      </c>
      <c r="AN711" s="136" t="s">
        <v>4440</v>
      </c>
    </row>
    <row r="712" spans="1:40" s="129" customFormat="1" x14ac:dyDescent="0.25">
      <c r="A712" s="130">
        <v>711</v>
      </c>
      <c r="B712" s="130" t="s">
        <v>4428</v>
      </c>
      <c r="C712" s="130" t="s">
        <v>38</v>
      </c>
      <c r="D712" s="136" t="s">
        <v>6431</v>
      </c>
      <c r="E712" s="132">
        <v>42310</v>
      </c>
      <c r="F712" s="132" t="s">
        <v>6260</v>
      </c>
      <c r="G712" s="132" t="s">
        <v>6432</v>
      </c>
      <c r="H712" s="130" t="s">
        <v>4491</v>
      </c>
      <c r="I712" s="132" t="s">
        <v>40</v>
      </c>
      <c r="J712" s="131" t="s">
        <v>4432</v>
      </c>
      <c r="K712" s="132" t="s">
        <v>4433</v>
      </c>
      <c r="L712" s="136">
        <v>3846192</v>
      </c>
      <c r="M712" s="132">
        <v>42307</v>
      </c>
      <c r="N712" s="136" t="s">
        <v>3741</v>
      </c>
      <c r="O712" s="130" t="s">
        <v>4436</v>
      </c>
      <c r="P712" s="130" t="s">
        <v>188</v>
      </c>
      <c r="Q712" s="130">
        <v>38237090</v>
      </c>
      <c r="R712" s="136">
        <v>18.146000000000001</v>
      </c>
      <c r="S712" s="130" t="s">
        <v>70</v>
      </c>
      <c r="T712" s="136" t="s">
        <v>44</v>
      </c>
      <c r="U712" s="136" t="s">
        <v>53</v>
      </c>
      <c r="V712" s="136">
        <v>0</v>
      </c>
      <c r="W712" s="133">
        <f>(3.178*1554+14.968*1274)</f>
        <v>24007.844000000001</v>
      </c>
      <c r="X712" s="136">
        <v>7.92</v>
      </c>
      <c r="Y712" s="136">
        <v>2550</v>
      </c>
      <c r="Z712" s="136">
        <v>0</v>
      </c>
      <c r="AA712" s="136">
        <v>0</v>
      </c>
      <c r="AB712" s="131">
        <v>42308</v>
      </c>
      <c r="AC712" s="134">
        <f t="shared" si="34"/>
        <v>21449.919906687406</v>
      </c>
      <c r="AD712" s="135">
        <v>64.3</v>
      </c>
      <c r="AE712" s="136">
        <f t="shared" si="35"/>
        <v>1543704.3692000001</v>
      </c>
      <c r="AF712" s="137">
        <v>1379229.85</v>
      </c>
      <c r="AG712" s="138">
        <v>64.3</v>
      </c>
      <c r="AH712" s="136" t="s">
        <v>6433</v>
      </c>
      <c r="AI712" s="133">
        <v>24007.84</v>
      </c>
      <c r="AJ712" s="132">
        <v>42369</v>
      </c>
      <c r="AK712" s="136" t="s">
        <v>6434</v>
      </c>
      <c r="AL712" s="132">
        <v>42370</v>
      </c>
      <c r="AM712" s="131" t="s">
        <v>49</v>
      </c>
      <c r="AN712" s="136" t="s">
        <v>4440</v>
      </c>
    </row>
    <row r="713" spans="1:40" s="129" customFormat="1" x14ac:dyDescent="0.25">
      <c r="A713" s="136">
        <v>712</v>
      </c>
      <c r="B713" s="130" t="s">
        <v>4428</v>
      </c>
      <c r="C713" s="130" t="s">
        <v>38</v>
      </c>
      <c r="D713" s="136" t="s">
        <v>6435</v>
      </c>
      <c r="E713" s="132">
        <v>42310</v>
      </c>
      <c r="F713" s="132" t="s">
        <v>6260</v>
      </c>
      <c r="G713" s="132" t="s">
        <v>6436</v>
      </c>
      <c r="H713" s="130" t="s">
        <v>4564</v>
      </c>
      <c r="I713" s="132" t="s">
        <v>40</v>
      </c>
      <c r="J713" s="131" t="s">
        <v>4432</v>
      </c>
      <c r="K713" s="132" t="s">
        <v>4433</v>
      </c>
      <c r="L713" s="136">
        <v>3833751</v>
      </c>
      <c r="M713" s="132">
        <v>42306</v>
      </c>
      <c r="N713" s="136" t="s">
        <v>4588</v>
      </c>
      <c r="O713" s="130" t="s">
        <v>4436</v>
      </c>
      <c r="P713" s="130" t="s">
        <v>59</v>
      </c>
      <c r="Q713" s="130">
        <v>29157010</v>
      </c>
      <c r="R713" s="136">
        <v>20.22</v>
      </c>
      <c r="S713" s="130" t="s">
        <v>70</v>
      </c>
      <c r="T713" s="136" t="s">
        <v>44</v>
      </c>
      <c r="U713" s="136" t="s">
        <v>53</v>
      </c>
      <c r="V713" s="136">
        <v>680</v>
      </c>
      <c r="W713" s="133">
        <f t="shared" si="33"/>
        <v>13749.599999999999</v>
      </c>
      <c r="X713" s="136">
        <v>4.54</v>
      </c>
      <c r="Y713" s="136">
        <v>375</v>
      </c>
      <c r="Z713" s="136">
        <v>0</v>
      </c>
      <c r="AA713" s="136">
        <v>254.77</v>
      </c>
      <c r="AB713" s="131"/>
      <c r="AC713" s="134">
        <f t="shared" si="34"/>
        <v>13370.060342146191</v>
      </c>
      <c r="AD713" s="135">
        <v>64.3</v>
      </c>
      <c r="AE713" s="136">
        <f t="shared" si="35"/>
        <v>884099.27999999991</v>
      </c>
      <c r="AF713" s="137">
        <v>859694.88</v>
      </c>
      <c r="AG713" s="138">
        <v>64.3</v>
      </c>
      <c r="AH713" s="136" t="s">
        <v>6437</v>
      </c>
      <c r="AI713" s="136">
        <v>13750</v>
      </c>
      <c r="AJ713" s="132">
        <v>42338</v>
      </c>
      <c r="AK713" s="136" t="s">
        <v>6438</v>
      </c>
      <c r="AL713" s="132">
        <v>42359</v>
      </c>
      <c r="AM713" s="131" t="s">
        <v>49</v>
      </c>
      <c r="AN713" s="133" t="s">
        <v>4440</v>
      </c>
    </row>
    <row r="714" spans="1:40" s="129" customFormat="1" x14ac:dyDescent="0.25">
      <c r="A714" s="130">
        <v>713</v>
      </c>
      <c r="B714" s="130" t="s">
        <v>4428</v>
      </c>
      <c r="C714" s="130" t="s">
        <v>38</v>
      </c>
      <c r="D714" s="136" t="s">
        <v>6435</v>
      </c>
      <c r="E714" s="132">
        <v>42310</v>
      </c>
      <c r="F714" s="132" t="s">
        <v>6260</v>
      </c>
      <c r="G714" s="132" t="s">
        <v>6439</v>
      </c>
      <c r="H714" s="130" t="s">
        <v>4564</v>
      </c>
      <c r="I714" s="132" t="s">
        <v>40</v>
      </c>
      <c r="J714" s="131" t="s">
        <v>4432</v>
      </c>
      <c r="K714" s="132" t="s">
        <v>4433</v>
      </c>
      <c r="L714" s="136">
        <v>3845213</v>
      </c>
      <c r="M714" s="132">
        <v>42307</v>
      </c>
      <c r="N714" s="136" t="s">
        <v>4588</v>
      </c>
      <c r="O714" s="130" t="s">
        <v>4436</v>
      </c>
      <c r="P714" s="130" t="s">
        <v>59</v>
      </c>
      <c r="Q714" s="130">
        <v>29157010</v>
      </c>
      <c r="R714" s="136">
        <v>59.86</v>
      </c>
      <c r="S714" s="130" t="s">
        <v>70</v>
      </c>
      <c r="T714" s="136" t="s">
        <v>44</v>
      </c>
      <c r="U714" s="136" t="s">
        <v>53</v>
      </c>
      <c r="V714" s="136">
        <v>680</v>
      </c>
      <c r="W714" s="133">
        <f t="shared" si="33"/>
        <v>40704.800000000003</v>
      </c>
      <c r="X714" s="136">
        <v>13.43</v>
      </c>
      <c r="Y714" s="136">
        <v>1125</v>
      </c>
      <c r="Z714" s="136">
        <v>0</v>
      </c>
      <c r="AA714" s="136">
        <v>754.24</v>
      </c>
      <c r="AB714" s="131"/>
      <c r="AC714" s="134">
        <f t="shared" si="34"/>
        <v>39566.369984447898</v>
      </c>
      <c r="AD714" s="135">
        <v>64.3</v>
      </c>
      <c r="AE714" s="136">
        <f t="shared" si="35"/>
        <v>2617318.64</v>
      </c>
      <c r="AF714" s="137">
        <v>2544117.59</v>
      </c>
      <c r="AG714" s="138">
        <v>64.3</v>
      </c>
      <c r="AH714" s="136" t="s">
        <v>6437</v>
      </c>
      <c r="AI714" s="136">
        <v>40705</v>
      </c>
      <c r="AJ714" s="132">
        <v>42338</v>
      </c>
      <c r="AK714" s="136" t="s">
        <v>6440</v>
      </c>
      <c r="AL714" s="132">
        <v>42359</v>
      </c>
      <c r="AM714" s="131" t="s">
        <v>49</v>
      </c>
      <c r="AN714" s="133" t="s">
        <v>4440</v>
      </c>
    </row>
    <row r="715" spans="1:40" s="129" customFormat="1" x14ac:dyDescent="0.25">
      <c r="A715" s="136">
        <v>714</v>
      </c>
      <c r="B715" s="130" t="s">
        <v>4428</v>
      </c>
      <c r="C715" s="130" t="s">
        <v>38</v>
      </c>
      <c r="D715" s="136" t="s">
        <v>6441</v>
      </c>
      <c r="E715" s="132">
        <v>42311</v>
      </c>
      <c r="F715" s="132" t="s">
        <v>6260</v>
      </c>
      <c r="G715" s="132" t="s">
        <v>6442</v>
      </c>
      <c r="H715" s="130" t="s">
        <v>4556</v>
      </c>
      <c r="I715" s="132" t="s">
        <v>40</v>
      </c>
      <c r="J715" s="131" t="s">
        <v>4432</v>
      </c>
      <c r="K715" s="132" t="s">
        <v>4433</v>
      </c>
      <c r="L715" s="136">
        <v>3847985</v>
      </c>
      <c r="M715" s="132">
        <v>42307</v>
      </c>
      <c r="N715" s="136" t="s">
        <v>4972</v>
      </c>
      <c r="O715" s="130" t="s">
        <v>4436</v>
      </c>
      <c r="P715" s="130" t="s">
        <v>90</v>
      </c>
      <c r="Q715" s="136" t="s">
        <v>5872</v>
      </c>
      <c r="R715" s="136">
        <v>12</v>
      </c>
      <c r="S715" s="130" t="s">
        <v>70</v>
      </c>
      <c r="T715" s="136" t="s">
        <v>44</v>
      </c>
      <c r="U715" s="136" t="s">
        <v>53</v>
      </c>
      <c r="V715" s="136">
        <v>0</v>
      </c>
      <c r="W715" s="133">
        <f>(5.4*1465+6.6*1465)</f>
        <v>17580</v>
      </c>
      <c r="X715" s="136">
        <v>5.8</v>
      </c>
      <c r="Y715" s="136">
        <v>500</v>
      </c>
      <c r="Z715" s="136">
        <v>0</v>
      </c>
      <c r="AA715" s="136">
        <v>323.27999999999997</v>
      </c>
      <c r="AB715" s="131">
        <v>42311</v>
      </c>
      <c r="AC715" s="134">
        <f t="shared" si="34"/>
        <v>17074.2</v>
      </c>
      <c r="AD715" s="135">
        <v>64.3</v>
      </c>
      <c r="AE715" s="136">
        <f t="shared" si="35"/>
        <v>1130394</v>
      </c>
      <c r="AF715" s="137">
        <v>1097871.06</v>
      </c>
      <c r="AG715" s="138">
        <v>64.3</v>
      </c>
      <c r="AH715" s="136" t="s">
        <v>6443</v>
      </c>
      <c r="AI715" s="133">
        <v>17533</v>
      </c>
      <c r="AJ715" s="132">
        <v>42325</v>
      </c>
      <c r="AK715" s="136" t="s">
        <v>6444</v>
      </c>
      <c r="AL715" s="132">
        <v>42326</v>
      </c>
      <c r="AM715" s="131" t="s">
        <v>49</v>
      </c>
      <c r="AN715" s="136" t="s">
        <v>4440</v>
      </c>
    </row>
    <row r="716" spans="1:40" s="129" customFormat="1" x14ac:dyDescent="0.25">
      <c r="A716" s="130">
        <v>715</v>
      </c>
      <c r="B716" s="130" t="s">
        <v>4428</v>
      </c>
      <c r="C716" s="130" t="s">
        <v>38</v>
      </c>
      <c r="D716" s="136" t="s">
        <v>6445</v>
      </c>
      <c r="E716" s="132">
        <v>42311</v>
      </c>
      <c r="F716" s="132" t="s">
        <v>6260</v>
      </c>
      <c r="G716" s="132" t="s">
        <v>6446</v>
      </c>
      <c r="H716" s="130" t="s">
        <v>4446</v>
      </c>
      <c r="I716" s="132" t="s">
        <v>40</v>
      </c>
      <c r="J716" s="131" t="s">
        <v>4432</v>
      </c>
      <c r="K716" s="132" t="s">
        <v>4433</v>
      </c>
      <c r="L716" s="136">
        <v>3855493</v>
      </c>
      <c r="M716" s="132">
        <v>42307</v>
      </c>
      <c r="N716" s="136" t="s">
        <v>4532</v>
      </c>
      <c r="O716" s="130" t="s">
        <v>4436</v>
      </c>
      <c r="P716" s="130" t="s">
        <v>77</v>
      </c>
      <c r="Q716" s="130">
        <v>38237090</v>
      </c>
      <c r="R716" s="136">
        <v>16</v>
      </c>
      <c r="S716" s="130" t="s">
        <v>70</v>
      </c>
      <c r="T716" s="136" t="s">
        <v>67</v>
      </c>
      <c r="U716" s="136" t="s">
        <v>53</v>
      </c>
      <c r="V716" s="136">
        <v>1280</v>
      </c>
      <c r="W716" s="133">
        <f t="shared" si="33"/>
        <v>20480</v>
      </c>
      <c r="X716" s="136">
        <v>0</v>
      </c>
      <c r="Y716" s="136">
        <v>0</v>
      </c>
      <c r="Z716" s="136">
        <v>0</v>
      </c>
      <c r="AA716" s="136">
        <v>0</v>
      </c>
      <c r="AB716" s="131">
        <v>42311</v>
      </c>
      <c r="AC716" s="134">
        <f t="shared" si="34"/>
        <v>20480</v>
      </c>
      <c r="AD716" s="135">
        <v>64.3</v>
      </c>
      <c r="AE716" s="136">
        <f t="shared" si="35"/>
        <v>1316864</v>
      </c>
      <c r="AF716" s="137">
        <v>1316864</v>
      </c>
      <c r="AG716" s="138">
        <v>64.3</v>
      </c>
      <c r="AH716" s="136" t="s">
        <v>6447</v>
      </c>
      <c r="AI716" s="136">
        <v>20465</v>
      </c>
      <c r="AJ716" s="132">
        <v>42492</v>
      </c>
      <c r="AK716" s="136" t="s">
        <v>6448</v>
      </c>
      <c r="AL716" s="132">
        <v>42493</v>
      </c>
      <c r="AM716" s="131" t="s">
        <v>49</v>
      </c>
      <c r="AN716" s="133" t="s">
        <v>4440</v>
      </c>
    </row>
    <row r="717" spans="1:40" s="129" customFormat="1" x14ac:dyDescent="0.25">
      <c r="A717" s="136">
        <v>716</v>
      </c>
      <c r="B717" s="130" t="s">
        <v>4428</v>
      </c>
      <c r="C717" s="130" t="s">
        <v>38</v>
      </c>
      <c r="D717" s="136" t="s">
        <v>6449</v>
      </c>
      <c r="E717" s="132">
        <v>42312</v>
      </c>
      <c r="F717" s="132" t="s">
        <v>6260</v>
      </c>
      <c r="G717" s="132" t="s">
        <v>6450</v>
      </c>
      <c r="H717" s="130" t="s">
        <v>4463</v>
      </c>
      <c r="I717" s="132" t="s">
        <v>40</v>
      </c>
      <c r="J717" s="131" t="s">
        <v>4432</v>
      </c>
      <c r="K717" s="132" t="s">
        <v>4433</v>
      </c>
      <c r="L717" s="136">
        <v>3857232</v>
      </c>
      <c r="M717" s="132">
        <v>42307</v>
      </c>
      <c r="N717" s="136" t="s">
        <v>4460</v>
      </c>
      <c r="O717" s="130" t="s">
        <v>4436</v>
      </c>
      <c r="P717" s="130" t="s">
        <v>4492</v>
      </c>
      <c r="Q717" s="130">
        <v>38237090</v>
      </c>
      <c r="R717" s="136">
        <v>3.6</v>
      </c>
      <c r="S717" s="130" t="s">
        <v>70</v>
      </c>
      <c r="T717" s="136" t="s">
        <v>67</v>
      </c>
      <c r="U717" s="136" t="s">
        <v>53</v>
      </c>
      <c r="V717" s="136">
        <v>3145</v>
      </c>
      <c r="W717" s="133">
        <f t="shared" si="33"/>
        <v>11322</v>
      </c>
      <c r="X717" s="136">
        <v>0</v>
      </c>
      <c r="Y717" s="136">
        <v>75</v>
      </c>
      <c r="Z717" s="136">
        <v>0</v>
      </c>
      <c r="AA717" s="136">
        <v>0</v>
      </c>
      <c r="AB717" s="131">
        <v>42674</v>
      </c>
      <c r="AC717" s="134">
        <f t="shared" si="34"/>
        <v>11247</v>
      </c>
      <c r="AD717" s="135">
        <v>64.3</v>
      </c>
      <c r="AE717" s="136">
        <f t="shared" si="35"/>
        <v>728004.6</v>
      </c>
      <c r="AF717" s="137">
        <v>723182.1</v>
      </c>
      <c r="AG717" s="138">
        <v>64.3</v>
      </c>
      <c r="AH717" s="136" t="s">
        <v>6451</v>
      </c>
      <c r="AI717" s="136">
        <v>11307</v>
      </c>
      <c r="AJ717" s="132">
        <v>42339</v>
      </c>
      <c r="AK717" s="136" t="s">
        <v>6452</v>
      </c>
      <c r="AL717" s="132">
        <v>42340</v>
      </c>
      <c r="AM717" s="131" t="s">
        <v>49</v>
      </c>
      <c r="AN717" s="136" t="s">
        <v>4440</v>
      </c>
    </row>
    <row r="718" spans="1:40" s="129" customFormat="1" x14ac:dyDescent="0.25">
      <c r="A718" s="130">
        <v>717</v>
      </c>
      <c r="B718" s="130" t="s">
        <v>4428</v>
      </c>
      <c r="C718" s="130" t="s">
        <v>38</v>
      </c>
      <c r="D718" s="136" t="s">
        <v>6453</v>
      </c>
      <c r="E718" s="132">
        <v>42310</v>
      </c>
      <c r="F718" s="132" t="s">
        <v>6260</v>
      </c>
      <c r="G718" s="132" t="s">
        <v>6454</v>
      </c>
      <c r="H718" s="130" t="s">
        <v>4456</v>
      </c>
      <c r="I718" s="132" t="s">
        <v>40</v>
      </c>
      <c r="J718" s="131" t="s">
        <v>4432</v>
      </c>
      <c r="K718" s="132" t="s">
        <v>4433</v>
      </c>
      <c r="L718" s="136">
        <v>3857769</v>
      </c>
      <c r="M718" s="132">
        <v>42307</v>
      </c>
      <c r="N718" s="136" t="s">
        <v>5009</v>
      </c>
      <c r="O718" s="130" t="s">
        <v>4436</v>
      </c>
      <c r="P718" s="130" t="s">
        <v>90</v>
      </c>
      <c r="Q718" s="130" t="s">
        <v>5872</v>
      </c>
      <c r="R718" s="136">
        <v>0.625</v>
      </c>
      <c r="S718" s="130" t="s">
        <v>70</v>
      </c>
      <c r="T718" s="136" t="s">
        <v>52</v>
      </c>
      <c r="U718" s="136" t="s">
        <v>53</v>
      </c>
      <c r="V718" s="136">
        <v>0</v>
      </c>
      <c r="W718" s="133">
        <f>(0.475*1600+0.15*2000)</f>
        <v>1060</v>
      </c>
      <c r="X718" s="136">
        <v>0.35</v>
      </c>
      <c r="Y718" s="136">
        <v>75</v>
      </c>
      <c r="Z718" s="136">
        <v>0</v>
      </c>
      <c r="AA718" s="136">
        <v>0</v>
      </c>
      <c r="AB718" s="131">
        <v>42674</v>
      </c>
      <c r="AC718" s="134">
        <f t="shared" si="34"/>
        <v>984.65007776049777</v>
      </c>
      <c r="AD718" s="135">
        <v>64.3</v>
      </c>
      <c r="AE718" s="136">
        <f t="shared" si="35"/>
        <v>68158</v>
      </c>
      <c r="AF718" s="137">
        <v>63313</v>
      </c>
      <c r="AG718" s="138">
        <v>64.3</v>
      </c>
      <c r="AH718" s="136" t="s">
        <v>6455</v>
      </c>
      <c r="AI718" s="136">
        <v>1050</v>
      </c>
      <c r="AJ718" s="132">
        <v>42402</v>
      </c>
      <c r="AK718" s="136" t="s">
        <v>6456</v>
      </c>
      <c r="AL718" s="132">
        <v>42403</v>
      </c>
      <c r="AM718" s="131" t="s">
        <v>49</v>
      </c>
      <c r="AN718" s="136" t="s">
        <v>4440</v>
      </c>
    </row>
    <row r="719" spans="1:40" s="129" customFormat="1" x14ac:dyDescent="0.25">
      <c r="A719" s="136">
        <v>718</v>
      </c>
      <c r="B719" s="130" t="s">
        <v>4428</v>
      </c>
      <c r="C719" s="130" t="s">
        <v>38</v>
      </c>
      <c r="D719" s="136">
        <v>9103650673</v>
      </c>
      <c r="E719" s="132">
        <v>42314</v>
      </c>
      <c r="F719" s="132" t="s">
        <v>6260</v>
      </c>
      <c r="G719" s="132" t="s">
        <v>6457</v>
      </c>
      <c r="H719" s="130" t="s">
        <v>4463</v>
      </c>
      <c r="I719" s="132" t="s">
        <v>40</v>
      </c>
      <c r="J719" s="131" t="s">
        <v>4432</v>
      </c>
      <c r="K719" s="132" t="s">
        <v>4433</v>
      </c>
      <c r="L719" s="136">
        <v>3857424</v>
      </c>
      <c r="M719" s="132">
        <v>42307</v>
      </c>
      <c r="N719" s="136" t="s">
        <v>4867</v>
      </c>
      <c r="O719" s="130" t="s">
        <v>4436</v>
      </c>
      <c r="P719" s="130" t="s">
        <v>90</v>
      </c>
      <c r="Q719" s="130">
        <v>38231190</v>
      </c>
      <c r="R719" s="136">
        <v>20</v>
      </c>
      <c r="S719" s="130" t="s">
        <v>70</v>
      </c>
      <c r="T719" s="136" t="s">
        <v>67</v>
      </c>
      <c r="U719" s="136" t="s">
        <v>53</v>
      </c>
      <c r="V719" s="136">
        <v>730</v>
      </c>
      <c r="W719" s="133">
        <f t="shared" si="33"/>
        <v>14600</v>
      </c>
      <c r="X719" s="136">
        <v>0</v>
      </c>
      <c r="Y719" s="136">
        <v>0</v>
      </c>
      <c r="Z719" s="136">
        <v>0</v>
      </c>
      <c r="AA719" s="136">
        <v>0</v>
      </c>
      <c r="AB719" s="131">
        <v>42674</v>
      </c>
      <c r="AC719" s="134">
        <f t="shared" si="34"/>
        <v>14600</v>
      </c>
      <c r="AD719" s="135">
        <v>64.3</v>
      </c>
      <c r="AE719" s="136">
        <f t="shared" si="35"/>
        <v>938780</v>
      </c>
      <c r="AF719" s="137">
        <v>938780</v>
      </c>
      <c r="AG719" s="138">
        <v>64.3</v>
      </c>
      <c r="AH719" s="136" t="s">
        <v>6458</v>
      </c>
      <c r="AI719" s="136">
        <v>14585</v>
      </c>
      <c r="AJ719" s="132">
        <v>42327</v>
      </c>
      <c r="AK719" s="136" t="s">
        <v>6459</v>
      </c>
      <c r="AL719" s="132">
        <v>42328</v>
      </c>
      <c r="AM719" s="131" t="s">
        <v>49</v>
      </c>
      <c r="AN719" s="136" t="s">
        <v>4440</v>
      </c>
    </row>
    <row r="720" spans="1:40" s="129" customFormat="1" x14ac:dyDescent="0.25">
      <c r="A720" s="130">
        <v>719</v>
      </c>
      <c r="B720" s="130" t="s">
        <v>4428</v>
      </c>
      <c r="C720" s="130" t="s">
        <v>38</v>
      </c>
      <c r="D720" s="136" t="s">
        <v>6460</v>
      </c>
      <c r="E720" s="132">
        <v>42309</v>
      </c>
      <c r="F720" s="132" t="s">
        <v>6260</v>
      </c>
      <c r="G720" s="132" t="s">
        <v>6461</v>
      </c>
      <c r="H720" s="130" t="s">
        <v>4564</v>
      </c>
      <c r="I720" s="132" t="s">
        <v>40</v>
      </c>
      <c r="J720" s="131" t="s">
        <v>4432</v>
      </c>
      <c r="K720" s="132" t="s">
        <v>4433</v>
      </c>
      <c r="L720" s="136">
        <v>3776301</v>
      </c>
      <c r="M720" s="132">
        <v>42304</v>
      </c>
      <c r="N720" s="136" t="s">
        <v>5337</v>
      </c>
      <c r="O720" s="130" t="s">
        <v>4436</v>
      </c>
      <c r="P720" s="130" t="s">
        <v>143</v>
      </c>
      <c r="Q720" s="130">
        <v>38237090</v>
      </c>
      <c r="R720" s="136">
        <v>36</v>
      </c>
      <c r="S720" s="130" t="s">
        <v>70</v>
      </c>
      <c r="T720" s="136" t="s">
        <v>6462</v>
      </c>
      <c r="U720" s="136" t="s">
        <v>53</v>
      </c>
      <c r="V720" s="136">
        <v>1250</v>
      </c>
      <c r="W720" s="133">
        <f t="shared" si="33"/>
        <v>45000</v>
      </c>
      <c r="X720" s="136">
        <v>0</v>
      </c>
      <c r="Y720" s="136">
        <v>1368</v>
      </c>
      <c r="Z720" s="136">
        <v>0</v>
      </c>
      <c r="AA720" s="136">
        <v>540</v>
      </c>
      <c r="AB720" s="131">
        <v>42305</v>
      </c>
      <c r="AC720" s="134">
        <f t="shared" si="34"/>
        <v>43631.99844479005</v>
      </c>
      <c r="AD720" s="135">
        <v>64.3</v>
      </c>
      <c r="AE720" s="136">
        <f t="shared" si="35"/>
        <v>2893500</v>
      </c>
      <c r="AF720" s="137">
        <v>2805537.5</v>
      </c>
      <c r="AG720" s="138">
        <v>64.3</v>
      </c>
      <c r="AH720" s="136" t="s">
        <v>6463</v>
      </c>
      <c r="AI720" s="133">
        <v>45000</v>
      </c>
      <c r="AJ720" s="132">
        <v>42334</v>
      </c>
      <c r="AK720" s="136" t="s">
        <v>6464</v>
      </c>
      <c r="AL720" s="132">
        <v>42334</v>
      </c>
      <c r="AM720" s="131" t="s">
        <v>49</v>
      </c>
      <c r="AN720" s="136" t="s">
        <v>4440</v>
      </c>
    </row>
    <row r="721" spans="1:40" s="129" customFormat="1" x14ac:dyDescent="0.25">
      <c r="A721" s="136">
        <v>720</v>
      </c>
      <c r="B721" s="130" t="s">
        <v>4428</v>
      </c>
      <c r="C721" s="130" t="s">
        <v>38</v>
      </c>
      <c r="D721" s="136" t="s">
        <v>6465</v>
      </c>
      <c r="E721" s="132">
        <v>42309</v>
      </c>
      <c r="F721" s="132" t="s">
        <v>6260</v>
      </c>
      <c r="G721" s="132" t="s">
        <v>6466</v>
      </c>
      <c r="H721" s="130" t="s">
        <v>4564</v>
      </c>
      <c r="I721" s="132" t="s">
        <v>40</v>
      </c>
      <c r="J721" s="131" t="s">
        <v>4432</v>
      </c>
      <c r="K721" s="132" t="s">
        <v>4433</v>
      </c>
      <c r="L721" s="136">
        <v>3799967</v>
      </c>
      <c r="M721" s="132">
        <v>42305</v>
      </c>
      <c r="N721" s="136" t="s">
        <v>5337</v>
      </c>
      <c r="O721" s="130" t="s">
        <v>4436</v>
      </c>
      <c r="P721" s="130" t="s">
        <v>143</v>
      </c>
      <c r="Q721" s="130">
        <v>38237090</v>
      </c>
      <c r="R721" s="136">
        <v>12</v>
      </c>
      <c r="S721" s="130" t="s">
        <v>70</v>
      </c>
      <c r="T721" s="136" t="s">
        <v>52</v>
      </c>
      <c r="U721" s="136" t="s">
        <v>53</v>
      </c>
      <c r="V721" s="136">
        <v>1250</v>
      </c>
      <c r="W721" s="133">
        <f t="shared" si="33"/>
        <v>15000</v>
      </c>
      <c r="X721" s="136">
        <v>0</v>
      </c>
      <c r="Y721" s="136">
        <v>456</v>
      </c>
      <c r="Z721" s="136">
        <v>0</v>
      </c>
      <c r="AA721" s="136">
        <v>180</v>
      </c>
      <c r="AB721" s="131">
        <v>42306</v>
      </c>
      <c r="AC721" s="134">
        <f t="shared" si="34"/>
        <v>14544</v>
      </c>
      <c r="AD721" s="135">
        <v>64.3</v>
      </c>
      <c r="AE721" s="136">
        <f t="shared" si="35"/>
        <v>964500</v>
      </c>
      <c r="AF721" s="137">
        <v>935179.2</v>
      </c>
      <c r="AG721" s="138">
        <v>64.3</v>
      </c>
      <c r="AH721" s="136" t="s">
        <v>6463</v>
      </c>
      <c r="AI721" s="136">
        <v>15000</v>
      </c>
      <c r="AJ721" s="132">
        <v>42334</v>
      </c>
      <c r="AK721" s="136" t="s">
        <v>6467</v>
      </c>
      <c r="AL721" s="132">
        <v>42334</v>
      </c>
      <c r="AM721" s="131" t="s">
        <v>49</v>
      </c>
      <c r="AN721" s="136" t="s">
        <v>4440</v>
      </c>
    </row>
    <row r="722" spans="1:40" s="129" customFormat="1" x14ac:dyDescent="0.25">
      <c r="A722" s="130">
        <v>721</v>
      </c>
      <c r="B722" s="130" t="s">
        <v>4428</v>
      </c>
      <c r="C722" s="130" t="s">
        <v>38</v>
      </c>
      <c r="D722" s="136" t="s">
        <v>6468</v>
      </c>
      <c r="E722" s="132">
        <v>42309</v>
      </c>
      <c r="F722" s="132" t="s">
        <v>6260</v>
      </c>
      <c r="G722" s="132" t="s">
        <v>6469</v>
      </c>
      <c r="H722" s="130" t="s">
        <v>4564</v>
      </c>
      <c r="I722" s="132" t="s">
        <v>40</v>
      </c>
      <c r="J722" s="131" t="s">
        <v>4432</v>
      </c>
      <c r="K722" s="132" t="s">
        <v>4433</v>
      </c>
      <c r="L722" s="136">
        <v>3819632</v>
      </c>
      <c r="M722" s="132">
        <v>42306</v>
      </c>
      <c r="N722" s="136" t="s">
        <v>5337</v>
      </c>
      <c r="O722" s="130" t="s">
        <v>4436</v>
      </c>
      <c r="P722" s="130" t="s">
        <v>143</v>
      </c>
      <c r="Q722" s="130">
        <v>38237090</v>
      </c>
      <c r="R722" s="136">
        <v>12</v>
      </c>
      <c r="S722" s="130" t="s">
        <v>70</v>
      </c>
      <c r="T722" s="136" t="s">
        <v>52</v>
      </c>
      <c r="U722" s="136" t="s">
        <v>53</v>
      </c>
      <c r="V722" s="136">
        <v>1250</v>
      </c>
      <c r="W722" s="133">
        <f t="shared" si="33"/>
        <v>15000</v>
      </c>
      <c r="X722" s="136">
        <v>0</v>
      </c>
      <c r="Y722" s="136">
        <v>456</v>
      </c>
      <c r="Z722" s="136">
        <v>0</v>
      </c>
      <c r="AA722" s="136">
        <v>180</v>
      </c>
      <c r="AB722" s="131">
        <v>42287</v>
      </c>
      <c r="AC722" s="134">
        <f t="shared" si="34"/>
        <v>14544</v>
      </c>
      <c r="AD722" s="135">
        <v>64.3</v>
      </c>
      <c r="AE722" s="136">
        <f t="shared" si="35"/>
        <v>964500</v>
      </c>
      <c r="AF722" s="137">
        <v>935179.2</v>
      </c>
      <c r="AG722" s="138">
        <v>64.3</v>
      </c>
      <c r="AH722" s="136" t="s">
        <v>6463</v>
      </c>
      <c r="AI722" s="136">
        <v>14988</v>
      </c>
      <c r="AJ722" s="132">
        <v>42334</v>
      </c>
      <c r="AK722" s="136" t="s">
        <v>6470</v>
      </c>
      <c r="AL722" s="132">
        <v>42334</v>
      </c>
      <c r="AM722" s="131" t="s">
        <v>49</v>
      </c>
      <c r="AN722" s="136" t="s">
        <v>4440</v>
      </c>
    </row>
    <row r="723" spans="1:40" s="129" customFormat="1" x14ac:dyDescent="0.25">
      <c r="A723" s="136">
        <v>722</v>
      </c>
      <c r="B723" s="130" t="s">
        <v>4428</v>
      </c>
      <c r="C723" s="130" t="s">
        <v>38</v>
      </c>
      <c r="D723" s="136" t="s">
        <v>6471</v>
      </c>
      <c r="E723" s="132">
        <v>42317</v>
      </c>
      <c r="F723" s="132" t="s">
        <v>6260</v>
      </c>
      <c r="G723" s="132" t="s">
        <v>6472</v>
      </c>
      <c r="H723" s="130" t="s">
        <v>4463</v>
      </c>
      <c r="I723" s="132" t="s">
        <v>40</v>
      </c>
      <c r="J723" s="131" t="s">
        <v>4432</v>
      </c>
      <c r="K723" s="132" t="s">
        <v>4433</v>
      </c>
      <c r="L723" s="136">
        <v>3875269</v>
      </c>
      <c r="M723" s="132">
        <v>42308</v>
      </c>
      <c r="N723" s="136" t="s">
        <v>5610</v>
      </c>
      <c r="O723" s="130" t="s">
        <v>4436</v>
      </c>
      <c r="P723" s="130" t="s">
        <v>329</v>
      </c>
      <c r="Q723" s="130" t="s">
        <v>5872</v>
      </c>
      <c r="R723" s="136">
        <v>16</v>
      </c>
      <c r="S723" s="130" t="s">
        <v>70</v>
      </c>
      <c r="T723" s="136" t="s">
        <v>52</v>
      </c>
      <c r="U723" s="136" t="s">
        <v>53</v>
      </c>
      <c r="V723" s="136">
        <v>0</v>
      </c>
      <c r="W723" s="133">
        <f>(6*1254+10*1404)</f>
        <v>21564</v>
      </c>
      <c r="X723" s="136">
        <v>0</v>
      </c>
      <c r="Y723" s="136">
        <v>500</v>
      </c>
      <c r="Z723" s="136">
        <v>0</v>
      </c>
      <c r="AA723" s="136">
        <v>0</v>
      </c>
      <c r="AB723" s="131">
        <v>42310</v>
      </c>
      <c r="AC723" s="134">
        <f t="shared" si="34"/>
        <v>21064</v>
      </c>
      <c r="AD723" s="135">
        <v>64.3</v>
      </c>
      <c r="AE723" s="136">
        <f t="shared" si="35"/>
        <v>1386565.2</v>
      </c>
      <c r="AF723" s="137">
        <v>1354415.2</v>
      </c>
      <c r="AG723" s="138">
        <v>64.3</v>
      </c>
      <c r="AH723" s="136" t="s">
        <v>6473</v>
      </c>
      <c r="AI723" s="136">
        <v>21554</v>
      </c>
      <c r="AJ723" s="132">
        <v>42415</v>
      </c>
      <c r="AK723" s="136" t="s">
        <v>6474</v>
      </c>
      <c r="AL723" s="132">
        <v>42416</v>
      </c>
      <c r="AM723" s="131" t="s">
        <v>49</v>
      </c>
      <c r="AN723" s="136" t="s">
        <v>4440</v>
      </c>
    </row>
    <row r="724" spans="1:40" s="129" customFormat="1" x14ac:dyDescent="0.25">
      <c r="A724" s="130">
        <v>723</v>
      </c>
      <c r="B724" s="130" t="s">
        <v>4428</v>
      </c>
      <c r="C724" s="130" t="s">
        <v>38</v>
      </c>
      <c r="D724" s="136" t="s">
        <v>6475</v>
      </c>
      <c r="E724" s="132">
        <v>42315</v>
      </c>
      <c r="F724" s="132" t="s">
        <v>6260</v>
      </c>
      <c r="G724" s="132" t="s">
        <v>6476</v>
      </c>
      <c r="H724" s="130" t="s">
        <v>4564</v>
      </c>
      <c r="I724" s="132" t="s">
        <v>40</v>
      </c>
      <c r="J724" s="131" t="s">
        <v>4432</v>
      </c>
      <c r="K724" s="132" t="s">
        <v>4433</v>
      </c>
      <c r="L724" s="136">
        <v>3896831</v>
      </c>
      <c r="M724" s="132">
        <v>42310</v>
      </c>
      <c r="N724" s="136" t="s">
        <v>5215</v>
      </c>
      <c r="O724" s="130" t="s">
        <v>4436</v>
      </c>
      <c r="P724" s="130" t="s">
        <v>205</v>
      </c>
      <c r="Q724" s="130" t="s">
        <v>5872</v>
      </c>
      <c r="R724" s="136">
        <v>26</v>
      </c>
      <c r="S724" s="130" t="s">
        <v>70</v>
      </c>
      <c r="T724" s="136" t="s">
        <v>44</v>
      </c>
      <c r="U724" s="136" t="s">
        <v>53</v>
      </c>
      <c r="V724" s="136">
        <v>0</v>
      </c>
      <c r="W724" s="133">
        <f>(8*1435+18*1345)</f>
        <v>35690</v>
      </c>
      <c r="X724" s="136">
        <v>11.78</v>
      </c>
      <c r="Y724" s="136">
        <v>500</v>
      </c>
      <c r="Z724" s="136">
        <v>0</v>
      </c>
      <c r="AA724" s="136">
        <v>0</v>
      </c>
      <c r="AB724" s="131">
        <v>42311</v>
      </c>
      <c r="AC724" s="134">
        <f t="shared" si="34"/>
        <v>35178.220062208398</v>
      </c>
      <c r="AD724" s="135">
        <v>64.3</v>
      </c>
      <c r="AE724" s="136">
        <f t="shared" si="35"/>
        <v>2294867</v>
      </c>
      <c r="AF724" s="137">
        <v>2261959.5499999998</v>
      </c>
      <c r="AG724" s="138">
        <v>64.3</v>
      </c>
      <c r="AH724" s="136" t="s">
        <v>6477</v>
      </c>
      <c r="AI724" s="136">
        <v>35675</v>
      </c>
      <c r="AJ724" s="132">
        <v>42346</v>
      </c>
      <c r="AK724" s="136" t="s">
        <v>6478</v>
      </c>
      <c r="AL724" s="132">
        <v>42347</v>
      </c>
      <c r="AM724" s="131" t="s">
        <v>49</v>
      </c>
      <c r="AN724" s="136" t="s">
        <v>4440</v>
      </c>
    </row>
    <row r="725" spans="1:40" s="129" customFormat="1" x14ac:dyDescent="0.25">
      <c r="A725" s="136">
        <v>724</v>
      </c>
      <c r="B725" s="130" t="s">
        <v>4428</v>
      </c>
      <c r="C725" s="130" t="s">
        <v>38</v>
      </c>
      <c r="D725" s="136">
        <v>9103650679</v>
      </c>
      <c r="E725" s="132">
        <v>42317</v>
      </c>
      <c r="F725" s="132" t="s">
        <v>6260</v>
      </c>
      <c r="G725" s="132" t="s">
        <v>6479</v>
      </c>
      <c r="H725" s="130" t="s">
        <v>4446</v>
      </c>
      <c r="I725" s="132" t="s">
        <v>40</v>
      </c>
      <c r="J725" s="131" t="s">
        <v>4432</v>
      </c>
      <c r="K725" s="132" t="s">
        <v>4433</v>
      </c>
      <c r="L725" s="136">
        <v>3910196</v>
      </c>
      <c r="M725" s="155">
        <v>42310</v>
      </c>
      <c r="N725" s="136" t="s">
        <v>4532</v>
      </c>
      <c r="O725" s="130" t="s">
        <v>4436</v>
      </c>
      <c r="P725" s="130" t="s">
        <v>59</v>
      </c>
      <c r="Q725" s="130">
        <v>38231900</v>
      </c>
      <c r="R725" s="136">
        <v>79.150000000000006</v>
      </c>
      <c r="S725" s="130" t="s">
        <v>70</v>
      </c>
      <c r="T725" s="136" t="s">
        <v>44</v>
      </c>
      <c r="U725" s="136" t="s">
        <v>53</v>
      </c>
      <c r="V725" s="136">
        <v>780</v>
      </c>
      <c r="W725" s="133">
        <f t="shared" si="33"/>
        <v>61737.000000000007</v>
      </c>
      <c r="X725" s="136">
        <v>20.37</v>
      </c>
      <c r="Y725" s="136">
        <v>1500</v>
      </c>
      <c r="Z725" s="136">
        <v>0</v>
      </c>
      <c r="AA725" s="136">
        <v>0</v>
      </c>
      <c r="AB725" s="131">
        <v>42311</v>
      </c>
      <c r="AC725" s="134">
        <f t="shared" si="34"/>
        <v>60216.630015552102</v>
      </c>
      <c r="AD725" s="135">
        <v>64.3</v>
      </c>
      <c r="AE725" s="136">
        <f t="shared" si="35"/>
        <v>3969689.1</v>
      </c>
      <c r="AF725" s="137">
        <v>3871929.31</v>
      </c>
      <c r="AG725" s="138">
        <v>64.3</v>
      </c>
      <c r="AH725" s="136" t="s">
        <v>6480</v>
      </c>
      <c r="AI725" s="136">
        <v>61737</v>
      </c>
      <c r="AJ725" s="132">
        <v>42499</v>
      </c>
      <c r="AK725" s="136" t="s">
        <v>6481</v>
      </c>
      <c r="AL725" s="132">
        <v>42500</v>
      </c>
      <c r="AM725" s="131" t="s">
        <v>49</v>
      </c>
      <c r="AN725" s="133" t="s">
        <v>4440</v>
      </c>
    </row>
    <row r="726" spans="1:40" s="129" customFormat="1" x14ac:dyDescent="0.25">
      <c r="A726" s="130">
        <v>725</v>
      </c>
      <c r="B726" s="130" t="s">
        <v>4428</v>
      </c>
      <c r="C726" s="130" t="s">
        <v>38</v>
      </c>
      <c r="D726" s="136" t="s">
        <v>6482</v>
      </c>
      <c r="E726" s="132">
        <v>42316</v>
      </c>
      <c r="F726" s="132" t="s">
        <v>6260</v>
      </c>
      <c r="G726" s="132" t="s">
        <v>6483</v>
      </c>
      <c r="H726" s="130" t="s">
        <v>4463</v>
      </c>
      <c r="I726" s="132" t="s">
        <v>40</v>
      </c>
      <c r="J726" s="131" t="s">
        <v>4432</v>
      </c>
      <c r="K726" s="132" t="s">
        <v>4433</v>
      </c>
      <c r="L726" s="136">
        <v>3930858</v>
      </c>
      <c r="M726" s="132">
        <v>42311</v>
      </c>
      <c r="N726" s="136" t="s">
        <v>5337</v>
      </c>
      <c r="O726" s="130" t="s">
        <v>4436</v>
      </c>
      <c r="P726" s="130" t="s">
        <v>143</v>
      </c>
      <c r="Q726" s="136">
        <v>38237090</v>
      </c>
      <c r="R726" s="136">
        <v>60</v>
      </c>
      <c r="S726" s="130" t="s">
        <v>70</v>
      </c>
      <c r="T726" s="136" t="s">
        <v>52</v>
      </c>
      <c r="U726" s="136" t="s">
        <v>53</v>
      </c>
      <c r="V726" s="136">
        <v>1325</v>
      </c>
      <c r="W726" s="133">
        <f t="shared" si="33"/>
        <v>79500</v>
      </c>
      <c r="X726" s="136">
        <v>0</v>
      </c>
      <c r="Y726" s="136">
        <v>2250</v>
      </c>
      <c r="Z726" s="136">
        <v>0</v>
      </c>
      <c r="AA726" s="136">
        <v>900</v>
      </c>
      <c r="AB726" s="131">
        <v>42312</v>
      </c>
      <c r="AC726" s="134">
        <f t="shared" si="34"/>
        <v>77250</v>
      </c>
      <c r="AD726" s="135">
        <v>64.3</v>
      </c>
      <c r="AE726" s="136">
        <f t="shared" si="35"/>
        <v>5111850</v>
      </c>
      <c r="AF726" s="137">
        <v>4967175</v>
      </c>
      <c r="AG726" s="138">
        <v>64.3</v>
      </c>
      <c r="AH726" s="136" t="s">
        <v>6484</v>
      </c>
      <c r="AI726" s="133">
        <v>79488</v>
      </c>
      <c r="AJ726" s="132">
        <v>42341</v>
      </c>
      <c r="AK726" s="136" t="s">
        <v>6485</v>
      </c>
      <c r="AL726" s="132">
        <v>42341</v>
      </c>
      <c r="AM726" s="131" t="s">
        <v>49</v>
      </c>
      <c r="AN726" s="136" t="s">
        <v>4440</v>
      </c>
    </row>
    <row r="727" spans="1:40" s="129" customFormat="1" x14ac:dyDescent="0.25">
      <c r="A727" s="136">
        <v>726</v>
      </c>
      <c r="B727" s="130" t="s">
        <v>4428</v>
      </c>
      <c r="C727" s="130" t="s">
        <v>38</v>
      </c>
      <c r="D727" s="136" t="s">
        <v>6486</v>
      </c>
      <c r="E727" s="132">
        <v>42313</v>
      </c>
      <c r="F727" s="132" t="s">
        <v>6260</v>
      </c>
      <c r="G727" s="132" t="s">
        <v>6487</v>
      </c>
      <c r="H727" s="130" t="s">
        <v>4431</v>
      </c>
      <c r="I727" s="132" t="s">
        <v>40</v>
      </c>
      <c r="J727" s="131" t="s">
        <v>4432</v>
      </c>
      <c r="K727" s="132" t="s">
        <v>4433</v>
      </c>
      <c r="L727" s="136">
        <v>3902789</v>
      </c>
      <c r="M727" s="132">
        <v>42310</v>
      </c>
      <c r="N727" s="136" t="s">
        <v>5259</v>
      </c>
      <c r="O727" s="130" t="s">
        <v>4436</v>
      </c>
      <c r="P727" s="130" t="s">
        <v>64</v>
      </c>
      <c r="Q727" s="136">
        <v>38237090</v>
      </c>
      <c r="R727" s="136">
        <v>4</v>
      </c>
      <c r="S727" s="130" t="s">
        <v>70</v>
      </c>
      <c r="T727" s="136" t="s">
        <v>44</v>
      </c>
      <c r="U727" s="136" t="s">
        <v>53</v>
      </c>
      <c r="V727" s="136">
        <v>4895</v>
      </c>
      <c r="W727" s="133">
        <f t="shared" si="33"/>
        <v>19580</v>
      </c>
      <c r="X727" s="136">
        <v>6.46</v>
      </c>
      <c r="Y727" s="136">
        <v>200</v>
      </c>
      <c r="Z727" s="136">
        <v>0</v>
      </c>
      <c r="AA727" s="136">
        <v>0</v>
      </c>
      <c r="AB727" s="131">
        <v>42311</v>
      </c>
      <c r="AC727" s="134">
        <f t="shared" si="34"/>
        <v>19373.539968895802</v>
      </c>
      <c r="AD727" s="135">
        <v>64.3</v>
      </c>
      <c r="AE727" s="136">
        <f t="shared" si="35"/>
        <v>1258994</v>
      </c>
      <c r="AF727" s="137">
        <v>1245718.6200000001</v>
      </c>
      <c r="AG727" s="138">
        <v>64.3</v>
      </c>
      <c r="AH727" s="136" t="s">
        <v>6488</v>
      </c>
      <c r="AI727" s="133">
        <v>19435</v>
      </c>
      <c r="AJ727" s="132">
        <v>42339</v>
      </c>
      <c r="AK727" s="136" t="s">
        <v>6489</v>
      </c>
      <c r="AL727" s="132">
        <v>42340</v>
      </c>
      <c r="AM727" s="131" t="s">
        <v>49</v>
      </c>
      <c r="AN727" s="136" t="s">
        <v>4440</v>
      </c>
    </row>
    <row r="728" spans="1:40" s="129" customFormat="1" x14ac:dyDescent="0.25">
      <c r="A728" s="130">
        <v>727</v>
      </c>
      <c r="B728" s="130" t="s">
        <v>4428</v>
      </c>
      <c r="C728" s="130" t="s">
        <v>38</v>
      </c>
      <c r="D728" s="136">
        <v>9103650684</v>
      </c>
      <c r="E728" s="132">
        <v>42316</v>
      </c>
      <c r="F728" s="132" t="s">
        <v>6260</v>
      </c>
      <c r="G728" s="132" t="s">
        <v>6490</v>
      </c>
      <c r="H728" s="130" t="s">
        <v>4446</v>
      </c>
      <c r="I728" s="132" t="s">
        <v>40</v>
      </c>
      <c r="J728" s="131" t="s">
        <v>4432</v>
      </c>
      <c r="K728" s="132" t="s">
        <v>4433</v>
      </c>
      <c r="L728" s="136">
        <v>3946790</v>
      </c>
      <c r="M728" s="132">
        <v>42312</v>
      </c>
      <c r="N728" s="136" t="s">
        <v>4532</v>
      </c>
      <c r="O728" s="130" t="s">
        <v>4436</v>
      </c>
      <c r="P728" s="130" t="s">
        <v>143</v>
      </c>
      <c r="Q728" s="130">
        <v>38237090</v>
      </c>
      <c r="R728" s="136">
        <v>15.9</v>
      </c>
      <c r="S728" s="130" t="s">
        <v>70</v>
      </c>
      <c r="T728" s="136" t="s">
        <v>44</v>
      </c>
      <c r="U728" s="136" t="s">
        <v>53</v>
      </c>
      <c r="V728" s="136">
        <v>0</v>
      </c>
      <c r="W728" s="133">
        <f>(11.9*1285+1600+3*1325)</f>
        <v>20866.5</v>
      </c>
      <c r="X728" s="136">
        <v>6.89</v>
      </c>
      <c r="Y728" s="136">
        <v>450</v>
      </c>
      <c r="Z728" s="136">
        <v>0</v>
      </c>
      <c r="AA728" s="136">
        <v>0</v>
      </c>
      <c r="AB728" s="131">
        <v>42313</v>
      </c>
      <c r="AC728" s="134">
        <f t="shared" si="34"/>
        <v>20409.609953343701</v>
      </c>
      <c r="AD728" s="135">
        <v>64.3</v>
      </c>
      <c r="AE728" s="136">
        <f t="shared" si="35"/>
        <v>1341715.95</v>
      </c>
      <c r="AF728" s="137">
        <v>1312337.9199999999</v>
      </c>
      <c r="AG728" s="138">
        <v>64.3</v>
      </c>
      <c r="AH728" s="136" t="s">
        <v>6491</v>
      </c>
      <c r="AI728" s="136">
        <v>20866.5</v>
      </c>
      <c r="AJ728" s="132">
        <v>42499</v>
      </c>
      <c r="AK728" s="136" t="s">
        <v>6492</v>
      </c>
      <c r="AL728" s="132">
        <v>42500</v>
      </c>
      <c r="AM728" s="131" t="s">
        <v>49</v>
      </c>
      <c r="AN728" s="136" t="s">
        <v>4440</v>
      </c>
    </row>
    <row r="729" spans="1:40" s="129" customFormat="1" x14ac:dyDescent="0.25">
      <c r="A729" s="136">
        <v>728</v>
      </c>
      <c r="B729" s="130" t="s">
        <v>4428</v>
      </c>
      <c r="C729" s="130" t="s">
        <v>38</v>
      </c>
      <c r="D729" s="136">
        <v>9103650685</v>
      </c>
      <c r="E729" s="132">
        <v>42313</v>
      </c>
      <c r="F729" s="132" t="s">
        <v>6260</v>
      </c>
      <c r="G729" s="132" t="s">
        <v>784</v>
      </c>
      <c r="H729" s="130" t="s">
        <v>4456</v>
      </c>
      <c r="I729" s="132" t="s">
        <v>40</v>
      </c>
      <c r="J729" s="131" t="s">
        <v>4432</v>
      </c>
      <c r="K729" s="132" t="s">
        <v>4433</v>
      </c>
      <c r="L729" s="136">
        <v>3897352</v>
      </c>
      <c r="M729" s="132">
        <v>42310</v>
      </c>
      <c r="N729" s="136" t="s">
        <v>4650</v>
      </c>
      <c r="O729" s="130" t="s">
        <v>5037</v>
      </c>
      <c r="P729" s="130" t="s">
        <v>308</v>
      </c>
      <c r="Q729" s="130">
        <v>38237090</v>
      </c>
      <c r="R729" s="136">
        <v>2</v>
      </c>
      <c r="S729" s="130" t="s">
        <v>70</v>
      </c>
      <c r="T729" s="136" t="s">
        <v>52</v>
      </c>
      <c r="U729" s="136" t="s">
        <v>53</v>
      </c>
      <c r="V729" s="136">
        <v>6237</v>
      </c>
      <c r="W729" s="133">
        <f t="shared" si="33"/>
        <v>12474</v>
      </c>
      <c r="X729" s="136"/>
      <c r="Y729" s="136"/>
      <c r="Z729" s="136"/>
      <c r="AA729" s="136"/>
      <c r="AB729" s="131"/>
      <c r="AC729" s="134"/>
      <c r="AD729" s="135"/>
      <c r="AE729" s="136"/>
      <c r="AF729" s="130"/>
      <c r="AG729" s="138"/>
      <c r="AH729" s="136" t="s">
        <v>6493</v>
      </c>
      <c r="AI729" s="136">
        <v>12454</v>
      </c>
      <c r="AJ729" s="132">
        <v>42384</v>
      </c>
      <c r="AK729" s="136" t="s">
        <v>6494</v>
      </c>
      <c r="AL729" s="132">
        <v>42385</v>
      </c>
      <c r="AM729" s="131" t="s">
        <v>49</v>
      </c>
      <c r="AN729" s="133" t="s">
        <v>4440</v>
      </c>
    </row>
    <row r="730" spans="1:40" s="129" customFormat="1" x14ac:dyDescent="0.25">
      <c r="A730" s="130">
        <v>729</v>
      </c>
      <c r="B730" s="130" t="s">
        <v>4428</v>
      </c>
      <c r="C730" s="130" t="s">
        <v>38</v>
      </c>
      <c r="D730" s="136" t="s">
        <v>6495</v>
      </c>
      <c r="E730" s="132">
        <v>42315</v>
      </c>
      <c r="F730" s="132" t="s">
        <v>6260</v>
      </c>
      <c r="G730" s="132" t="s">
        <v>6496</v>
      </c>
      <c r="H730" s="130" t="s">
        <v>4431</v>
      </c>
      <c r="I730" s="132" t="s">
        <v>40</v>
      </c>
      <c r="J730" s="131" t="s">
        <v>4432</v>
      </c>
      <c r="K730" s="132" t="s">
        <v>4433</v>
      </c>
      <c r="L730" s="136">
        <v>3951813</v>
      </c>
      <c r="M730" s="132">
        <v>42312</v>
      </c>
      <c r="N730" s="136" t="s">
        <v>5530</v>
      </c>
      <c r="O730" s="130" t="s">
        <v>4436</v>
      </c>
      <c r="P730" s="130" t="s">
        <v>205</v>
      </c>
      <c r="Q730" s="130">
        <v>38237090</v>
      </c>
      <c r="R730" s="136">
        <v>10</v>
      </c>
      <c r="S730" s="130" t="s">
        <v>70</v>
      </c>
      <c r="T730" s="136" t="s">
        <v>67</v>
      </c>
      <c r="U730" s="136" t="s">
        <v>53</v>
      </c>
      <c r="V730" s="136">
        <v>1340</v>
      </c>
      <c r="W730" s="133">
        <f t="shared" si="33"/>
        <v>13400</v>
      </c>
      <c r="X730" s="136">
        <v>0</v>
      </c>
      <c r="Y730" s="136">
        <v>0</v>
      </c>
      <c r="Z730" s="136">
        <v>0</v>
      </c>
      <c r="AA730" s="136">
        <v>0</v>
      </c>
      <c r="AB730" s="131">
        <v>42313</v>
      </c>
      <c r="AC730" s="134">
        <f t="shared" si="34"/>
        <v>13400</v>
      </c>
      <c r="AD730" s="135">
        <v>64.3</v>
      </c>
      <c r="AE730" s="136">
        <f t="shared" si="35"/>
        <v>861620</v>
      </c>
      <c r="AF730" s="137">
        <v>861620</v>
      </c>
      <c r="AG730" s="138">
        <v>64.3</v>
      </c>
      <c r="AH730" s="136" t="s">
        <v>6497</v>
      </c>
      <c r="AI730" s="136">
        <v>13280</v>
      </c>
      <c r="AJ730" s="132">
        <v>42346</v>
      </c>
      <c r="AK730" s="136" t="s">
        <v>6498</v>
      </c>
      <c r="AL730" s="132">
        <v>42347</v>
      </c>
      <c r="AM730" s="131" t="s">
        <v>49</v>
      </c>
      <c r="AN730" s="133" t="s">
        <v>4440</v>
      </c>
    </row>
    <row r="731" spans="1:40" s="129" customFormat="1" x14ac:dyDescent="0.25">
      <c r="A731" s="136">
        <v>730</v>
      </c>
      <c r="B731" s="130" t="s">
        <v>4428</v>
      </c>
      <c r="C731" s="130" t="s">
        <v>38</v>
      </c>
      <c r="D731" s="136" t="s">
        <v>6499</v>
      </c>
      <c r="E731" s="132">
        <v>42318</v>
      </c>
      <c r="F731" s="132" t="s">
        <v>6260</v>
      </c>
      <c r="G731" s="132" t="s">
        <v>6500</v>
      </c>
      <c r="H731" s="130" t="s">
        <v>5373</v>
      </c>
      <c r="I731" s="132" t="s">
        <v>40</v>
      </c>
      <c r="J731" s="131" t="s">
        <v>4432</v>
      </c>
      <c r="K731" s="132" t="s">
        <v>4433</v>
      </c>
      <c r="L731" s="136">
        <v>3969318</v>
      </c>
      <c r="M731" s="132">
        <v>42313</v>
      </c>
      <c r="N731" s="136" t="s">
        <v>4945</v>
      </c>
      <c r="O731" s="130" t="s">
        <v>4436</v>
      </c>
      <c r="P731" s="130" t="s">
        <v>90</v>
      </c>
      <c r="Q731" s="130">
        <v>38237090</v>
      </c>
      <c r="R731" s="136">
        <v>24</v>
      </c>
      <c r="S731" s="130" t="s">
        <v>70</v>
      </c>
      <c r="T731" s="136" t="s">
        <v>44</v>
      </c>
      <c r="U731" s="136" t="s">
        <v>53</v>
      </c>
      <c r="V731" s="136">
        <v>1365</v>
      </c>
      <c r="W731" s="133">
        <f t="shared" si="33"/>
        <v>32760</v>
      </c>
      <c r="X731" s="136">
        <v>10.81</v>
      </c>
      <c r="Y731" s="136">
        <v>663</v>
      </c>
      <c r="Z731" s="136">
        <v>0</v>
      </c>
      <c r="AA731" s="136">
        <v>619.20000000000005</v>
      </c>
      <c r="AB731" s="131">
        <v>42314</v>
      </c>
      <c r="AC731" s="134">
        <f t="shared" si="34"/>
        <v>32086.190046656302</v>
      </c>
      <c r="AD731" s="135">
        <v>64.3</v>
      </c>
      <c r="AE731" s="136">
        <f t="shared" si="35"/>
        <v>2106468</v>
      </c>
      <c r="AF731" s="137">
        <v>2063142.02</v>
      </c>
      <c r="AG731" s="138">
        <v>65.150000000000006</v>
      </c>
      <c r="AH731" s="136" t="s">
        <v>6501</v>
      </c>
      <c r="AI731" s="136">
        <v>32640</v>
      </c>
      <c r="AJ731" s="132">
        <v>42381</v>
      </c>
      <c r="AK731" s="136" t="s">
        <v>6502</v>
      </c>
      <c r="AL731" s="132">
        <v>42382</v>
      </c>
      <c r="AM731" s="131" t="s">
        <v>49</v>
      </c>
      <c r="AN731" s="133" t="s">
        <v>4440</v>
      </c>
    </row>
    <row r="732" spans="1:40" s="129" customFormat="1" x14ac:dyDescent="0.25">
      <c r="A732" s="130">
        <v>731</v>
      </c>
      <c r="B732" s="130" t="s">
        <v>4428</v>
      </c>
      <c r="C732" s="130" t="s">
        <v>38</v>
      </c>
      <c r="D732" s="136" t="s">
        <v>6503</v>
      </c>
      <c r="E732" s="132">
        <v>42321</v>
      </c>
      <c r="F732" s="132" t="s">
        <v>6260</v>
      </c>
      <c r="G732" s="132" t="s">
        <v>6504</v>
      </c>
      <c r="H732" s="130" t="s">
        <v>4456</v>
      </c>
      <c r="I732" s="132" t="s">
        <v>40</v>
      </c>
      <c r="J732" s="131" t="s">
        <v>4432</v>
      </c>
      <c r="K732" s="132" t="s">
        <v>4433</v>
      </c>
      <c r="L732" s="136">
        <v>4047475</v>
      </c>
      <c r="M732" s="132">
        <v>42317</v>
      </c>
      <c r="N732" s="136" t="s">
        <v>4950</v>
      </c>
      <c r="O732" s="130" t="s">
        <v>4436</v>
      </c>
      <c r="P732" s="130" t="s">
        <v>143</v>
      </c>
      <c r="Q732" s="130" t="s">
        <v>5872</v>
      </c>
      <c r="R732" s="136">
        <v>12.6</v>
      </c>
      <c r="S732" s="130" t="s">
        <v>70</v>
      </c>
      <c r="T732" s="136" t="s">
        <v>52</v>
      </c>
      <c r="U732" s="136" t="s">
        <v>53</v>
      </c>
      <c r="V732" s="136">
        <v>0</v>
      </c>
      <c r="W732" s="133">
        <f>(12*1360+0.6*1500)</f>
        <v>17220</v>
      </c>
      <c r="X732" s="136">
        <v>0</v>
      </c>
      <c r="Y732" s="136">
        <v>450</v>
      </c>
      <c r="Z732" s="136">
        <v>0</v>
      </c>
      <c r="AA732" s="136">
        <v>0</v>
      </c>
      <c r="AB732" s="131">
        <v>42318</v>
      </c>
      <c r="AC732" s="134">
        <f t="shared" si="34"/>
        <v>16770</v>
      </c>
      <c r="AD732" s="135">
        <v>65.150000000000006</v>
      </c>
      <c r="AE732" s="136">
        <f t="shared" si="35"/>
        <v>1121883</v>
      </c>
      <c r="AF732" s="137">
        <v>1092565.5</v>
      </c>
      <c r="AG732" s="138">
        <v>65.150000000000006</v>
      </c>
      <c r="AH732" s="136" t="s">
        <v>6505</v>
      </c>
      <c r="AI732" s="136">
        <v>17200</v>
      </c>
      <c r="AJ732" s="132">
        <v>42361</v>
      </c>
      <c r="AK732" s="136" t="s">
        <v>6506</v>
      </c>
      <c r="AL732" s="132">
        <v>42366</v>
      </c>
      <c r="AM732" s="131" t="s">
        <v>49</v>
      </c>
      <c r="AN732" s="133" t="s">
        <v>4440</v>
      </c>
    </row>
    <row r="733" spans="1:40" s="129" customFormat="1" x14ac:dyDescent="0.25">
      <c r="A733" s="136">
        <v>732</v>
      </c>
      <c r="B733" s="130" t="s">
        <v>4428</v>
      </c>
      <c r="C733" s="130" t="s">
        <v>38</v>
      </c>
      <c r="D733" s="136" t="s">
        <v>6507</v>
      </c>
      <c r="E733" s="132">
        <v>42323</v>
      </c>
      <c r="F733" s="132" t="s">
        <v>6260</v>
      </c>
      <c r="G733" s="132" t="s">
        <v>6508</v>
      </c>
      <c r="H733" s="130" t="s">
        <v>4491</v>
      </c>
      <c r="I733" s="132" t="s">
        <v>40</v>
      </c>
      <c r="J733" s="131" t="s">
        <v>4432</v>
      </c>
      <c r="K733" s="132" t="s">
        <v>4433</v>
      </c>
      <c r="L733" s="136">
        <v>4054230</v>
      </c>
      <c r="M733" s="132">
        <v>42317</v>
      </c>
      <c r="N733" s="136" t="s">
        <v>4650</v>
      </c>
      <c r="O733" s="130" t="s">
        <v>4436</v>
      </c>
      <c r="P733" s="130" t="s">
        <v>308</v>
      </c>
      <c r="Q733" s="130">
        <v>38237090</v>
      </c>
      <c r="R733" s="136">
        <v>8.4</v>
      </c>
      <c r="S733" s="130" t="s">
        <v>70</v>
      </c>
      <c r="T733" s="136" t="s">
        <v>52</v>
      </c>
      <c r="U733" s="136" t="s">
        <v>53</v>
      </c>
      <c r="V733" s="136">
        <v>3669</v>
      </c>
      <c r="W733" s="133">
        <f t="shared" si="33"/>
        <v>30819.600000000002</v>
      </c>
      <c r="X733" s="136">
        <v>0</v>
      </c>
      <c r="Y733" s="136">
        <v>475</v>
      </c>
      <c r="Z733" s="136">
        <v>0</v>
      </c>
      <c r="AA733" s="136">
        <v>0</v>
      </c>
      <c r="AB733" s="131">
        <v>42320</v>
      </c>
      <c r="AC733" s="134">
        <f t="shared" si="34"/>
        <v>30344.599999999995</v>
      </c>
      <c r="AD733" s="135">
        <v>65.150000000000006</v>
      </c>
      <c r="AE733" s="136">
        <f t="shared" si="35"/>
        <v>2007896.9400000004</v>
      </c>
      <c r="AF733" s="137">
        <v>1976950.69</v>
      </c>
      <c r="AG733" s="138">
        <v>65.150000000000006</v>
      </c>
      <c r="AH733" s="136" t="s">
        <v>6509</v>
      </c>
      <c r="AI733" s="136">
        <v>30749.200000000001</v>
      </c>
      <c r="AJ733" s="132">
        <v>42418</v>
      </c>
      <c r="AK733" s="136" t="s">
        <v>6510</v>
      </c>
      <c r="AL733" s="132">
        <v>42420</v>
      </c>
      <c r="AM733" s="131" t="s">
        <v>49</v>
      </c>
      <c r="AN733" s="136" t="s">
        <v>4440</v>
      </c>
    </row>
    <row r="734" spans="1:40" s="129" customFormat="1" x14ac:dyDescent="0.25">
      <c r="A734" s="130">
        <v>733</v>
      </c>
      <c r="B734" s="130" t="s">
        <v>4428</v>
      </c>
      <c r="C734" s="130" t="s">
        <v>38</v>
      </c>
      <c r="D734" s="136" t="s">
        <v>6511</v>
      </c>
      <c r="E734" s="132">
        <v>42326</v>
      </c>
      <c r="F734" s="132" t="s">
        <v>6260</v>
      </c>
      <c r="G734" s="132" t="s">
        <v>6512</v>
      </c>
      <c r="H734" s="130" t="s">
        <v>4446</v>
      </c>
      <c r="I734" s="132" t="s">
        <v>40</v>
      </c>
      <c r="J734" s="131" t="s">
        <v>4432</v>
      </c>
      <c r="K734" s="132" t="s">
        <v>4433</v>
      </c>
      <c r="L734" s="136">
        <v>4056036</v>
      </c>
      <c r="M734" s="132">
        <v>42317</v>
      </c>
      <c r="N734" s="136" t="s">
        <v>4733</v>
      </c>
      <c r="O734" s="130" t="s">
        <v>4436</v>
      </c>
      <c r="P734" s="130" t="s">
        <v>492</v>
      </c>
      <c r="Q734" s="136">
        <v>38231900</v>
      </c>
      <c r="R734" s="136">
        <v>79.63</v>
      </c>
      <c r="S734" s="130" t="s">
        <v>70</v>
      </c>
      <c r="T734" s="136" t="s">
        <v>44</v>
      </c>
      <c r="U734" s="136" t="s">
        <v>53</v>
      </c>
      <c r="V734" s="136">
        <v>3750</v>
      </c>
      <c r="W734" s="133">
        <f t="shared" si="33"/>
        <v>298612.5</v>
      </c>
      <c r="X734" s="136">
        <v>98.54</v>
      </c>
      <c r="Y734" s="136">
        <v>800</v>
      </c>
      <c r="Z734" s="136">
        <v>0</v>
      </c>
      <c r="AA734" s="136">
        <v>0</v>
      </c>
      <c r="AB734" s="131">
        <v>42320</v>
      </c>
      <c r="AC734" s="134">
        <f t="shared" si="34"/>
        <v>297713.96009209513</v>
      </c>
      <c r="AD734" s="135">
        <v>65.150000000000006</v>
      </c>
      <c r="AE734" s="136">
        <f t="shared" si="35"/>
        <v>19454604.375</v>
      </c>
      <c r="AF734" s="137">
        <v>19396064.5</v>
      </c>
      <c r="AG734" s="138">
        <v>65.150000000000006</v>
      </c>
      <c r="AH734" s="136" t="s">
        <v>6513</v>
      </c>
      <c r="AI734" s="133">
        <v>298575.5</v>
      </c>
      <c r="AJ734" s="132">
        <v>42375</v>
      </c>
      <c r="AK734" s="136" t="s">
        <v>6514</v>
      </c>
      <c r="AL734" s="132">
        <v>42376</v>
      </c>
      <c r="AM734" s="131" t="s">
        <v>49</v>
      </c>
      <c r="AN734" s="136" t="s">
        <v>4440</v>
      </c>
    </row>
    <row r="735" spans="1:40" s="129" customFormat="1" x14ac:dyDescent="0.25">
      <c r="A735" s="136">
        <v>734</v>
      </c>
      <c r="B735" s="130" t="s">
        <v>4428</v>
      </c>
      <c r="C735" s="130" t="s">
        <v>38</v>
      </c>
      <c r="D735" s="136" t="s">
        <v>6515</v>
      </c>
      <c r="E735" s="132">
        <v>42327</v>
      </c>
      <c r="F735" s="132" t="s">
        <v>6260</v>
      </c>
      <c r="G735" s="132" t="s">
        <v>6516</v>
      </c>
      <c r="H735" s="130" t="s">
        <v>4463</v>
      </c>
      <c r="I735" s="132" t="s">
        <v>40</v>
      </c>
      <c r="J735" s="131" t="s">
        <v>4432</v>
      </c>
      <c r="K735" s="132" t="s">
        <v>4433</v>
      </c>
      <c r="L735" s="136">
        <v>4073009</v>
      </c>
      <c r="M735" s="132">
        <v>42318</v>
      </c>
      <c r="N735" s="136" t="s">
        <v>6517</v>
      </c>
      <c r="O735" s="130" t="s">
        <v>4436</v>
      </c>
      <c r="P735" s="130" t="s">
        <v>241</v>
      </c>
      <c r="Q735" s="130">
        <v>38231900</v>
      </c>
      <c r="R735" s="136">
        <v>19.53</v>
      </c>
      <c r="S735" s="130" t="s">
        <v>70</v>
      </c>
      <c r="T735" s="136" t="s">
        <v>44</v>
      </c>
      <c r="U735" s="136" t="s">
        <v>53</v>
      </c>
      <c r="V735" s="136">
        <v>972</v>
      </c>
      <c r="W735" s="133">
        <f t="shared" si="33"/>
        <v>18983.16</v>
      </c>
      <c r="X735" s="136">
        <v>6.26</v>
      </c>
      <c r="Y735" s="136">
        <v>735</v>
      </c>
      <c r="Z735" s="136">
        <v>0</v>
      </c>
      <c r="AA735" s="136">
        <v>0</v>
      </c>
      <c r="AB735" s="131">
        <v>42320</v>
      </c>
      <c r="AC735" s="134">
        <f t="shared" si="34"/>
        <v>18241.899923254026</v>
      </c>
      <c r="AD735" s="135">
        <v>65.150000000000006</v>
      </c>
      <c r="AE735" s="136">
        <f t="shared" si="35"/>
        <v>1236752.8740000001</v>
      </c>
      <c r="AF735" s="137">
        <v>1188459.78</v>
      </c>
      <c r="AG735" s="138">
        <v>65.150000000000006</v>
      </c>
      <c r="AH735" s="136" t="s">
        <v>6518</v>
      </c>
      <c r="AI735" s="136">
        <v>18963.16</v>
      </c>
      <c r="AJ735" s="132">
        <v>42402</v>
      </c>
      <c r="AK735" s="136" t="s">
        <v>6519</v>
      </c>
      <c r="AL735" s="132">
        <v>42403</v>
      </c>
      <c r="AM735" s="131" t="s">
        <v>49</v>
      </c>
      <c r="AN735" s="133" t="s">
        <v>4440</v>
      </c>
    </row>
    <row r="736" spans="1:40" s="129" customFormat="1" x14ac:dyDescent="0.25">
      <c r="A736" s="130">
        <v>735</v>
      </c>
      <c r="B736" s="130" t="s">
        <v>4428</v>
      </c>
      <c r="C736" s="130" t="s">
        <v>38</v>
      </c>
      <c r="D736" s="136">
        <v>9103650692</v>
      </c>
      <c r="E736" s="132">
        <v>42327</v>
      </c>
      <c r="F736" s="132" t="s">
        <v>6260</v>
      </c>
      <c r="G736" s="132" t="s">
        <v>6520</v>
      </c>
      <c r="H736" s="130" t="s">
        <v>4564</v>
      </c>
      <c r="I736" s="132" t="s">
        <v>40</v>
      </c>
      <c r="J736" s="131" t="s">
        <v>4432</v>
      </c>
      <c r="K736" s="132" t="s">
        <v>4433</v>
      </c>
      <c r="L736" s="136">
        <v>4100699</v>
      </c>
      <c r="M736" s="132">
        <v>42321</v>
      </c>
      <c r="N736" s="136" t="s">
        <v>4565</v>
      </c>
      <c r="O736" s="130" t="s">
        <v>4436</v>
      </c>
      <c r="P736" s="130" t="s">
        <v>4566</v>
      </c>
      <c r="Q736" s="130" t="s">
        <v>5872</v>
      </c>
      <c r="R736" s="136">
        <v>15</v>
      </c>
      <c r="S736" s="130" t="s">
        <v>70</v>
      </c>
      <c r="T736" s="136" t="s">
        <v>44</v>
      </c>
      <c r="U736" s="136" t="s">
        <v>53</v>
      </c>
      <c r="V736" s="136">
        <v>0</v>
      </c>
      <c r="W736" s="133">
        <f>(11*1220+4*1290)</f>
        <v>18580</v>
      </c>
      <c r="X736" s="136">
        <v>6.13</v>
      </c>
      <c r="Y736" s="136">
        <v>30</v>
      </c>
      <c r="Z736" s="136">
        <v>0</v>
      </c>
      <c r="AA736" s="136">
        <v>0</v>
      </c>
      <c r="AB736" s="131">
        <v>42324</v>
      </c>
      <c r="AC736" s="134">
        <f t="shared" si="34"/>
        <v>18543.869992325399</v>
      </c>
      <c r="AD736" s="135">
        <v>65.150000000000006</v>
      </c>
      <c r="AE736" s="136">
        <f t="shared" si="35"/>
        <v>1210487</v>
      </c>
      <c r="AF736" s="137">
        <v>1208133.1299999999</v>
      </c>
      <c r="AG736" s="138">
        <v>65.150000000000006</v>
      </c>
      <c r="AH736" s="136" t="s">
        <v>6521</v>
      </c>
      <c r="AI736" s="136">
        <v>18550</v>
      </c>
      <c r="AJ736" s="132">
        <v>42353</v>
      </c>
      <c r="AK736" s="136" t="s">
        <v>6522</v>
      </c>
      <c r="AL736" s="132">
        <v>42354</v>
      </c>
      <c r="AM736" s="131" t="s">
        <v>49</v>
      </c>
      <c r="AN736" s="136" t="s">
        <v>4440</v>
      </c>
    </row>
    <row r="737" spans="1:40" s="129" customFormat="1" x14ac:dyDescent="0.25">
      <c r="A737" s="136">
        <v>736</v>
      </c>
      <c r="B737" s="130" t="s">
        <v>4428</v>
      </c>
      <c r="C737" s="130" t="s">
        <v>38</v>
      </c>
      <c r="D737" s="136" t="s">
        <v>6523</v>
      </c>
      <c r="E737" s="132">
        <v>42326</v>
      </c>
      <c r="F737" s="132" t="s">
        <v>6260</v>
      </c>
      <c r="G737" s="132" t="s">
        <v>6524</v>
      </c>
      <c r="H737" s="130" t="s">
        <v>4456</v>
      </c>
      <c r="I737" s="132" t="s">
        <v>40</v>
      </c>
      <c r="J737" s="131" t="s">
        <v>4432</v>
      </c>
      <c r="K737" s="132" t="s">
        <v>4433</v>
      </c>
      <c r="L737" s="136">
        <v>4099404</v>
      </c>
      <c r="M737" s="132">
        <v>42321</v>
      </c>
      <c r="N737" s="136" t="s">
        <v>4796</v>
      </c>
      <c r="O737" s="130" t="s">
        <v>4436</v>
      </c>
      <c r="P737" s="130" t="s">
        <v>243</v>
      </c>
      <c r="Q737" s="130">
        <v>38237090</v>
      </c>
      <c r="R737" s="136">
        <v>12</v>
      </c>
      <c r="S737" s="130" t="s">
        <v>70</v>
      </c>
      <c r="T737" s="136" t="s">
        <v>52</v>
      </c>
      <c r="U737" s="136" t="s">
        <v>53</v>
      </c>
      <c r="V737" s="136">
        <v>3595</v>
      </c>
      <c r="W737" s="133">
        <f t="shared" si="33"/>
        <v>43140</v>
      </c>
      <c r="X737" s="136">
        <v>0</v>
      </c>
      <c r="Y737" s="136">
        <v>425</v>
      </c>
      <c r="Z737" s="136">
        <v>0</v>
      </c>
      <c r="AA737" s="136">
        <v>0</v>
      </c>
      <c r="AB737" s="131">
        <v>42322</v>
      </c>
      <c r="AC737" s="134">
        <f t="shared" si="34"/>
        <v>42714.999999999993</v>
      </c>
      <c r="AD737" s="135">
        <v>65.150000000000006</v>
      </c>
      <c r="AE737" s="136">
        <f t="shared" si="35"/>
        <v>2810571.0000000005</v>
      </c>
      <c r="AF737" s="137">
        <v>2782882.25</v>
      </c>
      <c r="AG737" s="138">
        <v>65.150000000000006</v>
      </c>
      <c r="AH737" s="136" t="s">
        <v>6525</v>
      </c>
      <c r="AI737" s="136">
        <v>43120</v>
      </c>
      <c r="AJ737" s="132">
        <v>42390</v>
      </c>
      <c r="AK737" s="136" t="s">
        <v>6526</v>
      </c>
      <c r="AL737" s="132">
        <v>42391</v>
      </c>
      <c r="AM737" s="131" t="s">
        <v>49</v>
      </c>
      <c r="AN737" s="133" t="s">
        <v>4440</v>
      </c>
    </row>
    <row r="738" spans="1:40" s="129" customFormat="1" x14ac:dyDescent="0.25">
      <c r="A738" s="130">
        <v>737</v>
      </c>
      <c r="B738" s="130" t="s">
        <v>4428</v>
      </c>
      <c r="C738" s="130" t="s">
        <v>38</v>
      </c>
      <c r="D738" s="136" t="s">
        <v>6527</v>
      </c>
      <c r="E738" s="132">
        <v>42326</v>
      </c>
      <c r="F738" s="132" t="s">
        <v>6260</v>
      </c>
      <c r="G738" s="132" t="s">
        <v>6528</v>
      </c>
      <c r="H738" s="130" t="s">
        <v>4456</v>
      </c>
      <c r="I738" s="132" t="s">
        <v>40</v>
      </c>
      <c r="J738" s="131" t="s">
        <v>4432</v>
      </c>
      <c r="K738" s="132" t="s">
        <v>4433</v>
      </c>
      <c r="L738" s="136">
        <v>4099360</v>
      </c>
      <c r="M738" s="132">
        <v>42321</v>
      </c>
      <c r="N738" s="136" t="s">
        <v>4796</v>
      </c>
      <c r="O738" s="130" t="s">
        <v>4436</v>
      </c>
      <c r="P738" s="130" t="s">
        <v>243</v>
      </c>
      <c r="Q738" s="130">
        <v>38237090</v>
      </c>
      <c r="R738" s="136">
        <v>12</v>
      </c>
      <c r="S738" s="130" t="s">
        <v>70</v>
      </c>
      <c r="T738" s="136" t="s">
        <v>52</v>
      </c>
      <c r="U738" s="136" t="s">
        <v>53</v>
      </c>
      <c r="V738" s="136">
        <v>3595</v>
      </c>
      <c r="W738" s="133">
        <f t="shared" si="33"/>
        <v>43140</v>
      </c>
      <c r="X738" s="136">
        <v>0</v>
      </c>
      <c r="Y738" s="136">
        <v>425</v>
      </c>
      <c r="Z738" s="136">
        <v>0</v>
      </c>
      <c r="AA738" s="136">
        <v>0</v>
      </c>
      <c r="AB738" s="131">
        <v>42322</v>
      </c>
      <c r="AC738" s="134">
        <f t="shared" si="34"/>
        <v>42714.999999999993</v>
      </c>
      <c r="AD738" s="135">
        <v>65.150000000000006</v>
      </c>
      <c r="AE738" s="136">
        <f t="shared" si="35"/>
        <v>2810571.0000000005</v>
      </c>
      <c r="AF738" s="137">
        <v>2782882.25</v>
      </c>
      <c r="AG738" s="138">
        <v>65.150000000000006</v>
      </c>
      <c r="AH738" s="136" t="s">
        <v>6529</v>
      </c>
      <c r="AI738" s="136">
        <v>43140</v>
      </c>
      <c r="AJ738" s="132">
        <v>42418</v>
      </c>
      <c r="AK738" s="136" t="s">
        <v>6530</v>
      </c>
      <c r="AL738" s="132">
        <v>42420</v>
      </c>
      <c r="AM738" s="131" t="s">
        <v>49</v>
      </c>
      <c r="AN738" s="136" t="s">
        <v>4440</v>
      </c>
    </row>
    <row r="739" spans="1:40" s="129" customFormat="1" x14ac:dyDescent="0.25">
      <c r="A739" s="136">
        <v>738</v>
      </c>
      <c r="B739" s="130" t="s">
        <v>4428</v>
      </c>
      <c r="C739" s="130" t="s">
        <v>38</v>
      </c>
      <c r="D739" s="136">
        <v>9103650695</v>
      </c>
      <c r="E739" s="132">
        <v>42332</v>
      </c>
      <c r="F739" s="132" t="s">
        <v>6260</v>
      </c>
      <c r="G739" s="132" t="s">
        <v>6531</v>
      </c>
      <c r="H739" s="130" t="s">
        <v>4463</v>
      </c>
      <c r="I739" s="132" t="s">
        <v>40</v>
      </c>
      <c r="J739" s="131" t="s">
        <v>4432</v>
      </c>
      <c r="K739" s="132" t="s">
        <v>4433</v>
      </c>
      <c r="L739" s="136">
        <v>4099408</v>
      </c>
      <c r="M739" s="132">
        <v>42321</v>
      </c>
      <c r="N739" s="136" t="s">
        <v>4670</v>
      </c>
      <c r="O739" s="130" t="s">
        <v>4436</v>
      </c>
      <c r="P739" s="130" t="s">
        <v>243</v>
      </c>
      <c r="Q739" s="130">
        <v>38237090</v>
      </c>
      <c r="R739" s="136">
        <v>26</v>
      </c>
      <c r="S739" s="130" t="s">
        <v>70</v>
      </c>
      <c r="T739" s="136" t="s">
        <v>52</v>
      </c>
      <c r="U739" s="136" t="s">
        <v>53</v>
      </c>
      <c r="V739" s="136">
        <v>1250</v>
      </c>
      <c r="W739" s="133">
        <f t="shared" si="33"/>
        <v>32500</v>
      </c>
      <c r="X739" s="136">
        <v>0</v>
      </c>
      <c r="Y739" s="136">
        <v>650</v>
      </c>
      <c r="Z739" s="136">
        <v>0</v>
      </c>
      <c r="AA739" s="136">
        <v>0</v>
      </c>
      <c r="AB739" s="131">
        <v>42322</v>
      </c>
      <c r="AC739" s="134">
        <f t="shared" si="34"/>
        <v>31849.999999999996</v>
      </c>
      <c r="AD739" s="135">
        <v>65.150000000000006</v>
      </c>
      <c r="AE739" s="136">
        <f t="shared" si="35"/>
        <v>2117375</v>
      </c>
      <c r="AF739" s="137">
        <v>2075027.5</v>
      </c>
      <c r="AG739" s="138">
        <v>65.150000000000006</v>
      </c>
      <c r="AH739" s="136" t="s">
        <v>6532</v>
      </c>
      <c r="AI739" s="136">
        <v>32418</v>
      </c>
      <c r="AJ739" s="132">
        <v>42367</v>
      </c>
      <c r="AK739" s="136" t="s">
        <v>6533</v>
      </c>
      <c r="AL739" s="132">
        <v>42368</v>
      </c>
      <c r="AM739" s="131" t="s">
        <v>49</v>
      </c>
      <c r="AN739" s="136" t="s">
        <v>4440</v>
      </c>
    </row>
    <row r="740" spans="1:40" s="129" customFormat="1" x14ac:dyDescent="0.25">
      <c r="A740" s="130">
        <v>739</v>
      </c>
      <c r="B740" s="130" t="s">
        <v>4428</v>
      </c>
      <c r="C740" s="130" t="s">
        <v>38</v>
      </c>
      <c r="D740" s="136">
        <v>9103650696</v>
      </c>
      <c r="E740" s="132">
        <v>42332</v>
      </c>
      <c r="F740" s="132" t="s">
        <v>6260</v>
      </c>
      <c r="G740" s="132" t="s">
        <v>6534</v>
      </c>
      <c r="H740" s="130" t="s">
        <v>4463</v>
      </c>
      <c r="I740" s="132" t="s">
        <v>40</v>
      </c>
      <c r="J740" s="131" t="s">
        <v>4432</v>
      </c>
      <c r="K740" s="132" t="s">
        <v>4433</v>
      </c>
      <c r="L740" s="136">
        <v>4099233</v>
      </c>
      <c r="M740" s="132">
        <v>42321</v>
      </c>
      <c r="N740" s="136" t="s">
        <v>4670</v>
      </c>
      <c r="O740" s="130" t="s">
        <v>4436</v>
      </c>
      <c r="P740" s="130" t="s">
        <v>243</v>
      </c>
      <c r="Q740" s="130">
        <v>38237090</v>
      </c>
      <c r="R740" s="136">
        <v>26</v>
      </c>
      <c r="S740" s="130" t="s">
        <v>70</v>
      </c>
      <c r="T740" s="136" t="s">
        <v>52</v>
      </c>
      <c r="U740" s="136" t="s">
        <v>53</v>
      </c>
      <c r="V740" s="136">
        <v>1250</v>
      </c>
      <c r="W740" s="133">
        <f t="shared" si="33"/>
        <v>32500</v>
      </c>
      <c r="X740" s="136">
        <v>0</v>
      </c>
      <c r="Y740" s="136">
        <v>650</v>
      </c>
      <c r="Z740" s="136">
        <v>0</v>
      </c>
      <c r="AA740" s="136">
        <v>0</v>
      </c>
      <c r="AB740" s="131">
        <v>42322</v>
      </c>
      <c r="AC740" s="134">
        <f t="shared" si="34"/>
        <v>31849.999999999996</v>
      </c>
      <c r="AD740" s="135">
        <v>65.150000000000006</v>
      </c>
      <c r="AE740" s="136">
        <f t="shared" si="35"/>
        <v>2117375</v>
      </c>
      <c r="AF740" s="137">
        <v>2075027.5</v>
      </c>
      <c r="AG740" s="138">
        <v>65.150000000000006</v>
      </c>
      <c r="AH740" s="136" t="s">
        <v>6535</v>
      </c>
      <c r="AI740" s="136">
        <v>32418</v>
      </c>
      <c r="AJ740" s="132">
        <v>42367</v>
      </c>
      <c r="AK740" s="136" t="s">
        <v>6536</v>
      </c>
      <c r="AL740" s="132">
        <v>42368</v>
      </c>
      <c r="AM740" s="131" t="s">
        <v>49</v>
      </c>
      <c r="AN740" s="136" t="s">
        <v>4440</v>
      </c>
    </row>
    <row r="741" spans="1:40" s="129" customFormat="1" x14ac:dyDescent="0.25">
      <c r="A741" s="136">
        <v>740</v>
      </c>
      <c r="B741" s="130" t="s">
        <v>4428</v>
      </c>
      <c r="C741" s="130" t="s">
        <v>38</v>
      </c>
      <c r="D741" s="136">
        <v>9103650697</v>
      </c>
      <c r="E741" s="132">
        <v>42331</v>
      </c>
      <c r="F741" s="132" t="s">
        <v>6260</v>
      </c>
      <c r="G741" s="132" t="s">
        <v>6537</v>
      </c>
      <c r="H741" s="130" t="s">
        <v>4456</v>
      </c>
      <c r="I741" s="132" t="s">
        <v>40</v>
      </c>
      <c r="J741" s="131" t="s">
        <v>4432</v>
      </c>
      <c r="K741" s="132" t="s">
        <v>4433</v>
      </c>
      <c r="L741" s="136">
        <v>4119919</v>
      </c>
      <c r="M741" s="132">
        <v>42324</v>
      </c>
      <c r="N741" s="136" t="s">
        <v>5360</v>
      </c>
      <c r="O741" s="130" t="s">
        <v>4436</v>
      </c>
      <c r="P741" s="130" t="s">
        <v>6228</v>
      </c>
      <c r="Q741" s="130">
        <v>38237090</v>
      </c>
      <c r="R741" s="136">
        <v>5.4</v>
      </c>
      <c r="S741" s="130" t="s">
        <v>70</v>
      </c>
      <c r="T741" s="136" t="s">
        <v>67</v>
      </c>
      <c r="U741" s="136" t="s">
        <v>53</v>
      </c>
      <c r="V741" s="136">
        <v>2430</v>
      </c>
      <c r="W741" s="133">
        <f t="shared" si="33"/>
        <v>13122</v>
      </c>
      <c r="X741" s="136">
        <v>0</v>
      </c>
      <c r="Y741" s="136">
        <v>0</v>
      </c>
      <c r="Z741" s="136">
        <v>0</v>
      </c>
      <c r="AA741" s="136">
        <v>0</v>
      </c>
      <c r="AB741" s="131"/>
      <c r="AC741" s="134">
        <f t="shared" si="34"/>
        <v>13122</v>
      </c>
      <c r="AD741" s="135">
        <v>65.150000000000006</v>
      </c>
      <c r="AE741" s="136">
        <f t="shared" si="35"/>
        <v>854898.3</v>
      </c>
      <c r="AF741" s="137">
        <v>854898.3</v>
      </c>
      <c r="AG741" s="138">
        <v>65.150000000000006</v>
      </c>
      <c r="AH741" s="136" t="s">
        <v>6538</v>
      </c>
      <c r="AI741" s="136">
        <v>13012</v>
      </c>
      <c r="AJ741" s="132">
        <v>42415</v>
      </c>
      <c r="AK741" s="136" t="s">
        <v>6539</v>
      </c>
      <c r="AL741" s="132">
        <v>42416</v>
      </c>
      <c r="AM741" s="131" t="s">
        <v>49</v>
      </c>
      <c r="AN741" s="133" t="s">
        <v>4440</v>
      </c>
    </row>
    <row r="742" spans="1:40" s="129" customFormat="1" x14ac:dyDescent="0.25">
      <c r="A742" s="130">
        <v>741</v>
      </c>
      <c r="B742" s="130" t="s">
        <v>4428</v>
      </c>
      <c r="C742" s="130" t="s">
        <v>38</v>
      </c>
      <c r="D742" s="136" t="s">
        <v>6540</v>
      </c>
      <c r="E742" s="132">
        <v>42328</v>
      </c>
      <c r="F742" s="132" t="s">
        <v>6260</v>
      </c>
      <c r="G742" s="132" t="s">
        <v>6541</v>
      </c>
      <c r="H742" s="130" t="s">
        <v>4564</v>
      </c>
      <c r="I742" s="132" t="s">
        <v>40</v>
      </c>
      <c r="J742" s="131" t="s">
        <v>4432</v>
      </c>
      <c r="K742" s="132" t="s">
        <v>4433</v>
      </c>
      <c r="L742" s="136">
        <v>4125196</v>
      </c>
      <c r="M742" s="132">
        <v>42324</v>
      </c>
      <c r="N742" s="136" t="s">
        <v>6542</v>
      </c>
      <c r="O742" s="130" t="s">
        <v>4436</v>
      </c>
      <c r="P742" s="130" t="s">
        <v>745</v>
      </c>
      <c r="Q742" s="130">
        <v>38237090</v>
      </c>
      <c r="R742" s="136">
        <v>72</v>
      </c>
      <c r="S742" s="130" t="s">
        <v>70</v>
      </c>
      <c r="T742" s="136" t="s">
        <v>52</v>
      </c>
      <c r="U742" s="136" t="s">
        <v>53</v>
      </c>
      <c r="V742" s="136">
        <v>1477</v>
      </c>
      <c r="W742" s="133">
        <f t="shared" si="33"/>
        <v>106344</v>
      </c>
      <c r="X742" s="136">
        <v>0</v>
      </c>
      <c r="Y742" s="136">
        <v>3300</v>
      </c>
      <c r="Z742" s="136">
        <v>0</v>
      </c>
      <c r="AA742" s="136">
        <v>0</v>
      </c>
      <c r="AB742" s="131">
        <v>42325</v>
      </c>
      <c r="AC742" s="134">
        <f t="shared" si="34"/>
        <v>103043.99999999999</v>
      </c>
      <c r="AD742" s="135">
        <v>65.150000000000006</v>
      </c>
      <c r="AE742" s="136">
        <f t="shared" si="35"/>
        <v>6928311.6000000006</v>
      </c>
      <c r="AF742" s="137">
        <v>6713316.5999999996</v>
      </c>
      <c r="AG742" s="138">
        <v>65.150000000000006</v>
      </c>
      <c r="AH742" s="136" t="s">
        <v>6543</v>
      </c>
      <c r="AI742" s="136">
        <v>105098</v>
      </c>
      <c r="AJ742" s="132">
        <v>42375</v>
      </c>
      <c r="AK742" s="136" t="s">
        <v>6544</v>
      </c>
      <c r="AL742" s="132">
        <v>42376</v>
      </c>
      <c r="AM742" s="131" t="s">
        <v>49</v>
      </c>
      <c r="AN742" s="136" t="s">
        <v>4440</v>
      </c>
    </row>
    <row r="743" spans="1:40" s="129" customFormat="1" x14ac:dyDescent="0.25">
      <c r="A743" s="136">
        <v>742</v>
      </c>
      <c r="B743" s="130" t="s">
        <v>4428</v>
      </c>
      <c r="C743" s="130" t="s">
        <v>38</v>
      </c>
      <c r="D743" s="136">
        <v>9103650699</v>
      </c>
      <c r="E743" s="132">
        <v>42330</v>
      </c>
      <c r="F743" s="132" t="s">
        <v>6260</v>
      </c>
      <c r="G743" s="132" t="s">
        <v>803</v>
      </c>
      <c r="H743" s="130" t="s">
        <v>4446</v>
      </c>
      <c r="I743" s="132" t="s">
        <v>40</v>
      </c>
      <c r="J743" s="131" t="s">
        <v>4432</v>
      </c>
      <c r="K743" s="132" t="s">
        <v>4433</v>
      </c>
      <c r="L743" s="136">
        <v>4146230</v>
      </c>
      <c r="M743" s="132">
        <v>42325</v>
      </c>
      <c r="N743" s="136" t="s">
        <v>4670</v>
      </c>
      <c r="O743" s="130" t="s">
        <v>4436</v>
      </c>
      <c r="P743" s="130" t="s">
        <v>243</v>
      </c>
      <c r="Q743" s="130">
        <v>38237090</v>
      </c>
      <c r="R743" s="136">
        <v>26</v>
      </c>
      <c r="S743" s="130" t="s">
        <v>70</v>
      </c>
      <c r="T743" s="136" t="s">
        <v>52</v>
      </c>
      <c r="U743" s="136" t="s">
        <v>53</v>
      </c>
      <c r="V743" s="136">
        <v>1275</v>
      </c>
      <c r="W743" s="133">
        <f t="shared" si="33"/>
        <v>33150</v>
      </c>
      <c r="X743" s="136">
        <v>0</v>
      </c>
      <c r="Y743" s="136">
        <v>1100</v>
      </c>
      <c r="Z743" s="136">
        <v>0</v>
      </c>
      <c r="AA743" s="136">
        <v>0</v>
      </c>
      <c r="AB743" s="131">
        <v>42326</v>
      </c>
      <c r="AC743" s="134">
        <f t="shared" si="34"/>
        <v>32049.999999999996</v>
      </c>
      <c r="AD743" s="135">
        <v>65.150000000000006</v>
      </c>
      <c r="AE743" s="136">
        <f t="shared" si="35"/>
        <v>2159722.5</v>
      </c>
      <c r="AF743" s="137">
        <v>2088057.5</v>
      </c>
      <c r="AG743" s="138">
        <v>65.150000000000006</v>
      </c>
      <c r="AH743" s="136" t="s">
        <v>6545</v>
      </c>
      <c r="AI743" s="136">
        <v>33068</v>
      </c>
      <c r="AJ743" s="132" t="s">
        <v>6546</v>
      </c>
      <c r="AK743" s="136" t="s">
        <v>6547</v>
      </c>
      <c r="AL743" s="132">
        <v>42368</v>
      </c>
      <c r="AM743" s="131" t="s">
        <v>49</v>
      </c>
      <c r="AN743" s="133" t="s">
        <v>4440</v>
      </c>
    </row>
    <row r="744" spans="1:40" s="129" customFormat="1" x14ac:dyDescent="0.25">
      <c r="A744" s="130">
        <v>743</v>
      </c>
      <c r="B744" s="130" t="s">
        <v>4428</v>
      </c>
      <c r="C744" s="130" t="s">
        <v>38</v>
      </c>
      <c r="D744" s="136" t="s">
        <v>6548</v>
      </c>
      <c r="E744" s="132">
        <v>42331</v>
      </c>
      <c r="F744" s="132" t="s">
        <v>6260</v>
      </c>
      <c r="G744" s="132" t="s">
        <v>6549</v>
      </c>
      <c r="H744" s="130" t="s">
        <v>4491</v>
      </c>
      <c r="I744" s="132" t="s">
        <v>40</v>
      </c>
      <c r="J744" s="131" t="s">
        <v>4432</v>
      </c>
      <c r="K744" s="132" t="s">
        <v>4433</v>
      </c>
      <c r="L744" s="136">
        <v>4164939</v>
      </c>
      <c r="M744" s="132">
        <v>42326</v>
      </c>
      <c r="N744" s="136" t="s">
        <v>3741</v>
      </c>
      <c r="O744" s="130" t="s">
        <v>4436</v>
      </c>
      <c r="P744" s="130" t="s">
        <v>4492</v>
      </c>
      <c r="Q744" s="136">
        <v>29051700</v>
      </c>
      <c r="R744" s="136">
        <v>17.98</v>
      </c>
      <c r="S744" s="130" t="s">
        <v>70</v>
      </c>
      <c r="T744" s="136" t="s">
        <v>44</v>
      </c>
      <c r="U744" s="136" t="s">
        <v>53</v>
      </c>
      <c r="V744" s="136">
        <v>1820</v>
      </c>
      <c r="W744" s="133">
        <f t="shared" si="33"/>
        <v>32723.600000000002</v>
      </c>
      <c r="X744" s="136">
        <v>10.8</v>
      </c>
      <c r="Y744" s="136">
        <v>3600</v>
      </c>
      <c r="Z744" s="136">
        <v>0</v>
      </c>
      <c r="AA744" s="136">
        <v>0</v>
      </c>
      <c r="AB744" s="131">
        <v>42328</v>
      </c>
      <c r="AC744" s="134">
        <f t="shared" si="34"/>
        <v>29112.799999999996</v>
      </c>
      <c r="AD744" s="135">
        <v>65.150000000000006</v>
      </c>
      <c r="AE744" s="136">
        <f t="shared" si="35"/>
        <v>2131942.5400000005</v>
      </c>
      <c r="AF744" s="137">
        <v>1896698.92</v>
      </c>
      <c r="AG744" s="138">
        <v>65.650000000000006</v>
      </c>
      <c r="AH744" s="136" t="s">
        <v>6550</v>
      </c>
      <c r="AI744" s="133">
        <v>32723.599999999999</v>
      </c>
      <c r="AJ744" s="132">
        <v>42369</v>
      </c>
      <c r="AK744" s="136" t="s">
        <v>6551</v>
      </c>
      <c r="AL744" s="132">
        <v>42370</v>
      </c>
      <c r="AM744" s="131" t="s">
        <v>49</v>
      </c>
      <c r="AN744" s="136" t="s">
        <v>4440</v>
      </c>
    </row>
    <row r="745" spans="1:40" s="129" customFormat="1" x14ac:dyDescent="0.25">
      <c r="A745" s="136">
        <v>744</v>
      </c>
      <c r="B745" s="130" t="s">
        <v>4428</v>
      </c>
      <c r="C745" s="130" t="s">
        <v>38</v>
      </c>
      <c r="D745" s="136">
        <v>9103650701</v>
      </c>
      <c r="E745" s="132">
        <v>42328</v>
      </c>
      <c r="F745" s="132" t="s">
        <v>6260</v>
      </c>
      <c r="G745" s="132" t="s">
        <v>6552</v>
      </c>
      <c r="H745" s="130" t="s">
        <v>4491</v>
      </c>
      <c r="I745" s="132" t="s">
        <v>40</v>
      </c>
      <c r="J745" s="131" t="s">
        <v>4432</v>
      </c>
      <c r="K745" s="132" t="s">
        <v>4433</v>
      </c>
      <c r="L745" s="136">
        <v>4151143</v>
      </c>
      <c r="M745" s="132">
        <v>42325</v>
      </c>
      <c r="N745" s="136" t="s">
        <v>4858</v>
      </c>
      <c r="O745" s="130" t="s">
        <v>4436</v>
      </c>
      <c r="P745" s="130" t="s">
        <v>54</v>
      </c>
      <c r="Q745" s="130">
        <v>38237090</v>
      </c>
      <c r="R745" s="136">
        <v>12</v>
      </c>
      <c r="S745" s="130" t="s">
        <v>70</v>
      </c>
      <c r="T745" s="136" t="s">
        <v>44</v>
      </c>
      <c r="U745" s="136" t="s">
        <v>53</v>
      </c>
      <c r="V745" s="136">
        <v>3700</v>
      </c>
      <c r="W745" s="133">
        <f t="shared" si="33"/>
        <v>44400</v>
      </c>
      <c r="X745" s="136">
        <v>14.65</v>
      </c>
      <c r="Y745" s="136">
        <v>55</v>
      </c>
      <c r="Z745" s="136">
        <v>0</v>
      </c>
      <c r="AA745" s="136">
        <v>0</v>
      </c>
      <c r="AB745" s="131">
        <v>42326</v>
      </c>
      <c r="AC745" s="134">
        <f t="shared" si="34"/>
        <v>44330.349961627006</v>
      </c>
      <c r="AD745" s="135">
        <v>65.150000000000006</v>
      </c>
      <c r="AE745" s="136">
        <f t="shared" si="35"/>
        <v>2892660.0000000005</v>
      </c>
      <c r="AF745" s="137">
        <v>2888122.3</v>
      </c>
      <c r="AG745" s="138">
        <v>65.150000000000006</v>
      </c>
      <c r="AH745" s="136" t="s">
        <v>6553</v>
      </c>
      <c r="AI745" s="136">
        <v>44400</v>
      </c>
      <c r="AJ745" s="132">
        <v>42422</v>
      </c>
      <c r="AK745" s="136" t="s">
        <v>6554</v>
      </c>
      <c r="AL745" s="132">
        <v>42423</v>
      </c>
      <c r="AM745" s="131" t="s">
        <v>49</v>
      </c>
      <c r="AN745" s="133" t="s">
        <v>4440</v>
      </c>
    </row>
    <row r="746" spans="1:40" s="129" customFormat="1" x14ac:dyDescent="0.25">
      <c r="A746" s="130">
        <v>745</v>
      </c>
      <c r="B746" s="130" t="s">
        <v>4428</v>
      </c>
      <c r="C746" s="130" t="s">
        <v>38</v>
      </c>
      <c r="D746" s="136">
        <v>9103650702</v>
      </c>
      <c r="E746" s="132">
        <v>42328</v>
      </c>
      <c r="F746" s="132" t="s">
        <v>6260</v>
      </c>
      <c r="G746" s="132" t="s">
        <v>6555</v>
      </c>
      <c r="H746" s="130" t="s">
        <v>4491</v>
      </c>
      <c r="I746" s="132" t="s">
        <v>40</v>
      </c>
      <c r="J746" s="131" t="s">
        <v>4432</v>
      </c>
      <c r="K746" s="132" t="s">
        <v>4433</v>
      </c>
      <c r="L746" s="136">
        <v>4164972</v>
      </c>
      <c r="M746" s="132">
        <v>42326</v>
      </c>
      <c r="N746" s="136" t="s">
        <v>4858</v>
      </c>
      <c r="O746" s="130" t="s">
        <v>4436</v>
      </c>
      <c r="P746" s="130" t="s">
        <v>54</v>
      </c>
      <c r="Q746" s="130">
        <v>38237090</v>
      </c>
      <c r="R746" s="136">
        <v>24</v>
      </c>
      <c r="S746" s="130" t="s">
        <v>70</v>
      </c>
      <c r="T746" s="136" t="s">
        <v>44</v>
      </c>
      <c r="U746" s="136" t="s">
        <v>53</v>
      </c>
      <c r="V746" s="136">
        <v>3700</v>
      </c>
      <c r="W746" s="133">
        <f t="shared" si="33"/>
        <v>88800</v>
      </c>
      <c r="X746" s="136">
        <v>29.3</v>
      </c>
      <c r="Y746" s="136">
        <v>110</v>
      </c>
      <c r="Z746" s="136">
        <v>0</v>
      </c>
      <c r="AA746" s="136">
        <v>0</v>
      </c>
      <c r="AB746" s="131">
        <v>42327</v>
      </c>
      <c r="AC746" s="134">
        <f t="shared" si="34"/>
        <v>88660.700076745969</v>
      </c>
      <c r="AD746" s="135">
        <v>65.150000000000006</v>
      </c>
      <c r="AE746" s="136">
        <f t="shared" si="35"/>
        <v>5785320.0000000009</v>
      </c>
      <c r="AF746" s="137">
        <v>5776244.6100000003</v>
      </c>
      <c r="AG746" s="138">
        <v>65.150000000000006</v>
      </c>
      <c r="AH746" s="136" t="s">
        <v>6553</v>
      </c>
      <c r="AI746" s="136">
        <v>88800</v>
      </c>
      <c r="AJ746" s="132">
        <v>42422</v>
      </c>
      <c r="AK746" s="136" t="s">
        <v>6556</v>
      </c>
      <c r="AL746" s="132">
        <v>42423</v>
      </c>
      <c r="AM746" s="131" t="s">
        <v>49</v>
      </c>
      <c r="AN746" s="133" t="s">
        <v>4440</v>
      </c>
    </row>
    <row r="747" spans="1:40" s="129" customFormat="1" x14ac:dyDescent="0.25">
      <c r="A747" s="136">
        <v>746</v>
      </c>
      <c r="B747" s="130" t="s">
        <v>4428</v>
      </c>
      <c r="C747" s="130" t="s">
        <v>38</v>
      </c>
      <c r="D747" s="136">
        <v>9103650703</v>
      </c>
      <c r="E747" s="132">
        <v>42330</v>
      </c>
      <c r="F747" s="132" t="s">
        <v>6260</v>
      </c>
      <c r="G747" s="132" t="s">
        <v>6557</v>
      </c>
      <c r="H747" s="130" t="s">
        <v>4491</v>
      </c>
      <c r="I747" s="132" t="s">
        <v>40</v>
      </c>
      <c r="J747" s="131" t="s">
        <v>4432</v>
      </c>
      <c r="K747" s="132" t="s">
        <v>4433</v>
      </c>
      <c r="L747" s="136">
        <v>4167052</v>
      </c>
      <c r="M747" s="132">
        <v>42326</v>
      </c>
      <c r="N747" s="136" t="s">
        <v>4650</v>
      </c>
      <c r="O747" s="130" t="s">
        <v>4436</v>
      </c>
      <c r="P747" s="130" t="s">
        <v>308</v>
      </c>
      <c r="Q747" s="130">
        <v>38237090</v>
      </c>
      <c r="R747" s="136">
        <v>16.8</v>
      </c>
      <c r="S747" s="130" t="s">
        <v>70</v>
      </c>
      <c r="T747" s="136" t="s">
        <v>52</v>
      </c>
      <c r="U747" s="136" t="s">
        <v>53</v>
      </c>
      <c r="V747" s="136">
        <v>3669</v>
      </c>
      <c r="W747" s="133">
        <f t="shared" si="33"/>
        <v>61639.200000000004</v>
      </c>
      <c r="X747" s="136">
        <v>0</v>
      </c>
      <c r="Y747" s="136">
        <v>600</v>
      </c>
      <c r="Z747" s="136">
        <v>0</v>
      </c>
      <c r="AA747" s="136">
        <v>0</v>
      </c>
      <c r="AB747" s="131">
        <v>42327</v>
      </c>
      <c r="AC747" s="134">
        <f t="shared" si="34"/>
        <v>61039.19999999999</v>
      </c>
      <c r="AD747" s="135">
        <v>65.150000000000006</v>
      </c>
      <c r="AE747" s="136">
        <f t="shared" si="35"/>
        <v>4015793.8800000008</v>
      </c>
      <c r="AF747" s="137">
        <v>3976703.88</v>
      </c>
      <c r="AG747" s="138">
        <v>65.150000000000006</v>
      </c>
      <c r="AH747" s="136" t="s">
        <v>6558</v>
      </c>
      <c r="AI747" s="136">
        <v>61551.97</v>
      </c>
      <c r="AJ747" s="132">
        <v>42432</v>
      </c>
      <c r="AK747" s="136" t="s">
        <v>6559</v>
      </c>
      <c r="AL747" s="132">
        <v>42433</v>
      </c>
      <c r="AM747" s="131" t="s">
        <v>49</v>
      </c>
      <c r="AN747" s="136" t="s">
        <v>4440</v>
      </c>
    </row>
    <row r="748" spans="1:40" s="129" customFormat="1" x14ac:dyDescent="0.25">
      <c r="A748" s="130">
        <v>747</v>
      </c>
      <c r="B748" s="130" t="s">
        <v>4428</v>
      </c>
      <c r="C748" s="130" t="s">
        <v>38</v>
      </c>
      <c r="D748" s="136" t="s">
        <v>6560</v>
      </c>
      <c r="E748" s="132">
        <v>42331</v>
      </c>
      <c r="F748" s="132" t="s">
        <v>6260</v>
      </c>
      <c r="G748" s="132" t="s">
        <v>6561</v>
      </c>
      <c r="H748" s="130" t="s">
        <v>4446</v>
      </c>
      <c r="I748" s="132" t="s">
        <v>40</v>
      </c>
      <c r="J748" s="131" t="s">
        <v>4432</v>
      </c>
      <c r="K748" s="132" t="s">
        <v>4433</v>
      </c>
      <c r="L748" s="136">
        <v>4188092</v>
      </c>
      <c r="M748" s="132">
        <v>42327</v>
      </c>
      <c r="N748" s="136" t="s">
        <v>82</v>
      </c>
      <c r="O748" s="130" t="s">
        <v>4436</v>
      </c>
      <c r="P748" s="130" t="s">
        <v>4566</v>
      </c>
      <c r="Q748" s="130" t="s">
        <v>6562</v>
      </c>
      <c r="R748" s="136">
        <v>9.56</v>
      </c>
      <c r="S748" s="130" t="s">
        <v>70</v>
      </c>
      <c r="T748" s="136" t="s">
        <v>44</v>
      </c>
      <c r="U748" s="136" t="s">
        <v>53</v>
      </c>
      <c r="V748" s="136">
        <v>0</v>
      </c>
      <c r="W748" s="133">
        <f>(0.2*1455+4.86*1365+4.5*765)</f>
        <v>10367.400000000001</v>
      </c>
      <c r="X748" s="136">
        <v>3.42</v>
      </c>
      <c r="Y748" s="136">
        <v>30</v>
      </c>
      <c r="Z748" s="136">
        <v>0</v>
      </c>
      <c r="AA748" s="136">
        <v>0</v>
      </c>
      <c r="AB748" s="131">
        <v>42328</v>
      </c>
      <c r="AC748" s="134">
        <f t="shared" si="34"/>
        <v>10333.980046047582</v>
      </c>
      <c r="AD748" s="135">
        <v>65.150000000000006</v>
      </c>
      <c r="AE748" s="136">
        <f t="shared" si="35"/>
        <v>675436.1100000001</v>
      </c>
      <c r="AF748" s="137">
        <v>673258.8</v>
      </c>
      <c r="AG748" s="138">
        <v>65.650000000000006</v>
      </c>
      <c r="AH748" s="136" t="s">
        <v>6563</v>
      </c>
      <c r="AI748" s="136">
        <v>10315.4</v>
      </c>
      <c r="AJ748" s="132">
        <v>42382</v>
      </c>
      <c r="AK748" s="136" t="s">
        <v>6564</v>
      </c>
      <c r="AL748" s="132">
        <v>42383</v>
      </c>
      <c r="AM748" s="131" t="s">
        <v>49</v>
      </c>
      <c r="AN748" s="133" t="s">
        <v>4440</v>
      </c>
    </row>
    <row r="749" spans="1:40" s="129" customFormat="1" x14ac:dyDescent="0.25">
      <c r="A749" s="136">
        <v>748</v>
      </c>
      <c r="B749" s="130" t="s">
        <v>4428</v>
      </c>
      <c r="C749" s="130" t="s">
        <v>38</v>
      </c>
      <c r="D749" s="136" t="s">
        <v>6565</v>
      </c>
      <c r="E749" s="132">
        <v>42333</v>
      </c>
      <c r="F749" s="132" t="s">
        <v>6260</v>
      </c>
      <c r="G749" s="132" t="s">
        <v>6566</v>
      </c>
      <c r="H749" s="130" t="s">
        <v>4463</v>
      </c>
      <c r="I749" s="132" t="s">
        <v>40</v>
      </c>
      <c r="J749" s="131" t="s">
        <v>4432</v>
      </c>
      <c r="K749" s="132" t="s">
        <v>4433</v>
      </c>
      <c r="L749" s="136">
        <v>4186181</v>
      </c>
      <c r="M749" s="132">
        <v>42327</v>
      </c>
      <c r="N749" s="136" t="s">
        <v>4622</v>
      </c>
      <c r="O749" s="130" t="s">
        <v>4436</v>
      </c>
      <c r="P749" s="130" t="s">
        <v>75</v>
      </c>
      <c r="Q749" s="130">
        <v>38237090</v>
      </c>
      <c r="R749" s="136">
        <v>1.2</v>
      </c>
      <c r="S749" s="130" t="s">
        <v>70</v>
      </c>
      <c r="T749" s="136" t="s">
        <v>67</v>
      </c>
      <c r="U749" s="136" t="s">
        <v>53</v>
      </c>
      <c r="V749" s="136">
        <v>1280</v>
      </c>
      <c r="W749" s="133">
        <f t="shared" si="33"/>
        <v>1536</v>
      </c>
      <c r="X749" s="136">
        <v>0</v>
      </c>
      <c r="Y749" s="136">
        <v>0</v>
      </c>
      <c r="Z749" s="136">
        <v>0</v>
      </c>
      <c r="AA749" s="136">
        <v>0</v>
      </c>
      <c r="AB749" s="131">
        <v>42328</v>
      </c>
      <c r="AC749" s="134">
        <f t="shared" si="34"/>
        <v>1535.9999999999998</v>
      </c>
      <c r="AD749" s="135">
        <v>65.150000000000006</v>
      </c>
      <c r="AE749" s="136">
        <f t="shared" si="35"/>
        <v>100070.40000000001</v>
      </c>
      <c r="AF749" s="137">
        <v>100070.39999999999</v>
      </c>
      <c r="AG749" s="138">
        <v>65.650000000000006</v>
      </c>
      <c r="AH749" s="136" t="s">
        <v>6567</v>
      </c>
      <c r="AI749" s="136">
        <v>1504</v>
      </c>
      <c r="AJ749" s="132">
        <v>42446</v>
      </c>
      <c r="AK749" s="136" t="s">
        <v>6568</v>
      </c>
      <c r="AL749" s="132">
        <v>42447</v>
      </c>
      <c r="AM749" s="131" t="s">
        <v>49</v>
      </c>
      <c r="AN749" s="133" t="s">
        <v>4440</v>
      </c>
    </row>
    <row r="750" spans="1:40" s="129" customFormat="1" x14ac:dyDescent="0.25">
      <c r="A750" s="130">
        <v>749</v>
      </c>
      <c r="B750" s="130" t="s">
        <v>4428</v>
      </c>
      <c r="C750" s="130" t="s">
        <v>38</v>
      </c>
      <c r="D750" s="136" t="s">
        <v>6569</v>
      </c>
      <c r="E750" s="132">
        <v>42331</v>
      </c>
      <c r="F750" s="132" t="s">
        <v>6260</v>
      </c>
      <c r="G750" s="132" t="s">
        <v>6570</v>
      </c>
      <c r="H750" s="130" t="s">
        <v>4446</v>
      </c>
      <c r="I750" s="132" t="s">
        <v>40</v>
      </c>
      <c r="J750" s="131" t="s">
        <v>4432</v>
      </c>
      <c r="K750" s="132" t="s">
        <v>4433</v>
      </c>
      <c r="L750" s="136">
        <v>4217151</v>
      </c>
      <c r="M750" s="132">
        <v>42328</v>
      </c>
      <c r="N750" s="136" t="s">
        <v>4733</v>
      </c>
      <c r="O750" s="130" t="s">
        <v>4436</v>
      </c>
      <c r="P750" s="130" t="s">
        <v>492</v>
      </c>
      <c r="Q750" s="130">
        <v>38231900</v>
      </c>
      <c r="R750" s="136">
        <v>39.03</v>
      </c>
      <c r="S750" s="130" t="s">
        <v>70</v>
      </c>
      <c r="T750" s="136" t="s">
        <v>44</v>
      </c>
      <c r="U750" s="136" t="s">
        <v>53</v>
      </c>
      <c r="V750" s="136">
        <v>3750</v>
      </c>
      <c r="W750" s="133">
        <f t="shared" si="33"/>
        <v>146362.5</v>
      </c>
      <c r="X750" s="136">
        <v>48.3</v>
      </c>
      <c r="Y750" s="136">
        <v>600</v>
      </c>
      <c r="Z750" s="136">
        <v>0</v>
      </c>
      <c r="AA750" s="136">
        <v>0</v>
      </c>
      <c r="AB750" s="131">
        <v>42329</v>
      </c>
      <c r="AC750" s="134">
        <f t="shared" si="34"/>
        <v>145714.20015232291</v>
      </c>
      <c r="AD750" s="135">
        <v>65.650000000000006</v>
      </c>
      <c r="AE750" s="136">
        <f>AD750*W750</f>
        <v>9608698.125</v>
      </c>
      <c r="AF750" s="137">
        <v>9566137.2400000002</v>
      </c>
      <c r="AG750" s="138">
        <v>65.650000000000006</v>
      </c>
      <c r="AH750" s="136" t="s">
        <v>6571</v>
      </c>
      <c r="AI750" s="133">
        <v>146362.5</v>
      </c>
      <c r="AJ750" s="132">
        <v>42376</v>
      </c>
      <c r="AK750" s="136" t="s">
        <v>6572</v>
      </c>
      <c r="AL750" s="132">
        <v>42377</v>
      </c>
      <c r="AM750" s="131" t="s">
        <v>49</v>
      </c>
      <c r="AN750" s="136" t="s">
        <v>4440</v>
      </c>
    </row>
    <row r="751" spans="1:40" s="129" customFormat="1" x14ac:dyDescent="0.25">
      <c r="A751" s="136">
        <v>750</v>
      </c>
      <c r="B751" s="130" t="s">
        <v>4428</v>
      </c>
      <c r="C751" s="130" t="s">
        <v>38</v>
      </c>
      <c r="D751" s="136" t="s">
        <v>6573</v>
      </c>
      <c r="E751" s="132">
        <v>42334</v>
      </c>
      <c r="F751" s="132" t="s">
        <v>6260</v>
      </c>
      <c r="G751" s="132" t="s">
        <v>6574</v>
      </c>
      <c r="H751" s="130" t="s">
        <v>4463</v>
      </c>
      <c r="I751" s="132" t="s">
        <v>40</v>
      </c>
      <c r="J751" s="131" t="s">
        <v>4432</v>
      </c>
      <c r="K751" s="132" t="s">
        <v>4433</v>
      </c>
      <c r="L751" s="136">
        <v>4217128</v>
      </c>
      <c r="M751" s="132">
        <v>42328</v>
      </c>
      <c r="N751" s="136" t="s">
        <v>5839</v>
      </c>
      <c r="O751" s="130" t="s">
        <v>4436</v>
      </c>
      <c r="P751" s="130" t="s">
        <v>64</v>
      </c>
      <c r="Q751" s="130">
        <v>38237090</v>
      </c>
      <c r="R751" s="136">
        <v>20</v>
      </c>
      <c r="S751" s="130" t="s">
        <v>70</v>
      </c>
      <c r="T751" s="136" t="s">
        <v>44</v>
      </c>
      <c r="U751" s="136" t="s">
        <v>53</v>
      </c>
      <c r="V751" s="136">
        <v>3885</v>
      </c>
      <c r="W751" s="133">
        <f t="shared" si="33"/>
        <v>77700</v>
      </c>
      <c r="X751" s="136">
        <v>25.64</v>
      </c>
      <c r="Y751" s="136">
        <v>50</v>
      </c>
      <c r="Z751" s="136">
        <v>0</v>
      </c>
      <c r="AA751" s="136">
        <v>0</v>
      </c>
      <c r="AB751" s="131">
        <v>42329</v>
      </c>
      <c r="AC751" s="134">
        <f t="shared" si="34"/>
        <v>77624.359939070826</v>
      </c>
      <c r="AD751" s="135">
        <v>65.650000000000006</v>
      </c>
      <c r="AE751" s="136">
        <f t="shared" si="35"/>
        <v>5101005</v>
      </c>
      <c r="AF751" s="137">
        <v>5096039.2300000004</v>
      </c>
      <c r="AG751" s="138">
        <v>65.650000000000006</v>
      </c>
      <c r="AH751" s="136" t="s">
        <v>6575</v>
      </c>
      <c r="AI751" s="136">
        <v>77475</v>
      </c>
      <c r="AJ751" s="132">
        <v>42359</v>
      </c>
      <c r="AK751" s="136" t="s">
        <v>6576</v>
      </c>
      <c r="AL751" s="132">
        <v>42360</v>
      </c>
      <c r="AM751" s="131" t="s">
        <v>49</v>
      </c>
      <c r="AN751" s="133" t="s">
        <v>4440</v>
      </c>
    </row>
    <row r="752" spans="1:40" s="129" customFormat="1" x14ac:dyDescent="0.25">
      <c r="A752" s="130">
        <v>751</v>
      </c>
      <c r="B752" s="130" t="s">
        <v>4428</v>
      </c>
      <c r="C752" s="130" t="s">
        <v>38</v>
      </c>
      <c r="D752" s="136" t="s">
        <v>6577</v>
      </c>
      <c r="E752" s="132">
        <v>42334</v>
      </c>
      <c r="F752" s="132" t="s">
        <v>6260</v>
      </c>
      <c r="G752" s="132" t="s">
        <v>6578</v>
      </c>
      <c r="H752" s="130" t="s">
        <v>4463</v>
      </c>
      <c r="I752" s="132" t="s">
        <v>40</v>
      </c>
      <c r="J752" s="131" t="s">
        <v>4432</v>
      </c>
      <c r="K752" s="132" t="s">
        <v>4433</v>
      </c>
      <c r="L752" s="136">
        <v>4249213</v>
      </c>
      <c r="M752" s="132">
        <v>42331</v>
      </c>
      <c r="N752" s="136" t="s">
        <v>4630</v>
      </c>
      <c r="O752" s="130" t="s">
        <v>4436</v>
      </c>
      <c r="P752" s="130" t="s">
        <v>6579</v>
      </c>
      <c r="Q752" s="130">
        <v>29051700</v>
      </c>
      <c r="R752" s="136">
        <v>16</v>
      </c>
      <c r="S752" s="130" t="s">
        <v>70</v>
      </c>
      <c r="T752" s="136" t="s">
        <v>44</v>
      </c>
      <c r="U752" s="136" t="s">
        <v>53</v>
      </c>
      <c r="V752" s="136">
        <v>1435</v>
      </c>
      <c r="W752" s="133">
        <f t="shared" si="33"/>
        <v>22960</v>
      </c>
      <c r="X752" s="136">
        <v>7.58</v>
      </c>
      <c r="Y752" s="136">
        <v>2050</v>
      </c>
      <c r="Z752" s="136">
        <v>0</v>
      </c>
      <c r="AA752" s="136">
        <v>0</v>
      </c>
      <c r="AB752" s="131">
        <v>42332</v>
      </c>
      <c r="AC752" s="134">
        <f t="shared" si="34"/>
        <v>20902.419954303121</v>
      </c>
      <c r="AD752" s="135">
        <v>65.650000000000006</v>
      </c>
      <c r="AE752" s="136">
        <f t="shared" si="35"/>
        <v>1507324.0000000002</v>
      </c>
      <c r="AF752" s="137">
        <v>1372243.87</v>
      </c>
      <c r="AG752" s="138">
        <v>65.650000000000006</v>
      </c>
      <c r="AH752" s="136" t="s">
        <v>6580</v>
      </c>
      <c r="AI752" s="136">
        <v>22960</v>
      </c>
      <c r="AJ752" s="132">
        <v>42399</v>
      </c>
      <c r="AK752" s="136" t="s">
        <v>6581</v>
      </c>
      <c r="AL752" s="132">
        <v>42401</v>
      </c>
      <c r="AM752" s="131" t="s">
        <v>49</v>
      </c>
      <c r="AN752" s="133" t="s">
        <v>4440</v>
      </c>
    </row>
    <row r="753" spans="1:40" s="129" customFormat="1" x14ac:dyDescent="0.25">
      <c r="A753" s="136">
        <v>752</v>
      </c>
      <c r="B753" s="130" t="s">
        <v>4428</v>
      </c>
      <c r="C753" s="130" t="s">
        <v>38</v>
      </c>
      <c r="D753" s="136" t="s">
        <v>6582</v>
      </c>
      <c r="E753" s="132">
        <v>42334</v>
      </c>
      <c r="F753" s="132" t="s">
        <v>6260</v>
      </c>
      <c r="G753" s="132" t="s">
        <v>6583</v>
      </c>
      <c r="H753" s="130" t="s">
        <v>4463</v>
      </c>
      <c r="I753" s="132" t="s">
        <v>40</v>
      </c>
      <c r="J753" s="131" t="s">
        <v>4432</v>
      </c>
      <c r="K753" s="132" t="s">
        <v>4433</v>
      </c>
      <c r="L753" s="136">
        <v>4249252</v>
      </c>
      <c r="M753" s="132">
        <v>42331</v>
      </c>
      <c r="N753" s="136" t="s">
        <v>4840</v>
      </c>
      <c r="O753" s="130" t="s">
        <v>4436</v>
      </c>
      <c r="P753" s="130" t="s">
        <v>6579</v>
      </c>
      <c r="Q753" s="130">
        <v>29051700</v>
      </c>
      <c r="R753" s="136">
        <v>16</v>
      </c>
      <c r="S753" s="130" t="s">
        <v>70</v>
      </c>
      <c r="T753" s="136" t="s">
        <v>52</v>
      </c>
      <c r="U753" s="136" t="s">
        <v>53</v>
      </c>
      <c r="V753" s="136">
        <v>1350</v>
      </c>
      <c r="W753" s="133">
        <f t="shared" si="33"/>
        <v>21600</v>
      </c>
      <c r="X753" s="136">
        <v>0</v>
      </c>
      <c r="Y753" s="136">
        <v>2050</v>
      </c>
      <c r="Z753" s="136">
        <v>0</v>
      </c>
      <c r="AA753" s="136">
        <v>0</v>
      </c>
      <c r="AB753" s="131">
        <v>42332</v>
      </c>
      <c r="AC753" s="134">
        <f t="shared" si="34"/>
        <v>19550</v>
      </c>
      <c r="AD753" s="135">
        <v>65.650000000000006</v>
      </c>
      <c r="AE753" s="136">
        <f t="shared" si="35"/>
        <v>1418040.0000000002</v>
      </c>
      <c r="AF753" s="137">
        <v>1283457.5</v>
      </c>
      <c r="AG753" s="138">
        <v>65.650000000000006</v>
      </c>
      <c r="AH753" s="136" t="s">
        <v>6584</v>
      </c>
      <c r="AI753" s="136">
        <v>21575</v>
      </c>
      <c r="AJ753" s="132">
        <v>42415</v>
      </c>
      <c r="AK753" s="136" t="s">
        <v>6585</v>
      </c>
      <c r="AL753" s="132">
        <v>42416</v>
      </c>
      <c r="AM753" s="131" t="s">
        <v>49</v>
      </c>
      <c r="AN753" s="133" t="s">
        <v>4440</v>
      </c>
    </row>
    <row r="754" spans="1:40" s="129" customFormat="1" x14ac:dyDescent="0.25">
      <c r="A754" s="130">
        <v>753</v>
      </c>
      <c r="B754" s="130" t="s">
        <v>4428</v>
      </c>
      <c r="C754" s="130" t="s">
        <v>38</v>
      </c>
      <c r="D754" s="136" t="s">
        <v>6586</v>
      </c>
      <c r="E754" s="132">
        <v>42338</v>
      </c>
      <c r="F754" s="132" t="s">
        <v>6260</v>
      </c>
      <c r="G754" s="132" t="s">
        <v>6587</v>
      </c>
      <c r="H754" s="130" t="s">
        <v>4463</v>
      </c>
      <c r="I754" s="132" t="s">
        <v>40</v>
      </c>
      <c r="J754" s="131" t="s">
        <v>4432</v>
      </c>
      <c r="K754" s="132" t="s">
        <v>4433</v>
      </c>
      <c r="L754" s="136">
        <v>4251903</v>
      </c>
      <c r="M754" s="132">
        <v>42331</v>
      </c>
      <c r="N754" s="136" t="s">
        <v>5610</v>
      </c>
      <c r="O754" s="130" t="s">
        <v>4436</v>
      </c>
      <c r="P754" s="130" t="s">
        <v>329</v>
      </c>
      <c r="Q754" s="130">
        <v>29051700</v>
      </c>
      <c r="R754" s="136">
        <v>48</v>
      </c>
      <c r="S754" s="130" t="s">
        <v>70</v>
      </c>
      <c r="T754" s="136" t="s">
        <v>52</v>
      </c>
      <c r="U754" s="136" t="s">
        <v>53</v>
      </c>
      <c r="V754" s="136">
        <v>1348</v>
      </c>
      <c r="W754" s="133">
        <f t="shared" si="33"/>
        <v>64704</v>
      </c>
      <c r="X754" s="136">
        <v>0</v>
      </c>
      <c r="Y754" s="136">
        <v>1100</v>
      </c>
      <c r="Z754" s="136">
        <v>0</v>
      </c>
      <c r="AA754" s="136">
        <v>0</v>
      </c>
      <c r="AB754" s="131">
        <v>42334</v>
      </c>
      <c r="AC754" s="134">
        <f t="shared" si="34"/>
        <v>63603.999999999993</v>
      </c>
      <c r="AD754" s="135">
        <v>65.650000000000006</v>
      </c>
      <c r="AE754" s="136">
        <f t="shared" si="35"/>
        <v>4247817.6000000006</v>
      </c>
      <c r="AF754" s="137">
        <v>4175602.6</v>
      </c>
      <c r="AG754" s="138">
        <v>65.650000000000006</v>
      </c>
      <c r="AH754" s="136" t="s">
        <v>6588</v>
      </c>
      <c r="AI754" s="133">
        <v>64689</v>
      </c>
      <c r="AJ754" s="132">
        <v>42399</v>
      </c>
      <c r="AK754" s="136" t="s">
        <v>6589</v>
      </c>
      <c r="AL754" s="132">
        <v>42401</v>
      </c>
      <c r="AM754" s="131" t="s">
        <v>49</v>
      </c>
      <c r="AN754" s="136" t="s">
        <v>4440</v>
      </c>
    </row>
    <row r="755" spans="1:40" s="129" customFormat="1" x14ac:dyDescent="0.25">
      <c r="A755" s="136">
        <v>754</v>
      </c>
      <c r="B755" s="130" t="s">
        <v>4428</v>
      </c>
      <c r="C755" s="130" t="s">
        <v>38</v>
      </c>
      <c r="D755" s="136" t="s">
        <v>6590</v>
      </c>
      <c r="E755" s="132">
        <v>42336</v>
      </c>
      <c r="F755" s="132" t="s">
        <v>6260</v>
      </c>
      <c r="G755" s="132" t="s">
        <v>6591</v>
      </c>
      <c r="H755" s="130" t="s">
        <v>4491</v>
      </c>
      <c r="I755" s="132" t="s">
        <v>40</v>
      </c>
      <c r="J755" s="131" t="s">
        <v>4432</v>
      </c>
      <c r="K755" s="132" t="s">
        <v>4433</v>
      </c>
      <c r="L755" s="136">
        <v>4257374</v>
      </c>
      <c r="M755" s="132">
        <v>42331</v>
      </c>
      <c r="N755" s="136" t="s">
        <v>3741</v>
      </c>
      <c r="O755" s="130" t="s">
        <v>4436</v>
      </c>
      <c r="P755" s="130" t="s">
        <v>4492</v>
      </c>
      <c r="Q755" s="130">
        <v>29051700</v>
      </c>
      <c r="R755" s="136">
        <v>36.28</v>
      </c>
      <c r="S755" s="130" t="s">
        <v>70</v>
      </c>
      <c r="T755" s="136" t="s">
        <v>44</v>
      </c>
      <c r="U755" s="136" t="s">
        <v>53</v>
      </c>
      <c r="V755" s="136">
        <v>1679</v>
      </c>
      <c r="W755" s="133">
        <f t="shared" si="33"/>
        <v>60914.12</v>
      </c>
      <c r="X755" s="136">
        <v>20.11</v>
      </c>
      <c r="Y755" s="136">
        <v>3100</v>
      </c>
      <c r="Z755" s="136">
        <v>0</v>
      </c>
      <c r="AA755" s="136">
        <v>0</v>
      </c>
      <c r="AB755" s="131">
        <v>42334</v>
      </c>
      <c r="AC755" s="134">
        <f t="shared" si="34"/>
        <v>57807.440060929162</v>
      </c>
      <c r="AD755" s="135">
        <v>65.650000000000006</v>
      </c>
      <c r="AE755" s="136">
        <f t="shared" si="35"/>
        <v>3999011.9780000006</v>
      </c>
      <c r="AF755" s="137">
        <v>3795058.44</v>
      </c>
      <c r="AG755" s="138">
        <v>65.650000000000006</v>
      </c>
      <c r="AH755" s="136" t="s">
        <v>6592</v>
      </c>
      <c r="AI755" s="133">
        <v>60927.55</v>
      </c>
      <c r="AJ755" s="132">
        <v>42369</v>
      </c>
      <c r="AK755" s="136" t="s">
        <v>6593</v>
      </c>
      <c r="AL755" s="132">
        <v>42370</v>
      </c>
      <c r="AM755" s="131" t="s">
        <v>49</v>
      </c>
      <c r="AN755" s="136" t="s">
        <v>4440</v>
      </c>
    </row>
    <row r="756" spans="1:40" s="129" customFormat="1" x14ac:dyDescent="0.25">
      <c r="A756" s="130">
        <v>755</v>
      </c>
      <c r="B756" s="130" t="s">
        <v>4428</v>
      </c>
      <c r="C756" s="130" t="s">
        <v>38</v>
      </c>
      <c r="D756" s="136" t="s">
        <v>6594</v>
      </c>
      <c r="E756" s="132">
        <v>42336</v>
      </c>
      <c r="F756" s="132" t="s">
        <v>6260</v>
      </c>
      <c r="G756" s="132" t="s">
        <v>6595</v>
      </c>
      <c r="H756" s="130" t="s">
        <v>4491</v>
      </c>
      <c r="I756" s="132" t="s">
        <v>40</v>
      </c>
      <c r="J756" s="131" t="s">
        <v>4432</v>
      </c>
      <c r="K756" s="132" t="s">
        <v>4433</v>
      </c>
      <c r="L756" s="136">
        <v>4257526</v>
      </c>
      <c r="M756" s="132">
        <v>42331</v>
      </c>
      <c r="N756" s="136" t="s">
        <v>3741</v>
      </c>
      <c r="O756" s="130" t="s">
        <v>4436</v>
      </c>
      <c r="P756" s="130" t="s">
        <v>4492</v>
      </c>
      <c r="Q756" s="130">
        <v>38237090</v>
      </c>
      <c r="R756" s="136">
        <v>19.84</v>
      </c>
      <c r="S756" s="130" t="s">
        <v>70</v>
      </c>
      <c r="T756" s="136" t="s">
        <v>44</v>
      </c>
      <c r="U756" s="136" t="s">
        <v>53</v>
      </c>
      <c r="V756" s="136">
        <v>4030</v>
      </c>
      <c r="W756" s="133">
        <f t="shared" si="33"/>
        <v>79955.199999999997</v>
      </c>
      <c r="X756" s="136">
        <v>26.39</v>
      </c>
      <c r="Y756" s="136">
        <v>1550</v>
      </c>
      <c r="Z756" s="136">
        <v>0</v>
      </c>
      <c r="AA756" s="136">
        <v>0</v>
      </c>
      <c r="AB756" s="131">
        <v>42334</v>
      </c>
      <c r="AC756" s="134">
        <f t="shared" si="34"/>
        <v>78378.81005331302</v>
      </c>
      <c r="AD756" s="135">
        <v>65.650000000000006</v>
      </c>
      <c r="AE756" s="136">
        <f t="shared" si="35"/>
        <v>5249058.88</v>
      </c>
      <c r="AF756" s="137">
        <v>5145568.88</v>
      </c>
      <c r="AG756" s="138">
        <v>65.650000000000006</v>
      </c>
      <c r="AH756" s="136" t="s">
        <v>6596</v>
      </c>
      <c r="AI756" s="133">
        <v>79955.199999999997</v>
      </c>
      <c r="AJ756" s="132">
        <v>42369</v>
      </c>
      <c r="AK756" s="136" t="s">
        <v>6597</v>
      </c>
      <c r="AL756" s="132">
        <v>42370</v>
      </c>
      <c r="AM756" s="131" t="s">
        <v>49</v>
      </c>
      <c r="AN756" s="136" t="s">
        <v>4440</v>
      </c>
    </row>
    <row r="757" spans="1:40" s="129" customFormat="1" x14ac:dyDescent="0.25">
      <c r="A757" s="136">
        <v>756</v>
      </c>
      <c r="B757" s="130" t="s">
        <v>4428</v>
      </c>
      <c r="C757" s="130" t="s">
        <v>38</v>
      </c>
      <c r="D757" s="136" t="s">
        <v>6598</v>
      </c>
      <c r="E757" s="132">
        <v>42336</v>
      </c>
      <c r="F757" s="132" t="s">
        <v>6260</v>
      </c>
      <c r="G757" s="132" t="s">
        <v>6599</v>
      </c>
      <c r="H757" s="130" t="s">
        <v>4456</v>
      </c>
      <c r="I757" s="132" t="s">
        <v>40</v>
      </c>
      <c r="J757" s="131" t="s">
        <v>4432</v>
      </c>
      <c r="K757" s="132" t="s">
        <v>4433</v>
      </c>
      <c r="L757" s="136">
        <v>4257657</v>
      </c>
      <c r="M757" s="132">
        <v>42331</v>
      </c>
      <c r="N757" s="136" t="s">
        <v>4448</v>
      </c>
      <c r="O757" s="130" t="s">
        <v>4436</v>
      </c>
      <c r="P757" s="130" t="s">
        <v>47</v>
      </c>
      <c r="Q757" s="130">
        <v>38231900</v>
      </c>
      <c r="R757" s="136">
        <v>39.15</v>
      </c>
      <c r="S757" s="130" t="s">
        <v>70</v>
      </c>
      <c r="T757" s="136" t="s">
        <v>44</v>
      </c>
      <c r="U757" s="136" t="s">
        <v>53</v>
      </c>
      <c r="V757" s="136">
        <v>4025</v>
      </c>
      <c r="W757" s="133">
        <f t="shared" si="33"/>
        <v>157578.75</v>
      </c>
      <c r="X757" s="136">
        <v>52.48</v>
      </c>
      <c r="Y757" s="136">
        <v>1000</v>
      </c>
      <c r="Z757" s="136">
        <v>0</v>
      </c>
      <c r="AA757" s="136">
        <v>0</v>
      </c>
      <c r="AB757" s="131">
        <v>42334</v>
      </c>
      <c r="AC757" s="134">
        <f t="shared" si="34"/>
        <v>157975.2700685453</v>
      </c>
      <c r="AD757" s="135">
        <v>65.650000000000006</v>
      </c>
      <c r="AE757" s="136">
        <f t="shared" si="35"/>
        <v>10345044.9375</v>
      </c>
      <c r="AF757" s="137">
        <v>10371076.48</v>
      </c>
      <c r="AG757" s="138">
        <v>65.650000000000006</v>
      </c>
      <c r="AH757" s="136" t="s">
        <v>6600</v>
      </c>
      <c r="AI757" s="136">
        <v>159027.75</v>
      </c>
      <c r="AJ757" s="132">
        <v>42397</v>
      </c>
      <c r="AK757" s="136" t="s">
        <v>6601</v>
      </c>
      <c r="AL757" s="132">
        <v>42398</v>
      </c>
      <c r="AM757" s="131" t="s">
        <v>49</v>
      </c>
      <c r="AN757" s="136" t="s">
        <v>4440</v>
      </c>
    </row>
    <row r="758" spans="1:40" s="129" customFormat="1" x14ac:dyDescent="0.25">
      <c r="A758" s="130">
        <v>757</v>
      </c>
      <c r="B758" s="130" t="s">
        <v>4428</v>
      </c>
      <c r="C758" s="130" t="s">
        <v>38</v>
      </c>
      <c r="D758" s="136" t="s">
        <v>6598</v>
      </c>
      <c r="E758" s="132">
        <v>42336</v>
      </c>
      <c r="F758" s="132" t="s">
        <v>6260</v>
      </c>
      <c r="G758" s="132" t="s">
        <v>6602</v>
      </c>
      <c r="H758" s="130" t="s">
        <v>4456</v>
      </c>
      <c r="I758" s="132" t="s">
        <v>40</v>
      </c>
      <c r="J758" s="131" t="s">
        <v>4432</v>
      </c>
      <c r="K758" s="132" t="s">
        <v>4433</v>
      </c>
      <c r="L758" s="136">
        <v>4265724</v>
      </c>
      <c r="M758" s="132">
        <v>42332</v>
      </c>
      <c r="N758" s="136" t="s">
        <v>4448</v>
      </c>
      <c r="O758" s="130" t="s">
        <v>4436</v>
      </c>
      <c r="P758" s="130" t="s">
        <v>47</v>
      </c>
      <c r="Q758" s="130">
        <v>38231900</v>
      </c>
      <c r="R758" s="136">
        <v>39.86</v>
      </c>
      <c r="S758" s="130" t="s">
        <v>70</v>
      </c>
      <c r="T758" s="136" t="s">
        <v>44</v>
      </c>
      <c r="U758" s="136" t="s">
        <v>53</v>
      </c>
      <c r="V758" s="136">
        <v>4025</v>
      </c>
      <c r="W758" s="133">
        <f t="shared" si="33"/>
        <v>160436.5</v>
      </c>
      <c r="X758" s="136">
        <v>52.94</v>
      </c>
      <c r="Y758" s="136">
        <v>1000</v>
      </c>
      <c r="Z758" s="136">
        <v>0</v>
      </c>
      <c r="AA758" s="136">
        <v>0</v>
      </c>
      <c r="AB758" s="131">
        <v>42334</v>
      </c>
      <c r="AC758" s="134">
        <f t="shared" si="34"/>
        <v>159383.56009139374</v>
      </c>
      <c r="AD758" s="135">
        <v>65.650000000000006</v>
      </c>
      <c r="AE758" s="136">
        <f>AD758*W758</f>
        <v>10532656.225000001</v>
      </c>
      <c r="AF758" s="137">
        <v>10463530.720000001</v>
      </c>
      <c r="AG758" s="138">
        <v>65.650000000000006</v>
      </c>
      <c r="AH758" s="136" t="s">
        <v>6600</v>
      </c>
      <c r="AI758" s="136">
        <v>160436.5</v>
      </c>
      <c r="AJ758" s="132">
        <v>42397</v>
      </c>
      <c r="AK758" s="136" t="s">
        <v>6603</v>
      </c>
      <c r="AL758" s="132">
        <v>42398</v>
      </c>
      <c r="AM758" s="131" t="s">
        <v>49</v>
      </c>
      <c r="AN758" s="136" t="s">
        <v>4440</v>
      </c>
    </row>
    <row r="759" spans="1:40" s="129" customFormat="1" x14ac:dyDescent="0.25">
      <c r="A759" s="136">
        <v>758</v>
      </c>
      <c r="B759" s="130" t="s">
        <v>4428</v>
      </c>
      <c r="C759" s="130" t="s">
        <v>38</v>
      </c>
      <c r="D759" s="136">
        <v>9103650715</v>
      </c>
      <c r="E759" s="132">
        <v>42335</v>
      </c>
      <c r="F759" s="132" t="s">
        <v>6260</v>
      </c>
      <c r="G759" s="132" t="s">
        <v>840</v>
      </c>
      <c r="H759" s="130" t="s">
        <v>4446</v>
      </c>
      <c r="I759" s="132" t="s">
        <v>40</v>
      </c>
      <c r="J759" s="131" t="s">
        <v>4432</v>
      </c>
      <c r="K759" s="132" t="s">
        <v>4433</v>
      </c>
      <c r="L759" s="136">
        <v>4270312</v>
      </c>
      <c r="M759" s="132">
        <v>42332</v>
      </c>
      <c r="N759" s="136" t="s">
        <v>5036</v>
      </c>
      <c r="O759" s="130" t="s">
        <v>4436</v>
      </c>
      <c r="P759" s="130" t="s">
        <v>143</v>
      </c>
      <c r="Q759" s="130">
        <v>29054500</v>
      </c>
      <c r="R759" s="136">
        <v>16.5</v>
      </c>
      <c r="S759" s="130" t="s">
        <v>70</v>
      </c>
      <c r="T759" s="136" t="s">
        <v>44</v>
      </c>
      <c r="U759" s="136" t="s">
        <v>53</v>
      </c>
      <c r="V759" s="136">
        <v>750</v>
      </c>
      <c r="W759" s="133">
        <f t="shared" si="33"/>
        <v>12375</v>
      </c>
      <c r="X759" s="136">
        <v>4.08</v>
      </c>
      <c r="Y759" s="136">
        <v>625</v>
      </c>
      <c r="Z759" s="136">
        <v>0</v>
      </c>
      <c r="AA759" s="136">
        <v>0</v>
      </c>
      <c r="AB759" s="131">
        <v>42333</v>
      </c>
      <c r="AC759" s="134">
        <f t="shared" si="34"/>
        <v>11745.920030464584</v>
      </c>
      <c r="AD759" s="135">
        <v>65.650000000000006</v>
      </c>
      <c r="AE759" s="136">
        <f t="shared" si="35"/>
        <v>812418.75000000012</v>
      </c>
      <c r="AF759" s="137">
        <v>771119.65</v>
      </c>
      <c r="AG759" s="138">
        <v>65.650000000000006</v>
      </c>
      <c r="AH759" s="136" t="s">
        <v>6604</v>
      </c>
      <c r="AI759" s="136">
        <v>12375</v>
      </c>
      <c r="AJ759" s="132">
        <v>42629</v>
      </c>
      <c r="AK759" s="136" t="s">
        <v>6605</v>
      </c>
      <c r="AL759" s="132">
        <v>42630</v>
      </c>
      <c r="AM759" s="131" t="s">
        <v>49</v>
      </c>
      <c r="AN759" s="133" t="s">
        <v>4440</v>
      </c>
    </row>
    <row r="760" spans="1:40" s="129" customFormat="1" x14ac:dyDescent="0.25">
      <c r="A760" s="130">
        <v>759</v>
      </c>
      <c r="B760" s="130" t="s">
        <v>4428</v>
      </c>
      <c r="C760" s="130" t="s">
        <v>38</v>
      </c>
      <c r="D760" s="136" t="s">
        <v>6606</v>
      </c>
      <c r="E760" s="132">
        <v>42337</v>
      </c>
      <c r="F760" s="132" t="s">
        <v>6260</v>
      </c>
      <c r="G760" s="132" t="s">
        <v>6607</v>
      </c>
      <c r="H760" s="130" t="s">
        <v>4431</v>
      </c>
      <c r="I760" s="132" t="s">
        <v>40</v>
      </c>
      <c r="J760" s="131" t="s">
        <v>4432</v>
      </c>
      <c r="K760" s="132" t="s">
        <v>4433</v>
      </c>
      <c r="L760" s="136">
        <v>4309561</v>
      </c>
      <c r="M760" s="132">
        <v>42334</v>
      </c>
      <c r="N760" s="136" t="s">
        <v>5545</v>
      </c>
      <c r="O760" s="130" t="s">
        <v>4436</v>
      </c>
      <c r="P760" s="130" t="s">
        <v>5546</v>
      </c>
      <c r="Q760" s="130" t="s">
        <v>5872</v>
      </c>
      <c r="R760" s="136">
        <v>16</v>
      </c>
      <c r="S760" s="130" t="s">
        <v>70</v>
      </c>
      <c r="T760" s="136" t="s">
        <v>52</v>
      </c>
      <c r="U760" s="136" t="s">
        <v>53</v>
      </c>
      <c r="V760" s="136">
        <v>0</v>
      </c>
      <c r="W760" s="133">
        <f>(5*1511.51+11*1611.51)</f>
        <v>25284.16</v>
      </c>
      <c r="X760" s="136">
        <v>0</v>
      </c>
      <c r="Y760" s="136">
        <v>850</v>
      </c>
      <c r="Z760" s="136">
        <v>0</v>
      </c>
      <c r="AA760" s="136">
        <v>0</v>
      </c>
      <c r="AB760" s="131">
        <v>42335</v>
      </c>
      <c r="AC760" s="134">
        <f t="shared" si="34"/>
        <v>24434.159939070829</v>
      </c>
      <c r="AD760" s="135">
        <v>65.650000000000006</v>
      </c>
      <c r="AE760" s="136">
        <f t="shared" si="35"/>
        <v>1659905.1040000001</v>
      </c>
      <c r="AF760" s="137">
        <v>1604102.6</v>
      </c>
      <c r="AG760" s="138">
        <v>65.650000000000006</v>
      </c>
      <c r="AH760" s="136" t="s">
        <v>6608</v>
      </c>
      <c r="AI760" s="136">
        <v>25134.16</v>
      </c>
      <c r="AJ760" s="132">
        <v>42396</v>
      </c>
      <c r="AK760" s="136" t="s">
        <v>6609</v>
      </c>
      <c r="AL760" s="132">
        <v>42397</v>
      </c>
      <c r="AM760" s="131" t="s">
        <v>49</v>
      </c>
      <c r="AN760" s="136" t="s">
        <v>4440</v>
      </c>
    </row>
    <row r="761" spans="1:40" s="129" customFormat="1" x14ac:dyDescent="0.25">
      <c r="A761" s="136">
        <v>760</v>
      </c>
      <c r="B761" s="130" t="s">
        <v>4428</v>
      </c>
      <c r="C761" s="130" t="s">
        <v>38</v>
      </c>
      <c r="D761" s="136" t="s">
        <v>6610</v>
      </c>
      <c r="E761" s="132">
        <v>42338</v>
      </c>
      <c r="F761" s="132" t="s">
        <v>6260</v>
      </c>
      <c r="G761" s="132" t="s">
        <v>6611</v>
      </c>
      <c r="H761" s="130" t="s">
        <v>4446</v>
      </c>
      <c r="I761" s="132" t="s">
        <v>40</v>
      </c>
      <c r="J761" s="131" t="s">
        <v>4432</v>
      </c>
      <c r="K761" s="132" t="s">
        <v>4433</v>
      </c>
      <c r="L761" s="136">
        <v>4298255</v>
      </c>
      <c r="M761" s="132">
        <v>42333</v>
      </c>
      <c r="N761" s="136" t="s">
        <v>4733</v>
      </c>
      <c r="O761" s="130" t="s">
        <v>4436</v>
      </c>
      <c r="P761" s="130" t="s">
        <v>492</v>
      </c>
      <c r="Q761" s="130">
        <v>38231900</v>
      </c>
      <c r="R761" s="136">
        <v>39.67</v>
      </c>
      <c r="S761" s="130" t="s">
        <v>70</v>
      </c>
      <c r="T761" s="136" t="s">
        <v>6612</v>
      </c>
      <c r="U761" s="136" t="s">
        <v>53</v>
      </c>
      <c r="V761" s="136">
        <v>3750</v>
      </c>
      <c r="W761" s="133">
        <f t="shared" si="33"/>
        <v>148762.5</v>
      </c>
      <c r="X761" s="136">
        <v>49.09</v>
      </c>
      <c r="Y761" s="136">
        <v>500</v>
      </c>
      <c r="Z761" s="136">
        <v>0</v>
      </c>
      <c r="AA761" s="136">
        <v>0</v>
      </c>
      <c r="AB761" s="131">
        <v>42335</v>
      </c>
      <c r="AC761" s="134">
        <f t="shared" si="34"/>
        <v>148213.41005331301</v>
      </c>
      <c r="AD761" s="135">
        <v>65.650000000000006</v>
      </c>
      <c r="AE761" s="136">
        <f t="shared" si="35"/>
        <v>9766258.125</v>
      </c>
      <c r="AF761" s="137">
        <v>9730210.3699999992</v>
      </c>
      <c r="AG761" s="138">
        <v>65.650000000000006</v>
      </c>
      <c r="AH761" s="136" t="s">
        <v>6613</v>
      </c>
      <c r="AI761" s="136">
        <v>148725.5</v>
      </c>
      <c r="AJ761" s="132">
        <v>42376</v>
      </c>
      <c r="AK761" s="136" t="s">
        <v>6614</v>
      </c>
      <c r="AL761" s="132">
        <v>42377</v>
      </c>
      <c r="AM761" s="131" t="s">
        <v>49</v>
      </c>
      <c r="AN761" s="136" t="s">
        <v>4440</v>
      </c>
    </row>
    <row r="762" spans="1:40" s="129" customFormat="1" x14ac:dyDescent="0.25">
      <c r="A762" s="130">
        <v>761</v>
      </c>
      <c r="B762" s="130" t="s">
        <v>4428</v>
      </c>
      <c r="C762" s="130" t="s">
        <v>38</v>
      </c>
      <c r="D762" s="136">
        <v>9103650718</v>
      </c>
      <c r="E762" s="132">
        <v>42338</v>
      </c>
      <c r="F762" s="132" t="s">
        <v>6260</v>
      </c>
      <c r="G762" s="132" t="s">
        <v>6615</v>
      </c>
      <c r="H762" s="130" t="s">
        <v>4463</v>
      </c>
      <c r="I762" s="132" t="s">
        <v>40</v>
      </c>
      <c r="J762" s="131" t="s">
        <v>4432</v>
      </c>
      <c r="K762" s="132" t="s">
        <v>4433</v>
      </c>
      <c r="L762" s="136">
        <v>4298263</v>
      </c>
      <c r="M762" s="132">
        <v>42333</v>
      </c>
      <c r="N762" s="136" t="s">
        <v>4670</v>
      </c>
      <c r="O762" s="130" t="s">
        <v>4436</v>
      </c>
      <c r="P762" s="130" t="s">
        <v>243</v>
      </c>
      <c r="Q762" s="130">
        <v>38237090</v>
      </c>
      <c r="R762" s="136">
        <v>52</v>
      </c>
      <c r="S762" s="130" t="s">
        <v>70</v>
      </c>
      <c r="T762" s="136" t="s">
        <v>52</v>
      </c>
      <c r="U762" s="136" t="s">
        <v>53</v>
      </c>
      <c r="V762" s="136">
        <v>1250</v>
      </c>
      <c r="W762" s="133">
        <f t="shared" si="33"/>
        <v>65000</v>
      </c>
      <c r="X762" s="136">
        <v>0</v>
      </c>
      <c r="Y762" s="136">
        <v>1100</v>
      </c>
      <c r="Z762" s="136">
        <v>0</v>
      </c>
      <c r="AA762" s="136">
        <v>0</v>
      </c>
      <c r="AB762" s="131">
        <v>42335</v>
      </c>
      <c r="AC762" s="134">
        <f t="shared" si="34"/>
        <v>63899.999999999993</v>
      </c>
      <c r="AD762" s="135">
        <v>65.650000000000006</v>
      </c>
      <c r="AE762" s="136">
        <f t="shared" si="35"/>
        <v>4267250</v>
      </c>
      <c r="AF762" s="137">
        <v>4195035</v>
      </c>
      <c r="AG762" s="138">
        <v>65.650000000000006</v>
      </c>
      <c r="AH762" s="136" t="s">
        <v>6616</v>
      </c>
      <c r="AI762" s="136">
        <v>64918</v>
      </c>
      <c r="AJ762" s="132" t="s">
        <v>6617</v>
      </c>
      <c r="AK762" s="136" t="s">
        <v>6618</v>
      </c>
      <c r="AL762" s="132" t="s">
        <v>6619</v>
      </c>
      <c r="AM762" s="131" t="s">
        <v>49</v>
      </c>
      <c r="AN762" s="136" t="s">
        <v>4440</v>
      </c>
    </row>
    <row r="763" spans="1:40" s="129" customFormat="1" x14ac:dyDescent="0.25">
      <c r="A763" s="136">
        <v>762</v>
      </c>
      <c r="B763" s="130" t="s">
        <v>4428</v>
      </c>
      <c r="C763" s="130" t="s">
        <v>38</v>
      </c>
      <c r="D763" s="136">
        <v>9103650720</v>
      </c>
      <c r="E763" s="132">
        <v>42338</v>
      </c>
      <c r="F763" s="132" t="s">
        <v>6260</v>
      </c>
      <c r="G763" s="132" t="s">
        <v>6620</v>
      </c>
      <c r="H763" s="130" t="s">
        <v>4446</v>
      </c>
      <c r="I763" s="132" t="s">
        <v>40</v>
      </c>
      <c r="J763" s="131" t="s">
        <v>4432</v>
      </c>
      <c r="K763" s="132" t="s">
        <v>4433</v>
      </c>
      <c r="L763" s="136">
        <v>4323190</v>
      </c>
      <c r="M763" s="132">
        <v>42334</v>
      </c>
      <c r="N763" s="136" t="s">
        <v>4733</v>
      </c>
      <c r="O763" s="130" t="s">
        <v>4436</v>
      </c>
      <c r="P763" s="130" t="s">
        <v>492</v>
      </c>
      <c r="Q763" s="130">
        <v>29157010</v>
      </c>
      <c r="R763" s="136">
        <v>78.95</v>
      </c>
      <c r="S763" s="130" t="s">
        <v>70</v>
      </c>
      <c r="T763" s="136" t="s">
        <v>44</v>
      </c>
      <c r="U763" s="136" t="s">
        <v>53</v>
      </c>
      <c r="V763" s="136">
        <v>585</v>
      </c>
      <c r="W763" s="133">
        <f t="shared" si="33"/>
        <v>46185.75</v>
      </c>
      <c r="X763" s="136">
        <v>15.24</v>
      </c>
      <c r="Y763" s="136">
        <v>800</v>
      </c>
      <c r="Z763" s="136">
        <v>0</v>
      </c>
      <c r="AA763" s="136">
        <v>0</v>
      </c>
      <c r="AB763" s="131">
        <v>42335</v>
      </c>
      <c r="AC763" s="134">
        <f t="shared" si="34"/>
        <v>45370.50997715156</v>
      </c>
      <c r="AD763" s="135">
        <v>65.650000000000006</v>
      </c>
      <c r="AE763" s="136">
        <f t="shared" si="35"/>
        <v>3032094.4875000003</v>
      </c>
      <c r="AF763" s="137">
        <v>2978573.98</v>
      </c>
      <c r="AG763" s="138">
        <v>65.650000000000006</v>
      </c>
      <c r="AH763" s="136" t="s">
        <v>6621</v>
      </c>
      <c r="AI763" s="136">
        <v>46185.75</v>
      </c>
      <c r="AJ763" s="132" t="s">
        <v>5856</v>
      </c>
      <c r="AK763" s="136" t="s">
        <v>6622</v>
      </c>
      <c r="AL763" s="132" t="s">
        <v>5715</v>
      </c>
      <c r="AM763" s="131" t="s">
        <v>49</v>
      </c>
      <c r="AN763" s="133" t="s">
        <v>4440</v>
      </c>
    </row>
    <row r="764" spans="1:40" s="129" customFormat="1" x14ac:dyDescent="0.25">
      <c r="A764" s="130">
        <v>763</v>
      </c>
      <c r="B764" s="130" t="s">
        <v>4428</v>
      </c>
      <c r="C764" s="130" t="s">
        <v>38</v>
      </c>
      <c r="D764" s="136" t="s">
        <v>6623</v>
      </c>
      <c r="E764" s="132">
        <v>42338</v>
      </c>
      <c r="F764" s="132" t="s">
        <v>6260</v>
      </c>
      <c r="G764" s="132" t="s">
        <v>6624</v>
      </c>
      <c r="H764" s="130" t="s">
        <v>4463</v>
      </c>
      <c r="I764" s="132" t="s">
        <v>40</v>
      </c>
      <c r="J764" s="131" t="s">
        <v>4432</v>
      </c>
      <c r="K764" s="132" t="s">
        <v>4433</v>
      </c>
      <c r="L764" s="136">
        <v>4325908</v>
      </c>
      <c r="M764" s="132">
        <v>42334</v>
      </c>
      <c r="N764" s="136" t="s">
        <v>4840</v>
      </c>
      <c r="O764" s="130" t="s">
        <v>4436</v>
      </c>
      <c r="P764" s="130" t="s">
        <v>2657</v>
      </c>
      <c r="Q764" s="130">
        <v>38231900</v>
      </c>
      <c r="R764" s="136">
        <v>39.39</v>
      </c>
      <c r="S764" s="130" t="s">
        <v>70</v>
      </c>
      <c r="T764" s="136" t="s">
        <v>44</v>
      </c>
      <c r="U764" s="136" t="s">
        <v>53</v>
      </c>
      <c r="V764" s="136">
        <v>4105.59</v>
      </c>
      <c r="W764" s="133">
        <f t="shared" si="33"/>
        <v>161719.19010000001</v>
      </c>
      <c r="X764" s="136">
        <v>53.37</v>
      </c>
      <c r="Y764" s="136">
        <v>2700</v>
      </c>
      <c r="Z764" s="136">
        <v>0</v>
      </c>
      <c r="AA764" s="136">
        <v>0</v>
      </c>
      <c r="AB764" s="131">
        <v>42335</v>
      </c>
      <c r="AC764" s="134">
        <f t="shared" si="34"/>
        <v>158965.81995430312</v>
      </c>
      <c r="AD764" s="135">
        <v>65.650000000000006</v>
      </c>
      <c r="AE764" s="136">
        <f t="shared" si="35"/>
        <v>10616864.830065001</v>
      </c>
      <c r="AF764" s="137">
        <v>10436106.08</v>
      </c>
      <c r="AG764" s="138">
        <v>65.650000000000006</v>
      </c>
      <c r="AH764" s="136" t="s">
        <v>6625</v>
      </c>
      <c r="AI764" s="136">
        <v>161719.19</v>
      </c>
      <c r="AJ764" s="132">
        <v>42433</v>
      </c>
      <c r="AK764" s="136" t="s">
        <v>6626</v>
      </c>
      <c r="AL764" s="132">
        <v>42434</v>
      </c>
      <c r="AM764" s="131" t="s">
        <v>49</v>
      </c>
      <c r="AN764" s="133" t="s">
        <v>4440</v>
      </c>
    </row>
    <row r="765" spans="1:40" s="129" customFormat="1" x14ac:dyDescent="0.25">
      <c r="A765" s="136">
        <v>764</v>
      </c>
      <c r="B765" s="130" t="s">
        <v>4428</v>
      </c>
      <c r="C765" s="130" t="s">
        <v>38</v>
      </c>
      <c r="D765" s="136">
        <v>9103650724</v>
      </c>
      <c r="E765" s="132">
        <v>42338</v>
      </c>
      <c r="F765" s="132" t="s">
        <v>6260</v>
      </c>
      <c r="G765" s="132" t="s">
        <v>821</v>
      </c>
      <c r="H765" s="130" t="s">
        <v>4463</v>
      </c>
      <c r="I765" s="132" t="s">
        <v>40</v>
      </c>
      <c r="J765" s="131" t="s">
        <v>4432</v>
      </c>
      <c r="K765" s="132" t="s">
        <v>4433</v>
      </c>
      <c r="L765" s="136">
        <v>4345170</v>
      </c>
      <c r="M765" s="132">
        <v>42335</v>
      </c>
      <c r="N765" s="136" t="s">
        <v>4670</v>
      </c>
      <c r="O765" s="130" t="s">
        <v>4436</v>
      </c>
      <c r="P765" s="130" t="s">
        <v>243</v>
      </c>
      <c r="Q765" s="130">
        <v>38237090</v>
      </c>
      <c r="R765" s="136">
        <v>52</v>
      </c>
      <c r="S765" s="130" t="s">
        <v>70</v>
      </c>
      <c r="T765" s="136" t="s">
        <v>52</v>
      </c>
      <c r="U765" s="136" t="s">
        <v>53</v>
      </c>
      <c r="V765" s="136">
        <v>1250</v>
      </c>
      <c r="W765" s="133">
        <f t="shared" si="33"/>
        <v>65000</v>
      </c>
      <c r="X765" s="136">
        <v>0</v>
      </c>
      <c r="Y765" s="136">
        <v>1100</v>
      </c>
      <c r="Z765" s="136">
        <v>0</v>
      </c>
      <c r="AA765" s="136">
        <v>0</v>
      </c>
      <c r="AB765" s="131">
        <v>42336</v>
      </c>
      <c r="AC765" s="134">
        <f t="shared" si="34"/>
        <v>63899.999999999993</v>
      </c>
      <c r="AD765" s="135">
        <v>65.650000000000006</v>
      </c>
      <c r="AE765" s="136">
        <f t="shared" si="35"/>
        <v>4267250</v>
      </c>
      <c r="AF765" s="130">
        <v>4195035</v>
      </c>
      <c r="AG765" s="138">
        <v>65.650000000000006</v>
      </c>
      <c r="AH765" s="136" t="s">
        <v>6627</v>
      </c>
      <c r="AI765" s="136">
        <v>45485</v>
      </c>
      <c r="AJ765" s="132" t="s">
        <v>6247</v>
      </c>
      <c r="AK765" s="136" t="s">
        <v>6628</v>
      </c>
      <c r="AL765" s="132" t="s">
        <v>6629</v>
      </c>
      <c r="AM765" s="131" t="s">
        <v>6630</v>
      </c>
      <c r="AN765" s="136" t="s">
        <v>6631</v>
      </c>
    </row>
    <row r="766" spans="1:40" s="129" customFormat="1" x14ac:dyDescent="0.25">
      <c r="A766" s="130">
        <v>765</v>
      </c>
      <c r="B766" s="130" t="s">
        <v>4428</v>
      </c>
      <c r="C766" s="130" t="s">
        <v>38</v>
      </c>
      <c r="D766" s="136" t="s">
        <v>6632</v>
      </c>
      <c r="E766" s="132">
        <v>42338</v>
      </c>
      <c r="F766" s="132" t="s">
        <v>6260</v>
      </c>
      <c r="G766" s="132" t="s">
        <v>823</v>
      </c>
      <c r="H766" s="130" t="s">
        <v>4463</v>
      </c>
      <c r="I766" s="132" t="s">
        <v>40</v>
      </c>
      <c r="J766" s="131" t="s">
        <v>4432</v>
      </c>
      <c r="K766" s="132" t="s">
        <v>4433</v>
      </c>
      <c r="L766" s="136">
        <v>4344138</v>
      </c>
      <c r="M766" s="132">
        <v>42335</v>
      </c>
      <c r="N766" s="136" t="s">
        <v>5744</v>
      </c>
      <c r="O766" s="130" t="s">
        <v>4436</v>
      </c>
      <c r="P766" s="130" t="s">
        <v>361</v>
      </c>
      <c r="Q766" s="130">
        <v>29051700</v>
      </c>
      <c r="R766" s="136">
        <v>64</v>
      </c>
      <c r="S766" s="130" t="s">
        <v>70</v>
      </c>
      <c r="T766" s="136" t="s">
        <v>52</v>
      </c>
      <c r="U766" s="136" t="s">
        <v>1117</v>
      </c>
      <c r="V766" s="136">
        <v>92780</v>
      </c>
      <c r="W766" s="133">
        <f t="shared" si="33"/>
        <v>5937920</v>
      </c>
      <c r="X766" s="136">
        <v>0</v>
      </c>
      <c r="Y766" s="136">
        <v>19695</v>
      </c>
      <c r="Z766" s="136">
        <v>0</v>
      </c>
      <c r="AA766" s="136">
        <v>357997.2</v>
      </c>
      <c r="AB766" s="131">
        <v>42336</v>
      </c>
      <c r="AC766" s="134">
        <f t="shared" si="34"/>
        <v>5918225</v>
      </c>
      <c r="AD766" s="135">
        <v>1</v>
      </c>
      <c r="AE766" s="136">
        <f t="shared" si="35"/>
        <v>5937920</v>
      </c>
      <c r="AF766" s="130">
        <v>5918225</v>
      </c>
      <c r="AG766" s="138">
        <v>1</v>
      </c>
      <c r="AH766" s="136" t="s">
        <v>6633</v>
      </c>
      <c r="AI766" s="136">
        <v>5937920</v>
      </c>
      <c r="AJ766" s="132">
        <v>42361</v>
      </c>
      <c r="AK766" s="136" t="s">
        <v>6634</v>
      </c>
      <c r="AL766" s="132">
        <v>42366</v>
      </c>
      <c r="AM766" s="131" t="s">
        <v>49</v>
      </c>
      <c r="AN766" s="136" t="s">
        <v>4440</v>
      </c>
    </row>
    <row r="767" spans="1:40" s="129" customFormat="1" x14ac:dyDescent="0.25">
      <c r="A767" s="136">
        <v>766</v>
      </c>
      <c r="B767" s="130" t="s">
        <v>4428</v>
      </c>
      <c r="C767" s="130" t="s">
        <v>38</v>
      </c>
      <c r="D767" s="136" t="s">
        <v>6632</v>
      </c>
      <c r="E767" s="157">
        <v>42338</v>
      </c>
      <c r="F767" s="132" t="s">
        <v>6260</v>
      </c>
      <c r="G767" s="132" t="s">
        <v>2577</v>
      </c>
      <c r="H767" s="130" t="s">
        <v>4463</v>
      </c>
      <c r="I767" s="132" t="s">
        <v>40</v>
      </c>
      <c r="J767" s="131" t="s">
        <v>4432</v>
      </c>
      <c r="K767" s="132" t="s">
        <v>4433</v>
      </c>
      <c r="L767" s="136">
        <v>4323041</v>
      </c>
      <c r="M767" s="132">
        <v>42334</v>
      </c>
      <c r="N767" s="136" t="s">
        <v>5744</v>
      </c>
      <c r="O767" s="130" t="s">
        <v>4436</v>
      </c>
      <c r="P767" s="130" t="s">
        <v>2263</v>
      </c>
      <c r="Q767" s="130">
        <v>38237090</v>
      </c>
      <c r="R767" s="136">
        <v>64</v>
      </c>
      <c r="S767" s="130" t="s">
        <v>70</v>
      </c>
      <c r="T767" s="136" t="s">
        <v>52</v>
      </c>
      <c r="U767" s="136" t="s">
        <v>1117</v>
      </c>
      <c r="V767" s="136">
        <v>92780</v>
      </c>
      <c r="W767" s="133">
        <f t="shared" si="33"/>
        <v>5937920</v>
      </c>
      <c r="X767" s="136">
        <v>0</v>
      </c>
      <c r="Y767" s="136">
        <v>19695</v>
      </c>
      <c r="Z767" s="136">
        <v>0</v>
      </c>
      <c r="AA767" s="136">
        <v>357997.2</v>
      </c>
      <c r="AB767" s="131">
        <v>42335</v>
      </c>
      <c r="AC767" s="134">
        <f t="shared" si="34"/>
        <v>5918225</v>
      </c>
      <c r="AD767" s="135">
        <v>1</v>
      </c>
      <c r="AE767" s="136">
        <f t="shared" si="35"/>
        <v>5937920</v>
      </c>
      <c r="AF767" s="130">
        <v>5918225</v>
      </c>
      <c r="AG767" s="138">
        <v>1</v>
      </c>
      <c r="AH767" s="136" t="s">
        <v>6633</v>
      </c>
      <c r="AI767" s="136">
        <v>5926044.1600000001</v>
      </c>
      <c r="AJ767" s="132">
        <v>42361</v>
      </c>
      <c r="AK767" s="136" t="s">
        <v>6635</v>
      </c>
      <c r="AL767" s="132">
        <v>42366</v>
      </c>
      <c r="AM767" s="131" t="s">
        <v>49</v>
      </c>
      <c r="AN767" s="133" t="s">
        <v>4440</v>
      </c>
    </row>
    <row r="768" spans="1:40" s="129" customFormat="1" x14ac:dyDescent="0.25">
      <c r="A768" s="130">
        <v>767</v>
      </c>
      <c r="B768" s="130" t="s">
        <v>4428</v>
      </c>
      <c r="C768" s="130" t="s">
        <v>38</v>
      </c>
      <c r="D768" s="136">
        <v>9103650728</v>
      </c>
      <c r="E768" s="132">
        <v>42338</v>
      </c>
      <c r="F768" s="132" t="s">
        <v>6260</v>
      </c>
      <c r="G768" s="132" t="s">
        <v>833</v>
      </c>
      <c r="H768" s="130" t="s">
        <v>6636</v>
      </c>
      <c r="I768" s="132" t="s">
        <v>40</v>
      </c>
      <c r="J768" s="131" t="s">
        <v>4432</v>
      </c>
      <c r="K768" s="132" t="s">
        <v>4433</v>
      </c>
      <c r="L768" s="136">
        <v>4351006</v>
      </c>
      <c r="M768" s="132">
        <v>42335</v>
      </c>
      <c r="N768" s="136" t="s">
        <v>4670</v>
      </c>
      <c r="O768" s="130" t="s">
        <v>4436</v>
      </c>
      <c r="P768" s="130" t="s">
        <v>243</v>
      </c>
      <c r="Q768" s="130">
        <v>38237090</v>
      </c>
      <c r="R768" s="136">
        <v>52</v>
      </c>
      <c r="S768" s="130" t="s">
        <v>70</v>
      </c>
      <c r="T768" s="136" t="e">
        <v>#N/A</v>
      </c>
      <c r="U768" s="136" t="s">
        <v>53</v>
      </c>
      <c r="V768" s="136">
        <v>1250</v>
      </c>
      <c r="W768" s="133">
        <f t="shared" si="33"/>
        <v>65000</v>
      </c>
      <c r="X768" s="136">
        <v>0</v>
      </c>
      <c r="Y768" s="136">
        <v>1100</v>
      </c>
      <c r="Z768" s="136">
        <v>0</v>
      </c>
      <c r="AA768" s="136">
        <v>0</v>
      </c>
      <c r="AB768" s="131"/>
      <c r="AC768" s="134">
        <f t="shared" si="34"/>
        <v>63899.999999999993</v>
      </c>
      <c r="AD768" s="135">
        <v>65.650000000000006</v>
      </c>
      <c r="AE768" s="136">
        <f t="shared" si="35"/>
        <v>4267250</v>
      </c>
      <c r="AF768" s="130">
        <v>4195035</v>
      </c>
      <c r="AG768" s="138">
        <v>65.650000000000006</v>
      </c>
      <c r="AH768" s="136" t="s">
        <v>6637</v>
      </c>
      <c r="AI768" s="136">
        <v>45485</v>
      </c>
      <c r="AJ768" s="132">
        <v>42377</v>
      </c>
      <c r="AK768" s="136" t="s">
        <v>6638</v>
      </c>
      <c r="AL768" s="132">
        <v>42380</v>
      </c>
      <c r="AM768" s="131" t="s">
        <v>6630</v>
      </c>
      <c r="AN768" s="133" t="s">
        <v>6631</v>
      </c>
    </row>
    <row r="769" spans="1:40" s="129" customFormat="1" x14ac:dyDescent="0.25">
      <c r="A769" s="136">
        <v>768</v>
      </c>
      <c r="B769" s="130" t="s">
        <v>4428</v>
      </c>
      <c r="C769" s="130" t="s">
        <v>38</v>
      </c>
      <c r="D769" s="136" t="s">
        <v>6639</v>
      </c>
      <c r="E769" s="132">
        <v>42339</v>
      </c>
      <c r="F769" s="132" t="s">
        <v>6640</v>
      </c>
      <c r="G769" s="132" t="s">
        <v>6641</v>
      </c>
      <c r="H769" s="130" t="s">
        <v>4463</v>
      </c>
      <c r="I769" s="132" t="s">
        <v>40</v>
      </c>
      <c r="J769" s="131" t="s">
        <v>4432</v>
      </c>
      <c r="K769" s="132" t="s">
        <v>4433</v>
      </c>
      <c r="L769" s="136">
        <v>4326498</v>
      </c>
      <c r="M769" s="132">
        <v>42334</v>
      </c>
      <c r="N769" s="136" t="s">
        <v>6642</v>
      </c>
      <c r="O769" s="130" t="s">
        <v>4436</v>
      </c>
      <c r="P769" s="136" t="s">
        <v>2958</v>
      </c>
      <c r="Q769" s="130" t="s">
        <v>6643</v>
      </c>
      <c r="R769" s="136">
        <v>16</v>
      </c>
      <c r="S769" s="130" t="s">
        <v>70</v>
      </c>
      <c r="T769" s="136" t="s">
        <v>67</v>
      </c>
      <c r="U769" s="136" t="s">
        <v>53</v>
      </c>
      <c r="V769" s="136">
        <v>0</v>
      </c>
      <c r="W769" s="133">
        <f>(5*1365+5*1380+6*1320)</f>
        <v>21645</v>
      </c>
      <c r="X769" s="136">
        <v>0</v>
      </c>
      <c r="Y769" s="136">
        <v>0</v>
      </c>
      <c r="Z769" s="136">
        <v>0</v>
      </c>
      <c r="AA769" s="136">
        <v>0</v>
      </c>
      <c r="AB769" s="131">
        <v>42336</v>
      </c>
      <c r="AC769" s="134">
        <f t="shared" si="34"/>
        <v>21644.999999999996</v>
      </c>
      <c r="AD769" s="135">
        <v>65.650000000000006</v>
      </c>
      <c r="AE769" s="136">
        <f t="shared" si="35"/>
        <v>1420994.2500000002</v>
      </c>
      <c r="AF769" s="145">
        <v>1420994.25</v>
      </c>
      <c r="AG769" s="138">
        <v>65.650000000000006</v>
      </c>
      <c r="AH769" s="136" t="s">
        <v>6644</v>
      </c>
      <c r="AI769" s="133">
        <v>21578</v>
      </c>
      <c r="AJ769" s="132">
        <v>42399</v>
      </c>
      <c r="AK769" s="136" t="s">
        <v>6645</v>
      </c>
      <c r="AL769" s="132">
        <v>42401</v>
      </c>
      <c r="AM769" s="131" t="s">
        <v>49</v>
      </c>
      <c r="AN769" s="136" t="s">
        <v>4440</v>
      </c>
    </row>
    <row r="770" spans="1:40" s="129" customFormat="1" x14ac:dyDescent="0.25">
      <c r="A770" s="130">
        <v>769</v>
      </c>
      <c r="B770" s="130" t="s">
        <v>4428</v>
      </c>
      <c r="C770" s="130" t="s">
        <v>38</v>
      </c>
      <c r="D770" s="136">
        <v>9103650722</v>
      </c>
      <c r="E770" s="132">
        <v>42345</v>
      </c>
      <c r="F770" s="132" t="s">
        <v>6640</v>
      </c>
      <c r="G770" s="132" t="s">
        <v>6646</v>
      </c>
      <c r="H770" s="130" t="s">
        <v>4491</v>
      </c>
      <c r="I770" s="132" t="s">
        <v>40</v>
      </c>
      <c r="J770" s="131" t="s">
        <v>4432</v>
      </c>
      <c r="K770" s="132" t="s">
        <v>4433</v>
      </c>
      <c r="L770" s="136">
        <v>4331807</v>
      </c>
      <c r="M770" s="132">
        <v>42335</v>
      </c>
      <c r="N770" s="136" t="s">
        <v>3741</v>
      </c>
      <c r="O770" s="130" t="s">
        <v>4436</v>
      </c>
      <c r="P770" s="136" t="s">
        <v>4492</v>
      </c>
      <c r="Q770" s="130">
        <v>29159030</v>
      </c>
      <c r="R770" s="136">
        <v>0.18</v>
      </c>
      <c r="S770" s="130" t="s">
        <v>70</v>
      </c>
      <c r="T770" s="136" t="s">
        <v>44</v>
      </c>
      <c r="U770" s="136" t="s">
        <v>53</v>
      </c>
      <c r="V770" s="136">
        <v>1500</v>
      </c>
      <c r="W770" s="133">
        <f t="shared" ref="W770:W827" si="36">V770*R770</f>
        <v>270</v>
      </c>
      <c r="X770" s="136">
        <v>0.09</v>
      </c>
      <c r="Y770" s="136">
        <v>200</v>
      </c>
      <c r="Z770" s="136">
        <v>0</v>
      </c>
      <c r="AA770" s="136">
        <v>0</v>
      </c>
      <c r="AB770" s="131"/>
      <c r="AC770" s="134">
        <f t="shared" si="34"/>
        <v>69.909977151561307</v>
      </c>
      <c r="AD770" s="135">
        <v>65.650000000000006</v>
      </c>
      <c r="AE770" s="136">
        <f t="shared" si="35"/>
        <v>17725.5</v>
      </c>
      <c r="AF770" s="137">
        <v>4589.59</v>
      </c>
      <c r="AG770" s="138">
        <v>65.650000000000006</v>
      </c>
      <c r="AH770" s="136" t="s">
        <v>6647</v>
      </c>
      <c r="AI770" s="136">
        <v>270</v>
      </c>
      <c r="AJ770" s="132">
        <v>42369</v>
      </c>
      <c r="AK770" s="136" t="s">
        <v>6648</v>
      </c>
      <c r="AL770" s="132">
        <v>42370</v>
      </c>
      <c r="AM770" s="131" t="s">
        <v>49</v>
      </c>
      <c r="AN770" s="133" t="s">
        <v>4440</v>
      </c>
    </row>
    <row r="771" spans="1:40" s="129" customFormat="1" x14ac:dyDescent="0.25">
      <c r="A771" s="136">
        <v>770</v>
      </c>
      <c r="B771" s="130" t="s">
        <v>4428</v>
      </c>
      <c r="C771" s="130" t="s">
        <v>38</v>
      </c>
      <c r="D771" s="136" t="s">
        <v>6649</v>
      </c>
      <c r="E771" s="132">
        <v>42341</v>
      </c>
      <c r="F771" s="132" t="s">
        <v>6640</v>
      </c>
      <c r="G771" s="132" t="s">
        <v>6650</v>
      </c>
      <c r="H771" s="130" t="s">
        <v>4456</v>
      </c>
      <c r="I771" s="132" t="s">
        <v>40</v>
      </c>
      <c r="J771" s="131" t="s">
        <v>4432</v>
      </c>
      <c r="K771" s="132" t="s">
        <v>4433</v>
      </c>
      <c r="L771" s="136">
        <v>4331824</v>
      </c>
      <c r="M771" s="132">
        <v>42335</v>
      </c>
      <c r="N771" s="136" t="s">
        <v>5009</v>
      </c>
      <c r="O771" s="130" t="s">
        <v>4436</v>
      </c>
      <c r="P771" s="136" t="s">
        <v>90</v>
      </c>
      <c r="Q771" s="130" t="s">
        <v>4645</v>
      </c>
      <c r="R771" s="136">
        <v>1.4</v>
      </c>
      <c r="S771" s="130" t="s">
        <v>70</v>
      </c>
      <c r="T771" s="136" t="s">
        <v>44</v>
      </c>
      <c r="U771" s="136" t="s">
        <v>53</v>
      </c>
      <c r="V771" s="136">
        <v>0</v>
      </c>
      <c r="W771" s="133">
        <f>(0.15*1700+1.075*1600+0.175*2000)</f>
        <v>2325</v>
      </c>
      <c r="X771" s="136">
        <v>0.77</v>
      </c>
      <c r="Y771" s="136">
        <v>100</v>
      </c>
      <c r="Z771" s="136">
        <v>0</v>
      </c>
      <c r="AA771" s="136">
        <v>0</v>
      </c>
      <c r="AB771" s="131">
        <v>42335</v>
      </c>
      <c r="AC771" s="134">
        <f t="shared" si="34"/>
        <v>2224.2300076161464</v>
      </c>
      <c r="AD771" s="135">
        <v>65.650000000000006</v>
      </c>
      <c r="AE771" s="136">
        <f t="shared" si="35"/>
        <v>152636.25</v>
      </c>
      <c r="AF771" s="137">
        <v>146020.70000000001</v>
      </c>
      <c r="AG771" s="138">
        <v>65.650000000000006</v>
      </c>
      <c r="AH771" s="136" t="s">
        <v>6651</v>
      </c>
      <c r="AI771" s="136">
        <v>2315</v>
      </c>
      <c r="AJ771" s="132">
        <v>42402</v>
      </c>
      <c r="AK771" s="136" t="s">
        <v>6652</v>
      </c>
      <c r="AL771" s="132">
        <v>42403</v>
      </c>
      <c r="AM771" s="131" t="s">
        <v>49</v>
      </c>
      <c r="AN771" s="136" t="s">
        <v>4440</v>
      </c>
    </row>
    <row r="772" spans="1:40" s="129" customFormat="1" x14ac:dyDescent="0.25">
      <c r="A772" s="130">
        <v>771</v>
      </c>
      <c r="B772" s="130" t="s">
        <v>4428</v>
      </c>
      <c r="C772" s="130" t="s">
        <v>38</v>
      </c>
      <c r="D772" s="136" t="s">
        <v>6653</v>
      </c>
      <c r="E772" s="132">
        <v>42340</v>
      </c>
      <c r="F772" s="132" t="s">
        <v>6640</v>
      </c>
      <c r="G772" s="132" t="s">
        <v>6654</v>
      </c>
      <c r="H772" s="130" t="s">
        <v>4431</v>
      </c>
      <c r="I772" s="132" t="s">
        <v>40</v>
      </c>
      <c r="J772" s="131" t="s">
        <v>4432</v>
      </c>
      <c r="K772" s="132" t="s">
        <v>4433</v>
      </c>
      <c r="L772" s="136">
        <v>4347403</v>
      </c>
      <c r="M772" s="132">
        <v>42335</v>
      </c>
      <c r="N772" s="136" t="s">
        <v>5963</v>
      </c>
      <c r="O772" s="130" t="s">
        <v>4436</v>
      </c>
      <c r="P772" s="136" t="s">
        <v>4465</v>
      </c>
      <c r="Q772" s="130">
        <v>38231200</v>
      </c>
      <c r="R772" s="136">
        <v>38.71</v>
      </c>
      <c r="S772" s="130" t="s">
        <v>70</v>
      </c>
      <c r="T772" s="136" t="s">
        <v>44</v>
      </c>
      <c r="U772" s="136" t="s">
        <v>53</v>
      </c>
      <c r="V772" s="136">
        <v>688</v>
      </c>
      <c r="W772" s="133">
        <f t="shared" si="36"/>
        <v>26632.48</v>
      </c>
      <c r="X772" s="136">
        <v>8.7899999999999991</v>
      </c>
      <c r="Y772" s="136">
        <v>1300</v>
      </c>
      <c r="Z772" s="136">
        <v>0</v>
      </c>
      <c r="AA772" s="136">
        <v>387.1</v>
      </c>
      <c r="AB772" s="131">
        <v>42336</v>
      </c>
      <c r="AC772" s="134">
        <f t="shared" si="34"/>
        <v>25323.690022848437</v>
      </c>
      <c r="AD772" s="135">
        <v>65.650000000000006</v>
      </c>
      <c r="AE772" s="136">
        <f t="shared" si="35"/>
        <v>1748422.3120000002</v>
      </c>
      <c r="AF772" s="137">
        <v>1662500.25</v>
      </c>
      <c r="AG772" s="138">
        <v>65.650000000000006</v>
      </c>
      <c r="AH772" s="136" t="s">
        <v>6655</v>
      </c>
      <c r="AI772" s="136">
        <v>26317.48</v>
      </c>
      <c r="AJ772" s="132">
        <v>42373</v>
      </c>
      <c r="AK772" s="136" t="s">
        <v>6656</v>
      </c>
      <c r="AL772" s="132">
        <v>42374</v>
      </c>
      <c r="AM772" s="131" t="s">
        <v>49</v>
      </c>
      <c r="AN772" s="136" t="s">
        <v>4440</v>
      </c>
    </row>
    <row r="773" spans="1:40" s="129" customFormat="1" x14ac:dyDescent="0.25">
      <c r="A773" s="136">
        <v>772</v>
      </c>
      <c r="B773" s="130" t="s">
        <v>4428</v>
      </c>
      <c r="C773" s="130" t="s">
        <v>38</v>
      </c>
      <c r="D773" s="136" t="s">
        <v>6657</v>
      </c>
      <c r="E773" s="132">
        <v>42340</v>
      </c>
      <c r="F773" s="132" t="s">
        <v>6640</v>
      </c>
      <c r="G773" s="132" t="s">
        <v>6658</v>
      </c>
      <c r="H773" s="130" t="s">
        <v>4491</v>
      </c>
      <c r="I773" s="132" t="s">
        <v>40</v>
      </c>
      <c r="J773" s="131" t="s">
        <v>4432</v>
      </c>
      <c r="K773" s="132" t="s">
        <v>4433</v>
      </c>
      <c r="L773" s="136">
        <v>4369690</v>
      </c>
      <c r="M773" s="132">
        <v>42336</v>
      </c>
      <c r="N773" s="136" t="s">
        <v>6659</v>
      </c>
      <c r="O773" s="130" t="s">
        <v>4436</v>
      </c>
      <c r="P773" s="136" t="s">
        <v>690</v>
      </c>
      <c r="Q773" s="130">
        <v>29161990</v>
      </c>
      <c r="R773" s="136">
        <v>14.4</v>
      </c>
      <c r="S773" s="130" t="s">
        <v>70</v>
      </c>
      <c r="T773" s="136" t="s">
        <v>44</v>
      </c>
      <c r="U773" s="136" t="s">
        <v>53</v>
      </c>
      <c r="V773" s="136">
        <v>3277</v>
      </c>
      <c r="W773" s="133">
        <f t="shared" si="36"/>
        <v>47188.800000000003</v>
      </c>
      <c r="X773" s="136">
        <v>15.57</v>
      </c>
      <c r="Y773" s="136">
        <v>10</v>
      </c>
      <c r="Z773" s="136">
        <v>0</v>
      </c>
      <c r="AA773" s="136">
        <v>0</v>
      </c>
      <c r="AB773" s="131">
        <v>42338</v>
      </c>
      <c r="AC773" s="134">
        <f t="shared" si="34"/>
        <v>47163.230007616141</v>
      </c>
      <c r="AD773" s="135">
        <v>65.650000000000006</v>
      </c>
      <c r="AE773" s="136">
        <f t="shared" si="35"/>
        <v>3097944.7200000007</v>
      </c>
      <c r="AF773" s="137">
        <v>3096266.05</v>
      </c>
      <c r="AG773" s="138">
        <v>65.650000000000006</v>
      </c>
      <c r="AH773" s="136" t="s">
        <v>6660</v>
      </c>
      <c r="AI773" s="136">
        <v>47188.800000000003</v>
      </c>
      <c r="AJ773" s="132">
        <v>42487</v>
      </c>
      <c r="AK773" s="136" t="s">
        <v>6661</v>
      </c>
      <c r="AL773" s="132">
        <v>42488</v>
      </c>
      <c r="AM773" s="131" t="s">
        <v>49</v>
      </c>
      <c r="AN773" s="136" t="s">
        <v>4440</v>
      </c>
    </row>
    <row r="774" spans="1:40" s="129" customFormat="1" x14ac:dyDescent="0.25">
      <c r="A774" s="130">
        <v>773</v>
      </c>
      <c r="B774" s="130" t="s">
        <v>4428</v>
      </c>
      <c r="C774" s="130" t="s">
        <v>38</v>
      </c>
      <c r="D774" s="136" t="s">
        <v>6662</v>
      </c>
      <c r="E774" s="132">
        <v>42341</v>
      </c>
      <c r="F774" s="132" t="s">
        <v>6640</v>
      </c>
      <c r="G774" s="132" t="s">
        <v>6663</v>
      </c>
      <c r="H774" s="130" t="s">
        <v>4463</v>
      </c>
      <c r="I774" s="132" t="s">
        <v>40</v>
      </c>
      <c r="J774" s="131" t="s">
        <v>4432</v>
      </c>
      <c r="K774" s="132" t="s">
        <v>4433</v>
      </c>
      <c r="L774" s="136">
        <v>4388073</v>
      </c>
      <c r="M774" s="132">
        <v>42338</v>
      </c>
      <c r="N774" s="136" t="s">
        <v>4840</v>
      </c>
      <c r="O774" s="130" t="s">
        <v>4436</v>
      </c>
      <c r="P774" s="136" t="s">
        <v>59</v>
      </c>
      <c r="Q774" s="130">
        <v>38237090</v>
      </c>
      <c r="R774" s="136">
        <v>16</v>
      </c>
      <c r="S774" s="130" t="s">
        <v>70</v>
      </c>
      <c r="T774" s="136" t="s">
        <v>52</v>
      </c>
      <c r="U774" s="136" t="s">
        <v>53</v>
      </c>
      <c r="V774" s="136">
        <v>1235</v>
      </c>
      <c r="W774" s="133">
        <f t="shared" si="36"/>
        <v>19760</v>
      </c>
      <c r="X774" s="136">
        <v>0</v>
      </c>
      <c r="Y774" s="136">
        <v>500</v>
      </c>
      <c r="Z774" s="136">
        <v>0</v>
      </c>
      <c r="AA774" s="136">
        <v>0</v>
      </c>
      <c r="AB774" s="131">
        <v>42339</v>
      </c>
      <c r="AC774" s="134">
        <f t="shared" ref="AC774:AC835" si="37">AF774/AD774</f>
        <v>19260</v>
      </c>
      <c r="AD774" s="135">
        <v>65.650000000000006</v>
      </c>
      <c r="AE774" s="136">
        <f t="shared" ref="AE774:AE835" si="38">AD774*W774</f>
        <v>1297244</v>
      </c>
      <c r="AF774" s="137">
        <v>1264419</v>
      </c>
      <c r="AG774" s="138">
        <v>65.650000000000006</v>
      </c>
      <c r="AH774" s="136" t="s">
        <v>6664</v>
      </c>
      <c r="AI774" s="136">
        <v>19735</v>
      </c>
      <c r="AJ774" s="132">
        <v>42366</v>
      </c>
      <c r="AK774" s="136" t="s">
        <v>6665</v>
      </c>
      <c r="AL774" s="132">
        <v>42367</v>
      </c>
      <c r="AM774" s="131" t="s">
        <v>49</v>
      </c>
      <c r="AN774" s="136" t="s">
        <v>4440</v>
      </c>
    </row>
    <row r="775" spans="1:40" s="129" customFormat="1" x14ac:dyDescent="0.25">
      <c r="A775" s="136">
        <v>774</v>
      </c>
      <c r="B775" s="130" t="s">
        <v>4428</v>
      </c>
      <c r="C775" s="130" t="s">
        <v>38</v>
      </c>
      <c r="D775" s="136" t="s">
        <v>6666</v>
      </c>
      <c r="E775" s="132">
        <v>42342</v>
      </c>
      <c r="F775" s="132" t="s">
        <v>6640</v>
      </c>
      <c r="G775" s="132" t="s">
        <v>6667</v>
      </c>
      <c r="H775" s="130" t="s">
        <v>4491</v>
      </c>
      <c r="I775" s="132" t="s">
        <v>40</v>
      </c>
      <c r="J775" s="131" t="s">
        <v>4432</v>
      </c>
      <c r="K775" s="132" t="s">
        <v>4433</v>
      </c>
      <c r="L775" s="136">
        <v>4399824</v>
      </c>
      <c r="M775" s="132">
        <v>42338</v>
      </c>
      <c r="N775" s="136" t="s">
        <v>3741</v>
      </c>
      <c r="O775" s="130" t="s">
        <v>4436</v>
      </c>
      <c r="P775" s="136" t="s">
        <v>4492</v>
      </c>
      <c r="Q775" s="130">
        <v>38237090</v>
      </c>
      <c r="R775" s="136">
        <v>39.69</v>
      </c>
      <c r="S775" s="130" t="s">
        <v>70</v>
      </c>
      <c r="T775" s="136" t="s">
        <v>44</v>
      </c>
      <c r="U775" s="136" t="s">
        <v>53</v>
      </c>
      <c r="V775" s="136">
        <v>1393</v>
      </c>
      <c r="W775" s="133">
        <f t="shared" si="36"/>
        <v>55288.17</v>
      </c>
      <c r="X775" s="136">
        <v>18.25</v>
      </c>
      <c r="Y775" s="136">
        <v>4800</v>
      </c>
      <c r="Z775" s="136">
        <v>0</v>
      </c>
      <c r="AA775" s="136">
        <v>0</v>
      </c>
      <c r="AB775" s="131">
        <v>42339</v>
      </c>
      <c r="AC775" s="134">
        <f t="shared" si="37"/>
        <v>50469.920030464578</v>
      </c>
      <c r="AD775" s="135">
        <v>65.650000000000006</v>
      </c>
      <c r="AE775" s="136">
        <f t="shared" si="38"/>
        <v>3629668.3605000004</v>
      </c>
      <c r="AF775" s="137">
        <v>3313350.25</v>
      </c>
      <c r="AG775" s="138">
        <v>65.650000000000006</v>
      </c>
      <c r="AH775" s="136" t="s">
        <v>6668</v>
      </c>
      <c r="AI775" s="136">
        <v>55288.17</v>
      </c>
      <c r="AJ775" s="132">
        <v>42369</v>
      </c>
      <c r="AK775" s="136" t="s">
        <v>6669</v>
      </c>
      <c r="AL775" s="132">
        <v>42370</v>
      </c>
      <c r="AM775" s="131" t="s">
        <v>49</v>
      </c>
      <c r="AN775" s="136" t="s">
        <v>4440</v>
      </c>
    </row>
    <row r="776" spans="1:40" s="129" customFormat="1" x14ac:dyDescent="0.25">
      <c r="A776" s="130">
        <v>775</v>
      </c>
      <c r="B776" s="130" t="s">
        <v>4428</v>
      </c>
      <c r="C776" s="130" t="s">
        <v>38</v>
      </c>
      <c r="D776" s="136" t="s">
        <v>6670</v>
      </c>
      <c r="E776" s="132">
        <v>42342</v>
      </c>
      <c r="F776" s="132" t="s">
        <v>6640</v>
      </c>
      <c r="G776" s="132" t="s">
        <v>6671</v>
      </c>
      <c r="H776" s="130" t="s">
        <v>4463</v>
      </c>
      <c r="I776" s="132" t="s">
        <v>40</v>
      </c>
      <c r="J776" s="131" t="s">
        <v>4432</v>
      </c>
      <c r="K776" s="132" t="s">
        <v>4433</v>
      </c>
      <c r="L776" s="136">
        <v>4399575</v>
      </c>
      <c r="M776" s="132">
        <v>42338</v>
      </c>
      <c r="N776" s="136" t="s">
        <v>6280</v>
      </c>
      <c r="O776" s="130" t="s">
        <v>4436</v>
      </c>
      <c r="P776" s="136" t="s">
        <v>59</v>
      </c>
      <c r="Q776" s="130">
        <v>38237090</v>
      </c>
      <c r="R776" s="136">
        <v>16</v>
      </c>
      <c r="S776" s="130" t="s">
        <v>70</v>
      </c>
      <c r="T776" s="136" t="s">
        <v>52</v>
      </c>
      <c r="U776" s="136" t="s">
        <v>53</v>
      </c>
      <c r="V776" s="136">
        <v>1360</v>
      </c>
      <c r="W776" s="133">
        <f t="shared" si="36"/>
        <v>21760</v>
      </c>
      <c r="X776" s="136">
        <v>0</v>
      </c>
      <c r="Y776" s="136">
        <v>850</v>
      </c>
      <c r="Z776" s="136">
        <v>0</v>
      </c>
      <c r="AA776" s="136">
        <v>320</v>
      </c>
      <c r="AB776" s="131">
        <v>42339</v>
      </c>
      <c r="AC776" s="134">
        <f t="shared" si="37"/>
        <v>20910</v>
      </c>
      <c r="AD776" s="135">
        <v>65.650000000000006</v>
      </c>
      <c r="AE776" s="136">
        <f t="shared" si="38"/>
        <v>1428544.0000000002</v>
      </c>
      <c r="AF776" s="137">
        <v>1372741.5</v>
      </c>
      <c r="AG776" s="138">
        <v>65.650000000000006</v>
      </c>
      <c r="AH776" s="136" t="s">
        <v>6672</v>
      </c>
      <c r="AI776" s="136">
        <v>21735</v>
      </c>
      <c r="AJ776" s="132">
        <v>42399</v>
      </c>
      <c r="AK776" s="136" t="s">
        <v>6673</v>
      </c>
      <c r="AL776" s="132">
        <v>42401</v>
      </c>
      <c r="AM776" s="131" t="s">
        <v>49</v>
      </c>
      <c r="AN776" s="136" t="s">
        <v>4440</v>
      </c>
    </row>
    <row r="777" spans="1:40" s="129" customFormat="1" x14ac:dyDescent="0.25">
      <c r="A777" s="136">
        <v>776</v>
      </c>
      <c r="B777" s="130" t="s">
        <v>4428</v>
      </c>
      <c r="C777" s="130" t="s">
        <v>38</v>
      </c>
      <c r="D777" s="136" t="s">
        <v>6674</v>
      </c>
      <c r="E777" s="132">
        <v>42342</v>
      </c>
      <c r="F777" s="132" t="s">
        <v>6640</v>
      </c>
      <c r="G777" s="132" t="s">
        <v>6675</v>
      </c>
      <c r="H777" s="130" t="s">
        <v>4431</v>
      </c>
      <c r="I777" s="132" t="s">
        <v>40</v>
      </c>
      <c r="J777" s="131" t="s">
        <v>4432</v>
      </c>
      <c r="K777" s="132" t="s">
        <v>4433</v>
      </c>
      <c r="L777" s="136">
        <v>4409393</v>
      </c>
      <c r="M777" s="132">
        <v>42339</v>
      </c>
      <c r="N777" s="136" t="s">
        <v>6676</v>
      </c>
      <c r="O777" s="130" t="s">
        <v>4436</v>
      </c>
      <c r="P777" s="136" t="s">
        <v>4465</v>
      </c>
      <c r="Q777" s="130">
        <v>38237090</v>
      </c>
      <c r="R777" s="136">
        <v>12</v>
      </c>
      <c r="S777" s="130" t="s">
        <v>70</v>
      </c>
      <c r="T777" s="136" t="s">
        <v>44</v>
      </c>
      <c r="U777" s="136" t="s">
        <v>53</v>
      </c>
      <c r="V777" s="136">
        <v>3810</v>
      </c>
      <c r="W777" s="133">
        <f t="shared" si="36"/>
        <v>45720</v>
      </c>
      <c r="X777" s="136">
        <v>15.09</v>
      </c>
      <c r="Y777" s="136">
        <v>30</v>
      </c>
      <c r="Z777" s="136">
        <v>0</v>
      </c>
      <c r="AA777" s="136">
        <v>0</v>
      </c>
      <c r="AB777" s="131">
        <v>42340</v>
      </c>
      <c r="AC777" s="134">
        <f t="shared" si="37"/>
        <v>45674.909977151554</v>
      </c>
      <c r="AD777" s="135">
        <v>65.650000000000006</v>
      </c>
      <c r="AE777" s="136">
        <f t="shared" si="38"/>
        <v>3001518.0000000005</v>
      </c>
      <c r="AF777" s="137">
        <v>2998557.84</v>
      </c>
      <c r="AG777" s="138">
        <v>65.650000000000006</v>
      </c>
      <c r="AH777" s="136" t="s">
        <v>6677</v>
      </c>
      <c r="AI777" s="136">
        <v>45525</v>
      </c>
      <c r="AJ777" s="132">
        <v>42366</v>
      </c>
      <c r="AK777" s="136" t="s">
        <v>6678</v>
      </c>
      <c r="AL777" s="132">
        <v>42367</v>
      </c>
      <c r="AM777" s="131" t="s">
        <v>49</v>
      </c>
      <c r="AN777" s="136" t="s">
        <v>4440</v>
      </c>
    </row>
    <row r="778" spans="1:40" s="129" customFormat="1" x14ac:dyDescent="0.25">
      <c r="A778" s="130">
        <v>777</v>
      </c>
      <c r="B778" s="130" t="s">
        <v>4428</v>
      </c>
      <c r="C778" s="130" t="s">
        <v>38</v>
      </c>
      <c r="D778" s="136" t="s">
        <v>6679</v>
      </c>
      <c r="E778" s="132">
        <v>42343</v>
      </c>
      <c r="F778" s="132" t="s">
        <v>6640</v>
      </c>
      <c r="G778" s="132" t="s">
        <v>6680</v>
      </c>
      <c r="H778" s="130" t="s">
        <v>4431</v>
      </c>
      <c r="I778" s="132" t="s">
        <v>40</v>
      </c>
      <c r="J778" s="131" t="s">
        <v>4432</v>
      </c>
      <c r="K778" s="132" t="s">
        <v>4433</v>
      </c>
      <c r="L778" s="136">
        <v>4394492</v>
      </c>
      <c r="M778" s="132">
        <v>42338</v>
      </c>
      <c r="N778" s="136" t="s">
        <v>5666</v>
      </c>
      <c r="O778" s="130" t="s">
        <v>4436</v>
      </c>
      <c r="P778" s="136" t="s">
        <v>361</v>
      </c>
      <c r="Q778" s="130">
        <v>38237090</v>
      </c>
      <c r="R778" s="136">
        <v>207.92</v>
      </c>
      <c r="S778" s="130" t="s">
        <v>70</v>
      </c>
      <c r="T778" s="136" t="s">
        <v>52</v>
      </c>
      <c r="U778" s="136" t="s">
        <v>1117</v>
      </c>
      <c r="V778" s="136">
        <v>76330</v>
      </c>
      <c r="W778" s="133">
        <f t="shared" si="36"/>
        <v>15870533.6</v>
      </c>
      <c r="X778" s="136">
        <v>0</v>
      </c>
      <c r="Y778" s="136">
        <v>480229.75</v>
      </c>
      <c r="Z778" s="136">
        <v>0</v>
      </c>
      <c r="AA778" s="136">
        <v>346612.45</v>
      </c>
      <c r="AB778" s="131">
        <v>42339</v>
      </c>
      <c r="AC778" s="134">
        <f t="shared" si="37"/>
        <v>15390303.85</v>
      </c>
      <c r="AD778" s="135">
        <v>1</v>
      </c>
      <c r="AE778" s="136">
        <f t="shared" si="38"/>
        <v>15870533.6</v>
      </c>
      <c r="AF778" s="130">
        <v>15390303.85</v>
      </c>
      <c r="AG778" s="138">
        <v>1</v>
      </c>
      <c r="AH778" s="136" t="s">
        <v>6681</v>
      </c>
      <c r="AI778" s="136">
        <v>15854663.07</v>
      </c>
      <c r="AJ778" s="132">
        <v>42369</v>
      </c>
      <c r="AK778" s="136" t="s">
        <v>6682</v>
      </c>
      <c r="AL778" s="132">
        <v>42373</v>
      </c>
      <c r="AM778" s="131" t="s">
        <v>49</v>
      </c>
      <c r="AN778" s="136" t="s">
        <v>4440</v>
      </c>
    </row>
    <row r="779" spans="1:40" s="129" customFormat="1" x14ac:dyDescent="0.25">
      <c r="A779" s="136">
        <v>778</v>
      </c>
      <c r="B779" s="130" t="s">
        <v>4428</v>
      </c>
      <c r="C779" s="130" t="s">
        <v>38</v>
      </c>
      <c r="D779" s="136" t="s">
        <v>6683</v>
      </c>
      <c r="E779" s="132">
        <v>42347</v>
      </c>
      <c r="F779" s="132" t="s">
        <v>6640</v>
      </c>
      <c r="G779" s="132" t="s">
        <v>6684</v>
      </c>
      <c r="H779" s="130" t="s">
        <v>4556</v>
      </c>
      <c r="I779" s="132" t="s">
        <v>40</v>
      </c>
      <c r="J779" s="131" t="s">
        <v>4432</v>
      </c>
      <c r="K779" s="132" t="s">
        <v>4433</v>
      </c>
      <c r="L779" s="136">
        <v>4415818</v>
      </c>
      <c r="M779" s="132">
        <v>42339</v>
      </c>
      <c r="N779" s="136" t="s">
        <v>4557</v>
      </c>
      <c r="O779" s="130" t="s">
        <v>4436</v>
      </c>
      <c r="P779" s="136" t="s">
        <v>137</v>
      </c>
      <c r="Q779" s="130" t="s">
        <v>4645</v>
      </c>
      <c r="R779" s="136">
        <v>9.4499999999999993</v>
      </c>
      <c r="S779" s="130" t="s">
        <v>70</v>
      </c>
      <c r="T779" s="136" t="s">
        <v>52</v>
      </c>
      <c r="U779" s="136" t="s">
        <v>53</v>
      </c>
      <c r="V779" s="136">
        <v>1415</v>
      </c>
      <c r="W779" s="133">
        <f t="shared" si="36"/>
        <v>13371.749999999998</v>
      </c>
      <c r="X779" s="136">
        <v>0</v>
      </c>
      <c r="Y779" s="136">
        <v>275</v>
      </c>
      <c r="Z779" s="136">
        <v>0</v>
      </c>
      <c r="AA779" s="136">
        <v>0</v>
      </c>
      <c r="AB779" s="131">
        <v>42342</v>
      </c>
      <c r="AC779" s="134">
        <f t="shared" si="37"/>
        <v>13096.750038080731</v>
      </c>
      <c r="AD779" s="135">
        <v>65.650000000000006</v>
      </c>
      <c r="AE779" s="136">
        <f t="shared" si="38"/>
        <v>877855.38749999995</v>
      </c>
      <c r="AF779" s="137">
        <v>859801.64</v>
      </c>
      <c r="AG779" s="138">
        <v>66.25</v>
      </c>
      <c r="AH779" s="136" t="s">
        <v>6685</v>
      </c>
      <c r="AI779" s="136">
        <v>13371.75</v>
      </c>
      <c r="AJ779" s="132">
        <v>42422</v>
      </c>
      <c r="AK779" s="136" t="s">
        <v>6686</v>
      </c>
      <c r="AL779" s="132">
        <v>42423</v>
      </c>
      <c r="AM779" s="131" t="s">
        <v>49</v>
      </c>
      <c r="AN779" s="136" t="s">
        <v>4440</v>
      </c>
    </row>
    <row r="780" spans="1:40" s="129" customFormat="1" x14ac:dyDescent="0.25">
      <c r="A780" s="130">
        <v>779</v>
      </c>
      <c r="B780" s="130" t="s">
        <v>4428</v>
      </c>
      <c r="C780" s="130" t="s">
        <v>38</v>
      </c>
      <c r="D780" s="136" t="s">
        <v>6687</v>
      </c>
      <c r="E780" s="132">
        <v>42344</v>
      </c>
      <c r="F780" s="132" t="s">
        <v>6640</v>
      </c>
      <c r="G780" s="132" t="s">
        <v>6688</v>
      </c>
      <c r="H780" s="130" t="s">
        <v>4463</v>
      </c>
      <c r="I780" s="132" t="s">
        <v>40</v>
      </c>
      <c r="J780" s="131" t="s">
        <v>4432</v>
      </c>
      <c r="K780" s="132" t="s">
        <v>4433</v>
      </c>
      <c r="L780" s="136">
        <v>4454860</v>
      </c>
      <c r="M780" s="132">
        <v>42340</v>
      </c>
      <c r="N780" s="136" t="s">
        <v>4840</v>
      </c>
      <c r="O780" s="130" t="s">
        <v>4436</v>
      </c>
      <c r="P780" s="136" t="s">
        <v>59</v>
      </c>
      <c r="Q780" s="130">
        <v>38237090</v>
      </c>
      <c r="R780" s="136">
        <v>48</v>
      </c>
      <c r="S780" s="130" t="s">
        <v>70</v>
      </c>
      <c r="T780" s="136" t="s">
        <v>52</v>
      </c>
      <c r="U780" s="136" t="s">
        <v>53</v>
      </c>
      <c r="V780" s="136">
        <v>1250</v>
      </c>
      <c r="W780" s="133">
        <f t="shared" si="36"/>
        <v>60000</v>
      </c>
      <c r="X780" s="136">
        <v>0</v>
      </c>
      <c r="Y780" s="136">
        <v>2550</v>
      </c>
      <c r="Z780" s="136">
        <v>0</v>
      </c>
      <c r="AA780" s="136">
        <v>0</v>
      </c>
      <c r="AB780" s="131">
        <v>42340</v>
      </c>
      <c r="AC780" s="134">
        <f t="shared" si="37"/>
        <v>57449.999999999993</v>
      </c>
      <c r="AD780" s="135">
        <v>65.650000000000006</v>
      </c>
      <c r="AE780" s="136">
        <f t="shared" si="38"/>
        <v>3939000.0000000005</v>
      </c>
      <c r="AF780" s="137">
        <v>3771592.5</v>
      </c>
      <c r="AG780" s="138">
        <v>65.650000000000006</v>
      </c>
      <c r="AH780" s="136" t="s">
        <v>6689</v>
      </c>
      <c r="AI780" s="136">
        <v>59975</v>
      </c>
      <c r="AJ780" s="132">
        <v>42399</v>
      </c>
      <c r="AK780" s="136" t="s">
        <v>6690</v>
      </c>
      <c r="AL780" s="132">
        <v>42401</v>
      </c>
      <c r="AM780" s="131" t="s">
        <v>49</v>
      </c>
      <c r="AN780" s="136" t="s">
        <v>4440</v>
      </c>
    </row>
    <row r="781" spans="1:40" s="129" customFormat="1" x14ac:dyDescent="0.25">
      <c r="A781" s="136">
        <v>780</v>
      </c>
      <c r="B781" s="130" t="s">
        <v>4428</v>
      </c>
      <c r="C781" s="130" t="s">
        <v>38</v>
      </c>
      <c r="D781" s="136" t="s">
        <v>6691</v>
      </c>
      <c r="E781" s="132">
        <v>42342</v>
      </c>
      <c r="F781" s="132" t="s">
        <v>6640</v>
      </c>
      <c r="G781" s="132" t="s">
        <v>6692</v>
      </c>
      <c r="H781" s="130" t="s">
        <v>4491</v>
      </c>
      <c r="I781" s="132" t="s">
        <v>40</v>
      </c>
      <c r="J781" s="131" t="s">
        <v>4432</v>
      </c>
      <c r="K781" s="132" t="s">
        <v>4433</v>
      </c>
      <c r="L781" s="136">
        <v>4454904</v>
      </c>
      <c r="M781" s="132">
        <v>42340</v>
      </c>
      <c r="N781" s="136" t="s">
        <v>3741</v>
      </c>
      <c r="O781" s="130" t="s">
        <v>4436</v>
      </c>
      <c r="P781" s="136" t="s">
        <v>4492</v>
      </c>
      <c r="Q781" s="130" t="s">
        <v>4645</v>
      </c>
      <c r="R781" s="136">
        <v>18.139999999999997</v>
      </c>
      <c r="S781" s="130" t="s">
        <v>70</v>
      </c>
      <c r="T781" s="136" t="s">
        <v>44</v>
      </c>
      <c r="U781" s="136" t="s">
        <v>53</v>
      </c>
      <c r="V781" s="136">
        <v>0</v>
      </c>
      <c r="W781" s="133">
        <f>(1.81*1552+16.33*1436)</f>
        <v>26258.999999999996</v>
      </c>
      <c r="X781" s="136">
        <v>8.67</v>
      </c>
      <c r="Y781" s="136">
        <v>2300</v>
      </c>
      <c r="Z781" s="136">
        <v>0</v>
      </c>
      <c r="AA781" s="136">
        <v>0</v>
      </c>
      <c r="AB781" s="131">
        <v>42341</v>
      </c>
      <c r="AC781" s="134">
        <f t="shared" si="37"/>
        <v>23950.329931454682</v>
      </c>
      <c r="AD781" s="135">
        <v>65.650000000000006</v>
      </c>
      <c r="AE781" s="136">
        <f t="shared" si="38"/>
        <v>1723903.3499999999</v>
      </c>
      <c r="AF781" s="137">
        <v>1572339.16</v>
      </c>
      <c r="AG781" s="138">
        <v>65.650000000000006</v>
      </c>
      <c r="AH781" s="136" t="s">
        <v>6693</v>
      </c>
      <c r="AI781" s="136">
        <v>26259</v>
      </c>
      <c r="AJ781" s="132">
        <v>42369</v>
      </c>
      <c r="AK781" s="136" t="s">
        <v>6694</v>
      </c>
      <c r="AL781" s="132">
        <v>42370</v>
      </c>
      <c r="AM781" s="131" t="s">
        <v>49</v>
      </c>
      <c r="AN781" s="136" t="s">
        <v>4440</v>
      </c>
    </row>
    <row r="782" spans="1:40" s="129" customFormat="1" x14ac:dyDescent="0.25">
      <c r="A782" s="130">
        <v>781</v>
      </c>
      <c r="B782" s="130" t="s">
        <v>4428</v>
      </c>
      <c r="C782" s="130" t="s">
        <v>38</v>
      </c>
      <c r="D782" s="136">
        <v>9103650738</v>
      </c>
      <c r="E782" s="132">
        <v>42343</v>
      </c>
      <c r="F782" s="132" t="s">
        <v>6640</v>
      </c>
      <c r="G782" s="132" t="s">
        <v>6695</v>
      </c>
      <c r="H782" s="130" t="s">
        <v>4564</v>
      </c>
      <c r="I782" s="132" t="s">
        <v>40</v>
      </c>
      <c r="J782" s="131" t="s">
        <v>4432</v>
      </c>
      <c r="K782" s="132" t="s">
        <v>4433</v>
      </c>
      <c r="L782" s="136">
        <v>4475084</v>
      </c>
      <c r="M782" s="132">
        <v>42340</v>
      </c>
      <c r="N782" s="136" t="s">
        <v>4588</v>
      </c>
      <c r="O782" s="130" t="s">
        <v>4436</v>
      </c>
      <c r="P782" s="136" t="s">
        <v>59</v>
      </c>
      <c r="Q782" s="130">
        <v>29157010</v>
      </c>
      <c r="R782" s="136">
        <v>79.63</v>
      </c>
      <c r="S782" s="130" t="s">
        <v>70</v>
      </c>
      <c r="T782" s="136" t="s">
        <v>44</v>
      </c>
      <c r="U782" s="136" t="s">
        <v>53</v>
      </c>
      <c r="V782" s="136">
        <v>680</v>
      </c>
      <c r="W782" s="133">
        <f t="shared" si="36"/>
        <v>54148.399999999994</v>
      </c>
      <c r="X782" s="136">
        <v>17.87</v>
      </c>
      <c r="Y782" s="136">
        <v>1500</v>
      </c>
      <c r="Z782" s="136">
        <v>0</v>
      </c>
      <c r="AA782" s="136">
        <v>0</v>
      </c>
      <c r="AB782" s="131"/>
      <c r="AC782" s="134">
        <f t="shared" si="37"/>
        <v>52630.529931454679</v>
      </c>
      <c r="AD782" s="135">
        <v>65.650000000000006</v>
      </c>
      <c r="AE782" s="136">
        <f t="shared" si="38"/>
        <v>3554842.46</v>
      </c>
      <c r="AF782" s="137">
        <v>3455194.29</v>
      </c>
      <c r="AG782" s="138">
        <v>65.650000000000006</v>
      </c>
      <c r="AH782" s="136" t="s">
        <v>6696</v>
      </c>
      <c r="AI782" s="136">
        <v>54148</v>
      </c>
      <c r="AJ782" s="132">
        <v>42373</v>
      </c>
      <c r="AK782" s="136" t="s">
        <v>6697</v>
      </c>
      <c r="AL782" s="132">
        <v>42411</v>
      </c>
      <c r="AM782" s="131" t="s">
        <v>49</v>
      </c>
      <c r="AN782" s="133" t="s">
        <v>4440</v>
      </c>
    </row>
    <row r="783" spans="1:40" s="129" customFormat="1" x14ac:dyDescent="0.25">
      <c r="A783" s="136">
        <v>782</v>
      </c>
      <c r="B783" s="130" t="s">
        <v>4428</v>
      </c>
      <c r="C783" s="130" t="s">
        <v>38</v>
      </c>
      <c r="D783" s="136" t="s">
        <v>6698</v>
      </c>
      <c r="E783" s="132">
        <v>42342</v>
      </c>
      <c r="F783" s="132" t="s">
        <v>6640</v>
      </c>
      <c r="G783" s="132" t="s">
        <v>6699</v>
      </c>
      <c r="H783" s="130" t="s">
        <v>4463</v>
      </c>
      <c r="I783" s="132" t="s">
        <v>40</v>
      </c>
      <c r="J783" s="131" t="s">
        <v>4432</v>
      </c>
      <c r="K783" s="132" t="s">
        <v>4433</v>
      </c>
      <c r="L783" s="136">
        <v>4476892</v>
      </c>
      <c r="M783" s="132">
        <v>42340</v>
      </c>
      <c r="N783" s="136" t="s">
        <v>6700</v>
      </c>
      <c r="O783" s="130" t="s">
        <v>4436</v>
      </c>
      <c r="P783" s="136" t="s">
        <v>195</v>
      </c>
      <c r="Q783" s="130">
        <v>38237090</v>
      </c>
      <c r="R783" s="136">
        <v>15</v>
      </c>
      <c r="S783" s="130" t="s">
        <v>70</v>
      </c>
      <c r="T783" s="136" t="s">
        <v>52</v>
      </c>
      <c r="U783" s="136" t="s">
        <v>53</v>
      </c>
      <c r="V783" s="136">
        <v>1388</v>
      </c>
      <c r="W783" s="133">
        <f t="shared" si="36"/>
        <v>20820</v>
      </c>
      <c r="X783" s="136">
        <v>0</v>
      </c>
      <c r="Y783" s="136">
        <v>631</v>
      </c>
      <c r="Z783" s="136">
        <v>0</v>
      </c>
      <c r="AA783" s="136">
        <v>0</v>
      </c>
      <c r="AB783" s="131">
        <v>42341</v>
      </c>
      <c r="AC783" s="134">
        <f t="shared" si="37"/>
        <v>20189</v>
      </c>
      <c r="AD783" s="135">
        <v>65.650000000000006</v>
      </c>
      <c r="AE783" s="136">
        <f t="shared" si="38"/>
        <v>1366833.0000000002</v>
      </c>
      <c r="AF783" s="137">
        <v>1325407.8500000001</v>
      </c>
      <c r="AG783" s="138">
        <v>65.650000000000006</v>
      </c>
      <c r="AH783" s="136" t="s">
        <v>6701</v>
      </c>
      <c r="AI783" s="136">
        <v>20728</v>
      </c>
      <c r="AJ783" s="132">
        <v>42399</v>
      </c>
      <c r="AK783" s="136" t="s">
        <v>6702</v>
      </c>
      <c r="AL783" s="132">
        <v>42401</v>
      </c>
      <c r="AM783" s="131" t="s">
        <v>49</v>
      </c>
      <c r="AN783" s="136" t="s">
        <v>4440</v>
      </c>
    </row>
    <row r="784" spans="1:40" s="129" customFormat="1" x14ac:dyDescent="0.25">
      <c r="A784" s="130">
        <v>783</v>
      </c>
      <c r="B784" s="130" t="s">
        <v>4428</v>
      </c>
      <c r="C784" s="130" t="s">
        <v>38</v>
      </c>
      <c r="D784" s="136" t="s">
        <v>6703</v>
      </c>
      <c r="E784" s="132">
        <v>42344</v>
      </c>
      <c r="F784" s="132" t="s">
        <v>6640</v>
      </c>
      <c r="G784" s="132" t="s">
        <v>6704</v>
      </c>
      <c r="H784" s="130" t="s">
        <v>4491</v>
      </c>
      <c r="I784" s="132" t="s">
        <v>40</v>
      </c>
      <c r="J784" s="131" t="s">
        <v>4432</v>
      </c>
      <c r="K784" s="132" t="s">
        <v>4433</v>
      </c>
      <c r="L784" s="136">
        <v>4469856</v>
      </c>
      <c r="M784" s="132">
        <v>42340</v>
      </c>
      <c r="N784" s="136" t="s">
        <v>3741</v>
      </c>
      <c r="O784" s="130" t="s">
        <v>4436</v>
      </c>
      <c r="P784" s="136" t="s">
        <v>4492</v>
      </c>
      <c r="Q784" s="130">
        <v>38237090</v>
      </c>
      <c r="R784" s="136">
        <v>20</v>
      </c>
      <c r="S784" s="130" t="s">
        <v>70</v>
      </c>
      <c r="T784" s="136" t="s">
        <v>44</v>
      </c>
      <c r="U784" s="136" t="s">
        <v>53</v>
      </c>
      <c r="V784" s="136">
        <v>1395</v>
      </c>
      <c r="W784" s="133">
        <f t="shared" si="36"/>
        <v>27900</v>
      </c>
      <c r="X784" s="136">
        <v>9.2100000000000009</v>
      </c>
      <c r="Y784" s="136">
        <v>1700</v>
      </c>
      <c r="Z784" s="136">
        <v>0</v>
      </c>
      <c r="AA784" s="136">
        <v>0</v>
      </c>
      <c r="AB784" s="131">
        <v>42342</v>
      </c>
      <c r="AC784" s="134">
        <f t="shared" si="37"/>
        <v>26190.789946686975</v>
      </c>
      <c r="AD784" s="135">
        <v>65.650000000000006</v>
      </c>
      <c r="AE784" s="136">
        <f t="shared" si="38"/>
        <v>1831635.0000000002</v>
      </c>
      <c r="AF784" s="137">
        <v>1719425.36</v>
      </c>
      <c r="AG784" s="138">
        <v>66.25</v>
      </c>
      <c r="AH784" s="136" t="s">
        <v>6705</v>
      </c>
      <c r="AI784" s="136">
        <v>27900</v>
      </c>
      <c r="AJ784" s="132">
        <v>42369</v>
      </c>
      <c r="AK784" s="136" t="s">
        <v>6706</v>
      </c>
      <c r="AL784" s="132">
        <v>42370</v>
      </c>
      <c r="AM784" s="131" t="s">
        <v>49</v>
      </c>
      <c r="AN784" s="136" t="s">
        <v>4440</v>
      </c>
    </row>
    <row r="785" spans="1:40" s="129" customFormat="1" x14ac:dyDescent="0.25">
      <c r="A785" s="136">
        <v>784</v>
      </c>
      <c r="B785" s="130" t="s">
        <v>4428</v>
      </c>
      <c r="C785" s="130" t="s">
        <v>38</v>
      </c>
      <c r="D785" s="136" t="s">
        <v>6707</v>
      </c>
      <c r="E785" s="132">
        <v>42347</v>
      </c>
      <c r="F785" s="132" t="s">
        <v>6640</v>
      </c>
      <c r="G785" s="132" t="s">
        <v>6708</v>
      </c>
      <c r="H785" s="130" t="s">
        <v>4463</v>
      </c>
      <c r="I785" s="132" t="s">
        <v>40</v>
      </c>
      <c r="J785" s="131" t="s">
        <v>4432</v>
      </c>
      <c r="K785" s="132" t="s">
        <v>4433</v>
      </c>
      <c r="L785" s="136">
        <v>4476935</v>
      </c>
      <c r="M785" s="132">
        <v>42340</v>
      </c>
      <c r="N785" s="136" t="s">
        <v>6280</v>
      </c>
      <c r="O785" s="130" t="s">
        <v>4436</v>
      </c>
      <c r="P785" s="136" t="s">
        <v>59</v>
      </c>
      <c r="Q785" s="130">
        <v>38237090</v>
      </c>
      <c r="R785" s="136">
        <v>16</v>
      </c>
      <c r="S785" s="130" t="s">
        <v>70</v>
      </c>
      <c r="T785" s="136" t="s">
        <v>52</v>
      </c>
      <c r="U785" s="136" t="s">
        <v>53</v>
      </c>
      <c r="V785" s="136">
        <v>1323</v>
      </c>
      <c r="W785" s="133">
        <f t="shared" si="36"/>
        <v>21168</v>
      </c>
      <c r="X785" s="136">
        <v>0</v>
      </c>
      <c r="Y785" s="136">
        <v>825</v>
      </c>
      <c r="Z785" s="136">
        <v>0</v>
      </c>
      <c r="AA785" s="136">
        <v>0</v>
      </c>
      <c r="AB785" s="131">
        <v>42341</v>
      </c>
      <c r="AC785" s="134">
        <f t="shared" si="37"/>
        <v>20342.999999999996</v>
      </c>
      <c r="AD785" s="135">
        <v>65.650000000000006</v>
      </c>
      <c r="AE785" s="136">
        <f t="shared" si="38"/>
        <v>1389679.2000000002</v>
      </c>
      <c r="AF785" s="137">
        <v>1335517.95</v>
      </c>
      <c r="AG785" s="138">
        <v>65.650000000000006</v>
      </c>
      <c r="AH785" s="136" t="s">
        <v>6709</v>
      </c>
      <c r="AI785" s="136">
        <v>21168</v>
      </c>
      <c r="AJ785" s="132">
        <v>42399</v>
      </c>
      <c r="AK785" s="136" t="s">
        <v>6710</v>
      </c>
      <c r="AL785" s="132">
        <v>42401</v>
      </c>
      <c r="AM785" s="131" t="s">
        <v>49</v>
      </c>
      <c r="AN785" s="136" t="s">
        <v>4440</v>
      </c>
    </row>
    <row r="786" spans="1:40" s="129" customFormat="1" x14ac:dyDescent="0.25">
      <c r="A786" s="130">
        <v>785</v>
      </c>
      <c r="B786" s="130" t="s">
        <v>4428</v>
      </c>
      <c r="C786" s="130" t="s">
        <v>38</v>
      </c>
      <c r="D786" s="136" t="s">
        <v>6711</v>
      </c>
      <c r="E786" s="132">
        <v>42343</v>
      </c>
      <c r="F786" s="132" t="s">
        <v>6640</v>
      </c>
      <c r="G786" s="132" t="s">
        <v>6712</v>
      </c>
      <c r="H786" s="130" t="s">
        <v>4431</v>
      </c>
      <c r="I786" s="132" t="s">
        <v>40</v>
      </c>
      <c r="J786" s="131" t="s">
        <v>4432</v>
      </c>
      <c r="K786" s="132" t="s">
        <v>4433</v>
      </c>
      <c r="L786" s="136">
        <v>4455226</v>
      </c>
      <c r="M786" s="132">
        <v>42340</v>
      </c>
      <c r="N786" s="136" t="s">
        <v>5666</v>
      </c>
      <c r="O786" s="130" t="s">
        <v>4436</v>
      </c>
      <c r="P786" s="136" t="s">
        <v>361</v>
      </c>
      <c r="Q786" s="130">
        <v>38237090</v>
      </c>
      <c r="R786" s="136">
        <v>187</v>
      </c>
      <c r="S786" s="130" t="s">
        <v>70</v>
      </c>
      <c r="T786" s="136" t="s">
        <v>52</v>
      </c>
      <c r="U786" s="136" t="s">
        <v>1117</v>
      </c>
      <c r="V786" s="136">
        <v>76330</v>
      </c>
      <c r="W786" s="133">
        <f t="shared" si="36"/>
        <v>14273710</v>
      </c>
      <c r="X786" s="136">
        <v>0</v>
      </c>
      <c r="Y786" s="136">
        <v>436572.5</v>
      </c>
      <c r="Z786" s="136">
        <v>0</v>
      </c>
      <c r="AA786" s="136">
        <v>311854.52</v>
      </c>
      <c r="AB786" s="131">
        <v>42341</v>
      </c>
      <c r="AC786" s="134">
        <f t="shared" si="37"/>
        <v>13842480.6</v>
      </c>
      <c r="AD786" s="135">
        <v>1</v>
      </c>
      <c r="AE786" s="136">
        <f t="shared" si="38"/>
        <v>14273710</v>
      </c>
      <c r="AF786" s="130">
        <v>13842480.6</v>
      </c>
      <c r="AG786" s="138">
        <v>1</v>
      </c>
      <c r="AH786" s="136" t="s">
        <v>6713</v>
      </c>
      <c r="AI786" s="136">
        <v>14279053.1</v>
      </c>
      <c r="AJ786" s="132">
        <v>42369</v>
      </c>
      <c r="AK786" s="136" t="s">
        <v>6714</v>
      </c>
      <c r="AL786" s="132">
        <v>42373</v>
      </c>
      <c r="AM786" s="131" t="s">
        <v>49</v>
      </c>
      <c r="AN786" s="136" t="s">
        <v>4440</v>
      </c>
    </row>
    <row r="787" spans="1:40" s="129" customFormat="1" x14ac:dyDescent="0.25">
      <c r="A787" s="136">
        <v>786</v>
      </c>
      <c r="B787" s="130" t="s">
        <v>4428</v>
      </c>
      <c r="C787" s="130" t="s">
        <v>38</v>
      </c>
      <c r="D787" s="136" t="s">
        <v>6711</v>
      </c>
      <c r="E787" s="132">
        <v>42343</v>
      </c>
      <c r="F787" s="132" t="s">
        <v>6640</v>
      </c>
      <c r="G787" s="132" t="s">
        <v>6715</v>
      </c>
      <c r="H787" s="130" t="s">
        <v>4431</v>
      </c>
      <c r="I787" s="132" t="s">
        <v>40</v>
      </c>
      <c r="J787" s="131" t="s">
        <v>4432</v>
      </c>
      <c r="K787" s="132" t="s">
        <v>4433</v>
      </c>
      <c r="L787" s="136">
        <v>4474616</v>
      </c>
      <c r="M787" s="132">
        <v>42340</v>
      </c>
      <c r="N787" s="136" t="s">
        <v>5666</v>
      </c>
      <c r="O787" s="130" t="s">
        <v>4436</v>
      </c>
      <c r="P787" s="136" t="s">
        <v>361</v>
      </c>
      <c r="Q787" s="130">
        <v>38237090</v>
      </c>
      <c r="R787" s="136">
        <v>19.22</v>
      </c>
      <c r="S787" s="130" t="s">
        <v>70</v>
      </c>
      <c r="T787" s="136" t="s">
        <v>52</v>
      </c>
      <c r="U787" s="136" t="s">
        <v>1117</v>
      </c>
      <c r="V787" s="136">
        <v>76330</v>
      </c>
      <c r="W787" s="133">
        <f t="shared" si="36"/>
        <v>1467062.5999999999</v>
      </c>
      <c r="X787" s="136">
        <v>0</v>
      </c>
      <c r="Y787" s="136">
        <v>43657.25</v>
      </c>
      <c r="Z787" s="136">
        <v>0</v>
      </c>
      <c r="AA787" s="136">
        <v>32040.65</v>
      </c>
      <c r="AB787" s="131">
        <v>42341</v>
      </c>
      <c r="AC787" s="134">
        <f t="shared" si="37"/>
        <v>1423405.35</v>
      </c>
      <c r="AD787" s="135">
        <v>1</v>
      </c>
      <c r="AE787" s="136">
        <f t="shared" si="38"/>
        <v>1467062.5999999999</v>
      </c>
      <c r="AF787" s="130">
        <v>1423405.35</v>
      </c>
      <c r="AG787" s="138">
        <v>1</v>
      </c>
      <c r="AH787" s="136" t="s">
        <v>6713</v>
      </c>
      <c r="AI787" s="136">
        <v>1451316.48</v>
      </c>
      <c r="AJ787" s="132">
        <v>42369</v>
      </c>
      <c r="AK787" s="136" t="s">
        <v>6716</v>
      </c>
      <c r="AL787" s="132">
        <v>42373</v>
      </c>
      <c r="AM787" s="131" t="s">
        <v>49</v>
      </c>
      <c r="AN787" s="136" t="s">
        <v>4440</v>
      </c>
    </row>
    <row r="788" spans="1:40" s="129" customFormat="1" x14ac:dyDescent="0.25">
      <c r="A788" s="130">
        <v>787</v>
      </c>
      <c r="B788" s="130" t="s">
        <v>4428</v>
      </c>
      <c r="C788" s="130" t="s">
        <v>38</v>
      </c>
      <c r="D788" s="136">
        <v>9103650744</v>
      </c>
      <c r="E788" s="132">
        <v>42346</v>
      </c>
      <c r="F788" s="132" t="s">
        <v>6640</v>
      </c>
      <c r="G788" s="132" t="s">
        <v>848</v>
      </c>
      <c r="H788" s="130" t="s">
        <v>6636</v>
      </c>
      <c r="I788" s="132" t="s">
        <v>40</v>
      </c>
      <c r="J788" s="131" t="s">
        <v>4432</v>
      </c>
      <c r="K788" s="132" t="s">
        <v>4433</v>
      </c>
      <c r="L788" s="136">
        <v>4490176</v>
      </c>
      <c r="M788" s="132">
        <v>42341</v>
      </c>
      <c r="N788" s="136" t="s">
        <v>4670</v>
      </c>
      <c r="O788" s="130" t="s">
        <v>4436</v>
      </c>
      <c r="P788" s="136" t="s">
        <v>243</v>
      </c>
      <c r="Q788" s="130">
        <v>38237090</v>
      </c>
      <c r="R788" s="136">
        <v>52</v>
      </c>
      <c r="S788" s="130" t="s">
        <v>70</v>
      </c>
      <c r="T788" s="136" t="s">
        <v>52</v>
      </c>
      <c r="U788" s="136" t="s">
        <v>53</v>
      </c>
      <c r="V788" s="136">
        <v>1250</v>
      </c>
      <c r="W788" s="133">
        <f t="shared" si="36"/>
        <v>65000</v>
      </c>
      <c r="X788" s="136">
        <v>0</v>
      </c>
      <c r="Y788" s="136">
        <v>1100</v>
      </c>
      <c r="Z788" s="136">
        <v>0</v>
      </c>
      <c r="AA788" s="136">
        <v>0</v>
      </c>
      <c r="AB788" s="131"/>
      <c r="AC788" s="134">
        <f t="shared" si="37"/>
        <v>63899.999999999993</v>
      </c>
      <c r="AD788" s="135">
        <v>65.650000000000006</v>
      </c>
      <c r="AE788" s="136">
        <f t="shared" si="38"/>
        <v>4267250</v>
      </c>
      <c r="AF788" s="137">
        <v>4195035</v>
      </c>
      <c r="AG788" s="138">
        <v>65.650000000000006</v>
      </c>
      <c r="AH788" s="136" t="s">
        <v>6717</v>
      </c>
      <c r="AI788" s="136">
        <f>8513+45410</f>
        <v>53923</v>
      </c>
      <c r="AJ788" s="132">
        <v>42397</v>
      </c>
      <c r="AK788" s="136" t="s">
        <v>6718</v>
      </c>
      <c r="AL788" s="132">
        <v>42398</v>
      </c>
      <c r="AM788" s="131" t="s">
        <v>6719</v>
      </c>
      <c r="AN788" s="133" t="s">
        <v>4440</v>
      </c>
    </row>
    <row r="789" spans="1:40" s="129" customFormat="1" x14ac:dyDescent="0.25">
      <c r="A789" s="136">
        <v>788</v>
      </c>
      <c r="B789" s="130" t="s">
        <v>4428</v>
      </c>
      <c r="C789" s="130" t="s">
        <v>38</v>
      </c>
      <c r="D789" s="136" t="s">
        <v>6720</v>
      </c>
      <c r="E789" s="132">
        <v>42345</v>
      </c>
      <c r="F789" s="132" t="s">
        <v>6640</v>
      </c>
      <c r="G789" s="132" t="s">
        <v>6721</v>
      </c>
      <c r="H789" s="130" t="s">
        <v>4446</v>
      </c>
      <c r="I789" s="132" t="s">
        <v>40</v>
      </c>
      <c r="J789" s="131" t="s">
        <v>4432</v>
      </c>
      <c r="K789" s="132" t="s">
        <v>4433</v>
      </c>
      <c r="L789" s="136">
        <v>4476901</v>
      </c>
      <c r="M789" s="132">
        <v>42340</v>
      </c>
      <c r="N789" s="136" t="s">
        <v>5580</v>
      </c>
      <c r="O789" s="130" t="s">
        <v>4436</v>
      </c>
      <c r="P789" s="136" t="s">
        <v>6722</v>
      </c>
      <c r="Q789" s="130">
        <v>38231190</v>
      </c>
      <c r="R789" s="136">
        <v>1</v>
      </c>
      <c r="S789" s="130" t="s">
        <v>70</v>
      </c>
      <c r="T789" s="136" t="s">
        <v>44</v>
      </c>
      <c r="U789" s="136" t="s">
        <v>53</v>
      </c>
      <c r="V789" s="136">
        <v>1210</v>
      </c>
      <c r="W789" s="133">
        <f t="shared" si="36"/>
        <v>1210</v>
      </c>
      <c r="X789" s="136">
        <v>0.4</v>
      </c>
      <c r="Y789" s="136">
        <v>50</v>
      </c>
      <c r="Z789" s="136">
        <v>0</v>
      </c>
      <c r="AA789" s="136">
        <v>0</v>
      </c>
      <c r="AB789" s="131">
        <v>42341</v>
      </c>
      <c r="AC789" s="134">
        <f t="shared" si="37"/>
        <v>1159.5999999999999</v>
      </c>
      <c r="AD789" s="135">
        <v>65.650000000000006</v>
      </c>
      <c r="AE789" s="136">
        <f t="shared" si="38"/>
        <v>79436.5</v>
      </c>
      <c r="AF789" s="137">
        <v>76127.740000000005</v>
      </c>
      <c r="AG789" s="138">
        <v>65.650000000000006</v>
      </c>
      <c r="AH789" s="136" t="s">
        <v>6723</v>
      </c>
      <c r="AI789" s="136">
        <v>1210</v>
      </c>
      <c r="AJ789" s="132">
        <v>42445</v>
      </c>
      <c r="AK789" s="136" t="s">
        <v>6724</v>
      </c>
      <c r="AL789" s="132">
        <v>42446</v>
      </c>
      <c r="AM789" s="131" t="s">
        <v>49</v>
      </c>
      <c r="AN789" s="133" t="s">
        <v>4440</v>
      </c>
    </row>
    <row r="790" spans="1:40" s="129" customFormat="1" x14ac:dyDescent="0.25">
      <c r="A790" s="130">
        <v>789</v>
      </c>
      <c r="B790" s="130" t="s">
        <v>4428</v>
      </c>
      <c r="C790" s="130" t="s">
        <v>38</v>
      </c>
      <c r="D790" s="136" t="s">
        <v>6725</v>
      </c>
      <c r="E790" s="132">
        <v>42348</v>
      </c>
      <c r="F790" s="132" t="s">
        <v>6640</v>
      </c>
      <c r="G790" s="132" t="s">
        <v>6726</v>
      </c>
      <c r="H790" s="130" t="s">
        <v>4556</v>
      </c>
      <c r="I790" s="132" t="s">
        <v>40</v>
      </c>
      <c r="J790" s="131" t="s">
        <v>4432</v>
      </c>
      <c r="K790" s="132" t="s">
        <v>4433</v>
      </c>
      <c r="L790" s="136">
        <v>4477300</v>
      </c>
      <c r="M790" s="132">
        <v>42340</v>
      </c>
      <c r="N790" s="136" t="s">
        <v>4557</v>
      </c>
      <c r="O790" s="130" t="s">
        <v>4436</v>
      </c>
      <c r="P790" s="136" t="s">
        <v>137</v>
      </c>
      <c r="Q790" s="130" t="s">
        <v>4645</v>
      </c>
      <c r="R790" s="136">
        <v>2.85</v>
      </c>
      <c r="S790" s="130" t="s">
        <v>70</v>
      </c>
      <c r="T790" s="136" t="s">
        <v>52</v>
      </c>
      <c r="U790" s="136" t="s">
        <v>53</v>
      </c>
      <c r="V790" s="136">
        <v>1415</v>
      </c>
      <c r="W790" s="133">
        <f t="shared" si="36"/>
        <v>4032.75</v>
      </c>
      <c r="X790" s="136">
        <v>0</v>
      </c>
      <c r="Y790" s="136">
        <v>100</v>
      </c>
      <c r="Z790" s="136">
        <v>0</v>
      </c>
      <c r="AA790" s="136">
        <v>0</v>
      </c>
      <c r="AB790" s="131">
        <v>42341</v>
      </c>
      <c r="AC790" s="134">
        <f t="shared" si="37"/>
        <v>3932.750038080731</v>
      </c>
      <c r="AD790" s="135">
        <v>65.650000000000006</v>
      </c>
      <c r="AE790" s="136">
        <f t="shared" si="38"/>
        <v>264750.03750000003</v>
      </c>
      <c r="AF790" s="137">
        <v>258185.04</v>
      </c>
      <c r="AG790" s="138">
        <v>65.650000000000006</v>
      </c>
      <c r="AH790" s="136" t="s">
        <v>6727</v>
      </c>
      <c r="AI790" s="136">
        <v>3987.75</v>
      </c>
      <c r="AJ790" s="132">
        <v>42422</v>
      </c>
      <c r="AK790" s="136" t="s">
        <v>6728</v>
      </c>
      <c r="AL790" s="132">
        <v>42423</v>
      </c>
      <c r="AM790" s="131" t="s">
        <v>49</v>
      </c>
      <c r="AN790" s="136" t="s">
        <v>4440</v>
      </c>
    </row>
    <row r="791" spans="1:40" s="129" customFormat="1" x14ac:dyDescent="0.25">
      <c r="A791" s="136">
        <v>790</v>
      </c>
      <c r="B791" s="130" t="s">
        <v>4428</v>
      </c>
      <c r="C791" s="130" t="s">
        <v>38</v>
      </c>
      <c r="D791" s="136" t="s">
        <v>6729</v>
      </c>
      <c r="E791" s="132">
        <v>42346</v>
      </c>
      <c r="F791" s="132" t="s">
        <v>6640</v>
      </c>
      <c r="G791" s="132" t="s">
        <v>6730</v>
      </c>
      <c r="H791" s="130" t="s">
        <v>4491</v>
      </c>
      <c r="I791" s="132" t="s">
        <v>40</v>
      </c>
      <c r="J791" s="131" t="s">
        <v>4432</v>
      </c>
      <c r="K791" s="132" t="s">
        <v>4433</v>
      </c>
      <c r="L791" s="136">
        <v>4490123</v>
      </c>
      <c r="M791" s="132">
        <v>42341</v>
      </c>
      <c r="N791" s="136" t="s">
        <v>3741</v>
      </c>
      <c r="O791" s="130" t="s">
        <v>4436</v>
      </c>
      <c r="P791" s="136" t="s">
        <v>4492</v>
      </c>
      <c r="Q791" s="130">
        <v>38237090</v>
      </c>
      <c r="R791" s="136">
        <v>18.14</v>
      </c>
      <c r="S791" s="130" t="s">
        <v>70</v>
      </c>
      <c r="T791" s="136" t="s">
        <v>44</v>
      </c>
      <c r="U791" s="136" t="s">
        <v>53</v>
      </c>
      <c r="V791" s="136">
        <v>1330</v>
      </c>
      <c r="W791" s="133">
        <f t="shared" si="36"/>
        <v>24126.2</v>
      </c>
      <c r="X791" s="136">
        <v>7.96</v>
      </c>
      <c r="Y791" s="136">
        <v>1325</v>
      </c>
      <c r="Z791" s="136">
        <v>0</v>
      </c>
      <c r="AA791" s="136">
        <v>0</v>
      </c>
      <c r="AB791" s="131">
        <v>42343</v>
      </c>
      <c r="AC791" s="134">
        <f t="shared" si="37"/>
        <v>22793.240060929169</v>
      </c>
      <c r="AD791" s="135">
        <v>65.650000000000006</v>
      </c>
      <c r="AE791" s="136">
        <f t="shared" si="38"/>
        <v>1583885.0300000003</v>
      </c>
      <c r="AF791" s="137">
        <v>1496376.21</v>
      </c>
      <c r="AG791" s="138">
        <v>66.25</v>
      </c>
      <c r="AH791" s="136" t="s">
        <v>6731</v>
      </c>
      <c r="AI791" s="136">
        <v>24126.2</v>
      </c>
      <c r="AJ791" s="132">
        <v>42369</v>
      </c>
      <c r="AK791" s="136" t="s">
        <v>6732</v>
      </c>
      <c r="AL791" s="132">
        <v>42370</v>
      </c>
      <c r="AM791" s="131" t="s">
        <v>49</v>
      </c>
      <c r="AN791" s="136" t="s">
        <v>4440</v>
      </c>
    </row>
    <row r="792" spans="1:40" s="129" customFormat="1" x14ac:dyDescent="0.25">
      <c r="A792" s="130">
        <v>791</v>
      </c>
      <c r="B792" s="130" t="s">
        <v>4428</v>
      </c>
      <c r="C792" s="130" t="s">
        <v>38</v>
      </c>
      <c r="D792" s="136" t="s">
        <v>6733</v>
      </c>
      <c r="E792" s="132">
        <v>42345</v>
      </c>
      <c r="F792" s="132" t="s">
        <v>6640</v>
      </c>
      <c r="G792" s="132" t="s">
        <v>6734</v>
      </c>
      <c r="H792" s="130" t="s">
        <v>4491</v>
      </c>
      <c r="I792" s="132" t="s">
        <v>40</v>
      </c>
      <c r="J792" s="131" t="s">
        <v>4432</v>
      </c>
      <c r="K792" s="132" t="s">
        <v>4433</v>
      </c>
      <c r="L792" s="136">
        <v>4497877</v>
      </c>
      <c r="M792" s="132">
        <v>42341</v>
      </c>
      <c r="N792" s="136" t="s">
        <v>3741</v>
      </c>
      <c r="O792" s="130" t="s">
        <v>4436</v>
      </c>
      <c r="P792" s="136" t="s">
        <v>4492</v>
      </c>
      <c r="Q792" s="130">
        <v>38237090</v>
      </c>
      <c r="R792" s="136">
        <v>18.43</v>
      </c>
      <c r="S792" s="130" t="s">
        <v>70</v>
      </c>
      <c r="T792" s="136" t="s">
        <v>44</v>
      </c>
      <c r="U792" s="136" t="s">
        <v>53</v>
      </c>
      <c r="V792" s="136">
        <v>1275</v>
      </c>
      <c r="W792" s="133">
        <f t="shared" si="36"/>
        <v>23498.25</v>
      </c>
      <c r="X792" s="136">
        <v>7.75</v>
      </c>
      <c r="Y792" s="136">
        <v>2100</v>
      </c>
      <c r="Z792" s="136">
        <v>0</v>
      </c>
      <c r="AA792" s="136">
        <v>0</v>
      </c>
      <c r="AB792" s="131">
        <v>42343</v>
      </c>
      <c r="AC792" s="134">
        <f t="shared" si="37"/>
        <v>21390.499923838535</v>
      </c>
      <c r="AD792" s="135">
        <v>65.650000000000006</v>
      </c>
      <c r="AE792" s="136">
        <f t="shared" si="38"/>
        <v>1542660.1125</v>
      </c>
      <c r="AF792" s="137">
        <v>1404286.32</v>
      </c>
      <c r="AG792" s="138">
        <v>66.25</v>
      </c>
      <c r="AH792" s="136" t="s">
        <v>6735</v>
      </c>
      <c r="AI792" s="136">
        <v>23498.25</v>
      </c>
      <c r="AJ792" s="132">
        <v>42482</v>
      </c>
      <c r="AK792" s="136" t="s">
        <v>6736</v>
      </c>
      <c r="AL792" s="132">
        <v>42485</v>
      </c>
      <c r="AM792" s="131" t="s">
        <v>49</v>
      </c>
      <c r="AN792" s="133" t="s">
        <v>4440</v>
      </c>
    </row>
    <row r="793" spans="1:40" s="129" customFormat="1" x14ac:dyDescent="0.25">
      <c r="A793" s="136">
        <v>792</v>
      </c>
      <c r="B793" s="130" t="s">
        <v>4428</v>
      </c>
      <c r="C793" s="130" t="s">
        <v>38</v>
      </c>
      <c r="D793" s="136" t="s">
        <v>6737</v>
      </c>
      <c r="E793" s="132">
        <v>42345</v>
      </c>
      <c r="F793" s="132" t="s">
        <v>6640</v>
      </c>
      <c r="G793" s="132" t="s">
        <v>6738</v>
      </c>
      <c r="H793" s="130" t="s">
        <v>4491</v>
      </c>
      <c r="I793" s="132" t="s">
        <v>40</v>
      </c>
      <c r="J793" s="131" t="s">
        <v>4432</v>
      </c>
      <c r="K793" s="132" t="s">
        <v>4433</v>
      </c>
      <c r="L793" s="136">
        <v>4506988</v>
      </c>
      <c r="M793" s="132">
        <v>42342</v>
      </c>
      <c r="N793" s="136" t="s">
        <v>3741</v>
      </c>
      <c r="O793" s="130" t="s">
        <v>4436</v>
      </c>
      <c r="P793" s="136" t="s">
        <v>4492</v>
      </c>
      <c r="Q793" s="130">
        <v>29051700</v>
      </c>
      <c r="R793" s="136">
        <v>18.170000000000002</v>
      </c>
      <c r="S793" s="130" t="s">
        <v>70</v>
      </c>
      <c r="T793" s="136" t="s">
        <v>44</v>
      </c>
      <c r="U793" s="136" t="s">
        <v>53</v>
      </c>
      <c r="V793" s="136">
        <v>1820</v>
      </c>
      <c r="W793" s="133">
        <f t="shared" si="36"/>
        <v>33069.4</v>
      </c>
      <c r="X793" s="136">
        <v>10.91</v>
      </c>
      <c r="Y793" s="136">
        <v>3500</v>
      </c>
      <c r="Z793" s="136">
        <v>0</v>
      </c>
      <c r="AA793" s="136">
        <v>0</v>
      </c>
      <c r="AB793" s="131">
        <v>42343</v>
      </c>
      <c r="AC793" s="134">
        <f t="shared" si="37"/>
        <v>29558.48996226415</v>
      </c>
      <c r="AD793" s="135">
        <v>66.25</v>
      </c>
      <c r="AE793" s="136">
        <f t="shared" si="38"/>
        <v>2190847.75</v>
      </c>
      <c r="AF793" s="137">
        <v>1958249.96</v>
      </c>
      <c r="AG793" s="138">
        <v>66.25</v>
      </c>
      <c r="AH793" s="136" t="s">
        <v>6739</v>
      </c>
      <c r="AI793" s="136">
        <v>33069.4</v>
      </c>
      <c r="AJ793" s="132">
        <v>42369</v>
      </c>
      <c r="AK793" s="136" t="s">
        <v>6740</v>
      </c>
      <c r="AL793" s="132">
        <v>42377</v>
      </c>
      <c r="AM793" s="131" t="s">
        <v>49</v>
      </c>
      <c r="AN793" s="136" t="s">
        <v>4440</v>
      </c>
    </row>
    <row r="794" spans="1:40" s="129" customFormat="1" x14ac:dyDescent="0.25">
      <c r="A794" s="130">
        <v>793</v>
      </c>
      <c r="B794" s="130" t="s">
        <v>4428</v>
      </c>
      <c r="C794" s="130" t="s">
        <v>38</v>
      </c>
      <c r="D794" s="136" t="s">
        <v>6741</v>
      </c>
      <c r="E794" s="132">
        <v>42348</v>
      </c>
      <c r="F794" s="132" t="s">
        <v>6640</v>
      </c>
      <c r="G794" s="132" t="s">
        <v>6742</v>
      </c>
      <c r="H794" s="130" t="s">
        <v>4463</v>
      </c>
      <c r="I794" s="132" t="s">
        <v>40</v>
      </c>
      <c r="J794" s="131" t="s">
        <v>4432</v>
      </c>
      <c r="K794" s="132" t="s">
        <v>4433</v>
      </c>
      <c r="L794" s="136">
        <v>4520895</v>
      </c>
      <c r="M794" s="132">
        <v>42342</v>
      </c>
      <c r="N794" s="136" t="s">
        <v>4616</v>
      </c>
      <c r="O794" s="130" t="s">
        <v>4436</v>
      </c>
      <c r="P794" s="136" t="s">
        <v>137</v>
      </c>
      <c r="Q794" s="130">
        <v>38237090</v>
      </c>
      <c r="R794" s="136">
        <v>16</v>
      </c>
      <c r="S794" s="130" t="s">
        <v>70</v>
      </c>
      <c r="T794" s="136" t="s">
        <v>44</v>
      </c>
      <c r="U794" s="136" t="s">
        <v>53</v>
      </c>
      <c r="V794" s="136">
        <v>1240</v>
      </c>
      <c r="W794" s="133">
        <f t="shared" si="36"/>
        <v>19840</v>
      </c>
      <c r="X794" s="136">
        <v>6.55</v>
      </c>
      <c r="Y794" s="136">
        <v>325</v>
      </c>
      <c r="Z794" s="136">
        <v>0</v>
      </c>
      <c r="AA794" s="136">
        <v>0</v>
      </c>
      <c r="AB794" s="131">
        <v>42343</v>
      </c>
      <c r="AC794" s="134">
        <f t="shared" si="37"/>
        <v>19508.449962264152</v>
      </c>
      <c r="AD794" s="135">
        <v>66.25</v>
      </c>
      <c r="AE794" s="136">
        <f t="shared" si="38"/>
        <v>1314400</v>
      </c>
      <c r="AF794" s="137">
        <v>1292434.81</v>
      </c>
      <c r="AG794" s="138">
        <v>66.25</v>
      </c>
      <c r="AH794" s="136" t="s">
        <v>6743</v>
      </c>
      <c r="AI794" s="136">
        <v>19825</v>
      </c>
      <c r="AJ794" s="132">
        <v>42376</v>
      </c>
      <c r="AK794" s="136" t="s">
        <v>6744</v>
      </c>
      <c r="AL794" s="132">
        <v>42377</v>
      </c>
      <c r="AM794" s="131" t="s">
        <v>49</v>
      </c>
      <c r="AN794" s="133" t="s">
        <v>4440</v>
      </c>
    </row>
    <row r="795" spans="1:40" s="129" customFormat="1" x14ac:dyDescent="0.25">
      <c r="A795" s="136">
        <v>794</v>
      </c>
      <c r="B795" s="130" t="s">
        <v>4428</v>
      </c>
      <c r="C795" s="130" t="s">
        <v>38</v>
      </c>
      <c r="D795" s="136" t="s">
        <v>6745</v>
      </c>
      <c r="E795" s="132">
        <v>42348</v>
      </c>
      <c r="F795" s="132" t="s">
        <v>6640</v>
      </c>
      <c r="G795" s="132" t="s">
        <v>6746</v>
      </c>
      <c r="H795" s="130" t="s">
        <v>4556</v>
      </c>
      <c r="I795" s="132" t="s">
        <v>40</v>
      </c>
      <c r="J795" s="131" t="s">
        <v>4432</v>
      </c>
      <c r="K795" s="132" t="s">
        <v>4433</v>
      </c>
      <c r="L795" s="136">
        <v>4557839</v>
      </c>
      <c r="M795" s="132">
        <v>42345</v>
      </c>
      <c r="N795" s="136" t="s">
        <v>4557</v>
      </c>
      <c r="O795" s="130" t="s">
        <v>4436</v>
      </c>
      <c r="P795" s="136" t="s">
        <v>137</v>
      </c>
      <c r="Q795" s="130" t="s">
        <v>4645</v>
      </c>
      <c r="R795" s="136">
        <v>9.4499999999999993</v>
      </c>
      <c r="S795" s="130" t="s">
        <v>70</v>
      </c>
      <c r="T795" s="136" t="s">
        <v>52</v>
      </c>
      <c r="U795" s="136" t="s">
        <v>53</v>
      </c>
      <c r="V795" s="136">
        <v>1415</v>
      </c>
      <c r="W795" s="133">
        <f t="shared" si="36"/>
        <v>13371.749999999998</v>
      </c>
      <c r="X795" s="136">
        <v>0</v>
      </c>
      <c r="Y795" s="136">
        <v>325</v>
      </c>
      <c r="Z795" s="136">
        <v>0</v>
      </c>
      <c r="AA795" s="136">
        <v>0</v>
      </c>
      <c r="AB795" s="131">
        <v>42343</v>
      </c>
      <c r="AC795" s="134">
        <f t="shared" si="37"/>
        <v>13046.750037735848</v>
      </c>
      <c r="AD795" s="135">
        <v>66.25</v>
      </c>
      <c r="AE795" s="136">
        <f t="shared" si="38"/>
        <v>885878.43749999988</v>
      </c>
      <c r="AF795" s="137">
        <v>864347.19</v>
      </c>
      <c r="AG795" s="138">
        <v>66.25</v>
      </c>
      <c r="AH795" s="136" t="s">
        <v>6747</v>
      </c>
      <c r="AI795" s="136">
        <v>13371.75</v>
      </c>
      <c r="AJ795" s="132">
        <v>42422</v>
      </c>
      <c r="AK795" s="136" t="s">
        <v>6748</v>
      </c>
      <c r="AL795" s="132">
        <v>42423</v>
      </c>
      <c r="AM795" s="131" t="s">
        <v>49</v>
      </c>
      <c r="AN795" s="133" t="s">
        <v>4440</v>
      </c>
    </row>
    <row r="796" spans="1:40" s="129" customFormat="1" x14ac:dyDescent="0.25">
      <c r="A796" s="130">
        <v>795</v>
      </c>
      <c r="B796" s="130" t="s">
        <v>4428</v>
      </c>
      <c r="C796" s="130" t="s">
        <v>38</v>
      </c>
      <c r="D796" s="136" t="s">
        <v>6749</v>
      </c>
      <c r="E796" s="132">
        <v>42351</v>
      </c>
      <c r="F796" s="132" t="s">
        <v>6640</v>
      </c>
      <c r="G796" s="132" t="s">
        <v>6750</v>
      </c>
      <c r="H796" s="130" t="s">
        <v>4456</v>
      </c>
      <c r="I796" s="132" t="s">
        <v>40</v>
      </c>
      <c r="J796" s="131" t="s">
        <v>4432</v>
      </c>
      <c r="K796" s="132" t="s">
        <v>4433</v>
      </c>
      <c r="L796" s="136">
        <v>4554273</v>
      </c>
      <c r="M796" s="132">
        <v>42345</v>
      </c>
      <c r="N796" s="136" t="s">
        <v>4950</v>
      </c>
      <c r="O796" s="130" t="s">
        <v>4436</v>
      </c>
      <c r="P796" s="136" t="s">
        <v>143</v>
      </c>
      <c r="Q796" s="130" t="s">
        <v>4645</v>
      </c>
      <c r="R796" s="136">
        <v>12.6</v>
      </c>
      <c r="S796" s="130" t="s">
        <v>70</v>
      </c>
      <c r="T796" s="136" t="s">
        <v>52</v>
      </c>
      <c r="U796" s="136" t="s">
        <v>53</v>
      </c>
      <c r="V796" s="136">
        <v>0</v>
      </c>
      <c r="W796" s="133">
        <f>(0.6*1500+12*1360)</f>
        <v>17220</v>
      </c>
      <c r="X796" s="136">
        <v>0</v>
      </c>
      <c r="Y796" s="136">
        <v>500</v>
      </c>
      <c r="Z796" s="136">
        <v>0</v>
      </c>
      <c r="AA796" s="136">
        <v>0</v>
      </c>
      <c r="AB796" s="131">
        <v>42346</v>
      </c>
      <c r="AC796" s="134">
        <f t="shared" si="37"/>
        <v>16720</v>
      </c>
      <c r="AD796" s="135">
        <v>66.25</v>
      </c>
      <c r="AE796" s="136">
        <f t="shared" si="38"/>
        <v>1140825</v>
      </c>
      <c r="AF796" s="137">
        <v>1107700</v>
      </c>
      <c r="AG796" s="138">
        <v>66.25</v>
      </c>
      <c r="AH796" s="136" t="s">
        <v>6751</v>
      </c>
      <c r="AI796" s="136">
        <v>17200</v>
      </c>
      <c r="AJ796" s="132">
        <v>42394</v>
      </c>
      <c r="AK796" s="136" t="s">
        <v>6752</v>
      </c>
      <c r="AL796" s="132">
        <v>42396</v>
      </c>
      <c r="AM796" s="131" t="s">
        <v>49</v>
      </c>
      <c r="AN796" s="136" t="s">
        <v>4440</v>
      </c>
    </row>
    <row r="797" spans="1:40" s="129" customFormat="1" x14ac:dyDescent="0.25">
      <c r="A797" s="136">
        <v>796</v>
      </c>
      <c r="B797" s="130" t="s">
        <v>4428</v>
      </c>
      <c r="C797" s="130" t="s">
        <v>38</v>
      </c>
      <c r="D797" s="136" t="s">
        <v>6753</v>
      </c>
      <c r="E797" s="132">
        <v>42350</v>
      </c>
      <c r="F797" s="132" t="s">
        <v>6640</v>
      </c>
      <c r="G797" s="132" t="s">
        <v>6754</v>
      </c>
      <c r="H797" s="130" t="s">
        <v>4491</v>
      </c>
      <c r="I797" s="132" t="s">
        <v>40</v>
      </c>
      <c r="J797" s="131" t="s">
        <v>4432</v>
      </c>
      <c r="K797" s="132" t="s">
        <v>4433</v>
      </c>
      <c r="L797" s="136">
        <v>4554268</v>
      </c>
      <c r="M797" s="132">
        <v>42345</v>
      </c>
      <c r="N797" s="136" t="s">
        <v>3741</v>
      </c>
      <c r="O797" s="130" t="s">
        <v>4436</v>
      </c>
      <c r="P797" s="136" t="s">
        <v>4492</v>
      </c>
      <c r="Q797" s="130">
        <v>29051700</v>
      </c>
      <c r="R797" s="136">
        <v>18.14</v>
      </c>
      <c r="S797" s="130" t="s">
        <v>70</v>
      </c>
      <c r="T797" s="136" t="s">
        <v>44</v>
      </c>
      <c r="U797" s="136" t="s">
        <v>53</v>
      </c>
      <c r="V797" s="136">
        <v>1529</v>
      </c>
      <c r="W797" s="133">
        <f t="shared" si="36"/>
        <v>27736.06</v>
      </c>
      <c r="X797" s="136">
        <v>9.15</v>
      </c>
      <c r="Y797" s="136">
        <v>1500</v>
      </c>
      <c r="Z797" s="136">
        <v>0</v>
      </c>
      <c r="AA797" s="136">
        <v>0</v>
      </c>
      <c r="AB797" s="131">
        <v>42346</v>
      </c>
      <c r="AC797" s="134">
        <f t="shared" si="37"/>
        <v>26226.910037735848</v>
      </c>
      <c r="AD797" s="135">
        <v>66.25</v>
      </c>
      <c r="AE797" s="136">
        <f t="shared" si="38"/>
        <v>1837513.9750000001</v>
      </c>
      <c r="AF797" s="137">
        <v>1737532.79</v>
      </c>
      <c r="AG797" s="138">
        <v>66.25</v>
      </c>
      <c r="AH797" s="136" t="s">
        <v>6755</v>
      </c>
      <c r="AI797" s="136">
        <v>27736.06</v>
      </c>
      <c r="AJ797" s="132">
        <v>42369</v>
      </c>
      <c r="AK797" s="136" t="s">
        <v>6756</v>
      </c>
      <c r="AL797" s="132">
        <v>42370</v>
      </c>
      <c r="AM797" s="131" t="s">
        <v>49</v>
      </c>
      <c r="AN797" s="136" t="s">
        <v>4440</v>
      </c>
    </row>
    <row r="798" spans="1:40" s="129" customFormat="1" x14ac:dyDescent="0.25">
      <c r="A798" s="130">
        <v>797</v>
      </c>
      <c r="B798" s="130" t="s">
        <v>4428</v>
      </c>
      <c r="C798" s="130" t="s">
        <v>38</v>
      </c>
      <c r="D798" s="136" t="s">
        <v>6757</v>
      </c>
      <c r="E798" s="132">
        <v>42350</v>
      </c>
      <c r="F798" s="132" t="s">
        <v>6640</v>
      </c>
      <c r="G798" s="132" t="s">
        <v>6758</v>
      </c>
      <c r="H798" s="130" t="s">
        <v>4463</v>
      </c>
      <c r="I798" s="132" t="s">
        <v>40</v>
      </c>
      <c r="J798" s="131" t="s">
        <v>4432</v>
      </c>
      <c r="K798" s="132" t="s">
        <v>4433</v>
      </c>
      <c r="L798" s="136">
        <v>4559004</v>
      </c>
      <c r="M798" s="132">
        <v>42345</v>
      </c>
      <c r="N798" s="136" t="s">
        <v>4579</v>
      </c>
      <c r="O798" s="130" t="s">
        <v>4436</v>
      </c>
      <c r="P798" s="136" t="s">
        <v>241</v>
      </c>
      <c r="Q798" s="130">
        <v>38231200</v>
      </c>
      <c r="R798" s="136">
        <v>19.739999999999998</v>
      </c>
      <c r="S798" s="130" t="s">
        <v>70</v>
      </c>
      <c r="T798" s="136" t="s">
        <v>44</v>
      </c>
      <c r="U798" s="136" t="s">
        <v>53</v>
      </c>
      <c r="V798" s="136">
        <v>1133</v>
      </c>
      <c r="W798" s="133">
        <f t="shared" si="36"/>
        <v>22365.42</v>
      </c>
      <c r="X798" s="136">
        <v>7.38</v>
      </c>
      <c r="Y798" s="136">
        <v>400</v>
      </c>
      <c r="Z798" s="136">
        <v>0</v>
      </c>
      <c r="AA798" s="136">
        <v>0</v>
      </c>
      <c r="AB798" s="131">
        <v>42346</v>
      </c>
      <c r="AC798" s="134">
        <f t="shared" si="37"/>
        <v>21958.040150943394</v>
      </c>
      <c r="AD798" s="135">
        <v>66.25</v>
      </c>
      <c r="AE798" s="136">
        <f t="shared" si="38"/>
        <v>1481709.075</v>
      </c>
      <c r="AF798" s="137">
        <v>1454720.16</v>
      </c>
      <c r="AG798" s="138">
        <v>66.25</v>
      </c>
      <c r="AH798" s="136" t="s">
        <v>6759</v>
      </c>
      <c r="AI798" s="136">
        <v>22365.42</v>
      </c>
      <c r="AJ798" s="132">
        <v>42388</v>
      </c>
      <c r="AK798" s="136" t="s">
        <v>6760</v>
      </c>
      <c r="AL798" s="132">
        <v>42388</v>
      </c>
      <c r="AM798" s="131" t="s">
        <v>49</v>
      </c>
      <c r="AN798" s="136" t="s">
        <v>4440</v>
      </c>
    </row>
    <row r="799" spans="1:40" s="129" customFormat="1" x14ac:dyDescent="0.25">
      <c r="A799" s="136">
        <v>798</v>
      </c>
      <c r="B799" s="130" t="s">
        <v>4428</v>
      </c>
      <c r="C799" s="130" t="s">
        <v>38</v>
      </c>
      <c r="D799" s="136">
        <v>9103650757</v>
      </c>
      <c r="E799" s="132">
        <v>42350</v>
      </c>
      <c r="F799" s="132" t="s">
        <v>6640</v>
      </c>
      <c r="G799" s="132" t="s">
        <v>6761</v>
      </c>
      <c r="H799" s="130" t="s">
        <v>4431</v>
      </c>
      <c r="I799" s="132" t="s">
        <v>40</v>
      </c>
      <c r="J799" s="131" t="s">
        <v>4432</v>
      </c>
      <c r="K799" s="132" t="s">
        <v>4433</v>
      </c>
      <c r="L799" s="136">
        <v>4557758</v>
      </c>
      <c r="M799" s="132">
        <v>42345</v>
      </c>
      <c r="N799" s="136" t="s">
        <v>4473</v>
      </c>
      <c r="O799" s="130" t="s">
        <v>4436</v>
      </c>
      <c r="P799" s="136" t="s">
        <v>6762</v>
      </c>
      <c r="Q799" s="130">
        <v>38237090</v>
      </c>
      <c r="R799" s="136">
        <v>16.93</v>
      </c>
      <c r="S799" s="130" t="s">
        <v>70</v>
      </c>
      <c r="T799" s="136" t="s">
        <v>52</v>
      </c>
      <c r="U799" s="136" t="s">
        <v>1117</v>
      </c>
      <c r="V799" s="136">
        <v>77668</v>
      </c>
      <c r="W799" s="133">
        <f t="shared" si="36"/>
        <v>1314919.24</v>
      </c>
      <c r="X799" s="136">
        <v>0</v>
      </c>
      <c r="Y799" s="136">
        <v>44056.25</v>
      </c>
      <c r="Z799" s="136">
        <v>0</v>
      </c>
      <c r="AA799" s="136">
        <v>0</v>
      </c>
      <c r="AB799" s="131">
        <v>42346</v>
      </c>
      <c r="AC799" s="134">
        <f t="shared" si="37"/>
        <v>1270862.99</v>
      </c>
      <c r="AD799" s="135">
        <v>1</v>
      </c>
      <c r="AE799" s="136">
        <f t="shared" si="38"/>
        <v>1314919.24</v>
      </c>
      <c r="AF799" s="130">
        <v>1270862.99</v>
      </c>
      <c r="AG799" s="138">
        <v>1</v>
      </c>
      <c r="AH799" s="136" t="s">
        <v>6763</v>
      </c>
      <c r="AI799" s="136">
        <v>1314919.24</v>
      </c>
      <c r="AJ799" s="132">
        <v>42361</v>
      </c>
      <c r="AK799" s="136" t="s">
        <v>6764</v>
      </c>
      <c r="AL799" s="132">
        <v>42366</v>
      </c>
      <c r="AM799" s="132" t="s">
        <v>49</v>
      </c>
      <c r="AN799" s="133" t="s">
        <v>4440</v>
      </c>
    </row>
    <row r="800" spans="1:40" s="129" customFormat="1" x14ac:dyDescent="0.25">
      <c r="A800" s="130">
        <v>799</v>
      </c>
      <c r="B800" s="130" t="s">
        <v>4428</v>
      </c>
      <c r="C800" s="130" t="s">
        <v>38</v>
      </c>
      <c r="D800" s="136">
        <v>9103650758</v>
      </c>
      <c r="E800" s="132">
        <v>42350</v>
      </c>
      <c r="F800" s="132" t="s">
        <v>6640</v>
      </c>
      <c r="G800" s="132" t="s">
        <v>6765</v>
      </c>
      <c r="H800" s="130" t="s">
        <v>4564</v>
      </c>
      <c r="I800" s="132" t="s">
        <v>40</v>
      </c>
      <c r="J800" s="131" t="s">
        <v>4432</v>
      </c>
      <c r="K800" s="132" t="s">
        <v>4433</v>
      </c>
      <c r="L800" s="136">
        <v>4577549</v>
      </c>
      <c r="M800" s="132">
        <v>42346</v>
      </c>
      <c r="N800" s="136" t="s">
        <v>4565</v>
      </c>
      <c r="O800" s="130" t="s">
        <v>4436</v>
      </c>
      <c r="P800" s="136" t="s">
        <v>6722</v>
      </c>
      <c r="Q800" s="130">
        <v>38237090</v>
      </c>
      <c r="R800" s="136">
        <v>16</v>
      </c>
      <c r="S800" s="130" t="s">
        <v>70</v>
      </c>
      <c r="T800" s="136" t="s">
        <v>44</v>
      </c>
      <c r="U800" s="136" t="s">
        <v>53</v>
      </c>
      <c r="V800" s="136">
        <v>1200</v>
      </c>
      <c r="W800" s="133">
        <f t="shared" si="36"/>
        <v>19200</v>
      </c>
      <c r="X800" s="136">
        <v>6.34</v>
      </c>
      <c r="Y800" s="136">
        <v>30</v>
      </c>
      <c r="Z800" s="136">
        <v>0</v>
      </c>
      <c r="AA800" s="136">
        <v>0</v>
      </c>
      <c r="AB800" s="131"/>
      <c r="AC800" s="134">
        <f t="shared" si="37"/>
        <v>19163.660075471696</v>
      </c>
      <c r="AD800" s="135">
        <v>66.25</v>
      </c>
      <c r="AE800" s="136">
        <f t="shared" si="38"/>
        <v>1272000</v>
      </c>
      <c r="AF800" s="137">
        <v>1269592.48</v>
      </c>
      <c r="AG800" s="138">
        <v>66.25</v>
      </c>
      <c r="AH800" s="136" t="s">
        <v>6766</v>
      </c>
      <c r="AI800" s="136">
        <v>19200</v>
      </c>
      <c r="AJ800" s="132">
        <v>42423</v>
      </c>
      <c r="AK800" s="136" t="s">
        <v>6767</v>
      </c>
      <c r="AL800" s="132">
        <v>42424</v>
      </c>
      <c r="AM800" s="131" t="s">
        <v>49</v>
      </c>
      <c r="AN800" s="133" t="s">
        <v>5297</v>
      </c>
    </row>
    <row r="801" spans="1:40" s="129" customFormat="1" x14ac:dyDescent="0.25">
      <c r="A801" s="136">
        <v>800</v>
      </c>
      <c r="B801" s="130" t="s">
        <v>4428</v>
      </c>
      <c r="C801" s="130" t="s">
        <v>38</v>
      </c>
      <c r="D801" s="136" t="s">
        <v>6768</v>
      </c>
      <c r="E801" s="132">
        <v>42353</v>
      </c>
      <c r="F801" s="132" t="s">
        <v>6640</v>
      </c>
      <c r="G801" s="132" t="s">
        <v>6769</v>
      </c>
      <c r="H801" s="130" t="s">
        <v>4463</v>
      </c>
      <c r="I801" s="132" t="s">
        <v>40</v>
      </c>
      <c r="J801" s="131" t="s">
        <v>4432</v>
      </c>
      <c r="K801" s="132" t="s">
        <v>4433</v>
      </c>
      <c r="L801" s="136">
        <v>4577411</v>
      </c>
      <c r="M801" s="132">
        <v>42346</v>
      </c>
      <c r="N801" s="136" t="s">
        <v>6642</v>
      </c>
      <c r="O801" s="130" t="s">
        <v>4436</v>
      </c>
      <c r="P801" s="136" t="s">
        <v>2958</v>
      </c>
      <c r="Q801" s="130">
        <v>38237090</v>
      </c>
      <c r="R801" s="136">
        <v>16</v>
      </c>
      <c r="S801" s="130" t="s">
        <v>70</v>
      </c>
      <c r="T801" s="136" t="s">
        <v>67</v>
      </c>
      <c r="U801" s="136" t="s">
        <v>53</v>
      </c>
      <c r="V801" s="136">
        <v>1300</v>
      </c>
      <c r="W801" s="133">
        <f>V801*R801</f>
        <v>20800</v>
      </c>
      <c r="X801" s="136">
        <v>0</v>
      </c>
      <c r="Y801" s="136">
        <v>0</v>
      </c>
      <c r="Z801" s="136">
        <v>0</v>
      </c>
      <c r="AA801" s="136">
        <v>0</v>
      </c>
      <c r="AB801" s="131">
        <v>42348</v>
      </c>
      <c r="AC801" s="134">
        <f t="shared" si="37"/>
        <v>20800</v>
      </c>
      <c r="AD801" s="135">
        <v>66.25</v>
      </c>
      <c r="AE801" s="136">
        <f t="shared" si="38"/>
        <v>1378000</v>
      </c>
      <c r="AF801" s="137">
        <v>1378000</v>
      </c>
      <c r="AG801" s="138">
        <v>66.25</v>
      </c>
      <c r="AH801" s="136" t="s">
        <v>6770</v>
      </c>
      <c r="AI801" s="136">
        <v>20736</v>
      </c>
      <c r="AJ801" s="132">
        <v>42399</v>
      </c>
      <c r="AK801" s="136" t="s">
        <v>6771</v>
      </c>
      <c r="AL801" s="132">
        <v>42401</v>
      </c>
      <c r="AM801" s="131" t="s">
        <v>49</v>
      </c>
      <c r="AN801" s="133" t="s">
        <v>4440</v>
      </c>
    </row>
    <row r="802" spans="1:40" s="129" customFormat="1" x14ac:dyDescent="0.25">
      <c r="A802" s="130">
        <v>801</v>
      </c>
      <c r="B802" s="130" t="s">
        <v>4428</v>
      </c>
      <c r="C802" s="130" t="s">
        <v>38</v>
      </c>
      <c r="D802" s="136" t="s">
        <v>6772</v>
      </c>
      <c r="E802" s="132">
        <v>42351</v>
      </c>
      <c r="F802" s="132" t="s">
        <v>6640</v>
      </c>
      <c r="G802" s="132" t="s">
        <v>6773</v>
      </c>
      <c r="H802" s="130" t="s">
        <v>4431</v>
      </c>
      <c r="I802" s="132" t="s">
        <v>40</v>
      </c>
      <c r="J802" s="131" t="s">
        <v>4432</v>
      </c>
      <c r="K802" s="132" t="s">
        <v>4433</v>
      </c>
      <c r="L802" s="136">
        <v>4577528</v>
      </c>
      <c r="M802" s="132">
        <v>42346</v>
      </c>
      <c r="N802" s="136" t="s">
        <v>5963</v>
      </c>
      <c r="O802" s="130" t="s">
        <v>4436</v>
      </c>
      <c r="P802" s="136" t="s">
        <v>4465</v>
      </c>
      <c r="Q802" s="130">
        <v>38231200</v>
      </c>
      <c r="R802" s="136">
        <v>19.739999999999998</v>
      </c>
      <c r="S802" s="130" t="s">
        <v>70</v>
      </c>
      <c r="T802" s="136" t="s">
        <v>44</v>
      </c>
      <c r="U802" s="136" t="s">
        <v>53</v>
      </c>
      <c r="V802" s="136">
        <v>688</v>
      </c>
      <c r="W802" s="133">
        <f t="shared" si="36"/>
        <v>13581.119999999999</v>
      </c>
      <c r="X802" s="136">
        <v>4.4800000000000004</v>
      </c>
      <c r="Y802" s="136">
        <v>325</v>
      </c>
      <c r="Z802" s="136">
        <v>0</v>
      </c>
      <c r="AA802" s="136">
        <v>197.4</v>
      </c>
      <c r="AB802" s="131">
        <v>42348</v>
      </c>
      <c r="AC802" s="134">
        <f t="shared" si="37"/>
        <v>13251.640000000001</v>
      </c>
      <c r="AD802" s="135">
        <v>66.25</v>
      </c>
      <c r="AE802" s="136">
        <f t="shared" si="38"/>
        <v>899749.2</v>
      </c>
      <c r="AF802" s="137">
        <v>877921.15</v>
      </c>
      <c r="AG802" s="138">
        <v>66.25</v>
      </c>
      <c r="AH802" s="136" t="s">
        <v>6774</v>
      </c>
      <c r="AI802" s="136">
        <v>13581.12</v>
      </c>
      <c r="AJ802" s="132">
        <v>42402</v>
      </c>
      <c r="AK802" s="136" t="s">
        <v>6775</v>
      </c>
      <c r="AL802" s="132">
        <v>42403</v>
      </c>
      <c r="AM802" s="131" t="s">
        <v>49</v>
      </c>
      <c r="AN802" s="136" t="s">
        <v>4440</v>
      </c>
    </row>
    <row r="803" spans="1:40" s="129" customFormat="1" x14ac:dyDescent="0.25">
      <c r="A803" s="136">
        <v>802</v>
      </c>
      <c r="B803" s="130" t="s">
        <v>4428</v>
      </c>
      <c r="C803" s="130" t="s">
        <v>38</v>
      </c>
      <c r="D803" s="136" t="s">
        <v>6772</v>
      </c>
      <c r="E803" s="132">
        <v>42351</v>
      </c>
      <c r="F803" s="132" t="s">
        <v>6640</v>
      </c>
      <c r="G803" s="132" t="s">
        <v>6776</v>
      </c>
      <c r="H803" s="130" t="s">
        <v>4431</v>
      </c>
      <c r="I803" s="132" t="s">
        <v>40</v>
      </c>
      <c r="J803" s="131" t="s">
        <v>4432</v>
      </c>
      <c r="K803" s="132" t="s">
        <v>4433</v>
      </c>
      <c r="L803" s="136">
        <v>4583365</v>
      </c>
      <c r="M803" s="132">
        <v>42346</v>
      </c>
      <c r="N803" s="136" t="s">
        <v>5963</v>
      </c>
      <c r="O803" s="130" t="s">
        <v>4436</v>
      </c>
      <c r="P803" s="136" t="s">
        <v>4465</v>
      </c>
      <c r="Q803" s="130">
        <v>38231200</v>
      </c>
      <c r="R803" s="136">
        <v>19.899999999999999</v>
      </c>
      <c r="S803" s="130" t="s">
        <v>70</v>
      </c>
      <c r="T803" s="136" t="s">
        <v>44</v>
      </c>
      <c r="U803" s="136" t="s">
        <v>53</v>
      </c>
      <c r="V803" s="136">
        <v>688</v>
      </c>
      <c r="W803" s="133">
        <f>V803*R803</f>
        <v>13691.199999999999</v>
      </c>
      <c r="X803" s="136">
        <v>4.5199999999999996</v>
      </c>
      <c r="Y803" s="136">
        <v>325</v>
      </c>
      <c r="Z803" s="136">
        <v>0</v>
      </c>
      <c r="AA803" s="136">
        <v>199</v>
      </c>
      <c r="AB803" s="131">
        <v>42349</v>
      </c>
      <c r="AC803" s="134">
        <f>AF803/AD803</f>
        <v>13361.68</v>
      </c>
      <c r="AD803" s="135">
        <v>66.25</v>
      </c>
      <c r="AE803" s="136">
        <f>AD803*W803</f>
        <v>907041.99999999988</v>
      </c>
      <c r="AF803" s="137">
        <v>885211.3</v>
      </c>
      <c r="AG803" s="138">
        <v>66.25</v>
      </c>
      <c r="AH803" s="136" t="s">
        <v>6774</v>
      </c>
      <c r="AI803" s="136">
        <v>13691.2</v>
      </c>
      <c r="AJ803" s="132">
        <v>42402</v>
      </c>
      <c r="AK803" s="136" t="s">
        <v>6777</v>
      </c>
      <c r="AL803" s="132">
        <v>42403</v>
      </c>
      <c r="AM803" s="131" t="s">
        <v>49</v>
      </c>
      <c r="AN803" s="136" t="s">
        <v>4440</v>
      </c>
    </row>
    <row r="804" spans="1:40" s="129" customFormat="1" x14ac:dyDescent="0.25">
      <c r="A804" s="130">
        <v>803</v>
      </c>
      <c r="B804" s="130" t="s">
        <v>4428</v>
      </c>
      <c r="C804" s="130" t="s">
        <v>38</v>
      </c>
      <c r="D804" s="136" t="s">
        <v>6778</v>
      </c>
      <c r="E804" s="132">
        <v>42353</v>
      </c>
      <c r="F804" s="132" t="s">
        <v>6640</v>
      </c>
      <c r="G804" s="132" t="s">
        <v>6779</v>
      </c>
      <c r="H804" s="130" t="s">
        <v>4446</v>
      </c>
      <c r="I804" s="132" t="s">
        <v>40</v>
      </c>
      <c r="J804" s="131" t="s">
        <v>4432</v>
      </c>
      <c r="K804" s="132" t="s">
        <v>4433</v>
      </c>
      <c r="L804" s="136">
        <v>4606275</v>
      </c>
      <c r="M804" s="132">
        <v>42347</v>
      </c>
      <c r="N804" s="136" t="s">
        <v>4670</v>
      </c>
      <c r="O804" s="130" t="s">
        <v>4436</v>
      </c>
      <c r="P804" s="136" t="s">
        <v>243</v>
      </c>
      <c r="Q804" s="130">
        <v>38237090</v>
      </c>
      <c r="R804" s="136">
        <v>52</v>
      </c>
      <c r="S804" s="130" t="s">
        <v>70</v>
      </c>
      <c r="T804" s="136" t="s">
        <v>52</v>
      </c>
      <c r="U804" s="136" t="s">
        <v>53</v>
      </c>
      <c r="V804" s="136">
        <v>1243</v>
      </c>
      <c r="W804" s="133">
        <f t="shared" si="36"/>
        <v>64636</v>
      </c>
      <c r="X804" s="136">
        <v>0</v>
      </c>
      <c r="Y804" s="136">
        <v>950</v>
      </c>
      <c r="Z804" s="136">
        <v>0</v>
      </c>
      <c r="AA804" s="136">
        <v>0</v>
      </c>
      <c r="AB804" s="131">
        <v>42349</v>
      </c>
      <c r="AC804" s="134">
        <f t="shared" si="37"/>
        <v>63686</v>
      </c>
      <c r="AD804" s="135">
        <v>66.25</v>
      </c>
      <c r="AE804" s="136">
        <f t="shared" si="38"/>
        <v>4282135</v>
      </c>
      <c r="AF804" s="137">
        <v>4219197.5</v>
      </c>
      <c r="AG804" s="138">
        <v>66.25</v>
      </c>
      <c r="AH804" s="136" t="s">
        <v>6780</v>
      </c>
      <c r="AI804" s="136">
        <v>64479</v>
      </c>
      <c r="AJ804" s="132" t="s">
        <v>6781</v>
      </c>
      <c r="AK804" s="136" t="s">
        <v>6782</v>
      </c>
      <c r="AL804" s="132" t="s">
        <v>6783</v>
      </c>
      <c r="AM804" s="131" t="s">
        <v>49</v>
      </c>
      <c r="AN804" s="136" t="s">
        <v>4440</v>
      </c>
    </row>
    <row r="805" spans="1:40" s="129" customFormat="1" x14ac:dyDescent="0.25">
      <c r="A805" s="136">
        <v>804</v>
      </c>
      <c r="B805" s="130" t="s">
        <v>4428</v>
      </c>
      <c r="C805" s="130" t="s">
        <v>38</v>
      </c>
      <c r="D805" s="136">
        <v>9103650762</v>
      </c>
      <c r="E805" s="132">
        <v>42353</v>
      </c>
      <c r="F805" s="132" t="s">
        <v>6640</v>
      </c>
      <c r="G805" s="132" t="s">
        <v>6784</v>
      </c>
      <c r="H805" s="130" t="s">
        <v>4556</v>
      </c>
      <c r="I805" s="132" t="s">
        <v>40</v>
      </c>
      <c r="J805" s="131" t="s">
        <v>4432</v>
      </c>
      <c r="K805" s="132" t="s">
        <v>4433</v>
      </c>
      <c r="L805" s="136">
        <v>4606099</v>
      </c>
      <c r="M805" s="132">
        <v>42347</v>
      </c>
      <c r="N805" s="136" t="s">
        <v>4582</v>
      </c>
      <c r="O805" s="130" t="s">
        <v>4436</v>
      </c>
      <c r="P805" s="136" t="s">
        <v>90</v>
      </c>
      <c r="Q805" s="130">
        <v>38231190</v>
      </c>
      <c r="R805" s="136">
        <v>24</v>
      </c>
      <c r="S805" s="130" t="s">
        <v>70</v>
      </c>
      <c r="T805" s="136" t="s">
        <v>44</v>
      </c>
      <c r="U805" s="136" t="s">
        <v>53</v>
      </c>
      <c r="V805" s="136">
        <v>752</v>
      </c>
      <c r="W805" s="133">
        <f t="shared" si="36"/>
        <v>18048</v>
      </c>
      <c r="X805" s="136">
        <v>5.96</v>
      </c>
      <c r="Y805" s="136">
        <v>663</v>
      </c>
      <c r="Z805" s="136">
        <v>0</v>
      </c>
      <c r="AA805" s="136">
        <v>311.04000000000002</v>
      </c>
      <c r="AB805" s="131"/>
      <c r="AC805" s="134">
        <f t="shared" si="37"/>
        <v>17379.039999999997</v>
      </c>
      <c r="AD805" s="135">
        <v>66.25</v>
      </c>
      <c r="AE805" s="136">
        <f t="shared" si="38"/>
        <v>1195680</v>
      </c>
      <c r="AF805" s="137">
        <v>1151361.3999999999</v>
      </c>
      <c r="AG805" s="138">
        <v>66.25</v>
      </c>
      <c r="AH805" s="136" t="s">
        <v>6785</v>
      </c>
      <c r="AI805" s="136">
        <v>17963</v>
      </c>
      <c r="AJ805" s="132">
        <v>42401</v>
      </c>
      <c r="AK805" s="136" t="s">
        <v>6786</v>
      </c>
      <c r="AL805" s="132">
        <v>42402</v>
      </c>
      <c r="AM805" s="131" t="s">
        <v>49</v>
      </c>
      <c r="AN805" s="133" t="s">
        <v>4440</v>
      </c>
    </row>
    <row r="806" spans="1:40" s="129" customFormat="1" x14ac:dyDescent="0.25">
      <c r="A806" s="130">
        <v>805</v>
      </c>
      <c r="B806" s="130" t="s">
        <v>4428</v>
      </c>
      <c r="C806" s="130" t="s">
        <v>38</v>
      </c>
      <c r="D806" s="136" t="s">
        <v>6787</v>
      </c>
      <c r="E806" s="132">
        <v>42350</v>
      </c>
      <c r="F806" s="132" t="s">
        <v>6640</v>
      </c>
      <c r="G806" s="132" t="s">
        <v>860</v>
      </c>
      <c r="H806" s="130" t="s">
        <v>4456</v>
      </c>
      <c r="I806" s="132" t="s">
        <v>40</v>
      </c>
      <c r="J806" s="131" t="s">
        <v>4432</v>
      </c>
      <c r="K806" s="132" t="s">
        <v>4433</v>
      </c>
      <c r="L806" s="129">
        <v>4609222</v>
      </c>
      <c r="M806" s="155">
        <v>42347</v>
      </c>
      <c r="N806" s="136" t="s">
        <v>4527</v>
      </c>
      <c r="O806" s="130" t="s">
        <v>4436</v>
      </c>
      <c r="P806" s="136" t="s">
        <v>59</v>
      </c>
      <c r="Q806" s="130">
        <v>38237090</v>
      </c>
      <c r="R806" s="136">
        <v>131.69</v>
      </c>
      <c r="S806" s="130" t="s">
        <v>70</v>
      </c>
      <c r="T806" s="136" t="s">
        <v>44</v>
      </c>
      <c r="U806" s="136" t="s">
        <v>4528</v>
      </c>
      <c r="V806" s="136">
        <v>1086</v>
      </c>
      <c r="W806" s="133">
        <f t="shared" si="36"/>
        <v>143015.34</v>
      </c>
      <c r="X806" s="136">
        <v>47.2</v>
      </c>
      <c r="Y806" s="136">
        <v>2821.67</v>
      </c>
      <c r="Z806" s="136">
        <v>0</v>
      </c>
      <c r="AA806" s="136">
        <v>0</v>
      </c>
      <c r="AB806" s="131">
        <v>42348</v>
      </c>
      <c r="AC806" s="134">
        <f t="shared" si="37"/>
        <v>140146.4700071582</v>
      </c>
      <c r="AD806" s="135">
        <v>69.849999999999994</v>
      </c>
      <c r="AE806" s="136">
        <f t="shared" si="38"/>
        <v>9989621.4989999998</v>
      </c>
      <c r="AF806" s="130">
        <v>9789230.9299999997</v>
      </c>
      <c r="AG806" s="138">
        <v>69.849999999999994</v>
      </c>
      <c r="AH806" s="136" t="s">
        <v>6788</v>
      </c>
      <c r="AI806" s="136">
        <v>143015.34</v>
      </c>
      <c r="AJ806" s="132">
        <v>42416</v>
      </c>
      <c r="AK806" s="136" t="s">
        <v>6789</v>
      </c>
      <c r="AL806" s="132">
        <v>42416</v>
      </c>
      <c r="AM806" s="131" t="s">
        <v>49</v>
      </c>
      <c r="AN806" s="133" t="s">
        <v>4440</v>
      </c>
    </row>
    <row r="807" spans="1:40" s="129" customFormat="1" x14ac:dyDescent="0.25">
      <c r="A807" s="136">
        <v>806</v>
      </c>
      <c r="B807" s="130" t="s">
        <v>4428</v>
      </c>
      <c r="C807" s="130" t="s">
        <v>38</v>
      </c>
      <c r="D807" s="136" t="s">
        <v>6787</v>
      </c>
      <c r="E807" s="132">
        <v>42350</v>
      </c>
      <c r="F807" s="132" t="s">
        <v>6640</v>
      </c>
      <c r="G807" s="132" t="s">
        <v>859</v>
      </c>
      <c r="H807" s="130" t="s">
        <v>4456</v>
      </c>
      <c r="I807" s="132" t="s">
        <v>40</v>
      </c>
      <c r="J807" s="131" t="s">
        <v>4432</v>
      </c>
      <c r="K807" s="132" t="s">
        <v>4433</v>
      </c>
      <c r="L807" s="136">
        <v>4622792</v>
      </c>
      <c r="M807" s="132">
        <v>42348</v>
      </c>
      <c r="N807" s="136" t="s">
        <v>4527</v>
      </c>
      <c r="O807" s="130" t="s">
        <v>4436</v>
      </c>
      <c r="P807" s="136" t="s">
        <v>59</v>
      </c>
      <c r="Q807" s="130">
        <v>38237090</v>
      </c>
      <c r="R807" s="136">
        <v>18.77</v>
      </c>
      <c r="S807" s="130" t="s">
        <v>70</v>
      </c>
      <c r="T807" s="136" t="s">
        <v>44</v>
      </c>
      <c r="U807" s="136" t="s">
        <v>4528</v>
      </c>
      <c r="V807" s="136">
        <v>1086</v>
      </c>
      <c r="W807" s="133">
        <f t="shared" si="36"/>
        <v>20384.22</v>
      </c>
      <c r="X807" s="136">
        <v>6.73</v>
      </c>
      <c r="Y807" s="136">
        <v>403.1</v>
      </c>
      <c r="Z807" s="136">
        <v>0</v>
      </c>
      <c r="AA807" s="136">
        <v>0</v>
      </c>
      <c r="AB807" s="131">
        <v>42349</v>
      </c>
      <c r="AC807" s="134">
        <f t="shared" si="37"/>
        <v>19974.389978525411</v>
      </c>
      <c r="AD807" s="135">
        <v>69.849999999999994</v>
      </c>
      <c r="AE807" s="136">
        <f t="shared" si="38"/>
        <v>1423837.767</v>
      </c>
      <c r="AF807" s="130">
        <v>1395211.14</v>
      </c>
      <c r="AG807" s="138">
        <v>69.849999999999994</v>
      </c>
      <c r="AH807" s="136" t="s">
        <v>6788</v>
      </c>
      <c r="AI807" s="136">
        <v>20384.22</v>
      </c>
      <c r="AJ807" s="132">
        <v>42416</v>
      </c>
      <c r="AK807" s="136" t="s">
        <v>6790</v>
      </c>
      <c r="AL807" s="132">
        <v>42416</v>
      </c>
      <c r="AM807" s="131" t="s">
        <v>49</v>
      </c>
      <c r="AN807" s="133" t="s">
        <v>4440</v>
      </c>
    </row>
    <row r="808" spans="1:40" s="129" customFormat="1" x14ac:dyDescent="0.25">
      <c r="A808" s="130">
        <v>807</v>
      </c>
      <c r="B808" s="130" t="s">
        <v>4428</v>
      </c>
      <c r="C808" s="130" t="s">
        <v>38</v>
      </c>
      <c r="D808" s="136" t="s">
        <v>6791</v>
      </c>
      <c r="E808" s="132">
        <v>42351</v>
      </c>
      <c r="F808" s="132" t="s">
        <v>6640</v>
      </c>
      <c r="G808" s="132" t="s">
        <v>6792</v>
      </c>
      <c r="H808" s="130" t="s">
        <v>4456</v>
      </c>
      <c r="I808" s="132" t="s">
        <v>40</v>
      </c>
      <c r="J808" s="131" t="s">
        <v>4432</v>
      </c>
      <c r="K808" s="132" t="s">
        <v>4433</v>
      </c>
      <c r="L808" s="136">
        <v>4622831</v>
      </c>
      <c r="M808" s="132">
        <v>42348</v>
      </c>
      <c r="N808" s="136" t="s">
        <v>4950</v>
      </c>
      <c r="O808" s="130" t="s">
        <v>4436</v>
      </c>
      <c r="P808" s="136" t="s">
        <v>143</v>
      </c>
      <c r="Q808" s="130" t="s">
        <v>6793</v>
      </c>
      <c r="R808" s="136">
        <v>12.6</v>
      </c>
      <c r="S808" s="130" t="s">
        <v>70</v>
      </c>
      <c r="T808" s="136" t="s">
        <v>52</v>
      </c>
      <c r="U808" s="136" t="s">
        <v>53</v>
      </c>
      <c r="V808" s="136">
        <v>0</v>
      </c>
      <c r="W808" s="133">
        <f>(12*1360+0.6*1500)</f>
        <v>17220</v>
      </c>
      <c r="X808" s="136">
        <v>0</v>
      </c>
      <c r="Y808" s="136">
        <v>456</v>
      </c>
      <c r="Z808" s="136">
        <v>0</v>
      </c>
      <c r="AA808" s="136">
        <v>0</v>
      </c>
      <c r="AB808" s="131"/>
      <c r="AC808" s="134">
        <f t="shared" si="37"/>
        <v>16764</v>
      </c>
      <c r="AD808" s="135">
        <v>66.25</v>
      </c>
      <c r="AE808" s="136">
        <f t="shared" si="38"/>
        <v>1140825</v>
      </c>
      <c r="AF808" s="137">
        <v>1110615</v>
      </c>
      <c r="AG808" s="138">
        <v>66.25</v>
      </c>
      <c r="AH808" s="136" t="s">
        <v>6794</v>
      </c>
      <c r="AI808" s="136">
        <v>17200</v>
      </c>
      <c r="AJ808" s="132">
        <v>42423</v>
      </c>
      <c r="AK808" s="136" t="s">
        <v>6795</v>
      </c>
      <c r="AL808" s="132">
        <v>42424</v>
      </c>
      <c r="AM808" s="131" t="s">
        <v>49</v>
      </c>
      <c r="AN808" s="133" t="s">
        <v>4440</v>
      </c>
    </row>
    <row r="809" spans="1:40" s="129" customFormat="1" x14ac:dyDescent="0.25">
      <c r="A809" s="136">
        <v>808</v>
      </c>
      <c r="B809" s="130" t="s">
        <v>4428</v>
      </c>
      <c r="C809" s="130" t="s">
        <v>38</v>
      </c>
      <c r="D809" s="136" t="s">
        <v>6796</v>
      </c>
      <c r="E809" s="132">
        <v>42352</v>
      </c>
      <c r="F809" s="132" t="s">
        <v>6640</v>
      </c>
      <c r="G809" s="132" t="s">
        <v>6797</v>
      </c>
      <c r="H809" s="130" t="s">
        <v>4463</v>
      </c>
      <c r="I809" s="132" t="s">
        <v>40</v>
      </c>
      <c r="J809" s="131" t="s">
        <v>4432</v>
      </c>
      <c r="K809" s="132" t="s">
        <v>4433</v>
      </c>
      <c r="L809" s="136">
        <v>4628638</v>
      </c>
      <c r="M809" s="132">
        <v>42348</v>
      </c>
      <c r="N809" s="136" t="s">
        <v>5288</v>
      </c>
      <c r="O809" s="130" t="s">
        <v>4436</v>
      </c>
      <c r="P809" s="136" t="s">
        <v>1756</v>
      </c>
      <c r="Q809" s="130">
        <v>38237090</v>
      </c>
      <c r="R809" s="136">
        <v>16</v>
      </c>
      <c r="S809" s="130" t="s">
        <v>70</v>
      </c>
      <c r="T809" s="136" t="s">
        <v>44</v>
      </c>
      <c r="U809" s="136" t="s">
        <v>53</v>
      </c>
      <c r="V809" s="136">
        <v>1080</v>
      </c>
      <c r="W809" s="133">
        <f t="shared" si="36"/>
        <v>17280</v>
      </c>
      <c r="X809" s="136">
        <v>5.7</v>
      </c>
      <c r="Y809" s="136">
        <v>25</v>
      </c>
      <c r="Z809" s="136">
        <v>0</v>
      </c>
      <c r="AA809" s="136">
        <v>0</v>
      </c>
      <c r="AB809" s="131">
        <v>42350</v>
      </c>
      <c r="AC809" s="134">
        <f t="shared" si="37"/>
        <v>17249.300075471696</v>
      </c>
      <c r="AD809" s="135">
        <v>66.25</v>
      </c>
      <c r="AE809" s="136">
        <f t="shared" si="38"/>
        <v>1144800</v>
      </c>
      <c r="AF809" s="137">
        <v>1142766.1299999999</v>
      </c>
      <c r="AG809" s="138">
        <v>66.25</v>
      </c>
      <c r="AH809" s="136" t="s">
        <v>6798</v>
      </c>
      <c r="AI809" s="136">
        <v>17248</v>
      </c>
      <c r="AJ809" s="132">
        <v>42346</v>
      </c>
      <c r="AK809" s="136" t="s">
        <v>6799</v>
      </c>
      <c r="AL809" s="132">
        <v>42361</v>
      </c>
      <c r="AM809" s="131" t="s">
        <v>49</v>
      </c>
      <c r="AN809" s="136" t="s">
        <v>4440</v>
      </c>
    </row>
    <row r="810" spans="1:40" s="129" customFormat="1" x14ac:dyDescent="0.25">
      <c r="A810" s="130">
        <v>809</v>
      </c>
      <c r="B810" s="130" t="s">
        <v>4428</v>
      </c>
      <c r="C810" s="130" t="s">
        <v>38</v>
      </c>
      <c r="D810" s="136" t="s">
        <v>6800</v>
      </c>
      <c r="E810" s="132">
        <v>42352</v>
      </c>
      <c r="F810" s="132" t="s">
        <v>6640</v>
      </c>
      <c r="G810" s="132" t="s">
        <v>6801</v>
      </c>
      <c r="H810" s="130" t="s">
        <v>4491</v>
      </c>
      <c r="I810" s="132" t="s">
        <v>40</v>
      </c>
      <c r="J810" s="131" t="s">
        <v>4432</v>
      </c>
      <c r="K810" s="132" t="s">
        <v>4433</v>
      </c>
      <c r="L810" s="136">
        <v>4632271</v>
      </c>
      <c r="M810" s="132">
        <v>42348</v>
      </c>
      <c r="N810" s="136" t="s">
        <v>3741</v>
      </c>
      <c r="O810" s="130" t="s">
        <v>4436</v>
      </c>
      <c r="P810" s="136" t="s">
        <v>4492</v>
      </c>
      <c r="Q810" s="130">
        <v>29051700</v>
      </c>
      <c r="R810" s="136">
        <v>18.04</v>
      </c>
      <c r="S810" s="130" t="s">
        <v>70</v>
      </c>
      <c r="T810" s="136" t="s">
        <v>44</v>
      </c>
      <c r="U810" s="136" t="s">
        <v>53</v>
      </c>
      <c r="V810" s="136">
        <v>1820</v>
      </c>
      <c r="W810" s="133">
        <f t="shared" si="36"/>
        <v>32832.799999999996</v>
      </c>
      <c r="X810" s="136">
        <v>10.83</v>
      </c>
      <c r="Y810" s="136">
        <v>3600</v>
      </c>
      <c r="Z810" s="136">
        <v>0</v>
      </c>
      <c r="AA810" s="136">
        <v>0</v>
      </c>
      <c r="AB810" s="131">
        <v>42350</v>
      </c>
      <c r="AC810" s="134">
        <f t="shared" si="37"/>
        <v>29221.969962264153</v>
      </c>
      <c r="AD810" s="135">
        <v>66.25</v>
      </c>
      <c r="AE810" s="136">
        <f t="shared" si="38"/>
        <v>2175172.9999999995</v>
      </c>
      <c r="AF810" s="137">
        <v>1935955.51</v>
      </c>
      <c r="AG810" s="138">
        <v>66.25</v>
      </c>
      <c r="AH810" s="136" t="s">
        <v>6802</v>
      </c>
      <c r="AI810" s="136">
        <v>32797.800000000003</v>
      </c>
      <c r="AJ810" s="132">
        <v>42369</v>
      </c>
      <c r="AK810" s="136" t="s">
        <v>6803</v>
      </c>
      <c r="AL810" s="132">
        <v>42370</v>
      </c>
      <c r="AM810" s="131" t="s">
        <v>49</v>
      </c>
      <c r="AN810" s="136" t="s">
        <v>4440</v>
      </c>
    </row>
    <row r="811" spans="1:40" s="129" customFormat="1" x14ac:dyDescent="0.25">
      <c r="A811" s="136">
        <v>810</v>
      </c>
      <c r="B811" s="130" t="s">
        <v>4428</v>
      </c>
      <c r="C811" s="130" t="s">
        <v>38</v>
      </c>
      <c r="D811" s="136" t="s">
        <v>6804</v>
      </c>
      <c r="E811" s="132">
        <v>42352</v>
      </c>
      <c r="F811" s="132" t="s">
        <v>6640</v>
      </c>
      <c r="G811" s="132" t="s">
        <v>6805</v>
      </c>
      <c r="H811" s="130" t="s">
        <v>4491</v>
      </c>
      <c r="I811" s="132" t="s">
        <v>40</v>
      </c>
      <c r="J811" s="131" t="s">
        <v>4432</v>
      </c>
      <c r="K811" s="132" t="s">
        <v>4433</v>
      </c>
      <c r="L811" s="136">
        <v>4630957</v>
      </c>
      <c r="M811" s="132">
        <v>42348</v>
      </c>
      <c r="N811" s="136" t="s">
        <v>3741</v>
      </c>
      <c r="O811" s="130" t="s">
        <v>4436</v>
      </c>
      <c r="P811" s="136" t="s">
        <v>4492</v>
      </c>
      <c r="Q811" s="130">
        <v>38237090</v>
      </c>
      <c r="R811" s="136">
        <v>18.350000000000001</v>
      </c>
      <c r="S811" s="130" t="s">
        <v>70</v>
      </c>
      <c r="T811" s="136" t="s">
        <v>44</v>
      </c>
      <c r="U811" s="136" t="s">
        <v>53</v>
      </c>
      <c r="V811" s="136">
        <v>1275</v>
      </c>
      <c r="W811" s="133">
        <f t="shared" si="36"/>
        <v>23396.25</v>
      </c>
      <c r="X811" s="136">
        <v>7.72</v>
      </c>
      <c r="Y811" s="136">
        <v>2100</v>
      </c>
      <c r="Z811" s="136">
        <v>0</v>
      </c>
      <c r="AA811" s="136">
        <v>0</v>
      </c>
      <c r="AB811" s="131">
        <v>42349</v>
      </c>
      <c r="AC811" s="134">
        <f t="shared" si="37"/>
        <v>21288.529962264154</v>
      </c>
      <c r="AD811" s="135">
        <v>66.25</v>
      </c>
      <c r="AE811" s="136">
        <f t="shared" si="38"/>
        <v>1550001.5625</v>
      </c>
      <c r="AF811" s="137">
        <v>1410365.11</v>
      </c>
      <c r="AG811" s="138">
        <v>66.25</v>
      </c>
      <c r="AH811" s="136" t="s">
        <v>6806</v>
      </c>
      <c r="AI811" s="136">
        <v>23396.25</v>
      </c>
      <c r="AJ811" s="132">
        <v>42369</v>
      </c>
      <c r="AK811" s="136" t="s">
        <v>6807</v>
      </c>
      <c r="AL811" s="132">
        <v>42370</v>
      </c>
      <c r="AM811" s="131" t="s">
        <v>49</v>
      </c>
      <c r="AN811" s="136" t="s">
        <v>4440</v>
      </c>
    </row>
    <row r="812" spans="1:40" s="129" customFormat="1" x14ac:dyDescent="0.25">
      <c r="A812" s="130">
        <v>811</v>
      </c>
      <c r="B812" s="130" t="s">
        <v>4428</v>
      </c>
      <c r="C812" s="130" t="s">
        <v>38</v>
      </c>
      <c r="D812" s="136">
        <v>9103650770</v>
      </c>
      <c r="E812" s="132">
        <v>42352</v>
      </c>
      <c r="F812" s="132" t="s">
        <v>6640</v>
      </c>
      <c r="G812" s="132" t="s">
        <v>6808</v>
      </c>
      <c r="H812" s="130" t="s">
        <v>4491</v>
      </c>
      <c r="I812" s="132" t="s">
        <v>40</v>
      </c>
      <c r="J812" s="131" t="s">
        <v>4432</v>
      </c>
      <c r="K812" s="132" t="s">
        <v>4433</v>
      </c>
      <c r="L812" s="136">
        <v>4636267</v>
      </c>
      <c r="M812" s="132">
        <v>42348</v>
      </c>
      <c r="N812" s="136" t="s">
        <v>3741</v>
      </c>
      <c r="O812" s="130" t="s">
        <v>4436</v>
      </c>
      <c r="P812" s="136" t="s">
        <v>4492</v>
      </c>
      <c r="Q812" s="130">
        <v>29051700</v>
      </c>
      <c r="R812" s="136">
        <v>19.84</v>
      </c>
      <c r="S812" s="130" t="s">
        <v>70</v>
      </c>
      <c r="T812" s="136" t="s">
        <v>44</v>
      </c>
      <c r="U812" s="136" t="s">
        <v>53</v>
      </c>
      <c r="V812" s="136">
        <v>1850</v>
      </c>
      <c r="W812" s="133">
        <f t="shared" si="36"/>
        <v>36704</v>
      </c>
      <c r="X812" s="136">
        <v>12.11</v>
      </c>
      <c r="Y812" s="136">
        <v>2300</v>
      </c>
      <c r="Z812" s="136">
        <v>0</v>
      </c>
      <c r="AA812" s="136">
        <v>0</v>
      </c>
      <c r="AB812" s="131"/>
      <c r="AC812" s="134">
        <f t="shared" si="37"/>
        <v>34391.889962264147</v>
      </c>
      <c r="AD812" s="135">
        <v>66.25</v>
      </c>
      <c r="AE812" s="136">
        <f t="shared" si="38"/>
        <v>2431640</v>
      </c>
      <c r="AF812" s="137">
        <v>2278462.71</v>
      </c>
      <c r="AG812" s="138">
        <v>66.25</v>
      </c>
      <c r="AH812" s="136" t="s">
        <v>6809</v>
      </c>
      <c r="AI812" s="136">
        <v>36704</v>
      </c>
      <c r="AJ812" s="132">
        <v>42735</v>
      </c>
      <c r="AK812" s="136" t="s">
        <v>6810</v>
      </c>
      <c r="AL812" s="132">
        <v>42370</v>
      </c>
      <c r="AM812" s="131" t="s">
        <v>49</v>
      </c>
      <c r="AN812" s="133" t="s">
        <v>4440</v>
      </c>
    </row>
    <row r="813" spans="1:40" s="129" customFormat="1" x14ac:dyDescent="0.25">
      <c r="A813" s="136">
        <v>812</v>
      </c>
      <c r="B813" s="130" t="s">
        <v>4428</v>
      </c>
      <c r="C813" s="130" t="s">
        <v>38</v>
      </c>
      <c r="D813" s="136" t="s">
        <v>6811</v>
      </c>
      <c r="E813" s="132">
        <v>42355</v>
      </c>
      <c r="F813" s="132" t="s">
        <v>6640</v>
      </c>
      <c r="G813" s="132" t="s">
        <v>6812</v>
      </c>
      <c r="H813" s="130" t="s">
        <v>4431</v>
      </c>
      <c r="I813" s="132" t="s">
        <v>40</v>
      </c>
      <c r="J813" s="131" t="s">
        <v>4432</v>
      </c>
      <c r="K813" s="132" t="s">
        <v>4433</v>
      </c>
      <c r="L813" s="136">
        <v>4636238</v>
      </c>
      <c r="M813" s="132">
        <v>42348</v>
      </c>
      <c r="N813" s="136" t="s">
        <v>6181</v>
      </c>
      <c r="O813" s="130" t="s">
        <v>4436</v>
      </c>
      <c r="P813" s="136" t="s">
        <v>4465</v>
      </c>
      <c r="Q813" s="130">
        <v>38231900</v>
      </c>
      <c r="R813" s="136">
        <v>19.78</v>
      </c>
      <c r="S813" s="130" t="s">
        <v>70</v>
      </c>
      <c r="T813" s="136" t="s">
        <v>44</v>
      </c>
      <c r="U813" s="136" t="s">
        <v>53</v>
      </c>
      <c r="V813" s="136">
        <v>1175</v>
      </c>
      <c r="W813" s="133">
        <f t="shared" si="36"/>
        <v>23241.5</v>
      </c>
      <c r="X813" s="136">
        <v>7.67</v>
      </c>
      <c r="Y813" s="136">
        <v>850</v>
      </c>
      <c r="Z813" s="136">
        <v>0</v>
      </c>
      <c r="AA813" s="136">
        <v>0</v>
      </c>
      <c r="AB813" s="131">
        <v>42349</v>
      </c>
      <c r="AC813" s="134">
        <f t="shared" si="37"/>
        <v>22383.83003773585</v>
      </c>
      <c r="AD813" s="135">
        <v>66.25</v>
      </c>
      <c r="AE813" s="136">
        <f t="shared" si="38"/>
        <v>1539749.375</v>
      </c>
      <c r="AF813" s="137">
        <v>1482928.74</v>
      </c>
      <c r="AG813" s="138">
        <v>66.25</v>
      </c>
      <c r="AH813" s="136" t="s">
        <v>6813</v>
      </c>
      <c r="AI813" s="136">
        <v>22961.5</v>
      </c>
      <c r="AJ813" s="132">
        <v>42404</v>
      </c>
      <c r="AK813" s="136" t="s">
        <v>6814</v>
      </c>
      <c r="AL813" s="132">
        <v>42405</v>
      </c>
      <c r="AM813" s="131" t="s">
        <v>49</v>
      </c>
      <c r="AN813" s="136" t="s">
        <v>4440</v>
      </c>
    </row>
    <row r="814" spans="1:40" s="129" customFormat="1" x14ac:dyDescent="0.25">
      <c r="A814" s="130">
        <v>813</v>
      </c>
      <c r="B814" s="130" t="s">
        <v>4428</v>
      </c>
      <c r="C814" s="130" t="s">
        <v>38</v>
      </c>
      <c r="D814" s="136">
        <v>9103650772</v>
      </c>
      <c r="E814" s="132">
        <v>42353</v>
      </c>
      <c r="F814" s="132" t="s">
        <v>6640</v>
      </c>
      <c r="G814" s="132" t="s">
        <v>873</v>
      </c>
      <c r="H814" s="130" t="s">
        <v>4446</v>
      </c>
      <c r="I814" s="132" t="s">
        <v>40</v>
      </c>
      <c r="J814" s="131" t="s">
        <v>4432</v>
      </c>
      <c r="K814" s="132" t="s">
        <v>4433</v>
      </c>
      <c r="L814" s="136">
        <v>4645481</v>
      </c>
      <c r="M814" s="132">
        <v>42349</v>
      </c>
      <c r="N814" s="136" t="s">
        <v>4733</v>
      </c>
      <c r="O814" s="130" t="s">
        <v>4436</v>
      </c>
      <c r="P814" s="136" t="s">
        <v>492</v>
      </c>
      <c r="Q814" s="130">
        <v>38231900</v>
      </c>
      <c r="R814" s="136">
        <v>19.79</v>
      </c>
      <c r="S814" s="130" t="s">
        <v>70</v>
      </c>
      <c r="T814" s="136" t="s">
        <v>44</v>
      </c>
      <c r="U814" s="136" t="s">
        <v>53</v>
      </c>
      <c r="V814" s="136">
        <v>3750</v>
      </c>
      <c r="W814" s="133">
        <f t="shared" si="36"/>
        <v>74212.5</v>
      </c>
      <c r="X814" s="136">
        <v>24.49</v>
      </c>
      <c r="Y814" s="136">
        <v>200</v>
      </c>
      <c r="Z814" s="136">
        <v>0</v>
      </c>
      <c r="AA814" s="136">
        <v>0</v>
      </c>
      <c r="AB814" s="131">
        <v>42350</v>
      </c>
      <c r="AC814" s="134">
        <f t="shared" si="37"/>
        <v>73988.010113207551</v>
      </c>
      <c r="AD814" s="135">
        <v>66.25</v>
      </c>
      <c r="AE814" s="136">
        <f t="shared" si="38"/>
        <v>4916578.125</v>
      </c>
      <c r="AF814" s="137">
        <v>4901705.67</v>
      </c>
      <c r="AG814" s="138">
        <v>66.25</v>
      </c>
      <c r="AH814" s="136" t="s">
        <v>6815</v>
      </c>
      <c r="AI814" s="136">
        <v>74212.5</v>
      </c>
      <c r="AJ814" s="132">
        <v>42390</v>
      </c>
      <c r="AK814" s="136" t="s">
        <v>6816</v>
      </c>
      <c r="AL814" s="132">
        <v>42391</v>
      </c>
      <c r="AM814" s="131" t="s">
        <v>49</v>
      </c>
      <c r="AN814" s="133" t="s">
        <v>4440</v>
      </c>
    </row>
    <row r="815" spans="1:40" s="129" customFormat="1" x14ac:dyDescent="0.25">
      <c r="A815" s="136">
        <v>814</v>
      </c>
      <c r="B815" s="130" t="s">
        <v>4428</v>
      </c>
      <c r="C815" s="130" t="s">
        <v>38</v>
      </c>
      <c r="D815" s="136">
        <v>9103650773</v>
      </c>
      <c r="E815" s="132">
        <v>42353</v>
      </c>
      <c r="F815" s="132" t="s">
        <v>6640</v>
      </c>
      <c r="G815" s="132" t="s">
        <v>6817</v>
      </c>
      <c r="H815" s="130" t="s">
        <v>4456</v>
      </c>
      <c r="I815" s="132" t="s">
        <v>40</v>
      </c>
      <c r="J815" s="131" t="s">
        <v>4432</v>
      </c>
      <c r="K815" s="132" t="s">
        <v>4433</v>
      </c>
      <c r="L815" s="136">
        <v>4645418</v>
      </c>
      <c r="M815" s="132">
        <v>42349</v>
      </c>
      <c r="N815" s="136" t="s">
        <v>4826</v>
      </c>
      <c r="O815" s="130" t="s">
        <v>4436</v>
      </c>
      <c r="P815" s="136" t="s">
        <v>90</v>
      </c>
      <c r="Q815" s="130">
        <v>38237090</v>
      </c>
      <c r="R815" s="136">
        <v>24</v>
      </c>
      <c r="S815" s="130" t="s">
        <v>70</v>
      </c>
      <c r="T815" s="136" t="s">
        <v>52</v>
      </c>
      <c r="U815" s="136" t="s">
        <v>53</v>
      </c>
      <c r="V815" s="136">
        <v>1387</v>
      </c>
      <c r="W815" s="133">
        <f t="shared" si="36"/>
        <v>33288</v>
      </c>
      <c r="X815" s="136">
        <v>0</v>
      </c>
      <c r="Y815" s="136">
        <v>663</v>
      </c>
      <c r="Z815" s="136">
        <v>0</v>
      </c>
      <c r="AA815" s="136">
        <v>0</v>
      </c>
      <c r="AB815" s="131"/>
      <c r="AC815" s="134">
        <f t="shared" si="37"/>
        <v>32625</v>
      </c>
      <c r="AD815" s="135">
        <v>66.25</v>
      </c>
      <c r="AE815" s="136">
        <f t="shared" si="38"/>
        <v>2205330</v>
      </c>
      <c r="AF815" s="137">
        <v>2161406.25</v>
      </c>
      <c r="AG815" s="138">
        <v>66.25</v>
      </c>
      <c r="AH815" s="136" t="s">
        <v>6818</v>
      </c>
      <c r="AI815" s="136">
        <v>33168</v>
      </c>
      <c r="AJ815" s="132">
        <v>42418</v>
      </c>
      <c r="AK815" s="136" t="s">
        <v>6819</v>
      </c>
      <c r="AL815" s="132">
        <v>42420</v>
      </c>
      <c r="AM815" s="131" t="s">
        <v>49</v>
      </c>
      <c r="AN815" s="133" t="s">
        <v>4440</v>
      </c>
    </row>
    <row r="816" spans="1:40" s="129" customFormat="1" x14ac:dyDescent="0.25">
      <c r="A816" s="130">
        <v>815</v>
      </c>
      <c r="B816" s="130" t="s">
        <v>4428</v>
      </c>
      <c r="C816" s="130" t="s">
        <v>38</v>
      </c>
      <c r="D816" s="136" t="s">
        <v>6820</v>
      </c>
      <c r="E816" s="132">
        <v>42355</v>
      </c>
      <c r="F816" s="132" t="s">
        <v>6640</v>
      </c>
      <c r="G816" s="132" t="s">
        <v>6821</v>
      </c>
      <c r="H816" s="130" t="s">
        <v>4463</v>
      </c>
      <c r="I816" s="132" t="s">
        <v>40</v>
      </c>
      <c r="J816" s="131" t="s">
        <v>4432</v>
      </c>
      <c r="K816" s="132" t="s">
        <v>4433</v>
      </c>
      <c r="L816" s="136">
        <v>4657131</v>
      </c>
      <c r="M816" s="132">
        <v>42349</v>
      </c>
      <c r="N816" s="136" t="s">
        <v>2944</v>
      </c>
      <c r="O816" s="130" t="s">
        <v>4436</v>
      </c>
      <c r="P816" s="136" t="s">
        <v>4492</v>
      </c>
      <c r="Q816" s="130">
        <v>38237090</v>
      </c>
      <c r="R816" s="136">
        <v>16</v>
      </c>
      <c r="S816" s="130" t="s">
        <v>70</v>
      </c>
      <c r="T816" s="136" t="s">
        <v>44</v>
      </c>
      <c r="U816" s="136" t="s">
        <v>53</v>
      </c>
      <c r="V816" s="136">
        <v>1220</v>
      </c>
      <c r="W816" s="133">
        <f t="shared" si="36"/>
        <v>19520</v>
      </c>
      <c r="X816" s="136">
        <v>6.44</v>
      </c>
      <c r="Y816" s="136">
        <v>305</v>
      </c>
      <c r="Z816" s="136">
        <v>0</v>
      </c>
      <c r="AA816" s="136">
        <v>0</v>
      </c>
      <c r="AB816" s="131">
        <v>42350</v>
      </c>
      <c r="AC816" s="134">
        <f t="shared" si="37"/>
        <v>19208.560000000001</v>
      </c>
      <c r="AD816" s="135">
        <v>66.25</v>
      </c>
      <c r="AE816" s="136">
        <f t="shared" si="38"/>
        <v>1293200</v>
      </c>
      <c r="AF816" s="137">
        <v>1272567.1000000001</v>
      </c>
      <c r="AG816" s="138">
        <v>66.25</v>
      </c>
      <c r="AH816" s="136" t="s">
        <v>6822</v>
      </c>
      <c r="AI816" s="136">
        <v>19520</v>
      </c>
      <c r="AJ816" s="132">
        <v>42340</v>
      </c>
      <c r="AK816" s="136" t="s">
        <v>6823</v>
      </c>
      <c r="AL816" s="132">
        <v>42388</v>
      </c>
      <c r="AM816" s="131" t="s">
        <v>49</v>
      </c>
      <c r="AN816" s="136" t="s">
        <v>4440</v>
      </c>
    </row>
    <row r="817" spans="1:40" s="129" customFormat="1" x14ac:dyDescent="0.25">
      <c r="A817" s="136">
        <v>816</v>
      </c>
      <c r="B817" s="130" t="s">
        <v>4428</v>
      </c>
      <c r="C817" s="130" t="s">
        <v>38</v>
      </c>
      <c r="D817" s="136" t="s">
        <v>6824</v>
      </c>
      <c r="E817" s="132">
        <v>42354</v>
      </c>
      <c r="F817" s="132" t="s">
        <v>6640</v>
      </c>
      <c r="G817" s="132" t="s">
        <v>6825</v>
      </c>
      <c r="H817" s="130" t="s">
        <v>4431</v>
      </c>
      <c r="I817" s="132" t="s">
        <v>40</v>
      </c>
      <c r="J817" s="131" t="s">
        <v>4432</v>
      </c>
      <c r="K817" s="132" t="s">
        <v>4433</v>
      </c>
      <c r="L817" s="136">
        <v>4629762</v>
      </c>
      <c r="M817" s="132">
        <v>42348</v>
      </c>
      <c r="N817" s="136" t="s">
        <v>4832</v>
      </c>
      <c r="O817" s="130" t="s">
        <v>4436</v>
      </c>
      <c r="P817" s="136" t="s">
        <v>6826</v>
      </c>
      <c r="Q817" s="130">
        <v>38231900</v>
      </c>
      <c r="R817" s="136">
        <v>57.6</v>
      </c>
      <c r="S817" s="130" t="s">
        <v>70</v>
      </c>
      <c r="T817" s="136" t="s">
        <v>44</v>
      </c>
      <c r="U817" s="136" t="s">
        <v>53</v>
      </c>
      <c r="V817" s="136">
        <v>2045</v>
      </c>
      <c r="W817" s="133">
        <f t="shared" si="36"/>
        <v>117792</v>
      </c>
      <c r="X817" s="136">
        <v>38.869999999999997</v>
      </c>
      <c r="Y817" s="136">
        <v>600</v>
      </c>
      <c r="Z817" s="136">
        <v>0</v>
      </c>
      <c r="AA817" s="136">
        <v>0</v>
      </c>
      <c r="AB817" s="131"/>
      <c r="AC817" s="134">
        <f t="shared" si="37"/>
        <v>117153.12996226415</v>
      </c>
      <c r="AD817" s="135">
        <v>66.25</v>
      </c>
      <c r="AE817" s="136">
        <f t="shared" si="38"/>
        <v>7803720</v>
      </c>
      <c r="AF817" s="137">
        <v>7761394.8600000003</v>
      </c>
      <c r="AG817" s="138">
        <v>66.25</v>
      </c>
      <c r="AH817" s="136" t="s">
        <v>6827</v>
      </c>
      <c r="AI817" s="136">
        <v>117792</v>
      </c>
      <c r="AJ817" s="132">
        <v>42377</v>
      </c>
      <c r="AK817" s="136" t="s">
        <v>6828</v>
      </c>
      <c r="AL817" s="132">
        <v>42380</v>
      </c>
      <c r="AM817" s="131" t="s">
        <v>49</v>
      </c>
      <c r="AN817" s="133" t="s">
        <v>4440</v>
      </c>
    </row>
    <row r="818" spans="1:40" s="129" customFormat="1" x14ac:dyDescent="0.25">
      <c r="A818" s="130">
        <v>817</v>
      </c>
      <c r="B818" s="130" t="s">
        <v>4428</v>
      </c>
      <c r="C818" s="130" t="s">
        <v>38</v>
      </c>
      <c r="D818" s="136" t="s">
        <v>6824</v>
      </c>
      <c r="E818" s="132">
        <v>42354</v>
      </c>
      <c r="F818" s="132" t="s">
        <v>6640</v>
      </c>
      <c r="G818" s="132" t="s">
        <v>6829</v>
      </c>
      <c r="H818" s="130" t="s">
        <v>4431</v>
      </c>
      <c r="I818" s="132" t="s">
        <v>40</v>
      </c>
      <c r="J818" s="131" t="s">
        <v>4432</v>
      </c>
      <c r="K818" s="132" t="s">
        <v>4433</v>
      </c>
      <c r="L818" s="136">
        <v>4658991</v>
      </c>
      <c r="M818" s="132">
        <v>42349</v>
      </c>
      <c r="N818" s="136" t="s">
        <v>4832</v>
      </c>
      <c r="O818" s="130" t="s">
        <v>4436</v>
      </c>
      <c r="P818" s="136" t="s">
        <v>6826</v>
      </c>
      <c r="Q818" s="130">
        <v>38231900</v>
      </c>
      <c r="R818" s="136">
        <v>43.2</v>
      </c>
      <c r="S818" s="130" t="s">
        <v>70</v>
      </c>
      <c r="T818" s="136" t="s">
        <v>44</v>
      </c>
      <c r="U818" s="136" t="s">
        <v>53</v>
      </c>
      <c r="V818" s="136">
        <v>2045</v>
      </c>
      <c r="W818" s="133">
        <f t="shared" si="36"/>
        <v>88344</v>
      </c>
      <c r="X818" s="136">
        <v>29.15</v>
      </c>
      <c r="Y818" s="136">
        <v>450</v>
      </c>
      <c r="Z818" s="136">
        <v>0</v>
      </c>
      <c r="AA818" s="136">
        <v>0</v>
      </c>
      <c r="AB818" s="131"/>
      <c r="AC818" s="134">
        <f t="shared" si="37"/>
        <v>87864.849962264139</v>
      </c>
      <c r="AD818" s="135">
        <v>66.25</v>
      </c>
      <c r="AE818" s="136">
        <f t="shared" si="38"/>
        <v>5852790</v>
      </c>
      <c r="AF818" s="137">
        <v>5821046.3099999996</v>
      </c>
      <c r="AG818" s="138">
        <v>66.25</v>
      </c>
      <c r="AH818" s="136" t="s">
        <v>6827</v>
      </c>
      <c r="AI818" s="136">
        <v>88344</v>
      </c>
      <c r="AJ818" s="132">
        <v>42377</v>
      </c>
      <c r="AK818" s="136" t="s">
        <v>6830</v>
      </c>
      <c r="AL818" s="132">
        <v>42380</v>
      </c>
      <c r="AM818" s="131" t="s">
        <v>49</v>
      </c>
      <c r="AN818" s="133" t="s">
        <v>4440</v>
      </c>
    </row>
    <row r="819" spans="1:40" s="129" customFormat="1" x14ac:dyDescent="0.25">
      <c r="A819" s="136">
        <v>818</v>
      </c>
      <c r="B819" s="130" t="s">
        <v>4428</v>
      </c>
      <c r="C819" s="130" t="s">
        <v>38</v>
      </c>
      <c r="D819" s="136">
        <v>9103650777</v>
      </c>
      <c r="E819" s="132">
        <v>42354</v>
      </c>
      <c r="F819" s="132" t="s">
        <v>6640</v>
      </c>
      <c r="G819" s="132" t="s">
        <v>6831</v>
      </c>
      <c r="H819" s="130" t="s">
        <v>4456</v>
      </c>
      <c r="I819" s="132" t="s">
        <v>40</v>
      </c>
      <c r="J819" s="131" t="s">
        <v>4432</v>
      </c>
      <c r="K819" s="132" t="s">
        <v>4433</v>
      </c>
      <c r="L819" s="136">
        <v>4636232</v>
      </c>
      <c r="M819" s="132">
        <v>42348</v>
      </c>
      <c r="N819" s="136" t="s">
        <v>4527</v>
      </c>
      <c r="O819" s="130" t="s">
        <v>4436</v>
      </c>
      <c r="P819" s="136" t="s">
        <v>59</v>
      </c>
      <c r="Q819" s="130">
        <v>38237090</v>
      </c>
      <c r="R819" s="136">
        <v>56.37</v>
      </c>
      <c r="S819" s="130" t="s">
        <v>70</v>
      </c>
      <c r="T819" s="136" t="s">
        <v>44</v>
      </c>
      <c r="U819" s="136" t="s">
        <v>4528</v>
      </c>
      <c r="V819" s="136">
        <v>1086</v>
      </c>
      <c r="W819" s="133">
        <f t="shared" si="36"/>
        <v>61217.82</v>
      </c>
      <c r="X819" s="136">
        <v>20.2</v>
      </c>
      <c r="Y819" s="136">
        <v>1209.29</v>
      </c>
      <c r="Z819" s="136">
        <v>0</v>
      </c>
      <c r="AA819" s="136">
        <v>0</v>
      </c>
      <c r="AB819" s="131"/>
      <c r="AC819" s="134">
        <f t="shared" si="37"/>
        <v>59988.329992841813</v>
      </c>
      <c r="AD819" s="135">
        <v>69.849999999999994</v>
      </c>
      <c r="AE819" s="136">
        <f t="shared" si="38"/>
        <v>4276064.727</v>
      </c>
      <c r="AF819" s="130">
        <v>4190184.85</v>
      </c>
      <c r="AG819" s="138">
        <v>69.849999999999994</v>
      </c>
      <c r="AH819" s="136" t="s">
        <v>6832</v>
      </c>
      <c r="AI819" s="136">
        <v>61217.82</v>
      </c>
      <c r="AJ819" s="132">
        <v>42422</v>
      </c>
      <c r="AK819" s="136" t="s">
        <v>6833</v>
      </c>
      <c r="AL819" s="132">
        <v>42422</v>
      </c>
      <c r="AM819" s="131" t="s">
        <v>49</v>
      </c>
      <c r="AN819" s="133" t="s">
        <v>4440</v>
      </c>
    </row>
    <row r="820" spans="1:40" s="129" customFormat="1" x14ac:dyDescent="0.25">
      <c r="A820" s="130">
        <v>819</v>
      </c>
      <c r="B820" s="130" t="s">
        <v>4428</v>
      </c>
      <c r="C820" s="130" t="s">
        <v>38</v>
      </c>
      <c r="D820" s="136" t="s">
        <v>6834</v>
      </c>
      <c r="E820" s="132">
        <v>42351</v>
      </c>
      <c r="F820" s="132" t="s">
        <v>6640</v>
      </c>
      <c r="G820" s="132" t="s">
        <v>6835</v>
      </c>
      <c r="H820" s="130" t="s">
        <v>4456</v>
      </c>
      <c r="I820" s="132" t="s">
        <v>40</v>
      </c>
      <c r="J820" s="131" t="s">
        <v>4432</v>
      </c>
      <c r="K820" s="132" t="s">
        <v>4433</v>
      </c>
      <c r="L820" s="136">
        <v>4623175</v>
      </c>
      <c r="M820" s="132">
        <v>42348</v>
      </c>
      <c r="N820" s="136" t="s">
        <v>5109</v>
      </c>
      <c r="O820" s="130" t="s">
        <v>4436</v>
      </c>
      <c r="P820" s="136" t="s">
        <v>236</v>
      </c>
      <c r="Q820" s="130">
        <v>38237090</v>
      </c>
      <c r="R820" s="136">
        <v>2</v>
      </c>
      <c r="S820" s="130" t="s">
        <v>70</v>
      </c>
      <c r="T820" s="136" t="s">
        <v>44</v>
      </c>
      <c r="U820" s="136" t="s">
        <v>53</v>
      </c>
      <c r="V820" s="136">
        <v>3596</v>
      </c>
      <c r="W820" s="133">
        <f t="shared" si="36"/>
        <v>7192</v>
      </c>
      <c r="X820" s="136">
        <v>2.37</v>
      </c>
      <c r="Y820" s="136">
        <v>100</v>
      </c>
      <c r="Z820" s="136">
        <v>0</v>
      </c>
      <c r="AA820" s="136">
        <v>0</v>
      </c>
      <c r="AB820" s="131">
        <v>42349</v>
      </c>
      <c r="AC820" s="134">
        <f t="shared" si="37"/>
        <v>7089.6300377358493</v>
      </c>
      <c r="AD820" s="135">
        <v>66.25</v>
      </c>
      <c r="AE820" s="136">
        <f t="shared" si="38"/>
        <v>476470</v>
      </c>
      <c r="AF820" s="137">
        <v>469687.99</v>
      </c>
      <c r="AG820" s="138">
        <v>66.25</v>
      </c>
      <c r="AH820" s="136" t="s">
        <v>6836</v>
      </c>
      <c r="AI820" s="136">
        <v>7160</v>
      </c>
      <c r="AJ820" s="132">
        <v>42425</v>
      </c>
      <c r="AK820" s="136" t="s">
        <v>6837</v>
      </c>
      <c r="AL820" s="132">
        <v>42426</v>
      </c>
      <c r="AM820" s="131" t="s">
        <v>49</v>
      </c>
      <c r="AN820" s="136" t="s">
        <v>4440</v>
      </c>
    </row>
    <row r="821" spans="1:40" s="129" customFormat="1" x14ac:dyDescent="0.25">
      <c r="A821" s="136">
        <v>820</v>
      </c>
      <c r="B821" s="130" t="s">
        <v>4428</v>
      </c>
      <c r="C821" s="130" t="s">
        <v>38</v>
      </c>
      <c r="D821" s="136" t="s">
        <v>6838</v>
      </c>
      <c r="E821" s="132">
        <v>42354</v>
      </c>
      <c r="F821" s="132" t="s">
        <v>6640</v>
      </c>
      <c r="G821" s="132" t="s">
        <v>6839</v>
      </c>
      <c r="H821" s="130" t="s">
        <v>4456</v>
      </c>
      <c r="I821" s="132" t="s">
        <v>40</v>
      </c>
      <c r="J821" s="131" t="s">
        <v>4432</v>
      </c>
      <c r="K821" s="132" t="s">
        <v>4433</v>
      </c>
      <c r="L821" s="136">
        <v>4680206</v>
      </c>
      <c r="M821" s="132">
        <v>42352</v>
      </c>
      <c r="N821" s="136" t="s">
        <v>4527</v>
      </c>
      <c r="O821" s="130" t="s">
        <v>4436</v>
      </c>
      <c r="P821" s="136" t="s">
        <v>59</v>
      </c>
      <c r="Q821" s="130">
        <v>38237090</v>
      </c>
      <c r="R821" s="136">
        <v>19.13</v>
      </c>
      <c r="S821" s="130" t="s">
        <v>70</v>
      </c>
      <c r="T821" s="136" t="s">
        <v>44</v>
      </c>
      <c r="U821" s="136" t="s">
        <v>4528</v>
      </c>
      <c r="V821" s="136">
        <v>1086</v>
      </c>
      <c r="W821" s="133">
        <f t="shared" si="36"/>
        <v>20775.18</v>
      </c>
      <c r="X821" s="136">
        <v>8.86</v>
      </c>
      <c r="Y821" s="136">
        <v>403.1</v>
      </c>
      <c r="Z821" s="136">
        <v>0</v>
      </c>
      <c r="AA821" s="136">
        <v>0</v>
      </c>
      <c r="AB821" s="131"/>
      <c r="AC821" s="134">
        <f t="shared" si="37"/>
        <v>21471.858264150946</v>
      </c>
      <c r="AD821" s="135">
        <v>66.25</v>
      </c>
      <c r="AE821" s="136">
        <f t="shared" si="38"/>
        <v>1376355.675</v>
      </c>
      <c r="AF821" s="130">
        <v>1422510.61</v>
      </c>
      <c r="AG821" s="138">
        <v>66.25</v>
      </c>
      <c r="AH821" s="136" t="s">
        <v>6832</v>
      </c>
      <c r="AI821" s="136">
        <v>20775.18</v>
      </c>
      <c r="AJ821" s="132">
        <v>42422</v>
      </c>
      <c r="AK821" s="136" t="s">
        <v>6840</v>
      </c>
      <c r="AL821" s="132">
        <v>42422</v>
      </c>
      <c r="AM821" s="131" t="s">
        <v>49</v>
      </c>
      <c r="AN821" s="133" t="s">
        <v>4440</v>
      </c>
    </row>
    <row r="822" spans="1:40" s="129" customFormat="1" x14ac:dyDescent="0.25">
      <c r="A822" s="130">
        <v>821</v>
      </c>
      <c r="B822" s="130" t="s">
        <v>4428</v>
      </c>
      <c r="C822" s="130" t="s">
        <v>38</v>
      </c>
      <c r="D822" s="136" t="s">
        <v>6841</v>
      </c>
      <c r="E822" s="132">
        <v>42354</v>
      </c>
      <c r="F822" s="132" t="s">
        <v>6640</v>
      </c>
      <c r="G822" s="132" t="s">
        <v>6842</v>
      </c>
      <c r="H822" s="130" t="s">
        <v>4463</v>
      </c>
      <c r="I822" s="132" t="s">
        <v>40</v>
      </c>
      <c r="J822" s="131" t="s">
        <v>4432</v>
      </c>
      <c r="K822" s="132" t="s">
        <v>4433</v>
      </c>
      <c r="L822" s="136">
        <v>4679097</v>
      </c>
      <c r="M822" s="132">
        <v>42352</v>
      </c>
      <c r="N822" s="136" t="s">
        <v>6843</v>
      </c>
      <c r="O822" s="130" t="s">
        <v>4436</v>
      </c>
      <c r="P822" s="136" t="s">
        <v>205</v>
      </c>
      <c r="Q822" s="130">
        <v>38237090</v>
      </c>
      <c r="R822" s="136">
        <v>16</v>
      </c>
      <c r="S822" s="130" t="s">
        <v>70</v>
      </c>
      <c r="T822" s="136" t="s">
        <v>44</v>
      </c>
      <c r="U822" s="136" t="s">
        <v>53</v>
      </c>
      <c r="V822" s="136">
        <v>1235</v>
      </c>
      <c r="W822" s="133">
        <f t="shared" si="36"/>
        <v>19760</v>
      </c>
      <c r="X822" s="136">
        <v>6.52</v>
      </c>
      <c r="Y822" s="136">
        <v>225</v>
      </c>
      <c r="Z822" s="136">
        <v>0</v>
      </c>
      <c r="AA822" s="136">
        <v>0</v>
      </c>
      <c r="AB822" s="131">
        <v>42352</v>
      </c>
      <c r="AC822" s="134">
        <f t="shared" si="37"/>
        <v>19528.48</v>
      </c>
      <c r="AD822" s="135">
        <v>66.25</v>
      </c>
      <c r="AE822" s="136">
        <f t="shared" si="38"/>
        <v>1309100</v>
      </c>
      <c r="AF822" s="137">
        <v>1293761.8</v>
      </c>
      <c r="AG822" s="138">
        <v>66.25</v>
      </c>
      <c r="AH822" s="136" t="s">
        <v>6844</v>
      </c>
      <c r="AI822" s="136">
        <v>19760</v>
      </c>
      <c r="AJ822" s="132">
        <v>42487</v>
      </c>
      <c r="AK822" s="136" t="s">
        <v>6845</v>
      </c>
      <c r="AL822" s="132">
        <v>42488</v>
      </c>
      <c r="AM822" s="131" t="s">
        <v>49</v>
      </c>
      <c r="AN822" s="136" t="s">
        <v>4440</v>
      </c>
    </row>
    <row r="823" spans="1:40" s="129" customFormat="1" x14ac:dyDescent="0.25">
      <c r="A823" s="136">
        <v>822</v>
      </c>
      <c r="B823" s="130" t="s">
        <v>4428</v>
      </c>
      <c r="C823" s="130" t="s">
        <v>38</v>
      </c>
      <c r="D823" s="136" t="s">
        <v>6846</v>
      </c>
      <c r="E823" s="132">
        <v>42359</v>
      </c>
      <c r="F823" s="132" t="s">
        <v>6640</v>
      </c>
      <c r="G823" s="132" t="s">
        <v>6847</v>
      </c>
      <c r="H823" s="130" t="s">
        <v>4491</v>
      </c>
      <c r="I823" s="132" t="s">
        <v>40</v>
      </c>
      <c r="J823" s="131" t="s">
        <v>4432</v>
      </c>
      <c r="K823" s="132" t="s">
        <v>4433</v>
      </c>
      <c r="L823" s="136">
        <v>4679104</v>
      </c>
      <c r="M823" s="132">
        <v>42352</v>
      </c>
      <c r="N823" s="136" t="s">
        <v>3741</v>
      </c>
      <c r="O823" s="130" t="s">
        <v>4436</v>
      </c>
      <c r="P823" s="136" t="s">
        <v>4492</v>
      </c>
      <c r="Q823" s="130">
        <v>29051700</v>
      </c>
      <c r="R823" s="136">
        <v>90.7</v>
      </c>
      <c r="S823" s="130" t="s">
        <v>70</v>
      </c>
      <c r="T823" s="136" t="s">
        <v>44</v>
      </c>
      <c r="U823" s="136" t="s">
        <v>53</v>
      </c>
      <c r="V823" s="136">
        <v>1502</v>
      </c>
      <c r="W823" s="133">
        <f t="shared" si="36"/>
        <v>136231.4</v>
      </c>
      <c r="X823" s="136">
        <v>44.96</v>
      </c>
      <c r="Y823" s="136">
        <v>11500</v>
      </c>
      <c r="Z823" s="136">
        <v>0</v>
      </c>
      <c r="AA823" s="136">
        <v>0</v>
      </c>
      <c r="AB823" s="131">
        <v>42352</v>
      </c>
      <c r="AC823" s="134">
        <f t="shared" si="37"/>
        <v>124686.44</v>
      </c>
      <c r="AD823" s="135">
        <v>66.25</v>
      </c>
      <c r="AE823" s="136">
        <f t="shared" si="38"/>
        <v>9025330.25</v>
      </c>
      <c r="AF823" s="137">
        <v>8260476.6500000004</v>
      </c>
      <c r="AG823" s="138">
        <v>66.25</v>
      </c>
      <c r="AH823" s="136" t="s">
        <v>6848</v>
      </c>
      <c r="AI823" s="136">
        <v>136231.4</v>
      </c>
      <c r="AJ823" s="132">
        <v>42384</v>
      </c>
      <c r="AK823" s="136" t="s">
        <v>6849</v>
      </c>
      <c r="AL823" s="132">
        <v>42385</v>
      </c>
      <c r="AM823" s="131" t="s">
        <v>49</v>
      </c>
      <c r="AN823" s="136" t="s">
        <v>4440</v>
      </c>
    </row>
    <row r="824" spans="1:40" s="129" customFormat="1" x14ac:dyDescent="0.25">
      <c r="A824" s="130">
        <v>823</v>
      </c>
      <c r="B824" s="130" t="s">
        <v>4428</v>
      </c>
      <c r="C824" s="130" t="s">
        <v>38</v>
      </c>
      <c r="D824" s="136">
        <v>9103650782</v>
      </c>
      <c r="E824" s="132">
        <v>42355</v>
      </c>
      <c r="F824" s="132" t="s">
        <v>6640</v>
      </c>
      <c r="G824" s="132" t="s">
        <v>6850</v>
      </c>
      <c r="H824" s="130" t="s">
        <v>4431</v>
      </c>
      <c r="I824" s="132" t="s">
        <v>40</v>
      </c>
      <c r="J824" s="131" t="s">
        <v>4432</v>
      </c>
      <c r="K824" s="132" t="s">
        <v>4433</v>
      </c>
      <c r="L824" s="136">
        <v>4672027</v>
      </c>
      <c r="M824" s="132">
        <v>42350</v>
      </c>
      <c r="N824" s="136" t="s">
        <v>6676</v>
      </c>
      <c r="O824" s="130" t="s">
        <v>4436</v>
      </c>
      <c r="P824" s="136" t="s">
        <v>4465</v>
      </c>
      <c r="Q824" s="130">
        <v>38237090</v>
      </c>
      <c r="R824" s="136">
        <v>12</v>
      </c>
      <c r="S824" s="130" t="s">
        <v>70</v>
      </c>
      <c r="T824" s="136" t="s">
        <v>44</v>
      </c>
      <c r="U824" s="136" t="s">
        <v>53</v>
      </c>
      <c r="V824" s="136">
        <v>3810</v>
      </c>
      <c r="W824" s="133">
        <f t="shared" si="36"/>
        <v>45720</v>
      </c>
      <c r="X824" s="136">
        <v>15.09</v>
      </c>
      <c r="Y824" s="136">
        <v>30</v>
      </c>
      <c r="Z824" s="136">
        <v>0</v>
      </c>
      <c r="AA824" s="136">
        <v>0</v>
      </c>
      <c r="AB824" s="131"/>
      <c r="AC824" s="134">
        <f t="shared" si="37"/>
        <v>45674.910037735848</v>
      </c>
      <c r="AD824" s="135">
        <v>66.25</v>
      </c>
      <c r="AE824" s="136">
        <f t="shared" si="38"/>
        <v>3028950</v>
      </c>
      <c r="AF824" s="137">
        <v>3025962.79</v>
      </c>
      <c r="AG824" s="138">
        <v>66.25</v>
      </c>
      <c r="AH824" s="136" t="s">
        <v>6851</v>
      </c>
      <c r="AI824" s="136">
        <v>45525</v>
      </c>
      <c r="AJ824" s="132">
        <v>42373</v>
      </c>
      <c r="AK824" s="136" t="s">
        <v>6852</v>
      </c>
      <c r="AL824" s="132">
        <v>42374</v>
      </c>
      <c r="AM824" s="131" t="s">
        <v>49</v>
      </c>
      <c r="AN824" s="133" t="s">
        <v>4440</v>
      </c>
    </row>
    <row r="825" spans="1:40" s="129" customFormat="1" x14ac:dyDescent="0.25">
      <c r="A825" s="136">
        <v>824</v>
      </c>
      <c r="B825" s="130" t="s">
        <v>4428</v>
      </c>
      <c r="C825" s="130" t="s">
        <v>38</v>
      </c>
      <c r="D825" s="136">
        <v>9103650783</v>
      </c>
      <c r="E825" s="132">
        <v>42355</v>
      </c>
      <c r="F825" s="132" t="s">
        <v>6640</v>
      </c>
      <c r="G825" s="132" t="s">
        <v>6853</v>
      </c>
      <c r="H825" s="130" t="s">
        <v>4456</v>
      </c>
      <c r="I825" s="132" t="s">
        <v>40</v>
      </c>
      <c r="J825" s="131" t="s">
        <v>4432</v>
      </c>
      <c r="K825" s="132" t="s">
        <v>4433</v>
      </c>
      <c r="L825" s="136">
        <v>4671517</v>
      </c>
      <c r="M825" s="132">
        <v>42350</v>
      </c>
      <c r="N825" s="136" t="s">
        <v>4796</v>
      </c>
      <c r="O825" s="130" t="s">
        <v>4436</v>
      </c>
      <c r="P825" s="136" t="s">
        <v>243</v>
      </c>
      <c r="Q825" s="130">
        <v>38237090</v>
      </c>
      <c r="R825" s="136">
        <v>12</v>
      </c>
      <c r="S825" s="130" t="s">
        <v>70</v>
      </c>
      <c r="T825" s="136" t="s">
        <v>52</v>
      </c>
      <c r="U825" s="136" t="s">
        <v>53</v>
      </c>
      <c r="V825" s="136">
        <v>3595</v>
      </c>
      <c r="W825" s="133">
        <f t="shared" si="36"/>
        <v>43140</v>
      </c>
      <c r="X825" s="136">
        <v>0</v>
      </c>
      <c r="Y825" s="136">
        <v>305</v>
      </c>
      <c r="Z825" s="136">
        <v>0</v>
      </c>
      <c r="AA825" s="136">
        <v>0</v>
      </c>
      <c r="AB825" s="131"/>
      <c r="AC825" s="134">
        <f t="shared" si="37"/>
        <v>42835</v>
      </c>
      <c r="AD825" s="135">
        <v>66.25</v>
      </c>
      <c r="AE825" s="136">
        <f t="shared" si="38"/>
        <v>2858025</v>
      </c>
      <c r="AF825" s="137">
        <v>2837818.75</v>
      </c>
      <c r="AG825" s="138">
        <v>66.25</v>
      </c>
      <c r="AH825" s="136" t="s">
        <v>6854</v>
      </c>
      <c r="AI825" s="136">
        <v>43120</v>
      </c>
      <c r="AJ825" s="132">
        <v>42446</v>
      </c>
      <c r="AK825" s="136" t="s">
        <v>6855</v>
      </c>
      <c r="AL825" s="132">
        <v>42447</v>
      </c>
      <c r="AM825" s="131" t="s">
        <v>49</v>
      </c>
      <c r="AN825" s="133" t="s">
        <v>4440</v>
      </c>
    </row>
    <row r="826" spans="1:40" s="129" customFormat="1" x14ac:dyDescent="0.25">
      <c r="A826" s="130">
        <v>825</v>
      </c>
      <c r="B826" s="130" t="s">
        <v>4428</v>
      </c>
      <c r="C826" s="130" t="s">
        <v>38</v>
      </c>
      <c r="D826" s="136" t="s">
        <v>6856</v>
      </c>
      <c r="E826" s="132">
        <v>42356</v>
      </c>
      <c r="F826" s="132" t="s">
        <v>6640</v>
      </c>
      <c r="G826" s="132" t="s">
        <v>6857</v>
      </c>
      <c r="H826" s="130" t="s">
        <v>4463</v>
      </c>
      <c r="I826" s="132" t="s">
        <v>40</v>
      </c>
      <c r="J826" s="131" t="s">
        <v>4432</v>
      </c>
      <c r="K826" s="132" t="s">
        <v>4433</v>
      </c>
      <c r="L826" s="136">
        <v>4691265</v>
      </c>
      <c r="M826" s="132">
        <v>42352</v>
      </c>
      <c r="N826" s="136" t="s">
        <v>6858</v>
      </c>
      <c r="O826" s="130" t="s">
        <v>4436</v>
      </c>
      <c r="P826" s="136" t="s">
        <v>2958</v>
      </c>
      <c r="Q826" s="130">
        <v>38237090</v>
      </c>
      <c r="R826" s="136">
        <v>5</v>
      </c>
      <c r="S826" s="130" t="s">
        <v>70</v>
      </c>
      <c r="T826" s="136" t="s">
        <v>44</v>
      </c>
      <c r="U826" s="136" t="s">
        <v>53</v>
      </c>
      <c r="V826" s="136">
        <v>0</v>
      </c>
      <c r="W826" s="133">
        <f>(5*1340+0.004*100)</f>
        <v>6700.4</v>
      </c>
      <c r="X826" s="136">
        <v>2.21</v>
      </c>
      <c r="Y826" s="136">
        <v>50</v>
      </c>
      <c r="Z826" s="136">
        <v>0</v>
      </c>
      <c r="AA826" s="136">
        <v>0</v>
      </c>
      <c r="AB826" s="131">
        <v>42353</v>
      </c>
      <c r="AC826" s="134">
        <f t="shared" si="37"/>
        <v>6647.7900377358492</v>
      </c>
      <c r="AD826" s="135">
        <v>66.25</v>
      </c>
      <c r="AE826" s="136">
        <f t="shared" si="38"/>
        <v>443901.5</v>
      </c>
      <c r="AF826" s="137">
        <v>440416.09</v>
      </c>
      <c r="AG826" s="138">
        <v>66.25</v>
      </c>
      <c r="AH826" s="136" t="s">
        <v>6859</v>
      </c>
      <c r="AI826" s="136">
        <v>6665</v>
      </c>
      <c r="AJ826" s="132">
        <v>42399</v>
      </c>
      <c r="AK826" s="136" t="s">
        <v>6860</v>
      </c>
      <c r="AL826" s="132">
        <v>42401</v>
      </c>
      <c r="AM826" s="131" t="s">
        <v>49</v>
      </c>
      <c r="AN826" s="133" t="s">
        <v>4440</v>
      </c>
    </row>
    <row r="827" spans="1:40" s="129" customFormat="1" x14ac:dyDescent="0.25">
      <c r="A827" s="136">
        <v>826</v>
      </c>
      <c r="B827" s="130" t="s">
        <v>4428</v>
      </c>
      <c r="C827" s="130" t="s">
        <v>38</v>
      </c>
      <c r="D827" s="136" t="s">
        <v>6861</v>
      </c>
      <c r="E827" s="132">
        <v>42359</v>
      </c>
      <c r="F827" s="132" t="s">
        <v>6640</v>
      </c>
      <c r="G827" s="132" t="s">
        <v>6862</v>
      </c>
      <c r="H827" s="130" t="s">
        <v>4491</v>
      </c>
      <c r="I827" s="132" t="s">
        <v>40</v>
      </c>
      <c r="J827" s="131" t="s">
        <v>4432</v>
      </c>
      <c r="K827" s="132" t="s">
        <v>4433</v>
      </c>
      <c r="L827" s="136">
        <v>4694078</v>
      </c>
      <c r="M827" s="132">
        <v>42352</v>
      </c>
      <c r="N827" s="136" t="s">
        <v>3741</v>
      </c>
      <c r="O827" s="130" t="s">
        <v>4436</v>
      </c>
      <c r="P827" s="136" t="s">
        <v>4492</v>
      </c>
      <c r="Q827" s="130">
        <v>29051700</v>
      </c>
      <c r="R827" s="136">
        <v>36.28</v>
      </c>
      <c r="S827" s="130" t="s">
        <v>70</v>
      </c>
      <c r="T827" s="136" t="s">
        <v>44</v>
      </c>
      <c r="U827" s="136" t="s">
        <v>53</v>
      </c>
      <c r="V827" s="136">
        <v>1509</v>
      </c>
      <c r="W827" s="133">
        <f t="shared" si="36"/>
        <v>54746.520000000004</v>
      </c>
      <c r="X827" s="136">
        <v>18.07</v>
      </c>
      <c r="Y827" s="136">
        <v>4900</v>
      </c>
      <c r="Z827" s="136">
        <v>0</v>
      </c>
      <c r="AA827" s="136">
        <v>0</v>
      </c>
      <c r="AB827" s="131">
        <v>42353</v>
      </c>
      <c r="AC827" s="134">
        <f t="shared" si="37"/>
        <v>49828.449962264152</v>
      </c>
      <c r="AD827" s="135">
        <v>66.25</v>
      </c>
      <c r="AE827" s="136">
        <f t="shared" si="38"/>
        <v>3626956.95</v>
      </c>
      <c r="AF827" s="137">
        <v>3301134.81</v>
      </c>
      <c r="AG827" s="138">
        <v>66.25</v>
      </c>
      <c r="AH827" s="136" t="s">
        <v>6863</v>
      </c>
      <c r="AI827" s="136">
        <v>54746.52</v>
      </c>
      <c r="AJ827" s="132">
        <v>42384</v>
      </c>
      <c r="AK827" s="136" t="s">
        <v>6864</v>
      </c>
      <c r="AL827" s="132">
        <v>42385</v>
      </c>
      <c r="AM827" s="131" t="s">
        <v>49</v>
      </c>
      <c r="AN827" s="136" t="s">
        <v>4440</v>
      </c>
    </row>
    <row r="828" spans="1:40" s="129" customFormat="1" x14ac:dyDescent="0.25">
      <c r="A828" s="130">
        <v>827</v>
      </c>
      <c r="B828" s="130" t="s">
        <v>4428</v>
      </c>
      <c r="C828" s="130" t="s">
        <v>38</v>
      </c>
      <c r="D828" s="136">
        <v>9103650786</v>
      </c>
      <c r="E828" s="132">
        <v>42359</v>
      </c>
      <c r="F828" s="132" t="s">
        <v>6640</v>
      </c>
      <c r="G828" s="132" t="s">
        <v>6865</v>
      </c>
      <c r="H828" s="130" t="s">
        <v>4491</v>
      </c>
      <c r="I828" s="132" t="s">
        <v>40</v>
      </c>
      <c r="J828" s="131" t="s">
        <v>4432</v>
      </c>
      <c r="K828" s="132" t="s">
        <v>4433</v>
      </c>
      <c r="L828" s="136">
        <v>4696191</v>
      </c>
      <c r="M828" s="132">
        <v>42352</v>
      </c>
      <c r="N828" s="136" t="s">
        <v>3741</v>
      </c>
      <c r="O828" s="130" t="s">
        <v>4436</v>
      </c>
      <c r="P828" s="136" t="s">
        <v>4492</v>
      </c>
      <c r="Q828" s="130" t="s">
        <v>6866</v>
      </c>
      <c r="R828" s="136">
        <v>19.5</v>
      </c>
      <c r="S828" s="130" t="s">
        <v>70</v>
      </c>
      <c r="T828" s="136" t="s">
        <v>44</v>
      </c>
      <c r="U828" s="136" t="s">
        <v>53</v>
      </c>
      <c r="V828" s="136">
        <v>0</v>
      </c>
      <c r="W828" s="133">
        <f>(17.006*1393+2.5*3453)</f>
        <v>32321.858</v>
      </c>
      <c r="X828" s="136">
        <v>10.67</v>
      </c>
      <c r="Y828" s="136">
        <v>2300</v>
      </c>
      <c r="Z828" s="136">
        <v>0</v>
      </c>
      <c r="AA828" s="136">
        <v>0</v>
      </c>
      <c r="AB828" s="131"/>
      <c r="AC828" s="134">
        <f t="shared" si="37"/>
        <v>30011.190037735851</v>
      </c>
      <c r="AD828" s="135">
        <v>66.25</v>
      </c>
      <c r="AE828" s="136">
        <f t="shared" si="38"/>
        <v>2141323.0924999998</v>
      </c>
      <c r="AF828" s="137">
        <v>1988241.34</v>
      </c>
      <c r="AG828" s="138">
        <v>66.25</v>
      </c>
      <c r="AH828" s="136" t="s">
        <v>6867</v>
      </c>
      <c r="AI828" s="136">
        <v>32321.86</v>
      </c>
      <c r="AJ828" s="132">
        <v>42384</v>
      </c>
      <c r="AK828" s="136" t="s">
        <v>6868</v>
      </c>
      <c r="AL828" s="132">
        <v>42385</v>
      </c>
      <c r="AM828" s="131" t="s">
        <v>49</v>
      </c>
      <c r="AN828" s="133" t="s">
        <v>4440</v>
      </c>
    </row>
    <row r="829" spans="1:40" s="129" customFormat="1" x14ac:dyDescent="0.25">
      <c r="A829" s="136">
        <v>828</v>
      </c>
      <c r="B829" s="130" t="s">
        <v>4428</v>
      </c>
      <c r="C829" s="130" t="s">
        <v>38</v>
      </c>
      <c r="D829" s="136" t="s">
        <v>6869</v>
      </c>
      <c r="E829" s="132">
        <v>42356</v>
      </c>
      <c r="F829" s="132" t="s">
        <v>6640</v>
      </c>
      <c r="G829" s="132" t="s">
        <v>6870</v>
      </c>
      <c r="H829" s="130" t="s">
        <v>4564</v>
      </c>
      <c r="I829" s="132" t="s">
        <v>40</v>
      </c>
      <c r="J829" s="131" t="s">
        <v>4432</v>
      </c>
      <c r="K829" s="132" t="s">
        <v>4433</v>
      </c>
      <c r="L829" s="136">
        <v>4731767</v>
      </c>
      <c r="M829" s="132">
        <v>42354</v>
      </c>
      <c r="N829" s="136" t="s">
        <v>4565</v>
      </c>
      <c r="O829" s="130" t="s">
        <v>4436</v>
      </c>
      <c r="P829" s="136" t="s">
        <v>6722</v>
      </c>
      <c r="Q829" s="130" t="s">
        <v>6194</v>
      </c>
      <c r="R829" s="136">
        <v>14</v>
      </c>
      <c r="S829" s="130" t="s">
        <v>70</v>
      </c>
      <c r="T829" s="136" t="s">
        <v>44</v>
      </c>
      <c r="U829" s="136" t="s">
        <v>53</v>
      </c>
      <c r="V829" s="136">
        <v>0</v>
      </c>
      <c r="W829" s="133">
        <f>(9*1220+5*1280)</f>
        <v>17380</v>
      </c>
      <c r="X829" s="136">
        <v>5.74</v>
      </c>
      <c r="Y829" s="136">
        <v>35</v>
      </c>
      <c r="Z829" s="136">
        <v>0</v>
      </c>
      <c r="AA829" s="136">
        <v>0</v>
      </c>
      <c r="AB829" s="131"/>
      <c r="AC829" s="134">
        <f t="shared" si="37"/>
        <v>17339.260075471699</v>
      </c>
      <c r="AD829" s="135">
        <v>66.25</v>
      </c>
      <c r="AE829" s="136">
        <f t="shared" si="38"/>
        <v>1151425</v>
      </c>
      <c r="AF829" s="137">
        <v>1148725.98</v>
      </c>
      <c r="AG829" s="138">
        <v>66.25</v>
      </c>
      <c r="AH829" s="136" t="s">
        <v>6871</v>
      </c>
      <c r="AI829" s="136">
        <v>17330</v>
      </c>
      <c r="AJ829" s="132">
        <v>42423</v>
      </c>
      <c r="AK829" s="136" t="s">
        <v>6872</v>
      </c>
      <c r="AL829" s="132">
        <v>42424</v>
      </c>
      <c r="AM829" s="131" t="s">
        <v>49</v>
      </c>
      <c r="AN829" s="133" t="s">
        <v>4440</v>
      </c>
    </row>
    <row r="830" spans="1:40" s="129" customFormat="1" x14ac:dyDescent="0.25">
      <c r="A830" s="130">
        <v>829</v>
      </c>
      <c r="B830" s="130" t="s">
        <v>4428</v>
      </c>
      <c r="C830" s="130" t="s">
        <v>38</v>
      </c>
      <c r="D830" s="136">
        <v>9103650789</v>
      </c>
      <c r="E830" s="132">
        <v>42356</v>
      </c>
      <c r="F830" s="132" t="s">
        <v>6640</v>
      </c>
      <c r="G830" s="132" t="s">
        <v>6873</v>
      </c>
      <c r="H830" s="130" t="s">
        <v>6874</v>
      </c>
      <c r="I830" s="132" t="s">
        <v>40</v>
      </c>
      <c r="J830" s="131" t="s">
        <v>4432</v>
      </c>
      <c r="K830" s="132" t="s">
        <v>4433</v>
      </c>
      <c r="L830" s="136">
        <v>4725426</v>
      </c>
      <c r="M830" s="132">
        <v>42353</v>
      </c>
      <c r="N830" s="136" t="s">
        <v>4443</v>
      </c>
      <c r="O830" s="130" t="s">
        <v>4436</v>
      </c>
      <c r="P830" s="136" t="s">
        <v>3287</v>
      </c>
      <c r="Q830" s="130">
        <v>38237090</v>
      </c>
      <c r="R830" s="136">
        <v>26</v>
      </c>
      <c r="S830" s="130" t="s">
        <v>70</v>
      </c>
      <c r="T830" s="136" t="s">
        <v>44</v>
      </c>
      <c r="U830" s="136" t="s">
        <v>53</v>
      </c>
      <c r="V830" s="136">
        <v>1415</v>
      </c>
      <c r="W830" s="133">
        <f t="shared" ref="W830:W893" si="39">V830*R830</f>
        <v>36790</v>
      </c>
      <c r="X830" s="136">
        <v>12.14</v>
      </c>
      <c r="Y830" s="136">
        <v>610</v>
      </c>
      <c r="Z830" s="136">
        <v>0</v>
      </c>
      <c r="AA830" s="136">
        <v>0</v>
      </c>
      <c r="AB830" s="131"/>
      <c r="AC830" s="134">
        <f t="shared" si="37"/>
        <v>36167.860075471697</v>
      </c>
      <c r="AD830" s="135">
        <v>66.25</v>
      </c>
      <c r="AE830" s="136">
        <f t="shared" si="38"/>
        <v>2437337.5</v>
      </c>
      <c r="AF830" s="137">
        <v>2396120.73</v>
      </c>
      <c r="AG830" s="138">
        <v>66.25</v>
      </c>
      <c r="AH830" s="136" t="s">
        <v>6875</v>
      </c>
      <c r="AI830" s="136">
        <v>36790</v>
      </c>
      <c r="AJ830" s="132">
        <v>42399</v>
      </c>
      <c r="AK830" s="136" t="s">
        <v>6876</v>
      </c>
      <c r="AL830" s="132">
        <v>42401</v>
      </c>
      <c r="AM830" s="131" t="s">
        <v>49</v>
      </c>
      <c r="AN830" s="133" t="s">
        <v>4440</v>
      </c>
    </row>
    <row r="831" spans="1:40" s="129" customFormat="1" x14ac:dyDescent="0.25">
      <c r="A831" s="136">
        <v>830</v>
      </c>
      <c r="B831" s="130" t="s">
        <v>4428</v>
      </c>
      <c r="C831" s="130" t="s">
        <v>38</v>
      </c>
      <c r="D831" s="136">
        <v>9103650790</v>
      </c>
      <c r="E831" s="132">
        <v>42356</v>
      </c>
      <c r="F831" s="132" t="s">
        <v>6640</v>
      </c>
      <c r="G831" s="132" t="s">
        <v>6877</v>
      </c>
      <c r="H831" s="130" t="s">
        <v>4564</v>
      </c>
      <c r="I831" s="132" t="s">
        <v>40</v>
      </c>
      <c r="J831" s="131" t="s">
        <v>4432</v>
      </c>
      <c r="K831" s="132" t="s">
        <v>4433</v>
      </c>
      <c r="L831" s="136">
        <v>4725424</v>
      </c>
      <c r="M831" s="132">
        <v>42353</v>
      </c>
      <c r="N831" s="136" t="s">
        <v>5661</v>
      </c>
      <c r="O831" s="130" t="s">
        <v>4436</v>
      </c>
      <c r="P831" s="136" t="s">
        <v>4492</v>
      </c>
      <c r="Q831" s="130" t="s">
        <v>6878</v>
      </c>
      <c r="R831" s="136">
        <v>26</v>
      </c>
      <c r="S831" s="130" t="s">
        <v>70</v>
      </c>
      <c r="T831" s="136" t="s">
        <v>44</v>
      </c>
      <c r="U831" s="136" t="s">
        <v>53</v>
      </c>
      <c r="V831" s="136">
        <v>0</v>
      </c>
      <c r="W831" s="133">
        <f>(3*1410+3*820+20*1428)</f>
        <v>35250</v>
      </c>
      <c r="X831" s="136">
        <v>11.63</v>
      </c>
      <c r="Y831" s="136">
        <v>610</v>
      </c>
      <c r="Z831" s="136">
        <v>0</v>
      </c>
      <c r="AA831" s="136">
        <v>0</v>
      </c>
      <c r="AB831" s="131"/>
      <c r="AC831" s="134">
        <f t="shared" si="37"/>
        <v>34628.366943396228</v>
      </c>
      <c r="AD831" s="135">
        <v>66.25</v>
      </c>
      <c r="AE831" s="136">
        <f t="shared" si="38"/>
        <v>2335312.5</v>
      </c>
      <c r="AF831" s="137">
        <v>2294129.31</v>
      </c>
      <c r="AG831" s="138">
        <v>66.25</v>
      </c>
      <c r="AH831" s="136" t="s">
        <v>6879</v>
      </c>
      <c r="AI831" s="136">
        <v>35250</v>
      </c>
      <c r="AJ831" s="132">
        <v>42411</v>
      </c>
      <c r="AK831" s="136" t="s">
        <v>6880</v>
      </c>
      <c r="AL831" s="132">
        <v>42411</v>
      </c>
      <c r="AM831" s="131" t="s">
        <v>49</v>
      </c>
      <c r="AN831" s="133" t="s">
        <v>4440</v>
      </c>
    </row>
    <row r="832" spans="1:40" s="129" customFormat="1" x14ac:dyDescent="0.25">
      <c r="A832" s="130">
        <v>831</v>
      </c>
      <c r="B832" s="130" t="s">
        <v>4428</v>
      </c>
      <c r="C832" s="130" t="s">
        <v>38</v>
      </c>
      <c r="D832" s="136">
        <v>9103650791</v>
      </c>
      <c r="E832" s="132">
        <v>42365</v>
      </c>
      <c r="F832" s="132" t="s">
        <v>6640</v>
      </c>
      <c r="G832" s="132" t="s">
        <v>6881</v>
      </c>
      <c r="H832" s="130" t="s">
        <v>4463</v>
      </c>
      <c r="I832" s="132" t="s">
        <v>40</v>
      </c>
      <c r="J832" s="131" t="s">
        <v>4432</v>
      </c>
      <c r="K832" s="132" t="s">
        <v>4433</v>
      </c>
      <c r="L832" s="136">
        <v>4720584</v>
      </c>
      <c r="M832" s="132">
        <v>42353</v>
      </c>
      <c r="N832" s="136" t="s">
        <v>4840</v>
      </c>
      <c r="O832" s="130" t="s">
        <v>4436</v>
      </c>
      <c r="P832" s="136" t="s">
        <v>59</v>
      </c>
      <c r="Q832" s="130">
        <v>29051700</v>
      </c>
      <c r="R832" s="136">
        <v>48</v>
      </c>
      <c r="S832" s="130" t="s">
        <v>70</v>
      </c>
      <c r="T832" s="136" t="s">
        <v>52</v>
      </c>
      <c r="U832" s="136" t="s">
        <v>53</v>
      </c>
      <c r="V832" s="136">
        <v>1275</v>
      </c>
      <c r="W832" s="133">
        <f t="shared" si="39"/>
        <v>61200</v>
      </c>
      <c r="X832" s="136">
        <v>0</v>
      </c>
      <c r="Y832" s="136">
        <v>2280</v>
      </c>
      <c r="Z832" s="136">
        <v>0</v>
      </c>
      <c r="AA832" s="136">
        <v>0</v>
      </c>
      <c r="AB832" s="131">
        <v>42354</v>
      </c>
      <c r="AC832" s="134">
        <f t="shared" si="37"/>
        <v>58920</v>
      </c>
      <c r="AD832" s="135">
        <v>66.25</v>
      </c>
      <c r="AE832" s="136">
        <f t="shared" si="38"/>
        <v>4054500</v>
      </c>
      <c r="AF832" s="137">
        <v>3903450</v>
      </c>
      <c r="AG832" s="138">
        <v>66.25</v>
      </c>
      <c r="AH832" s="136" t="s">
        <v>6882</v>
      </c>
      <c r="AI832" s="136">
        <v>61200</v>
      </c>
      <c r="AJ832" s="132">
        <v>42402</v>
      </c>
      <c r="AK832" s="136" t="s">
        <v>6883</v>
      </c>
      <c r="AL832" s="132">
        <v>42403</v>
      </c>
      <c r="AM832" s="132" t="s">
        <v>49</v>
      </c>
      <c r="AN832" s="133" t="s">
        <v>4440</v>
      </c>
    </row>
    <row r="833" spans="1:40" s="129" customFormat="1" x14ac:dyDescent="0.25">
      <c r="A833" s="136">
        <v>832</v>
      </c>
      <c r="B833" s="130" t="s">
        <v>4428</v>
      </c>
      <c r="C833" s="130" t="s">
        <v>38</v>
      </c>
      <c r="D833" s="136" t="s">
        <v>6884</v>
      </c>
      <c r="E833" s="132">
        <v>42365</v>
      </c>
      <c r="F833" s="132" t="s">
        <v>6640</v>
      </c>
      <c r="G833" s="132" t="s">
        <v>6885</v>
      </c>
      <c r="H833" s="130" t="s">
        <v>4564</v>
      </c>
      <c r="I833" s="132" t="s">
        <v>40</v>
      </c>
      <c r="J833" s="131" t="s">
        <v>4432</v>
      </c>
      <c r="K833" s="132" t="s">
        <v>4433</v>
      </c>
      <c r="L833" s="136">
        <v>4725436</v>
      </c>
      <c r="M833" s="132">
        <v>42353</v>
      </c>
      <c r="N833" s="136" t="s">
        <v>4840</v>
      </c>
      <c r="O833" s="130" t="s">
        <v>4436</v>
      </c>
      <c r="P833" s="136" t="s">
        <v>59</v>
      </c>
      <c r="Q833" s="130">
        <v>29051700</v>
      </c>
      <c r="R833" s="136">
        <v>16</v>
      </c>
      <c r="S833" s="130" t="s">
        <v>70</v>
      </c>
      <c r="T833" s="136" t="s">
        <v>52</v>
      </c>
      <c r="U833" s="136" t="s">
        <v>53</v>
      </c>
      <c r="V833" s="136">
        <v>0</v>
      </c>
      <c r="W833" s="133">
        <f>(6*1285+10*1420)</f>
        <v>21910</v>
      </c>
      <c r="X833" s="136">
        <v>0</v>
      </c>
      <c r="Y833" s="136">
        <v>760</v>
      </c>
      <c r="Z833" s="136">
        <v>0</v>
      </c>
      <c r="AA833" s="136">
        <v>0</v>
      </c>
      <c r="AB833" s="131">
        <v>42355</v>
      </c>
      <c r="AC833" s="134">
        <f t="shared" si="37"/>
        <v>21150</v>
      </c>
      <c r="AD833" s="135">
        <v>66.25</v>
      </c>
      <c r="AE833" s="136">
        <f t="shared" si="38"/>
        <v>1451537.5</v>
      </c>
      <c r="AF833" s="137">
        <v>1401187.5</v>
      </c>
      <c r="AG833" s="138">
        <v>66.25</v>
      </c>
      <c r="AH833" s="136" t="s">
        <v>6886</v>
      </c>
      <c r="AI833" s="136">
        <v>21883.200000000001</v>
      </c>
      <c r="AJ833" s="132">
        <v>42402</v>
      </c>
      <c r="AK833" s="136" t="s">
        <v>6887</v>
      </c>
      <c r="AL833" s="132">
        <v>42403</v>
      </c>
      <c r="AM833" s="132" t="s">
        <v>49</v>
      </c>
      <c r="AN833" s="133" t="s">
        <v>4440</v>
      </c>
    </row>
    <row r="834" spans="1:40" s="129" customFormat="1" x14ac:dyDescent="0.25">
      <c r="A834" s="130">
        <v>833</v>
      </c>
      <c r="B834" s="130" t="s">
        <v>4428</v>
      </c>
      <c r="C834" s="130" t="s">
        <v>38</v>
      </c>
      <c r="D834" s="136">
        <v>9103650794</v>
      </c>
      <c r="E834" s="132">
        <v>42359</v>
      </c>
      <c r="F834" s="132" t="s">
        <v>6640</v>
      </c>
      <c r="G834" s="132" t="s">
        <v>6888</v>
      </c>
      <c r="H834" s="130" t="s">
        <v>4491</v>
      </c>
      <c r="I834" s="132" t="s">
        <v>40</v>
      </c>
      <c r="J834" s="131" t="s">
        <v>4432</v>
      </c>
      <c r="K834" s="132" t="s">
        <v>4433</v>
      </c>
      <c r="L834" s="136">
        <v>4725416</v>
      </c>
      <c r="M834" s="132">
        <v>42353</v>
      </c>
      <c r="N834" s="136" t="s">
        <v>3741</v>
      </c>
      <c r="O834" s="130" t="s">
        <v>4436</v>
      </c>
      <c r="P834" s="136" t="s">
        <v>4492</v>
      </c>
      <c r="Q834" s="130">
        <v>38237090</v>
      </c>
      <c r="R834" s="136">
        <v>18.260000000000002</v>
      </c>
      <c r="S834" s="130" t="s">
        <v>70</v>
      </c>
      <c r="T834" s="136" t="s">
        <v>44</v>
      </c>
      <c r="U834" s="136" t="s">
        <v>53</v>
      </c>
      <c r="V834" s="136">
        <v>1275</v>
      </c>
      <c r="W834" s="133">
        <f t="shared" si="39"/>
        <v>23281.500000000004</v>
      </c>
      <c r="X834" s="136">
        <v>7.68</v>
      </c>
      <c r="Y834" s="136">
        <v>2100</v>
      </c>
      <c r="Z834" s="136">
        <v>0</v>
      </c>
      <c r="AA834" s="136">
        <v>0</v>
      </c>
      <c r="AB834" s="131"/>
      <c r="AC834" s="134">
        <f t="shared" si="37"/>
        <v>21173.8200754717</v>
      </c>
      <c r="AD834" s="135">
        <v>66.25</v>
      </c>
      <c r="AE834" s="136">
        <f t="shared" si="38"/>
        <v>1542399.3750000002</v>
      </c>
      <c r="AF834" s="137">
        <v>1402765.58</v>
      </c>
      <c r="AG834" s="138">
        <v>66.25</v>
      </c>
      <c r="AH834" s="136" t="s">
        <v>6889</v>
      </c>
      <c r="AI834" s="136">
        <v>23281.5</v>
      </c>
      <c r="AJ834" s="132">
        <v>42384</v>
      </c>
      <c r="AK834" s="136" t="s">
        <v>6890</v>
      </c>
      <c r="AL834" s="132">
        <v>42385</v>
      </c>
      <c r="AM834" s="131" t="s">
        <v>49</v>
      </c>
      <c r="AN834" s="133" t="s">
        <v>4440</v>
      </c>
    </row>
    <row r="835" spans="1:40" s="129" customFormat="1" x14ac:dyDescent="0.25">
      <c r="A835" s="136">
        <v>834</v>
      </c>
      <c r="B835" s="130" t="s">
        <v>4428</v>
      </c>
      <c r="C835" s="130" t="s">
        <v>38</v>
      </c>
      <c r="D835" s="136">
        <v>9103650795</v>
      </c>
      <c r="E835" s="132">
        <v>42359</v>
      </c>
      <c r="F835" s="132" t="s">
        <v>6640</v>
      </c>
      <c r="G835" s="132" t="s">
        <v>6891</v>
      </c>
      <c r="H835" s="130" t="s">
        <v>4491</v>
      </c>
      <c r="I835" s="132" t="s">
        <v>40</v>
      </c>
      <c r="J835" s="131" t="s">
        <v>4432</v>
      </c>
      <c r="K835" s="132" t="s">
        <v>4433</v>
      </c>
      <c r="L835" s="136">
        <v>4736696</v>
      </c>
      <c r="M835" s="132">
        <v>42354</v>
      </c>
      <c r="N835" s="136" t="s">
        <v>3741</v>
      </c>
      <c r="O835" s="130" t="s">
        <v>4436</v>
      </c>
      <c r="P835" s="136" t="s">
        <v>4492</v>
      </c>
      <c r="Q835" s="130">
        <v>29051700</v>
      </c>
      <c r="R835" s="136">
        <v>18.36</v>
      </c>
      <c r="S835" s="130" t="s">
        <v>70</v>
      </c>
      <c r="T835" s="136" t="s">
        <v>44</v>
      </c>
      <c r="U835" s="136" t="s">
        <v>53</v>
      </c>
      <c r="V835" s="136">
        <v>1820</v>
      </c>
      <c r="W835" s="133">
        <f t="shared" si="39"/>
        <v>33415.199999999997</v>
      </c>
      <c r="X835" s="136">
        <v>11.03</v>
      </c>
      <c r="Y835" s="136">
        <v>3300</v>
      </c>
      <c r="Z835" s="136">
        <v>0</v>
      </c>
      <c r="AA835" s="136">
        <v>0</v>
      </c>
      <c r="AB835" s="131"/>
      <c r="AC835" s="134">
        <f t="shared" si="37"/>
        <v>30104.16996226415</v>
      </c>
      <c r="AD835" s="135">
        <v>66.25</v>
      </c>
      <c r="AE835" s="136">
        <f t="shared" si="38"/>
        <v>2213757</v>
      </c>
      <c r="AF835" s="137">
        <v>1994401.26</v>
      </c>
      <c r="AG835" s="138">
        <v>66.25</v>
      </c>
      <c r="AH835" s="136" t="s">
        <v>6892</v>
      </c>
      <c r="AI835" s="136">
        <v>33415.199999999997</v>
      </c>
      <c r="AJ835" s="132">
        <v>42384</v>
      </c>
      <c r="AK835" s="136" t="s">
        <v>6893</v>
      </c>
      <c r="AL835" s="132">
        <v>42385</v>
      </c>
      <c r="AM835" s="131" t="s">
        <v>49</v>
      </c>
      <c r="AN835" s="133" t="s">
        <v>4440</v>
      </c>
    </row>
    <row r="836" spans="1:40" s="129" customFormat="1" x14ac:dyDescent="0.25">
      <c r="A836" s="130">
        <v>835</v>
      </c>
      <c r="B836" s="130" t="s">
        <v>4428</v>
      </c>
      <c r="C836" s="130" t="s">
        <v>38</v>
      </c>
      <c r="D836" s="136">
        <v>9103650796</v>
      </c>
      <c r="E836" s="132">
        <v>42358</v>
      </c>
      <c r="F836" s="132" t="s">
        <v>6640</v>
      </c>
      <c r="G836" s="132" t="s">
        <v>895</v>
      </c>
      <c r="H836" s="130" t="s">
        <v>4564</v>
      </c>
      <c r="I836" s="132" t="s">
        <v>40</v>
      </c>
      <c r="J836" s="131" t="s">
        <v>4432</v>
      </c>
      <c r="K836" s="132" t="s">
        <v>4433</v>
      </c>
      <c r="L836" s="136">
        <v>4725757</v>
      </c>
      <c r="M836" s="132">
        <v>42353</v>
      </c>
      <c r="N836" s="136" t="s">
        <v>6894</v>
      </c>
      <c r="O836" s="130" t="s">
        <v>4436</v>
      </c>
      <c r="P836" s="136" t="s">
        <v>5761</v>
      </c>
      <c r="Q836" s="130" t="s">
        <v>4645</v>
      </c>
      <c r="R836" s="136">
        <v>12</v>
      </c>
      <c r="S836" s="130" t="s">
        <v>70</v>
      </c>
      <c r="T836" s="136" t="s">
        <v>44</v>
      </c>
      <c r="U836" s="136" t="s">
        <v>53</v>
      </c>
      <c r="V836" s="136">
        <v>0</v>
      </c>
      <c r="W836" s="133">
        <f>(3.6*1280+8.4*1245)</f>
        <v>15066</v>
      </c>
      <c r="X836" s="136">
        <v>4.97</v>
      </c>
      <c r="Y836" s="136">
        <v>300</v>
      </c>
      <c r="Z836" s="136">
        <v>0</v>
      </c>
      <c r="AA836" s="136">
        <v>0</v>
      </c>
      <c r="AB836" s="131"/>
      <c r="AC836" s="134">
        <f t="shared" ref="AC836:AC899" si="40">AF836/AD836</f>
        <v>14761.030037735849</v>
      </c>
      <c r="AD836" s="135">
        <v>66.25</v>
      </c>
      <c r="AE836" s="136">
        <f t="shared" ref="AE836:AE899" si="41">AD836*W836</f>
        <v>998122.5</v>
      </c>
      <c r="AF836" s="137">
        <v>977918.24</v>
      </c>
      <c r="AG836" s="138">
        <v>66.25</v>
      </c>
      <c r="AH836" s="136" t="s">
        <v>6895</v>
      </c>
      <c r="AI836" s="136">
        <v>15046</v>
      </c>
      <c r="AJ836" s="132">
        <v>42399</v>
      </c>
      <c r="AK836" s="136" t="s">
        <v>6896</v>
      </c>
      <c r="AL836" s="132">
        <v>42401</v>
      </c>
      <c r="AM836" s="131" t="s">
        <v>49</v>
      </c>
      <c r="AN836" s="133" t="s">
        <v>4440</v>
      </c>
    </row>
    <row r="837" spans="1:40" s="129" customFormat="1" x14ac:dyDescent="0.25">
      <c r="A837" s="136">
        <v>836</v>
      </c>
      <c r="B837" s="130" t="s">
        <v>4428</v>
      </c>
      <c r="C837" s="130" t="s">
        <v>38</v>
      </c>
      <c r="D837" s="136">
        <v>9103650797</v>
      </c>
      <c r="E837" s="132">
        <v>42356</v>
      </c>
      <c r="F837" s="132" t="s">
        <v>6640</v>
      </c>
      <c r="G837" s="132" t="s">
        <v>882</v>
      </c>
      <c r="H837" s="130" t="s">
        <v>5024</v>
      </c>
      <c r="I837" s="132" t="s">
        <v>40</v>
      </c>
      <c r="J837" s="131" t="s">
        <v>4432</v>
      </c>
      <c r="K837" s="132" t="s">
        <v>4433</v>
      </c>
      <c r="L837" s="136">
        <v>4720594</v>
      </c>
      <c r="M837" s="132">
        <v>42353</v>
      </c>
      <c r="N837" s="136" t="s">
        <v>5713</v>
      </c>
      <c r="O837" s="130" t="s">
        <v>4436</v>
      </c>
      <c r="P837" s="136" t="s">
        <v>361</v>
      </c>
      <c r="Q837" s="130">
        <v>38237090</v>
      </c>
      <c r="R837" s="136">
        <v>207.27</v>
      </c>
      <c r="S837" s="130" t="s">
        <v>70</v>
      </c>
      <c r="T837" s="136" t="s">
        <v>52</v>
      </c>
      <c r="U837" s="136" t="s">
        <v>1117</v>
      </c>
      <c r="V837" s="136">
        <v>79910</v>
      </c>
      <c r="W837" s="133">
        <f t="shared" si="39"/>
        <v>16562945.700000001</v>
      </c>
      <c r="X837" s="136">
        <v>0</v>
      </c>
      <c r="Y837" s="136">
        <v>484618.75</v>
      </c>
      <c r="Z837" s="136">
        <v>0</v>
      </c>
      <c r="AA837" s="136">
        <v>464756.26</v>
      </c>
      <c r="AB837" s="131"/>
      <c r="AC837" s="134">
        <f t="shared" si="40"/>
        <v>16078326.949999999</v>
      </c>
      <c r="AD837" s="135">
        <v>1</v>
      </c>
      <c r="AE837" s="136">
        <f t="shared" si="41"/>
        <v>16562945.700000001</v>
      </c>
      <c r="AF837" s="130">
        <v>16078326.949999999</v>
      </c>
      <c r="AG837" s="138">
        <v>1</v>
      </c>
      <c r="AH837" s="136" t="s">
        <v>6897</v>
      </c>
      <c r="AI837" s="136">
        <v>16562945.699999999</v>
      </c>
      <c r="AJ837" s="132">
        <v>42399</v>
      </c>
      <c r="AK837" s="136" t="s">
        <v>6898</v>
      </c>
      <c r="AL837" s="132">
        <v>42401</v>
      </c>
      <c r="AM837" s="131" t="s">
        <v>49</v>
      </c>
      <c r="AN837" s="133" t="s">
        <v>4440</v>
      </c>
    </row>
    <row r="838" spans="1:40" s="129" customFormat="1" x14ac:dyDescent="0.25">
      <c r="A838" s="130">
        <v>837</v>
      </c>
      <c r="B838" s="130" t="s">
        <v>4428</v>
      </c>
      <c r="C838" s="130" t="s">
        <v>38</v>
      </c>
      <c r="D838" s="136">
        <v>9103650798</v>
      </c>
      <c r="E838" s="132">
        <v>42358</v>
      </c>
      <c r="F838" s="132" t="s">
        <v>6640</v>
      </c>
      <c r="G838" s="132" t="s">
        <v>893</v>
      </c>
      <c r="H838" s="130" t="s">
        <v>4456</v>
      </c>
      <c r="I838" s="132" t="s">
        <v>40</v>
      </c>
      <c r="J838" s="131" t="s">
        <v>4432</v>
      </c>
      <c r="K838" s="132" t="s">
        <v>4433</v>
      </c>
      <c r="L838" s="136">
        <v>4757678</v>
      </c>
      <c r="M838" s="132">
        <v>42355</v>
      </c>
      <c r="N838" s="136" t="s">
        <v>4527</v>
      </c>
      <c r="O838" s="130" t="s">
        <v>4436</v>
      </c>
      <c r="P838" s="136" t="s">
        <v>59</v>
      </c>
      <c r="Q838" s="130">
        <v>38237090</v>
      </c>
      <c r="R838" s="136">
        <v>112.06</v>
      </c>
      <c r="S838" s="130" t="s">
        <v>70</v>
      </c>
      <c r="T838" s="136" t="s">
        <v>44</v>
      </c>
      <c r="U838" s="136" t="s">
        <v>4528</v>
      </c>
      <c r="V838" s="136">
        <v>1086</v>
      </c>
      <c r="W838" s="133">
        <f t="shared" si="39"/>
        <v>121697.16</v>
      </c>
      <c r="X838" s="136">
        <v>40.159999999999997</v>
      </c>
      <c r="Y838" s="136">
        <v>2418.58</v>
      </c>
      <c r="Z838" s="136">
        <v>0</v>
      </c>
      <c r="AA838" s="136">
        <v>0</v>
      </c>
      <c r="AB838" s="131"/>
      <c r="AC838" s="134">
        <f t="shared" si="40"/>
        <v>119238.42004294918</v>
      </c>
      <c r="AD838" s="135">
        <v>69.849999999999994</v>
      </c>
      <c r="AE838" s="136">
        <f t="shared" si="41"/>
        <v>8500546.6260000002</v>
      </c>
      <c r="AF838" s="130">
        <v>8328803.6399999997</v>
      </c>
      <c r="AG838" s="138">
        <v>71.3</v>
      </c>
      <c r="AH838" s="136" t="s">
        <v>6899</v>
      </c>
      <c r="AI838" s="136">
        <v>121697.16</v>
      </c>
      <c r="AJ838" s="132">
        <v>42422</v>
      </c>
      <c r="AK838" s="136" t="s">
        <v>6900</v>
      </c>
      <c r="AL838" s="132">
        <v>42422</v>
      </c>
      <c r="AM838" s="131" t="s">
        <v>49</v>
      </c>
      <c r="AN838" s="133" t="s">
        <v>4440</v>
      </c>
    </row>
    <row r="839" spans="1:40" s="129" customFormat="1" x14ac:dyDescent="0.25">
      <c r="A839" s="136">
        <v>838</v>
      </c>
      <c r="B839" s="130" t="s">
        <v>4428</v>
      </c>
      <c r="C839" s="130" t="s">
        <v>38</v>
      </c>
      <c r="D839" s="136">
        <v>9103650799</v>
      </c>
      <c r="E839" s="132">
        <v>42358</v>
      </c>
      <c r="F839" s="132" t="s">
        <v>6640</v>
      </c>
      <c r="G839" s="132" t="s">
        <v>900</v>
      </c>
      <c r="H839" s="130" t="s">
        <v>5024</v>
      </c>
      <c r="I839" s="132" t="s">
        <v>40</v>
      </c>
      <c r="J839" s="131" t="s">
        <v>4432</v>
      </c>
      <c r="K839" s="132" t="s">
        <v>4433</v>
      </c>
      <c r="L839" s="136">
        <v>4759493</v>
      </c>
      <c r="M839" s="132">
        <v>42355</v>
      </c>
      <c r="N839" s="136" t="s">
        <v>5162</v>
      </c>
      <c r="O839" s="130" t="s">
        <v>4436</v>
      </c>
      <c r="P839" s="136" t="s">
        <v>6722</v>
      </c>
      <c r="Q839" s="130" t="s">
        <v>6194</v>
      </c>
      <c r="R839" s="136">
        <v>15</v>
      </c>
      <c r="S839" s="130" t="s">
        <v>70</v>
      </c>
      <c r="T839" s="136" t="s">
        <v>44</v>
      </c>
      <c r="U839" s="136" t="s">
        <v>53</v>
      </c>
      <c r="V839" s="136">
        <v>0</v>
      </c>
      <c r="W839" s="133">
        <f>(10*1225+5*1300)</f>
        <v>18750</v>
      </c>
      <c r="X839" s="136">
        <v>6.19</v>
      </c>
      <c r="Y839" s="136">
        <v>30</v>
      </c>
      <c r="Z839" s="136">
        <v>0</v>
      </c>
      <c r="AA839" s="136">
        <v>0</v>
      </c>
      <c r="AB839" s="131"/>
      <c r="AC839" s="134">
        <f t="shared" si="40"/>
        <v>18713.809962264149</v>
      </c>
      <c r="AD839" s="135">
        <v>66.25</v>
      </c>
      <c r="AE839" s="136">
        <f t="shared" si="41"/>
        <v>1242187.5</v>
      </c>
      <c r="AF839" s="137">
        <v>1239789.9099999999</v>
      </c>
      <c r="AG839" s="138">
        <v>66.2</v>
      </c>
      <c r="AH839" s="136" t="s">
        <v>6901</v>
      </c>
      <c r="AI839" s="136">
        <v>18710</v>
      </c>
      <c r="AJ839" s="132">
        <v>42408</v>
      </c>
      <c r="AK839" s="136" t="s">
        <v>6902</v>
      </c>
      <c r="AL839" s="132">
        <v>42408</v>
      </c>
      <c r="AM839" s="131" t="s">
        <v>49</v>
      </c>
      <c r="AN839" s="133" t="s">
        <v>4440</v>
      </c>
    </row>
    <row r="840" spans="1:40" s="129" customFormat="1" x14ac:dyDescent="0.25">
      <c r="A840" s="130">
        <v>839</v>
      </c>
      <c r="B840" s="130" t="s">
        <v>4428</v>
      </c>
      <c r="C840" s="130" t="s">
        <v>38</v>
      </c>
      <c r="D840" s="136" t="s">
        <v>6903</v>
      </c>
      <c r="E840" s="132">
        <v>42359</v>
      </c>
      <c r="F840" s="132" t="s">
        <v>6640</v>
      </c>
      <c r="G840" s="132" t="s">
        <v>891</v>
      </c>
      <c r="H840" s="130" t="s">
        <v>4491</v>
      </c>
      <c r="I840" s="132" t="s">
        <v>40</v>
      </c>
      <c r="J840" s="131" t="s">
        <v>4432</v>
      </c>
      <c r="K840" s="132" t="s">
        <v>4433</v>
      </c>
      <c r="L840" s="136">
        <v>4736759</v>
      </c>
      <c r="M840" s="132">
        <v>42354</v>
      </c>
      <c r="N840" s="136" t="s">
        <v>3741</v>
      </c>
      <c r="O840" s="130" t="s">
        <v>4436</v>
      </c>
      <c r="P840" s="136" t="s">
        <v>4492</v>
      </c>
      <c r="Q840" s="130">
        <v>29051700</v>
      </c>
      <c r="R840" s="136">
        <v>39.686</v>
      </c>
      <c r="S840" s="130" t="s">
        <v>70</v>
      </c>
      <c r="T840" s="136" t="s">
        <v>44</v>
      </c>
      <c r="U840" s="136" t="s">
        <v>53</v>
      </c>
      <c r="V840" s="136">
        <v>1479</v>
      </c>
      <c r="W840" s="133">
        <f t="shared" si="39"/>
        <v>58695.593999999997</v>
      </c>
      <c r="X840" s="136">
        <v>19.37</v>
      </c>
      <c r="Y840" s="136">
        <v>3100</v>
      </c>
      <c r="Z840" s="136">
        <v>0</v>
      </c>
      <c r="AA840" s="136">
        <v>0</v>
      </c>
      <c r="AB840" s="131"/>
      <c r="AC840" s="134">
        <f t="shared" si="40"/>
        <v>55576.220075471698</v>
      </c>
      <c r="AD840" s="135">
        <v>66.25</v>
      </c>
      <c r="AE840" s="136">
        <f t="shared" si="41"/>
        <v>3888583.1025</v>
      </c>
      <c r="AF840" s="137">
        <v>3681924.58</v>
      </c>
      <c r="AG840" s="138">
        <v>66.25</v>
      </c>
      <c r="AH840" s="136" t="s">
        <v>6904</v>
      </c>
      <c r="AI840" s="136">
        <v>58695.59</v>
      </c>
      <c r="AJ840" s="132">
        <v>42384</v>
      </c>
      <c r="AK840" s="136" t="s">
        <v>6905</v>
      </c>
      <c r="AL840" s="132">
        <v>42385</v>
      </c>
      <c r="AM840" s="131" t="s">
        <v>49</v>
      </c>
      <c r="AN840" s="133" t="s">
        <v>4440</v>
      </c>
    </row>
    <row r="841" spans="1:40" s="129" customFormat="1" x14ac:dyDescent="0.25">
      <c r="A841" s="136">
        <v>840</v>
      </c>
      <c r="B841" s="130" t="s">
        <v>4428</v>
      </c>
      <c r="C841" s="130" t="s">
        <v>38</v>
      </c>
      <c r="D841" s="136" t="s">
        <v>6903</v>
      </c>
      <c r="E841" s="132">
        <v>42359</v>
      </c>
      <c r="F841" s="132" t="s">
        <v>6640</v>
      </c>
      <c r="G841" s="132" t="s">
        <v>899</v>
      </c>
      <c r="H841" s="130" t="s">
        <v>4491</v>
      </c>
      <c r="I841" s="132" t="s">
        <v>40</v>
      </c>
      <c r="J841" s="131" t="s">
        <v>4432</v>
      </c>
      <c r="K841" s="132" t="s">
        <v>4433</v>
      </c>
      <c r="L841" s="136">
        <v>4765923</v>
      </c>
      <c r="M841" s="132">
        <v>42355</v>
      </c>
      <c r="N841" s="136" t="s">
        <v>3741</v>
      </c>
      <c r="O841" s="130" t="s">
        <v>4436</v>
      </c>
      <c r="P841" s="136" t="s">
        <v>4492</v>
      </c>
      <c r="Q841" s="130">
        <v>29051700</v>
      </c>
      <c r="R841" s="136">
        <v>19.843</v>
      </c>
      <c r="S841" s="130" t="s">
        <v>70</v>
      </c>
      <c r="T841" s="136" t="s">
        <v>44</v>
      </c>
      <c r="U841" s="136" t="s">
        <v>53</v>
      </c>
      <c r="V841" s="136">
        <v>1479</v>
      </c>
      <c r="W841" s="133">
        <f t="shared" si="39"/>
        <v>29347.796999999999</v>
      </c>
      <c r="X841" s="136">
        <v>9.68</v>
      </c>
      <c r="Y841" s="136">
        <v>1550</v>
      </c>
      <c r="Z841" s="136">
        <v>0</v>
      </c>
      <c r="AA841" s="136">
        <v>0</v>
      </c>
      <c r="AB841" s="131"/>
      <c r="AC841" s="134">
        <f t="shared" si="40"/>
        <v>27788.12</v>
      </c>
      <c r="AD841" s="135">
        <v>66.25</v>
      </c>
      <c r="AE841" s="136">
        <f t="shared" si="41"/>
        <v>1944291.55125</v>
      </c>
      <c r="AF841" s="137">
        <v>1840962.95</v>
      </c>
      <c r="AG841" s="138">
        <v>66.25</v>
      </c>
      <c r="AH841" s="136" t="s">
        <v>6904</v>
      </c>
      <c r="AI841" s="136">
        <v>29347.8</v>
      </c>
      <c r="AJ841" s="132">
        <v>42384</v>
      </c>
      <c r="AK841" s="136" t="s">
        <v>6906</v>
      </c>
      <c r="AL841" s="132">
        <v>42385</v>
      </c>
      <c r="AM841" s="131" t="s">
        <v>49</v>
      </c>
      <c r="AN841" s="133" t="s">
        <v>4440</v>
      </c>
    </row>
    <row r="842" spans="1:40" s="129" customFormat="1" x14ac:dyDescent="0.25">
      <c r="A842" s="130">
        <v>841</v>
      </c>
      <c r="B842" s="130" t="s">
        <v>4428</v>
      </c>
      <c r="C842" s="130" t="s">
        <v>38</v>
      </c>
      <c r="D842" s="136">
        <v>9103650802</v>
      </c>
      <c r="E842" s="132">
        <v>42359</v>
      </c>
      <c r="F842" s="132" t="s">
        <v>6640</v>
      </c>
      <c r="G842" s="132" t="s">
        <v>903</v>
      </c>
      <c r="H842" s="130" t="s">
        <v>4564</v>
      </c>
      <c r="I842" s="132" t="s">
        <v>40</v>
      </c>
      <c r="J842" s="131" t="s">
        <v>4432</v>
      </c>
      <c r="K842" s="132" t="s">
        <v>4433</v>
      </c>
      <c r="L842" s="136">
        <v>4765944</v>
      </c>
      <c r="M842" s="132">
        <v>42355</v>
      </c>
      <c r="N842" s="136" t="s">
        <v>6907</v>
      </c>
      <c r="O842" s="130" t="s">
        <v>4436</v>
      </c>
      <c r="P842" s="136" t="s">
        <v>188</v>
      </c>
      <c r="Q842" s="130">
        <v>29159090</v>
      </c>
      <c r="R842" s="136">
        <v>24</v>
      </c>
      <c r="S842" s="130" t="s">
        <v>70</v>
      </c>
      <c r="T842" s="136" t="s">
        <v>44</v>
      </c>
      <c r="U842" s="136" t="s">
        <v>53</v>
      </c>
      <c r="V842" s="136">
        <v>3600</v>
      </c>
      <c r="W842" s="133">
        <f t="shared" si="39"/>
        <v>86400</v>
      </c>
      <c r="X842" s="136">
        <v>28.51</v>
      </c>
      <c r="Y842" s="136">
        <v>2356</v>
      </c>
      <c r="Z842" s="136">
        <v>0</v>
      </c>
      <c r="AA842" s="136">
        <v>0</v>
      </c>
      <c r="AB842" s="131"/>
      <c r="AC842" s="134">
        <f t="shared" si="40"/>
        <v>84015.489962264153</v>
      </c>
      <c r="AD842" s="135">
        <v>66.25</v>
      </c>
      <c r="AE842" s="136">
        <f t="shared" si="41"/>
        <v>5724000</v>
      </c>
      <c r="AF842" s="137">
        <v>5566026.21</v>
      </c>
      <c r="AG842" s="138">
        <v>66.2</v>
      </c>
      <c r="AH842" s="136" t="s">
        <v>6908</v>
      </c>
      <c r="AI842" s="136">
        <v>86363</v>
      </c>
      <c r="AJ842" s="132">
        <v>42445</v>
      </c>
      <c r="AK842" s="136" t="s">
        <v>6909</v>
      </c>
      <c r="AL842" s="132">
        <v>42446</v>
      </c>
      <c r="AM842" s="131" t="s">
        <v>49</v>
      </c>
      <c r="AN842" s="133" t="s">
        <v>4440</v>
      </c>
    </row>
    <row r="843" spans="1:40" s="129" customFormat="1" x14ac:dyDescent="0.25">
      <c r="A843" s="136">
        <v>842</v>
      </c>
      <c r="B843" s="130" t="s">
        <v>4428</v>
      </c>
      <c r="C843" s="130" t="s">
        <v>38</v>
      </c>
      <c r="D843" s="136" t="s">
        <v>6910</v>
      </c>
      <c r="E843" s="132">
        <v>42353</v>
      </c>
      <c r="F843" s="132" t="s">
        <v>6640</v>
      </c>
      <c r="G843" s="132" t="s">
        <v>6911</v>
      </c>
      <c r="H843" s="131" t="s">
        <v>4564</v>
      </c>
      <c r="I843" s="132" t="s">
        <v>40</v>
      </c>
      <c r="J843" s="131" t="s">
        <v>6912</v>
      </c>
      <c r="K843" s="132" t="s">
        <v>4433</v>
      </c>
      <c r="L843" s="136">
        <v>4617597</v>
      </c>
      <c r="M843" s="132">
        <v>42348</v>
      </c>
      <c r="N843" s="136" t="s">
        <v>4588</v>
      </c>
      <c r="O843" s="130" t="s">
        <v>6913</v>
      </c>
      <c r="P843" s="136" t="s">
        <v>2657</v>
      </c>
      <c r="Q843" s="130">
        <v>38231900</v>
      </c>
      <c r="R843" s="136">
        <v>1005.9</v>
      </c>
      <c r="S843" s="130" t="s">
        <v>70</v>
      </c>
      <c r="T843" s="136" t="s">
        <v>44</v>
      </c>
      <c r="U843" s="136" t="s">
        <v>53</v>
      </c>
      <c r="V843" s="136">
        <v>690</v>
      </c>
      <c r="W843" s="133">
        <f t="shared" si="39"/>
        <v>694071</v>
      </c>
      <c r="X843" s="136">
        <v>229.04</v>
      </c>
      <c r="Y843" s="136">
        <v>145855.5</v>
      </c>
      <c r="Z843" s="136">
        <v>0</v>
      </c>
      <c r="AA843" s="136">
        <v>0</v>
      </c>
      <c r="AB843" s="131"/>
      <c r="AC843" s="134"/>
      <c r="AD843" s="135"/>
      <c r="AE843" s="136"/>
      <c r="AF843" s="130"/>
      <c r="AG843" s="138"/>
      <c r="AH843" s="136" t="s">
        <v>6914</v>
      </c>
      <c r="AI843" s="136">
        <v>694071</v>
      </c>
      <c r="AJ843" s="132">
        <v>42369</v>
      </c>
      <c r="AK843" s="136" t="s">
        <v>6915</v>
      </c>
      <c r="AL843" s="132">
        <v>42369</v>
      </c>
      <c r="AM843" s="131" t="s">
        <v>49</v>
      </c>
      <c r="AN843" s="133" t="s">
        <v>4440</v>
      </c>
    </row>
    <row r="844" spans="1:40" s="129" customFormat="1" x14ac:dyDescent="0.2">
      <c r="A844" s="130">
        <v>843</v>
      </c>
      <c r="B844" s="130" t="s">
        <v>4428</v>
      </c>
      <c r="C844" s="130" t="s">
        <v>38</v>
      </c>
      <c r="D844" s="136">
        <v>9103650805</v>
      </c>
      <c r="E844" s="132">
        <v>42359</v>
      </c>
      <c r="F844" s="132" t="s">
        <v>6640</v>
      </c>
      <c r="G844" s="132" t="s">
        <v>898</v>
      </c>
      <c r="H844" s="130" t="s">
        <v>4431</v>
      </c>
      <c r="I844" s="132" t="s">
        <v>40</v>
      </c>
      <c r="J844" s="131" t="s">
        <v>4432</v>
      </c>
      <c r="K844" s="132" t="s">
        <v>4433</v>
      </c>
      <c r="L844" s="136">
        <v>4765976</v>
      </c>
      <c r="M844" s="132">
        <v>42355</v>
      </c>
      <c r="N844" s="136" t="s">
        <v>5963</v>
      </c>
      <c r="O844" s="130" t="s">
        <v>4436</v>
      </c>
      <c r="P844" s="136" t="s">
        <v>4465</v>
      </c>
      <c r="Q844" s="130"/>
      <c r="R844" s="136">
        <v>38.89</v>
      </c>
      <c r="S844" s="130" t="s">
        <v>70</v>
      </c>
      <c r="T844" s="136" t="s">
        <v>44</v>
      </c>
      <c r="U844" s="136" t="s">
        <v>53</v>
      </c>
      <c r="V844" s="136">
        <v>688</v>
      </c>
      <c r="W844" s="133">
        <f t="shared" si="39"/>
        <v>26756.32</v>
      </c>
      <c r="X844" s="136"/>
      <c r="Y844" s="136"/>
      <c r="Z844" s="136">
        <v>0</v>
      </c>
      <c r="AA844" s="136">
        <v>0</v>
      </c>
      <c r="AB844" s="131"/>
      <c r="AC844" s="134"/>
      <c r="AD844" s="135"/>
      <c r="AE844" s="136"/>
      <c r="AF844" s="137"/>
      <c r="AG844" s="138"/>
      <c r="AH844" s="136" t="s">
        <v>6916</v>
      </c>
      <c r="AI844" s="136">
        <v>26451.32</v>
      </c>
      <c r="AJ844" s="132">
        <v>42402</v>
      </c>
      <c r="AK844" s="154" t="s">
        <v>6917</v>
      </c>
      <c r="AL844" s="132">
        <v>42403</v>
      </c>
      <c r="AM844" s="131" t="s">
        <v>49</v>
      </c>
      <c r="AN844" s="133" t="s">
        <v>4440</v>
      </c>
    </row>
    <row r="845" spans="1:40" s="129" customFormat="1" x14ac:dyDescent="0.25">
      <c r="A845" s="136">
        <v>844</v>
      </c>
      <c r="B845" s="130" t="s">
        <v>4428</v>
      </c>
      <c r="C845" s="130" t="s">
        <v>38</v>
      </c>
      <c r="D845" s="136" t="s">
        <v>6918</v>
      </c>
      <c r="E845" s="132">
        <v>42361</v>
      </c>
      <c r="F845" s="132" t="s">
        <v>6640</v>
      </c>
      <c r="G845" s="132" t="s">
        <v>908</v>
      </c>
      <c r="H845" s="130" t="s">
        <v>6919</v>
      </c>
      <c r="I845" s="132" t="s">
        <v>40</v>
      </c>
      <c r="J845" s="131" t="s">
        <v>4432</v>
      </c>
      <c r="K845" s="132" t="s">
        <v>4433</v>
      </c>
      <c r="L845" s="136">
        <v>4770501</v>
      </c>
      <c r="M845" s="132">
        <v>42355</v>
      </c>
      <c r="N845" s="136" t="s">
        <v>4670</v>
      </c>
      <c r="O845" s="130" t="s">
        <v>4436</v>
      </c>
      <c r="P845" s="136" t="s">
        <v>243</v>
      </c>
      <c r="Q845" s="130">
        <v>38237090</v>
      </c>
      <c r="R845" s="136">
        <v>26</v>
      </c>
      <c r="S845" s="130" t="s">
        <v>70</v>
      </c>
      <c r="T845" s="136" t="s">
        <v>52</v>
      </c>
      <c r="U845" s="136" t="s">
        <v>53</v>
      </c>
      <c r="V845" s="136">
        <v>1250</v>
      </c>
      <c r="W845" s="133">
        <f t="shared" si="39"/>
        <v>32500</v>
      </c>
      <c r="X845" s="136">
        <v>0</v>
      </c>
      <c r="Y845" s="136">
        <v>470</v>
      </c>
      <c r="Z845" s="136">
        <v>0</v>
      </c>
      <c r="AA845" s="136">
        <v>0</v>
      </c>
      <c r="AB845" s="131"/>
      <c r="AC845" s="134">
        <f t="shared" si="40"/>
        <v>32030</v>
      </c>
      <c r="AD845" s="135">
        <v>66.25</v>
      </c>
      <c r="AE845" s="136">
        <f t="shared" si="41"/>
        <v>2153125</v>
      </c>
      <c r="AF845" s="137">
        <v>2121987.5</v>
      </c>
      <c r="AG845" s="138">
        <v>66.2</v>
      </c>
      <c r="AH845" s="136" t="s">
        <v>6920</v>
      </c>
      <c r="AI845" s="136">
        <v>32500</v>
      </c>
      <c r="AJ845" s="132">
        <v>42396</v>
      </c>
      <c r="AK845" s="136" t="s">
        <v>6921</v>
      </c>
      <c r="AL845" s="132">
        <v>42397</v>
      </c>
      <c r="AM845" s="131" t="s">
        <v>49</v>
      </c>
      <c r="AN845" s="133" t="s">
        <v>4440</v>
      </c>
    </row>
    <row r="846" spans="1:40" s="129" customFormat="1" x14ac:dyDescent="0.25">
      <c r="A846" s="130">
        <v>845</v>
      </c>
      <c r="B846" s="130" t="s">
        <v>4428</v>
      </c>
      <c r="C846" s="130" t="s">
        <v>38</v>
      </c>
      <c r="D846" s="136" t="s">
        <v>6918</v>
      </c>
      <c r="E846" s="132">
        <v>42361</v>
      </c>
      <c r="F846" s="132" t="s">
        <v>6640</v>
      </c>
      <c r="G846" s="132" t="s">
        <v>909</v>
      </c>
      <c r="H846" s="130" t="s">
        <v>6919</v>
      </c>
      <c r="I846" s="132" t="s">
        <v>40</v>
      </c>
      <c r="J846" s="131" t="s">
        <v>4432</v>
      </c>
      <c r="K846" s="132" t="s">
        <v>4433</v>
      </c>
      <c r="L846" s="136">
        <v>4780043</v>
      </c>
      <c r="M846" s="132">
        <v>42356</v>
      </c>
      <c r="N846" s="136" t="s">
        <v>4670</v>
      </c>
      <c r="O846" s="130" t="s">
        <v>4436</v>
      </c>
      <c r="P846" s="136" t="s">
        <v>243</v>
      </c>
      <c r="Q846" s="130">
        <v>38237090</v>
      </c>
      <c r="R846" s="136">
        <v>26</v>
      </c>
      <c r="S846" s="130" t="s">
        <v>70</v>
      </c>
      <c r="T846" s="136" t="s">
        <v>52</v>
      </c>
      <c r="U846" s="136" t="s">
        <v>53</v>
      </c>
      <c r="V846" s="136">
        <v>1250</v>
      </c>
      <c r="W846" s="133">
        <f t="shared" si="39"/>
        <v>32500</v>
      </c>
      <c r="X846" s="136">
        <v>0</v>
      </c>
      <c r="Y846" s="136">
        <v>470</v>
      </c>
      <c r="Z846" s="136">
        <v>0</v>
      </c>
      <c r="AA846" s="136">
        <v>0</v>
      </c>
      <c r="AB846" s="131"/>
      <c r="AC846" s="134">
        <f t="shared" si="40"/>
        <v>32005.82641509434</v>
      </c>
      <c r="AD846" s="135">
        <v>66.25</v>
      </c>
      <c r="AE846" s="136">
        <f t="shared" si="41"/>
        <v>2153125</v>
      </c>
      <c r="AF846" s="137">
        <v>2120386</v>
      </c>
      <c r="AG846" s="138">
        <v>66.2</v>
      </c>
      <c r="AH846" s="136" t="s">
        <v>6920</v>
      </c>
      <c r="AI846" s="136">
        <v>32500</v>
      </c>
      <c r="AJ846" s="132">
        <v>42397</v>
      </c>
      <c r="AK846" s="136" t="s">
        <v>6922</v>
      </c>
      <c r="AL846" s="132" t="s">
        <v>6923</v>
      </c>
      <c r="AM846" s="131" t="s">
        <v>49</v>
      </c>
      <c r="AN846" s="133" t="s">
        <v>4440</v>
      </c>
    </row>
    <row r="847" spans="1:40" s="129" customFormat="1" x14ac:dyDescent="0.25">
      <c r="A847" s="136">
        <v>846</v>
      </c>
      <c r="B847" s="130" t="s">
        <v>4428</v>
      </c>
      <c r="C847" s="130" t="s">
        <v>38</v>
      </c>
      <c r="D847" s="136" t="s">
        <v>6924</v>
      </c>
      <c r="E847" s="132">
        <v>42361</v>
      </c>
      <c r="F847" s="132" t="s">
        <v>6640</v>
      </c>
      <c r="G847" s="132" t="s">
        <v>897</v>
      </c>
      <c r="H847" s="130" t="s">
        <v>4431</v>
      </c>
      <c r="I847" s="132" t="s">
        <v>40</v>
      </c>
      <c r="J847" s="131" t="s">
        <v>4432</v>
      </c>
      <c r="K847" s="132" t="s">
        <v>4433</v>
      </c>
      <c r="L847" s="136">
        <v>4745059</v>
      </c>
      <c r="M847" s="132">
        <v>42720</v>
      </c>
      <c r="N847" s="136" t="s">
        <v>4832</v>
      </c>
      <c r="O847" s="130" t="s">
        <v>4436</v>
      </c>
      <c r="P847" s="136" t="s">
        <v>6826</v>
      </c>
      <c r="Q847" s="130">
        <v>38231900</v>
      </c>
      <c r="R847" s="136">
        <v>28.8</v>
      </c>
      <c r="S847" s="130" t="s">
        <v>70</v>
      </c>
      <c r="T847" s="136" t="s">
        <v>44</v>
      </c>
      <c r="U847" s="136" t="s">
        <v>53</v>
      </c>
      <c r="V847" s="136">
        <v>2045</v>
      </c>
      <c r="W847" s="133">
        <f t="shared" si="39"/>
        <v>58896</v>
      </c>
      <c r="X847" s="136">
        <v>19.440000000000001</v>
      </c>
      <c r="Y847" s="136">
        <v>350</v>
      </c>
      <c r="Z847" s="136">
        <v>0</v>
      </c>
      <c r="AA847" s="136">
        <v>0</v>
      </c>
      <c r="AB847" s="131"/>
      <c r="AC847" s="134">
        <f t="shared" si="40"/>
        <v>58526.560000000005</v>
      </c>
      <c r="AD847" s="135">
        <v>66.25</v>
      </c>
      <c r="AE847" s="136">
        <f t="shared" si="41"/>
        <v>3901860</v>
      </c>
      <c r="AF847" s="137">
        <v>3877384.6</v>
      </c>
      <c r="AG847" s="138">
        <v>66.2</v>
      </c>
      <c r="AH847" s="136" t="s">
        <v>6925</v>
      </c>
      <c r="AI847" s="136">
        <v>58896</v>
      </c>
      <c r="AJ847" s="132">
        <v>42383</v>
      </c>
      <c r="AK847" s="136" t="s">
        <v>6926</v>
      </c>
      <c r="AL847" s="132">
        <v>42384</v>
      </c>
      <c r="AM847" s="131" t="s">
        <v>49</v>
      </c>
      <c r="AN847" s="133" t="s">
        <v>5297</v>
      </c>
    </row>
    <row r="848" spans="1:40" s="129" customFormat="1" x14ac:dyDescent="0.25">
      <c r="A848" s="130">
        <v>847</v>
      </c>
      <c r="B848" s="130" t="s">
        <v>4428</v>
      </c>
      <c r="C848" s="130" t="s">
        <v>38</v>
      </c>
      <c r="D848" s="136" t="s">
        <v>6924</v>
      </c>
      <c r="E848" s="132">
        <v>42361</v>
      </c>
      <c r="F848" s="132" t="s">
        <v>6640</v>
      </c>
      <c r="G848" s="132" t="s">
        <v>896</v>
      </c>
      <c r="H848" s="130" t="s">
        <v>4431</v>
      </c>
      <c r="I848" s="132" t="s">
        <v>40</v>
      </c>
      <c r="J848" s="131" t="s">
        <v>4432</v>
      </c>
      <c r="K848" s="132" t="s">
        <v>4433</v>
      </c>
      <c r="L848" s="136">
        <v>4757674</v>
      </c>
      <c r="M848" s="132">
        <v>42355</v>
      </c>
      <c r="N848" s="136" t="s">
        <v>4832</v>
      </c>
      <c r="O848" s="130" t="s">
        <v>4436</v>
      </c>
      <c r="P848" s="136" t="s">
        <v>6826</v>
      </c>
      <c r="Q848" s="130">
        <v>38231900</v>
      </c>
      <c r="R848" s="136">
        <v>14.4</v>
      </c>
      <c r="S848" s="130" t="s">
        <v>70</v>
      </c>
      <c r="T848" s="136" t="s">
        <v>44</v>
      </c>
      <c r="U848" s="136" t="s">
        <v>53</v>
      </c>
      <c r="V848" s="136">
        <v>2045</v>
      </c>
      <c r="W848" s="133">
        <f t="shared" si="39"/>
        <v>29448</v>
      </c>
      <c r="X848" s="136">
        <v>9.7200000000000006</v>
      </c>
      <c r="Y848" s="136">
        <v>175</v>
      </c>
      <c r="Z848" s="136">
        <v>0</v>
      </c>
      <c r="AA848" s="136">
        <v>0</v>
      </c>
      <c r="AB848" s="131"/>
      <c r="AC848" s="134">
        <f t="shared" si="40"/>
        <v>29263.280000000002</v>
      </c>
      <c r="AD848" s="135">
        <v>66.25</v>
      </c>
      <c r="AE848" s="136">
        <f t="shared" si="41"/>
        <v>1950930</v>
      </c>
      <c r="AF848" s="137">
        <v>1938692.3</v>
      </c>
      <c r="AG848" s="138">
        <v>66.2</v>
      </c>
      <c r="AH848" s="136" t="s">
        <v>6925</v>
      </c>
      <c r="AI848" s="136">
        <v>29448</v>
      </c>
      <c r="AJ848" s="132">
        <v>42383</v>
      </c>
      <c r="AK848" s="136" t="s">
        <v>6927</v>
      </c>
      <c r="AL848" s="132">
        <v>42384</v>
      </c>
      <c r="AM848" s="131" t="s">
        <v>49</v>
      </c>
      <c r="AN848" s="133" t="s">
        <v>5297</v>
      </c>
    </row>
    <row r="849" spans="1:40" s="129" customFormat="1" x14ac:dyDescent="0.25">
      <c r="A849" s="136">
        <v>848</v>
      </c>
      <c r="B849" s="130" t="s">
        <v>4428</v>
      </c>
      <c r="C849" s="130" t="s">
        <v>38</v>
      </c>
      <c r="D849" s="136" t="s">
        <v>6924</v>
      </c>
      <c r="E849" s="132">
        <v>42361</v>
      </c>
      <c r="F849" s="132" t="s">
        <v>6640</v>
      </c>
      <c r="G849" s="132" t="s">
        <v>925</v>
      </c>
      <c r="H849" s="130" t="s">
        <v>4431</v>
      </c>
      <c r="I849" s="132" t="s">
        <v>40</v>
      </c>
      <c r="J849" s="131" t="s">
        <v>4432</v>
      </c>
      <c r="K849" s="132" t="s">
        <v>4433</v>
      </c>
      <c r="L849" s="136">
        <v>4770517</v>
      </c>
      <c r="M849" s="132">
        <v>42355</v>
      </c>
      <c r="N849" s="136" t="s">
        <v>4832</v>
      </c>
      <c r="O849" s="130" t="s">
        <v>4436</v>
      </c>
      <c r="P849" s="136" t="s">
        <v>6826</v>
      </c>
      <c r="Q849" s="130">
        <v>38231900</v>
      </c>
      <c r="R849" s="136">
        <v>57.6</v>
      </c>
      <c r="S849" s="130" t="s">
        <v>70</v>
      </c>
      <c r="T849" s="136" t="s">
        <v>44</v>
      </c>
      <c r="U849" s="136" t="s">
        <v>53</v>
      </c>
      <c r="V849" s="136">
        <v>2045</v>
      </c>
      <c r="W849" s="133">
        <f t="shared" si="39"/>
        <v>117792</v>
      </c>
      <c r="X849" s="136">
        <v>38.869999999999997</v>
      </c>
      <c r="Y849" s="136">
        <v>700</v>
      </c>
      <c r="Z849" s="136">
        <v>0</v>
      </c>
      <c r="AA849" s="136">
        <v>0</v>
      </c>
      <c r="AB849" s="131"/>
      <c r="AC849" s="134">
        <f t="shared" si="40"/>
        <v>117053.12996226415</v>
      </c>
      <c r="AD849" s="135">
        <v>66.25</v>
      </c>
      <c r="AE849" s="136">
        <f t="shared" si="41"/>
        <v>7803720</v>
      </c>
      <c r="AF849" s="137">
        <v>7754769.8600000003</v>
      </c>
      <c r="AG849" s="138">
        <v>66.2</v>
      </c>
      <c r="AH849" s="136" t="s">
        <v>6925</v>
      </c>
      <c r="AI849" s="136">
        <v>117792</v>
      </c>
      <c r="AJ849" s="132">
        <v>42383</v>
      </c>
      <c r="AK849" s="136" t="s">
        <v>6928</v>
      </c>
      <c r="AL849" s="132">
        <v>42384</v>
      </c>
      <c r="AM849" s="131" t="s">
        <v>49</v>
      </c>
      <c r="AN849" s="133" t="s">
        <v>4440</v>
      </c>
    </row>
    <row r="850" spans="1:40" s="129" customFormat="1" x14ac:dyDescent="0.25">
      <c r="A850" s="130">
        <v>849</v>
      </c>
      <c r="B850" s="130" t="s">
        <v>4428</v>
      </c>
      <c r="C850" s="130" t="s">
        <v>38</v>
      </c>
      <c r="D850" s="136" t="s">
        <v>6929</v>
      </c>
      <c r="E850" s="132">
        <v>42362</v>
      </c>
      <c r="F850" s="132" t="s">
        <v>6640</v>
      </c>
      <c r="G850" s="132" t="s">
        <v>6930</v>
      </c>
      <c r="H850" s="130" t="s">
        <v>4446</v>
      </c>
      <c r="I850" s="132" t="s">
        <v>40</v>
      </c>
      <c r="J850" s="131" t="s">
        <v>4432</v>
      </c>
      <c r="K850" s="132" t="s">
        <v>4433</v>
      </c>
      <c r="L850" s="136">
        <v>4792791</v>
      </c>
      <c r="M850" s="132">
        <v>42356</v>
      </c>
      <c r="N850" s="136" t="s">
        <v>4670</v>
      </c>
      <c r="O850" s="130" t="s">
        <v>4436</v>
      </c>
      <c r="P850" s="136" t="s">
        <v>243</v>
      </c>
      <c r="Q850" s="130">
        <v>38237090</v>
      </c>
      <c r="R850" s="136">
        <v>52</v>
      </c>
      <c r="S850" s="130" t="s">
        <v>70</v>
      </c>
      <c r="T850" s="136" t="s">
        <v>52</v>
      </c>
      <c r="U850" s="136" t="s">
        <v>53</v>
      </c>
      <c r="V850" s="136">
        <v>1250</v>
      </c>
      <c r="W850" s="133">
        <f t="shared" si="39"/>
        <v>65000</v>
      </c>
      <c r="X850" s="136">
        <v>0</v>
      </c>
      <c r="Y850" s="136">
        <v>940</v>
      </c>
      <c r="Z850" s="136">
        <v>0</v>
      </c>
      <c r="AA850" s="136">
        <v>0</v>
      </c>
      <c r="AB850" s="131">
        <v>42359</v>
      </c>
      <c r="AC850" s="134">
        <f t="shared" si="40"/>
        <v>64060</v>
      </c>
      <c r="AD850" s="135">
        <v>66.2</v>
      </c>
      <c r="AE850" s="136">
        <f t="shared" si="41"/>
        <v>4303000</v>
      </c>
      <c r="AF850" s="137">
        <v>4240772</v>
      </c>
      <c r="AG850" s="138">
        <v>66.2</v>
      </c>
      <c r="AH850" s="136" t="s">
        <v>6931</v>
      </c>
      <c r="AI850" s="136">
        <v>64918</v>
      </c>
      <c r="AJ850" s="132" t="s">
        <v>6932</v>
      </c>
      <c r="AK850" s="136" t="s">
        <v>6933</v>
      </c>
      <c r="AL850" s="132" t="s">
        <v>6934</v>
      </c>
      <c r="AM850" s="131" t="s">
        <v>49</v>
      </c>
      <c r="AN850" s="136" t="s">
        <v>4440</v>
      </c>
    </row>
    <row r="851" spans="1:40" s="129" customFormat="1" x14ac:dyDescent="0.25">
      <c r="A851" s="136">
        <v>850</v>
      </c>
      <c r="B851" s="130" t="s">
        <v>4428</v>
      </c>
      <c r="C851" s="130" t="s">
        <v>38</v>
      </c>
      <c r="D851" s="136">
        <v>9103650811</v>
      </c>
      <c r="E851" s="132">
        <v>42361</v>
      </c>
      <c r="F851" s="132" t="s">
        <v>6640</v>
      </c>
      <c r="G851" s="132" t="s">
        <v>6935</v>
      </c>
      <c r="H851" s="130" t="s">
        <v>4556</v>
      </c>
      <c r="I851" s="132" t="s">
        <v>40</v>
      </c>
      <c r="J851" s="131" t="s">
        <v>4432</v>
      </c>
      <c r="K851" s="132" t="s">
        <v>4433</v>
      </c>
      <c r="L851" s="136">
        <v>4792925</v>
      </c>
      <c r="M851" s="132">
        <v>42356</v>
      </c>
      <c r="N851" s="136" t="s">
        <v>4972</v>
      </c>
      <c r="O851" s="130" t="s">
        <v>4436</v>
      </c>
      <c r="P851" s="136" t="s">
        <v>90</v>
      </c>
      <c r="Q851" s="130" t="s">
        <v>6194</v>
      </c>
      <c r="R851" s="136">
        <v>12</v>
      </c>
      <c r="S851" s="130" t="s">
        <v>70</v>
      </c>
      <c r="T851" s="136" t="s">
        <v>44</v>
      </c>
      <c r="U851" s="136" t="s">
        <v>53</v>
      </c>
      <c r="V851" s="136">
        <v>0</v>
      </c>
      <c r="W851" s="133">
        <f>(7.2*1350+4.8*1450)</f>
        <v>16680</v>
      </c>
      <c r="X851" s="136">
        <v>5.5</v>
      </c>
      <c r="Y851" s="136">
        <v>350</v>
      </c>
      <c r="Z851" s="136">
        <v>0</v>
      </c>
      <c r="AA851" s="136">
        <v>0</v>
      </c>
      <c r="AB851" s="131"/>
      <c r="AC851" s="134">
        <f t="shared" si="40"/>
        <v>16324.499999999998</v>
      </c>
      <c r="AD851" s="135">
        <v>66.2</v>
      </c>
      <c r="AE851" s="136">
        <f t="shared" si="41"/>
        <v>1104216</v>
      </c>
      <c r="AF851" s="137">
        <v>1080681.8999999999</v>
      </c>
      <c r="AG851" s="138">
        <v>66.2</v>
      </c>
      <c r="AH851" s="136" t="s">
        <v>6936</v>
      </c>
      <c r="AI851" s="136">
        <v>16633</v>
      </c>
      <c r="AJ851" s="132">
        <v>42402</v>
      </c>
      <c r="AK851" s="136" t="s">
        <v>6937</v>
      </c>
      <c r="AL851" s="132">
        <v>42403</v>
      </c>
      <c r="AM851" s="131" t="s">
        <v>49</v>
      </c>
      <c r="AN851" s="133" t="s">
        <v>4440</v>
      </c>
    </row>
    <row r="852" spans="1:40" s="129" customFormat="1" x14ac:dyDescent="0.25">
      <c r="A852" s="130">
        <v>851</v>
      </c>
      <c r="B852" s="130" t="s">
        <v>4428</v>
      </c>
      <c r="C852" s="130" t="s">
        <v>38</v>
      </c>
      <c r="D852" s="136" t="s">
        <v>6938</v>
      </c>
      <c r="E852" s="132">
        <v>42359</v>
      </c>
      <c r="F852" s="132" t="s">
        <v>6640</v>
      </c>
      <c r="G852" s="132" t="s">
        <v>894</v>
      </c>
      <c r="H852" s="130" t="s">
        <v>4431</v>
      </c>
      <c r="I852" s="132" t="s">
        <v>40</v>
      </c>
      <c r="J852" s="131" t="s">
        <v>4432</v>
      </c>
      <c r="K852" s="132" t="s">
        <v>4433</v>
      </c>
      <c r="L852" s="136">
        <v>4746440</v>
      </c>
      <c r="M852" s="132">
        <v>42354</v>
      </c>
      <c r="N852" s="136" t="s">
        <v>5744</v>
      </c>
      <c r="O852" s="130" t="s">
        <v>4436</v>
      </c>
      <c r="P852" s="136" t="s">
        <v>361</v>
      </c>
      <c r="Q852" s="130">
        <v>38231190</v>
      </c>
      <c r="R852" s="136">
        <v>70</v>
      </c>
      <c r="S852" s="130" t="s">
        <v>70</v>
      </c>
      <c r="T852" s="136" t="s">
        <v>52</v>
      </c>
      <c r="U852" s="136" t="s">
        <v>1117</v>
      </c>
      <c r="V852" s="136">
        <v>49566</v>
      </c>
      <c r="W852" s="133">
        <f t="shared" si="39"/>
        <v>3469620</v>
      </c>
      <c r="X852" s="136">
        <v>0</v>
      </c>
      <c r="Y852" s="136">
        <v>24843.75</v>
      </c>
      <c r="Z852" s="136">
        <v>0</v>
      </c>
      <c r="AA852" s="136">
        <v>170878.79</v>
      </c>
      <c r="AB852" s="131">
        <v>42355</v>
      </c>
      <c r="AC852" s="134">
        <f t="shared" si="40"/>
        <v>3444776.25</v>
      </c>
      <c r="AD852" s="135">
        <v>1</v>
      </c>
      <c r="AE852" s="136">
        <f t="shared" si="41"/>
        <v>3469620</v>
      </c>
      <c r="AF852" s="130">
        <v>3444776.25</v>
      </c>
      <c r="AG852" s="138">
        <v>1</v>
      </c>
      <c r="AH852" s="136" t="s">
        <v>6939</v>
      </c>
      <c r="AI852" s="136">
        <v>3469620</v>
      </c>
      <c r="AJ852" s="132">
        <v>42381</v>
      </c>
      <c r="AK852" s="136" t="s">
        <v>6940</v>
      </c>
      <c r="AL852" s="132">
        <v>42382</v>
      </c>
      <c r="AM852" s="132" t="s">
        <v>49</v>
      </c>
      <c r="AN852" s="133" t="s">
        <v>4440</v>
      </c>
    </row>
    <row r="853" spans="1:40" s="129" customFormat="1" x14ac:dyDescent="0.25">
      <c r="A853" s="136">
        <v>852</v>
      </c>
      <c r="B853" s="130" t="s">
        <v>4428</v>
      </c>
      <c r="C853" s="130" t="s">
        <v>38</v>
      </c>
      <c r="D853" s="136" t="s">
        <v>6938</v>
      </c>
      <c r="E853" s="132">
        <v>42359</v>
      </c>
      <c r="F853" s="132" t="s">
        <v>6640</v>
      </c>
      <c r="G853" s="132" t="s">
        <v>902</v>
      </c>
      <c r="H853" s="130" t="s">
        <v>4431</v>
      </c>
      <c r="I853" s="132" t="s">
        <v>40</v>
      </c>
      <c r="J853" s="131" t="s">
        <v>4432</v>
      </c>
      <c r="K853" s="132" t="s">
        <v>4433</v>
      </c>
      <c r="L853" s="136">
        <v>4766714</v>
      </c>
      <c r="M853" s="132">
        <v>42355</v>
      </c>
      <c r="N853" s="136" t="s">
        <v>5744</v>
      </c>
      <c r="O853" s="130" t="s">
        <v>4436</v>
      </c>
      <c r="P853" s="136" t="s">
        <v>361</v>
      </c>
      <c r="Q853" s="130">
        <v>38231190</v>
      </c>
      <c r="R853" s="136">
        <v>14</v>
      </c>
      <c r="S853" s="130" t="s">
        <v>70</v>
      </c>
      <c r="T853" s="136" t="s">
        <v>52</v>
      </c>
      <c r="U853" s="136" t="s">
        <v>1117</v>
      </c>
      <c r="V853" s="136">
        <v>49566</v>
      </c>
      <c r="W853" s="133">
        <f t="shared" si="39"/>
        <v>693924</v>
      </c>
      <c r="X853" s="136">
        <v>0</v>
      </c>
      <c r="Y853" s="136">
        <v>4968.75</v>
      </c>
      <c r="Z853" s="136">
        <v>0</v>
      </c>
      <c r="AA853" s="136">
        <v>34175.760000000002</v>
      </c>
      <c r="AB853" s="131">
        <v>42356</v>
      </c>
      <c r="AC853" s="134">
        <f t="shared" si="40"/>
        <v>688955.25</v>
      </c>
      <c r="AD853" s="135">
        <v>1</v>
      </c>
      <c r="AE853" s="136">
        <f t="shared" si="41"/>
        <v>693924</v>
      </c>
      <c r="AF853" s="130">
        <v>688955.25</v>
      </c>
      <c r="AG853" s="138">
        <v>1</v>
      </c>
      <c r="AH853" s="136" t="s">
        <v>6939</v>
      </c>
      <c r="AI853" s="136">
        <v>688372.61</v>
      </c>
      <c r="AJ853" s="132">
        <v>42381</v>
      </c>
      <c r="AK853" s="136" t="s">
        <v>6941</v>
      </c>
      <c r="AL853" s="132">
        <v>42382</v>
      </c>
      <c r="AM853" s="132" t="s">
        <v>49</v>
      </c>
      <c r="AN853" s="132" t="s">
        <v>4440</v>
      </c>
    </row>
    <row r="854" spans="1:40" s="129" customFormat="1" x14ac:dyDescent="0.25">
      <c r="A854" s="130">
        <v>853</v>
      </c>
      <c r="B854" s="130" t="s">
        <v>4428</v>
      </c>
      <c r="C854" s="130" t="s">
        <v>38</v>
      </c>
      <c r="D854" s="136" t="s">
        <v>6938</v>
      </c>
      <c r="E854" s="132">
        <v>42359</v>
      </c>
      <c r="F854" s="132" t="s">
        <v>6640</v>
      </c>
      <c r="G854" s="132" t="s">
        <v>910</v>
      </c>
      <c r="H854" s="130" t="s">
        <v>4431</v>
      </c>
      <c r="I854" s="132" t="s">
        <v>40</v>
      </c>
      <c r="J854" s="131" t="s">
        <v>4432</v>
      </c>
      <c r="K854" s="132" t="s">
        <v>4433</v>
      </c>
      <c r="L854" s="136">
        <v>4787646</v>
      </c>
      <c r="M854" s="132">
        <v>42356</v>
      </c>
      <c r="N854" s="136" t="s">
        <v>5744</v>
      </c>
      <c r="O854" s="130" t="s">
        <v>4436</v>
      </c>
      <c r="P854" s="136" t="s">
        <v>361</v>
      </c>
      <c r="Q854" s="130">
        <v>38231190</v>
      </c>
      <c r="R854" s="136">
        <v>28</v>
      </c>
      <c r="S854" s="130" t="s">
        <v>70</v>
      </c>
      <c r="T854" s="136" t="s">
        <v>52</v>
      </c>
      <c r="U854" s="136" t="s">
        <v>1117</v>
      </c>
      <c r="V854" s="136">
        <v>49566</v>
      </c>
      <c r="W854" s="133">
        <f t="shared" si="39"/>
        <v>1387848</v>
      </c>
      <c r="X854" s="136">
        <v>0</v>
      </c>
      <c r="Y854" s="136">
        <v>9937.5</v>
      </c>
      <c r="Z854" s="136">
        <v>0</v>
      </c>
      <c r="AA854" s="136">
        <v>58594.94</v>
      </c>
      <c r="AB854" s="131">
        <v>42357</v>
      </c>
      <c r="AC854" s="134">
        <f t="shared" si="40"/>
        <v>1377910.5</v>
      </c>
      <c r="AD854" s="135">
        <v>1</v>
      </c>
      <c r="AE854" s="136">
        <f t="shared" si="41"/>
        <v>1387848</v>
      </c>
      <c r="AF854" s="130">
        <v>1377910.5</v>
      </c>
      <c r="AG854" s="138">
        <v>1</v>
      </c>
      <c r="AH854" s="136" t="s">
        <v>6939</v>
      </c>
      <c r="AI854" s="136">
        <v>1387848</v>
      </c>
      <c r="AJ854" s="132">
        <v>42381</v>
      </c>
      <c r="AK854" s="136" t="s">
        <v>6942</v>
      </c>
      <c r="AL854" s="132">
        <v>42382</v>
      </c>
      <c r="AM854" s="132" t="s">
        <v>49</v>
      </c>
      <c r="AN854" s="132" t="s">
        <v>4440</v>
      </c>
    </row>
    <row r="855" spans="1:40" s="129" customFormat="1" x14ac:dyDescent="0.25">
      <c r="A855" s="136">
        <v>854</v>
      </c>
      <c r="B855" s="130" t="s">
        <v>4428</v>
      </c>
      <c r="C855" s="130" t="s">
        <v>38</v>
      </c>
      <c r="D855" s="136" t="s">
        <v>6943</v>
      </c>
      <c r="E855" s="132">
        <v>42361</v>
      </c>
      <c r="F855" s="132" t="s">
        <v>6640</v>
      </c>
      <c r="G855" s="132" t="s">
        <v>6944</v>
      </c>
      <c r="H855" s="130" t="s">
        <v>4446</v>
      </c>
      <c r="I855" s="132" t="s">
        <v>40</v>
      </c>
      <c r="J855" s="131" t="s">
        <v>4432</v>
      </c>
      <c r="K855" s="132" t="s">
        <v>4433</v>
      </c>
      <c r="L855" s="136">
        <v>4808974</v>
      </c>
      <c r="M855" s="132">
        <v>42357</v>
      </c>
      <c r="N855" s="136" t="s">
        <v>4670</v>
      </c>
      <c r="O855" s="130" t="s">
        <v>4436</v>
      </c>
      <c r="P855" s="136" t="s">
        <v>243</v>
      </c>
      <c r="Q855" s="130">
        <v>38237090</v>
      </c>
      <c r="R855" s="136">
        <v>52</v>
      </c>
      <c r="S855" s="130" t="s">
        <v>70</v>
      </c>
      <c r="T855" s="136" t="s">
        <v>52</v>
      </c>
      <c r="U855" s="136" t="s">
        <v>53</v>
      </c>
      <c r="V855" s="136">
        <v>1250</v>
      </c>
      <c r="W855" s="133">
        <f t="shared" si="39"/>
        <v>65000</v>
      </c>
      <c r="X855" s="136">
        <v>0</v>
      </c>
      <c r="Y855" s="136">
        <v>940</v>
      </c>
      <c r="Z855" s="136">
        <v>0</v>
      </c>
      <c r="AA855" s="136">
        <v>0</v>
      </c>
      <c r="AB855" s="131">
        <v>42359</v>
      </c>
      <c r="AC855" s="134">
        <f t="shared" si="40"/>
        <v>64060</v>
      </c>
      <c r="AD855" s="135">
        <v>66.2</v>
      </c>
      <c r="AE855" s="136">
        <f t="shared" si="41"/>
        <v>4303000</v>
      </c>
      <c r="AF855" s="137">
        <v>4240772</v>
      </c>
      <c r="AG855" s="138">
        <v>66.2</v>
      </c>
      <c r="AH855" s="136" t="s">
        <v>6945</v>
      </c>
      <c r="AI855" s="136">
        <v>64843</v>
      </c>
      <c r="AJ855" s="132" t="s">
        <v>6946</v>
      </c>
      <c r="AK855" s="136" t="s">
        <v>6947</v>
      </c>
      <c r="AL855" s="132" t="s">
        <v>6948</v>
      </c>
      <c r="AM855" s="131" t="s">
        <v>49</v>
      </c>
      <c r="AN855" s="136" t="s">
        <v>4440</v>
      </c>
    </row>
    <row r="856" spans="1:40" s="129" customFormat="1" x14ac:dyDescent="0.25">
      <c r="A856" s="130">
        <v>855</v>
      </c>
      <c r="B856" s="130" t="s">
        <v>4428</v>
      </c>
      <c r="C856" s="130" t="s">
        <v>38</v>
      </c>
      <c r="D856" s="136">
        <v>9103650816</v>
      </c>
      <c r="E856" s="132">
        <v>42363</v>
      </c>
      <c r="F856" s="132" t="s">
        <v>6640</v>
      </c>
      <c r="G856" s="132" t="s">
        <v>6949</v>
      </c>
      <c r="H856" s="130" t="s">
        <v>4456</v>
      </c>
      <c r="I856" s="132" t="s">
        <v>40</v>
      </c>
      <c r="J856" s="131" t="s">
        <v>4432</v>
      </c>
      <c r="K856" s="132" t="s">
        <v>4433</v>
      </c>
      <c r="L856" s="136">
        <v>4792981</v>
      </c>
      <c r="M856" s="132">
        <v>42356</v>
      </c>
      <c r="N856" s="136" t="s">
        <v>5009</v>
      </c>
      <c r="O856" s="130" t="s">
        <v>4436</v>
      </c>
      <c r="P856" s="136" t="s">
        <v>90</v>
      </c>
      <c r="Q856" s="130">
        <v>29051700</v>
      </c>
      <c r="R856" s="136">
        <v>1.45</v>
      </c>
      <c r="S856" s="130" t="s">
        <v>70</v>
      </c>
      <c r="T856" s="136" t="s">
        <v>44</v>
      </c>
      <c r="U856" s="136" t="s">
        <v>53</v>
      </c>
      <c r="V856" s="136">
        <v>0</v>
      </c>
      <c r="W856" s="133">
        <f>(0.8*1600+0.4*1700+0.25*2000)</f>
        <v>2460</v>
      </c>
      <c r="X856" s="136">
        <v>0.81</v>
      </c>
      <c r="Y856" s="136">
        <v>75</v>
      </c>
      <c r="Z856" s="136">
        <v>0</v>
      </c>
      <c r="AA856" s="136">
        <v>0</v>
      </c>
      <c r="AB856" s="131">
        <v>42357</v>
      </c>
      <c r="AC856" s="134">
        <f t="shared" si="40"/>
        <v>21165.97432024169</v>
      </c>
      <c r="AD856" s="135">
        <v>66.2</v>
      </c>
      <c r="AE856" s="136">
        <f t="shared" si="41"/>
        <v>162852</v>
      </c>
      <c r="AF856" s="137">
        <v>1401187.5</v>
      </c>
      <c r="AG856" s="138">
        <v>66.2</v>
      </c>
      <c r="AH856" s="136" t="s">
        <v>6950</v>
      </c>
      <c r="AI856" s="136">
        <v>2439</v>
      </c>
      <c r="AJ856" s="132">
        <v>42438</v>
      </c>
      <c r="AK856" s="136" t="s">
        <v>6951</v>
      </c>
      <c r="AL856" s="132">
        <v>42439</v>
      </c>
      <c r="AM856" s="132" t="s">
        <v>49</v>
      </c>
      <c r="AN856" s="133" t="s">
        <v>4440</v>
      </c>
    </row>
    <row r="857" spans="1:40" s="129" customFormat="1" x14ac:dyDescent="0.25">
      <c r="A857" s="136">
        <v>856</v>
      </c>
      <c r="B857" s="130" t="s">
        <v>4428</v>
      </c>
      <c r="C857" s="130" t="s">
        <v>38</v>
      </c>
      <c r="D857" s="136" t="s">
        <v>6952</v>
      </c>
      <c r="E857" s="132">
        <v>42362</v>
      </c>
      <c r="F857" s="132" t="s">
        <v>6640</v>
      </c>
      <c r="G857" s="132" t="s">
        <v>6953</v>
      </c>
      <c r="H857" s="130" t="s">
        <v>4446</v>
      </c>
      <c r="I857" s="132" t="s">
        <v>40</v>
      </c>
      <c r="J857" s="131" t="s">
        <v>4432</v>
      </c>
      <c r="K857" s="132" t="s">
        <v>4433</v>
      </c>
      <c r="L857" s="136">
        <v>4810801</v>
      </c>
      <c r="M857" s="132">
        <v>42357</v>
      </c>
      <c r="N857" s="136" t="s">
        <v>4670</v>
      </c>
      <c r="O857" s="130" t="s">
        <v>4436</v>
      </c>
      <c r="P857" s="136" t="s">
        <v>243</v>
      </c>
      <c r="Q857" s="130">
        <v>38237090</v>
      </c>
      <c r="R857" s="136">
        <v>52</v>
      </c>
      <c r="S857" s="130" t="s">
        <v>70</v>
      </c>
      <c r="T857" s="136" t="s">
        <v>52</v>
      </c>
      <c r="U857" s="136" t="s">
        <v>53</v>
      </c>
      <c r="V857" s="136">
        <v>1243</v>
      </c>
      <c r="W857" s="133">
        <f t="shared" si="39"/>
        <v>64636</v>
      </c>
      <c r="X857" s="136">
        <v>0</v>
      </c>
      <c r="Y857" s="136">
        <v>940</v>
      </c>
      <c r="Z857" s="136">
        <v>0</v>
      </c>
      <c r="AA857" s="136">
        <v>0</v>
      </c>
      <c r="AB857" s="131">
        <v>42359</v>
      </c>
      <c r="AC857" s="134">
        <f t="shared" si="40"/>
        <v>63696</v>
      </c>
      <c r="AD857" s="135">
        <v>66.2</v>
      </c>
      <c r="AE857" s="136">
        <f t="shared" si="41"/>
        <v>4278903.2</v>
      </c>
      <c r="AF857" s="137">
        <v>4216675.2</v>
      </c>
      <c r="AG857" s="138">
        <v>66.2</v>
      </c>
      <c r="AH857" s="136" t="s">
        <v>6954</v>
      </c>
      <c r="AI857" s="136">
        <v>64479</v>
      </c>
      <c r="AJ857" s="132" t="s">
        <v>6946</v>
      </c>
      <c r="AK857" s="136" t="s">
        <v>6955</v>
      </c>
      <c r="AL857" s="132" t="s">
        <v>6948</v>
      </c>
      <c r="AM857" s="131" t="s">
        <v>49</v>
      </c>
      <c r="AN857" s="136" t="s">
        <v>4440</v>
      </c>
    </row>
    <row r="858" spans="1:40" s="129" customFormat="1" x14ac:dyDescent="0.25">
      <c r="A858" s="130">
        <v>857</v>
      </c>
      <c r="B858" s="130" t="s">
        <v>4428</v>
      </c>
      <c r="C858" s="130" t="s">
        <v>38</v>
      </c>
      <c r="D858" s="136">
        <v>9103650818</v>
      </c>
      <c r="E858" s="132">
        <v>42365</v>
      </c>
      <c r="F858" s="132" t="s">
        <v>6640</v>
      </c>
      <c r="G858" s="132" t="s">
        <v>6956</v>
      </c>
      <c r="H858" s="130" t="s">
        <v>5024</v>
      </c>
      <c r="I858" s="132" t="s">
        <v>40</v>
      </c>
      <c r="J858" s="131" t="s">
        <v>4432</v>
      </c>
      <c r="K858" s="132" t="s">
        <v>4433</v>
      </c>
      <c r="L858" s="136">
        <v>4810775</v>
      </c>
      <c r="M858" s="132">
        <v>42357</v>
      </c>
      <c r="N858" s="136" t="s">
        <v>4630</v>
      </c>
      <c r="O858" s="130" t="s">
        <v>4436</v>
      </c>
      <c r="P858" s="136" t="s">
        <v>61</v>
      </c>
      <c r="Q858" s="130">
        <v>29051700</v>
      </c>
      <c r="R858" s="136">
        <v>32</v>
      </c>
      <c r="S858" s="130" t="s">
        <v>70</v>
      </c>
      <c r="T858" s="136" t="s">
        <v>44</v>
      </c>
      <c r="U858" s="136" t="s">
        <v>53</v>
      </c>
      <c r="V858" s="136">
        <v>1318</v>
      </c>
      <c r="W858" s="133">
        <f t="shared" si="39"/>
        <v>42176</v>
      </c>
      <c r="X858" s="136">
        <v>13.92</v>
      </c>
      <c r="Y858" s="136">
        <v>1600</v>
      </c>
      <c r="Z858" s="136">
        <v>0</v>
      </c>
      <c r="AA858" s="136">
        <v>0</v>
      </c>
      <c r="AB858" s="131"/>
      <c r="AC858" s="134">
        <f t="shared" si="40"/>
        <v>40562.080060422959</v>
      </c>
      <c r="AD858" s="135">
        <v>66.2</v>
      </c>
      <c r="AE858" s="136">
        <f t="shared" si="41"/>
        <v>2792051.2</v>
      </c>
      <c r="AF858" s="137">
        <v>2685209.7</v>
      </c>
      <c r="AG858" s="138">
        <v>66.2</v>
      </c>
      <c r="AH858" s="136" t="s">
        <v>6957</v>
      </c>
      <c r="AI858" s="136">
        <v>42176</v>
      </c>
      <c r="AJ858" s="132">
        <v>42399</v>
      </c>
      <c r="AK858" s="136" t="s">
        <v>6958</v>
      </c>
      <c r="AL858" s="132">
        <v>42401</v>
      </c>
      <c r="AM858" s="131" t="s">
        <v>49</v>
      </c>
      <c r="AN858" s="133" t="s">
        <v>4440</v>
      </c>
    </row>
    <row r="859" spans="1:40" s="129" customFormat="1" x14ac:dyDescent="0.25">
      <c r="A859" s="136">
        <v>858</v>
      </c>
      <c r="B859" s="130" t="s">
        <v>4428</v>
      </c>
      <c r="C859" s="130" t="s">
        <v>38</v>
      </c>
      <c r="D859" s="136">
        <v>9103650819</v>
      </c>
      <c r="E859" s="132">
        <v>42364</v>
      </c>
      <c r="F859" s="132" t="s">
        <v>6640</v>
      </c>
      <c r="G859" s="132" t="s">
        <v>6959</v>
      </c>
      <c r="H859" s="130" t="s">
        <v>4456</v>
      </c>
      <c r="I859" s="132" t="s">
        <v>40</v>
      </c>
      <c r="J859" s="131" t="s">
        <v>4432</v>
      </c>
      <c r="K859" s="132" t="s">
        <v>4433</v>
      </c>
      <c r="L859" s="136">
        <v>4827274</v>
      </c>
      <c r="M859" s="132">
        <v>42359</v>
      </c>
      <c r="N859" s="136" t="s">
        <v>4527</v>
      </c>
      <c r="O859" s="130" t="s">
        <v>4436</v>
      </c>
      <c r="P859" s="136" t="s">
        <v>59</v>
      </c>
      <c r="Q859" s="130">
        <v>38237090</v>
      </c>
      <c r="R859" s="136">
        <v>24</v>
      </c>
      <c r="S859" s="130" t="s">
        <v>70</v>
      </c>
      <c r="T859" s="136" t="s">
        <v>44</v>
      </c>
      <c r="U859" s="136" t="s">
        <v>53</v>
      </c>
      <c r="V859" s="136">
        <v>1215</v>
      </c>
      <c r="W859" s="133">
        <f t="shared" si="39"/>
        <v>29160</v>
      </c>
      <c r="X859" s="136">
        <v>9.6199999999999992</v>
      </c>
      <c r="Y859" s="136">
        <v>300</v>
      </c>
      <c r="Z859" s="136">
        <v>0</v>
      </c>
      <c r="AA859" s="136">
        <v>0</v>
      </c>
      <c r="AB859" s="131"/>
      <c r="AC859" s="134">
        <f t="shared" si="40"/>
        <v>28850.380060422958</v>
      </c>
      <c r="AD859" s="135">
        <v>66.2</v>
      </c>
      <c r="AE859" s="136">
        <f t="shared" si="41"/>
        <v>1930392</v>
      </c>
      <c r="AF859" s="137">
        <v>1909895.16</v>
      </c>
      <c r="AG859" s="138">
        <v>66.2</v>
      </c>
      <c r="AH859" s="136" t="s">
        <v>6960</v>
      </c>
      <c r="AI859" s="136">
        <v>29150</v>
      </c>
      <c r="AJ859" s="132">
        <v>42430</v>
      </c>
      <c r="AK859" s="136" t="s">
        <v>6961</v>
      </c>
      <c r="AL859" s="132">
        <v>42430</v>
      </c>
      <c r="AM859" s="131" t="s">
        <v>49</v>
      </c>
      <c r="AN859" s="133" t="s">
        <v>4440</v>
      </c>
    </row>
    <row r="860" spans="1:40" s="129" customFormat="1" x14ac:dyDescent="0.25">
      <c r="A860" s="130">
        <v>859</v>
      </c>
      <c r="B860" s="130" t="s">
        <v>4428</v>
      </c>
      <c r="C860" s="130" t="s">
        <v>38</v>
      </c>
      <c r="D860" s="136">
        <v>9103650820</v>
      </c>
      <c r="E860" s="132">
        <v>42365</v>
      </c>
      <c r="F860" s="132" t="s">
        <v>6640</v>
      </c>
      <c r="G860" s="132" t="s">
        <v>6962</v>
      </c>
      <c r="H860" s="130" t="s">
        <v>4456</v>
      </c>
      <c r="I860" s="132" t="s">
        <v>40</v>
      </c>
      <c r="J860" s="131" t="s">
        <v>4432</v>
      </c>
      <c r="K860" s="132" t="s">
        <v>4433</v>
      </c>
      <c r="L860" s="136">
        <v>4831041</v>
      </c>
      <c r="M860" s="132">
        <v>42359</v>
      </c>
      <c r="N860" s="136" t="s">
        <v>4527</v>
      </c>
      <c r="O860" s="130" t="s">
        <v>4436</v>
      </c>
      <c r="P860" s="136" t="s">
        <v>59</v>
      </c>
      <c r="Q860" s="130">
        <v>38237090</v>
      </c>
      <c r="R860" s="136">
        <v>112.6</v>
      </c>
      <c r="S860" s="130" t="s">
        <v>70</v>
      </c>
      <c r="T860" s="136" t="s">
        <v>44</v>
      </c>
      <c r="U860" s="136" t="s">
        <v>4528</v>
      </c>
      <c r="V860" s="136">
        <v>1086</v>
      </c>
      <c r="W860" s="133">
        <f t="shared" si="39"/>
        <v>122283.59999999999</v>
      </c>
      <c r="X860" s="136">
        <v>40.35</v>
      </c>
      <c r="Y860" s="136">
        <v>2367.6</v>
      </c>
      <c r="Z860" s="136">
        <v>0</v>
      </c>
      <c r="AA860" s="136">
        <v>0</v>
      </c>
      <c r="AB860" s="131"/>
      <c r="AC860" s="134">
        <f t="shared" si="40"/>
        <v>119875.65007012623</v>
      </c>
      <c r="AD860" s="135">
        <v>71.3</v>
      </c>
      <c r="AE860" s="136">
        <f t="shared" si="41"/>
        <v>8718820.6799999997</v>
      </c>
      <c r="AF860" s="130">
        <v>8547133.8499999996</v>
      </c>
      <c r="AG860" s="138">
        <v>71.3</v>
      </c>
      <c r="AH860" s="136" t="s">
        <v>6963</v>
      </c>
      <c r="AI860" s="136">
        <v>122283.6</v>
      </c>
      <c r="AJ860" s="132">
        <v>42429</v>
      </c>
      <c r="AK860" s="136" t="s">
        <v>6964</v>
      </c>
      <c r="AL860" s="132">
        <v>42429</v>
      </c>
      <c r="AM860" s="131" t="s">
        <v>49</v>
      </c>
      <c r="AN860" s="133" t="s">
        <v>4440</v>
      </c>
    </row>
    <row r="861" spans="1:40" s="129" customFormat="1" x14ac:dyDescent="0.25">
      <c r="A861" s="136">
        <v>860</v>
      </c>
      <c r="B861" s="130" t="s">
        <v>4428</v>
      </c>
      <c r="C861" s="130" t="s">
        <v>38</v>
      </c>
      <c r="D861" s="136">
        <v>9103650821</v>
      </c>
      <c r="E861" s="132">
        <v>42364</v>
      </c>
      <c r="F861" s="132" t="s">
        <v>6640</v>
      </c>
      <c r="G861" s="132" t="s">
        <v>6965</v>
      </c>
      <c r="H861" s="130" t="s">
        <v>4491</v>
      </c>
      <c r="I861" s="132" t="s">
        <v>40</v>
      </c>
      <c r="J861" s="131" t="s">
        <v>4432</v>
      </c>
      <c r="K861" s="132" t="s">
        <v>4433</v>
      </c>
      <c r="L861" s="136">
        <v>4808940</v>
      </c>
      <c r="M861" s="132">
        <v>42357</v>
      </c>
      <c r="N861" s="136" t="s">
        <v>4858</v>
      </c>
      <c r="O861" s="130" t="s">
        <v>4436</v>
      </c>
      <c r="P861" s="136" t="s">
        <v>54</v>
      </c>
      <c r="Q861" s="130">
        <v>38237090</v>
      </c>
      <c r="R861" s="136">
        <v>24</v>
      </c>
      <c r="S861" s="130" t="s">
        <v>70</v>
      </c>
      <c r="T861" s="136" t="s">
        <v>44</v>
      </c>
      <c r="U861" s="136" t="s">
        <v>53</v>
      </c>
      <c r="V861" s="136">
        <v>3700</v>
      </c>
      <c r="W861" s="133">
        <f t="shared" si="39"/>
        <v>88800</v>
      </c>
      <c r="X861" s="136">
        <v>29.3</v>
      </c>
      <c r="Y861" s="136">
        <v>112</v>
      </c>
      <c r="Z861" s="136">
        <v>0</v>
      </c>
      <c r="AA861" s="136">
        <v>0</v>
      </c>
      <c r="AB861" s="131"/>
      <c r="AC861" s="134">
        <f t="shared" si="40"/>
        <v>88658.7</v>
      </c>
      <c r="AD861" s="135">
        <v>66.2</v>
      </c>
      <c r="AE861" s="136">
        <f t="shared" si="41"/>
        <v>5878560</v>
      </c>
      <c r="AF861" s="137">
        <v>5869205.9400000004</v>
      </c>
      <c r="AG861" s="138">
        <v>66.2</v>
      </c>
      <c r="AH861" s="136" t="s">
        <v>6966</v>
      </c>
      <c r="AI861" s="136">
        <v>88650</v>
      </c>
      <c r="AJ861" s="132">
        <v>42457</v>
      </c>
      <c r="AK861" s="136" t="s">
        <v>6967</v>
      </c>
      <c r="AL861" s="132">
        <v>42458</v>
      </c>
      <c r="AM861" s="131" t="s">
        <v>49</v>
      </c>
      <c r="AN861" s="133" t="s">
        <v>4440</v>
      </c>
    </row>
    <row r="862" spans="1:40" s="129" customFormat="1" x14ac:dyDescent="0.25">
      <c r="A862" s="130">
        <v>861</v>
      </c>
      <c r="B862" s="130" t="s">
        <v>4428</v>
      </c>
      <c r="C862" s="130" t="s">
        <v>38</v>
      </c>
      <c r="D862" s="136">
        <v>9103650822</v>
      </c>
      <c r="E862" s="132">
        <v>42365</v>
      </c>
      <c r="F862" s="132" t="s">
        <v>6640</v>
      </c>
      <c r="G862" s="132" t="s">
        <v>916</v>
      </c>
      <c r="H862" s="130" t="s">
        <v>5024</v>
      </c>
      <c r="I862" s="132" t="s">
        <v>40</v>
      </c>
      <c r="J862" s="131" t="s">
        <v>4432</v>
      </c>
      <c r="K862" s="132" t="s">
        <v>4433</v>
      </c>
      <c r="L862" s="136">
        <v>4839114</v>
      </c>
      <c r="M862" s="132">
        <v>42359</v>
      </c>
      <c r="N862" s="136" t="s">
        <v>4443</v>
      </c>
      <c r="O862" s="130" t="s">
        <v>4436</v>
      </c>
      <c r="P862" s="136" t="s">
        <v>3287</v>
      </c>
      <c r="Q862" s="130" t="s">
        <v>4645</v>
      </c>
      <c r="R862" s="136">
        <v>15</v>
      </c>
      <c r="S862" s="130" t="s">
        <v>70</v>
      </c>
      <c r="T862" s="136" t="s">
        <v>67</v>
      </c>
      <c r="U862" s="136" t="s">
        <v>53</v>
      </c>
      <c r="V862" s="136">
        <v>0</v>
      </c>
      <c r="W862" s="133">
        <f>(6*1323+9*1258)</f>
        <v>19260</v>
      </c>
      <c r="X862" s="136">
        <v>0</v>
      </c>
      <c r="Y862" s="136">
        <v>0</v>
      </c>
      <c r="Z862" s="136">
        <v>0</v>
      </c>
      <c r="AA862" s="136">
        <v>0</v>
      </c>
      <c r="AB862" s="131"/>
      <c r="AC862" s="134">
        <f t="shared" si="40"/>
        <v>19260</v>
      </c>
      <c r="AD862" s="135">
        <v>66.2</v>
      </c>
      <c r="AE862" s="136">
        <f t="shared" si="41"/>
        <v>1275012</v>
      </c>
      <c r="AF862" s="137">
        <v>1275012</v>
      </c>
      <c r="AG862" s="138">
        <v>66.2</v>
      </c>
      <c r="AH862" s="136" t="s">
        <v>6968</v>
      </c>
      <c r="AI862" s="136">
        <v>19260</v>
      </c>
      <c r="AJ862" s="132">
        <v>42340</v>
      </c>
      <c r="AK862" s="136" t="s">
        <v>6969</v>
      </c>
      <c r="AL862" s="132">
        <v>42380</v>
      </c>
      <c r="AM862" s="131" t="s">
        <v>49</v>
      </c>
      <c r="AN862" s="133" t="s">
        <v>4440</v>
      </c>
    </row>
    <row r="863" spans="1:40" s="129" customFormat="1" x14ac:dyDescent="0.25">
      <c r="A863" s="136">
        <v>862</v>
      </c>
      <c r="B863" s="130" t="s">
        <v>4428</v>
      </c>
      <c r="C863" s="130" t="s">
        <v>38</v>
      </c>
      <c r="D863" s="136">
        <v>9103650823</v>
      </c>
      <c r="E863" s="132">
        <v>42364</v>
      </c>
      <c r="F863" s="132" t="s">
        <v>6640</v>
      </c>
      <c r="G863" s="132" t="s">
        <v>913</v>
      </c>
      <c r="H863" s="130" t="s">
        <v>4491</v>
      </c>
      <c r="I863" s="132" t="s">
        <v>40</v>
      </c>
      <c r="J863" s="131" t="s">
        <v>4432</v>
      </c>
      <c r="K863" s="132" t="s">
        <v>4433</v>
      </c>
      <c r="L863" s="136">
        <v>4839025</v>
      </c>
      <c r="M863" s="132">
        <v>42359</v>
      </c>
      <c r="N863" s="136" t="s">
        <v>3741</v>
      </c>
      <c r="O863" s="130" t="s">
        <v>4436</v>
      </c>
      <c r="P863" s="136" t="s">
        <v>4492</v>
      </c>
      <c r="Q863" s="130">
        <v>29051700</v>
      </c>
      <c r="R863" s="136">
        <v>45.36</v>
      </c>
      <c r="S863" s="130" t="s">
        <v>70</v>
      </c>
      <c r="T863" s="136" t="s">
        <v>44</v>
      </c>
      <c r="U863" s="136" t="s">
        <v>53</v>
      </c>
      <c r="V863" s="136">
        <v>1523</v>
      </c>
      <c r="W863" s="133">
        <f t="shared" si="39"/>
        <v>69083.28</v>
      </c>
      <c r="X863" s="136">
        <v>22.8</v>
      </c>
      <c r="Y863" s="136">
        <v>4500</v>
      </c>
      <c r="Z863" s="136">
        <v>0</v>
      </c>
      <c r="AA863" s="136">
        <v>0</v>
      </c>
      <c r="AB863" s="131"/>
      <c r="AC863" s="134">
        <f t="shared" si="40"/>
        <v>64560.48006042296</v>
      </c>
      <c r="AD863" s="135">
        <v>66.2</v>
      </c>
      <c r="AE863" s="136">
        <f t="shared" si="41"/>
        <v>4573313.1359999999</v>
      </c>
      <c r="AF863" s="137">
        <v>4273903.78</v>
      </c>
      <c r="AG863" s="138">
        <v>66.2</v>
      </c>
      <c r="AH863" s="136" t="s">
        <v>6970</v>
      </c>
      <c r="AI863" s="136">
        <f>65525+3522.8</f>
        <v>69047.8</v>
      </c>
      <c r="AJ863" s="132">
        <v>42384</v>
      </c>
      <c r="AK863" s="136" t="s">
        <v>6971</v>
      </c>
      <c r="AL863" s="132">
        <v>42385</v>
      </c>
      <c r="AM863" s="131" t="s">
        <v>6972</v>
      </c>
      <c r="AN863" s="133" t="s">
        <v>4440</v>
      </c>
    </row>
    <row r="864" spans="1:40" s="129" customFormat="1" x14ac:dyDescent="0.25">
      <c r="A864" s="130">
        <v>863</v>
      </c>
      <c r="B864" s="130" t="s">
        <v>4428</v>
      </c>
      <c r="C864" s="130" t="s">
        <v>38</v>
      </c>
      <c r="D864" s="136">
        <v>9103650824</v>
      </c>
      <c r="E864" s="132">
        <v>42365</v>
      </c>
      <c r="F864" s="132" t="s">
        <v>6640</v>
      </c>
      <c r="G864" s="132" t="s">
        <v>929</v>
      </c>
      <c r="H864" s="130" t="s">
        <v>4446</v>
      </c>
      <c r="I864" s="132" t="s">
        <v>40</v>
      </c>
      <c r="J864" s="131" t="s">
        <v>4432</v>
      </c>
      <c r="K864" s="132" t="s">
        <v>4433</v>
      </c>
      <c r="L864" s="136">
        <v>4838991</v>
      </c>
      <c r="M864" s="132">
        <v>42359</v>
      </c>
      <c r="N864" s="136" t="s">
        <v>4532</v>
      </c>
      <c r="O864" s="130" t="s">
        <v>4436</v>
      </c>
      <c r="P864" s="136" t="s">
        <v>690</v>
      </c>
      <c r="Q864" s="130">
        <v>29157010</v>
      </c>
      <c r="R864" s="136">
        <v>14</v>
      </c>
      <c r="S864" s="130" t="s">
        <v>70</v>
      </c>
      <c r="T864" s="136" t="s">
        <v>44</v>
      </c>
      <c r="U864" s="136" t="s">
        <v>53</v>
      </c>
      <c r="V864" s="136">
        <v>660</v>
      </c>
      <c r="W864" s="133">
        <f t="shared" si="39"/>
        <v>9240</v>
      </c>
      <c r="X864" s="136">
        <v>3.05</v>
      </c>
      <c r="Y864" s="136">
        <v>200</v>
      </c>
      <c r="Z864" s="136">
        <v>0</v>
      </c>
      <c r="AA864" s="136">
        <v>0</v>
      </c>
      <c r="AB864" s="131">
        <v>42361</v>
      </c>
      <c r="AC864" s="134">
        <f t="shared" si="40"/>
        <v>9036.9499999999989</v>
      </c>
      <c r="AD864" s="135">
        <v>66.2</v>
      </c>
      <c r="AE864" s="136">
        <f t="shared" si="41"/>
        <v>611688</v>
      </c>
      <c r="AF864" s="137">
        <v>598246.09</v>
      </c>
      <c r="AG864" s="138">
        <v>66.2</v>
      </c>
      <c r="AH864" s="136" t="s">
        <v>6973</v>
      </c>
      <c r="AI864" s="136">
        <v>9225</v>
      </c>
      <c r="AJ864" s="132">
        <v>42499</v>
      </c>
      <c r="AK864" s="136" t="s">
        <v>6974</v>
      </c>
      <c r="AL864" s="132">
        <v>42500</v>
      </c>
      <c r="AM864" s="132" t="s">
        <v>49</v>
      </c>
      <c r="AN864" s="133" t="s">
        <v>4440</v>
      </c>
    </row>
    <row r="865" spans="1:40" s="129" customFormat="1" x14ac:dyDescent="0.25">
      <c r="A865" s="136">
        <v>864</v>
      </c>
      <c r="B865" s="130" t="s">
        <v>4428</v>
      </c>
      <c r="C865" s="130" t="s">
        <v>38</v>
      </c>
      <c r="D865" s="136">
        <v>9103650825</v>
      </c>
      <c r="E865" s="132">
        <v>42366</v>
      </c>
      <c r="F865" s="132" t="s">
        <v>6640</v>
      </c>
      <c r="G865" s="132" t="s">
        <v>922</v>
      </c>
      <c r="H865" s="130" t="s">
        <v>4456</v>
      </c>
      <c r="I865" s="132" t="s">
        <v>40</v>
      </c>
      <c r="J865" s="131" t="s">
        <v>4432</v>
      </c>
      <c r="K865" s="132" t="s">
        <v>4433</v>
      </c>
      <c r="L865" s="136">
        <v>4838995</v>
      </c>
      <c r="M865" s="132">
        <v>42359</v>
      </c>
      <c r="N865" s="136" t="s">
        <v>4527</v>
      </c>
      <c r="O865" s="130" t="s">
        <v>4436</v>
      </c>
      <c r="P865" s="136" t="s">
        <v>59</v>
      </c>
      <c r="Q865" s="130">
        <v>29051700</v>
      </c>
      <c r="R865" s="136">
        <v>16</v>
      </c>
      <c r="S865" s="130" t="s">
        <v>70</v>
      </c>
      <c r="T865" s="136" t="s">
        <v>52</v>
      </c>
      <c r="U865" s="136" t="s">
        <v>53</v>
      </c>
      <c r="V865" s="136">
        <v>1355</v>
      </c>
      <c r="W865" s="133">
        <f t="shared" si="39"/>
        <v>21680</v>
      </c>
      <c r="X865" s="136">
        <v>0</v>
      </c>
      <c r="Y865" s="136">
        <v>200</v>
      </c>
      <c r="Z865" s="136">
        <v>0</v>
      </c>
      <c r="AA865" s="136">
        <v>0</v>
      </c>
      <c r="AB865" s="131"/>
      <c r="AC865" s="134">
        <f t="shared" si="40"/>
        <v>21480</v>
      </c>
      <c r="AD865" s="135">
        <v>66.2</v>
      </c>
      <c r="AE865" s="136">
        <f t="shared" si="41"/>
        <v>1435216</v>
      </c>
      <c r="AF865" s="137">
        <v>1421976</v>
      </c>
      <c r="AG865" s="138">
        <v>66.2</v>
      </c>
      <c r="AH865" s="136" t="s">
        <v>6975</v>
      </c>
      <c r="AI865" s="136">
        <v>21680</v>
      </c>
      <c r="AJ865" s="132">
        <v>42451</v>
      </c>
      <c r="AK865" s="136" t="s">
        <v>6976</v>
      </c>
      <c r="AL865" s="132">
        <v>42451</v>
      </c>
      <c r="AM865" s="131" t="s">
        <v>49</v>
      </c>
      <c r="AN865" s="133" t="s">
        <v>4440</v>
      </c>
    </row>
    <row r="866" spans="1:40" s="129" customFormat="1" x14ac:dyDescent="0.25">
      <c r="A866" s="130">
        <v>865</v>
      </c>
      <c r="B866" s="130" t="s">
        <v>4428</v>
      </c>
      <c r="C866" s="130" t="s">
        <v>38</v>
      </c>
      <c r="D866" s="136">
        <v>9103650827</v>
      </c>
      <c r="E866" s="132">
        <v>42366</v>
      </c>
      <c r="F866" s="132" t="s">
        <v>6640</v>
      </c>
      <c r="G866" s="132" t="s">
        <v>915</v>
      </c>
      <c r="H866" s="130" t="s">
        <v>4431</v>
      </c>
      <c r="I866" s="132" t="s">
        <v>40</v>
      </c>
      <c r="J866" s="131" t="s">
        <v>4432</v>
      </c>
      <c r="K866" s="132" t="s">
        <v>4433</v>
      </c>
      <c r="L866" s="136">
        <v>4861989</v>
      </c>
      <c r="M866" s="132">
        <v>42360</v>
      </c>
      <c r="N866" s="136" t="s">
        <v>6542</v>
      </c>
      <c r="O866" s="130" t="s">
        <v>4436</v>
      </c>
      <c r="P866" s="136" t="s">
        <v>745</v>
      </c>
      <c r="Q866" s="130">
        <v>38237090</v>
      </c>
      <c r="R866" s="136">
        <v>72</v>
      </c>
      <c r="S866" s="130" t="s">
        <v>70</v>
      </c>
      <c r="T866" s="136" t="s">
        <v>52</v>
      </c>
      <c r="U866" s="136" t="s">
        <v>53</v>
      </c>
      <c r="V866" s="136">
        <v>1477</v>
      </c>
      <c r="W866" s="133">
        <f t="shared" si="39"/>
        <v>106344</v>
      </c>
      <c r="X866" s="136">
        <v>0</v>
      </c>
      <c r="Y866" s="136">
        <v>2550</v>
      </c>
      <c r="Z866" s="136">
        <v>0</v>
      </c>
      <c r="AA866" s="136">
        <v>0</v>
      </c>
      <c r="AB866" s="131"/>
      <c r="AC866" s="134">
        <f t="shared" si="40"/>
        <v>103794</v>
      </c>
      <c r="AD866" s="135">
        <v>66.2</v>
      </c>
      <c r="AE866" s="136">
        <f t="shared" si="41"/>
        <v>7039972.8000000007</v>
      </c>
      <c r="AF866" s="137">
        <v>6871162.7999999998</v>
      </c>
      <c r="AG866" s="138">
        <v>66.2</v>
      </c>
      <c r="AH866" s="136" t="s">
        <v>6977</v>
      </c>
      <c r="AI866" s="136">
        <v>105551</v>
      </c>
      <c r="AJ866" s="132">
        <v>42423</v>
      </c>
      <c r="AK866" s="136" t="s">
        <v>6978</v>
      </c>
      <c r="AL866" s="132">
        <v>42424</v>
      </c>
      <c r="AM866" s="131" t="s">
        <v>49</v>
      </c>
      <c r="AN866" s="133" t="s">
        <v>4440</v>
      </c>
    </row>
    <row r="867" spans="1:40" s="129" customFormat="1" x14ac:dyDescent="0.25">
      <c r="A867" s="136">
        <v>866</v>
      </c>
      <c r="B867" s="130" t="s">
        <v>4428</v>
      </c>
      <c r="C867" s="130" t="s">
        <v>38</v>
      </c>
      <c r="D867" s="136">
        <v>9103650828</v>
      </c>
      <c r="E867" s="132">
        <v>42369</v>
      </c>
      <c r="F867" s="132" t="s">
        <v>6640</v>
      </c>
      <c r="G867" s="132" t="s">
        <v>930</v>
      </c>
      <c r="H867" s="130" t="s">
        <v>5024</v>
      </c>
      <c r="I867" s="132" t="s">
        <v>40</v>
      </c>
      <c r="J867" s="131" t="s">
        <v>4432</v>
      </c>
      <c r="K867" s="132" t="s">
        <v>4433</v>
      </c>
      <c r="L867" s="136">
        <v>4855697</v>
      </c>
      <c r="M867" s="132">
        <v>42360</v>
      </c>
      <c r="N867" s="136" t="s">
        <v>5306</v>
      </c>
      <c r="O867" s="130" t="s">
        <v>4436</v>
      </c>
      <c r="P867" s="136" t="s">
        <v>690</v>
      </c>
      <c r="Q867" s="130">
        <v>38237090</v>
      </c>
      <c r="R867" s="136">
        <v>4.8</v>
      </c>
      <c r="S867" s="130" t="s">
        <v>70</v>
      </c>
      <c r="T867" s="136" t="s">
        <v>67</v>
      </c>
      <c r="U867" s="136" t="s">
        <v>53</v>
      </c>
      <c r="V867" s="136">
        <v>1350</v>
      </c>
      <c r="W867" s="133">
        <f t="shared" si="39"/>
        <v>6480</v>
      </c>
      <c r="X867" s="136">
        <v>0</v>
      </c>
      <c r="Y867" s="136">
        <v>0</v>
      </c>
      <c r="Z867" s="136">
        <v>0</v>
      </c>
      <c r="AA867" s="136">
        <v>0</v>
      </c>
      <c r="AB867" s="131"/>
      <c r="AC867" s="134">
        <f t="shared" si="40"/>
        <v>6480</v>
      </c>
      <c r="AD867" s="135">
        <v>66.2</v>
      </c>
      <c r="AE867" s="136">
        <f t="shared" si="41"/>
        <v>428976</v>
      </c>
      <c r="AF867" s="137">
        <v>428976</v>
      </c>
      <c r="AG867" s="138">
        <v>66.2</v>
      </c>
      <c r="AH867" s="136" t="s">
        <v>6979</v>
      </c>
      <c r="AI867" s="136">
        <v>6443.2</v>
      </c>
      <c r="AJ867" s="132">
        <v>42397</v>
      </c>
      <c r="AK867" s="136" t="s">
        <v>6980</v>
      </c>
      <c r="AL867" s="132">
        <v>42397</v>
      </c>
      <c r="AM867" s="131" t="s">
        <v>49</v>
      </c>
      <c r="AN867" s="133" t="s">
        <v>4440</v>
      </c>
    </row>
    <row r="868" spans="1:40" s="129" customFormat="1" x14ac:dyDescent="0.25">
      <c r="A868" s="130">
        <v>867</v>
      </c>
      <c r="B868" s="130" t="s">
        <v>4428</v>
      </c>
      <c r="C868" s="130" t="s">
        <v>38</v>
      </c>
      <c r="D868" s="136" t="s">
        <v>6981</v>
      </c>
      <c r="E868" s="132">
        <v>42365</v>
      </c>
      <c r="F868" s="132" t="s">
        <v>6640</v>
      </c>
      <c r="G868" s="132" t="s">
        <v>920</v>
      </c>
      <c r="H868" s="130" t="s">
        <v>4463</v>
      </c>
      <c r="I868" s="132" t="s">
        <v>40</v>
      </c>
      <c r="J868" s="131" t="s">
        <v>4432</v>
      </c>
      <c r="K868" s="132" t="s">
        <v>4433</v>
      </c>
      <c r="L868" s="136">
        <v>4884975</v>
      </c>
      <c r="M868" s="132">
        <v>42361</v>
      </c>
      <c r="N868" s="136" t="s">
        <v>5337</v>
      </c>
      <c r="O868" s="130" t="s">
        <v>4436</v>
      </c>
      <c r="P868" s="136" t="s">
        <v>143</v>
      </c>
      <c r="Q868" s="130">
        <v>38237090</v>
      </c>
      <c r="R868" s="136">
        <v>48</v>
      </c>
      <c r="S868" s="130" t="s">
        <v>70</v>
      </c>
      <c r="T868" s="136" t="s">
        <v>52</v>
      </c>
      <c r="U868" s="136" t="s">
        <v>53</v>
      </c>
      <c r="V868" s="136">
        <v>1250</v>
      </c>
      <c r="W868" s="133">
        <f t="shared" si="39"/>
        <v>60000</v>
      </c>
      <c r="X868" s="136">
        <v>0</v>
      </c>
      <c r="Y868" s="136"/>
      <c r="Z868" s="136">
        <v>0</v>
      </c>
      <c r="AA868" s="136"/>
      <c r="AB868" s="131"/>
      <c r="AC868" s="134"/>
      <c r="AD868" s="135">
        <v>66.2</v>
      </c>
      <c r="AE868" s="136">
        <f t="shared" si="41"/>
        <v>3972000</v>
      </c>
      <c r="AF868" s="137"/>
      <c r="AG868" s="138"/>
      <c r="AH868" s="136" t="s">
        <v>6982</v>
      </c>
      <c r="AI868" s="136">
        <v>60000</v>
      </c>
      <c r="AJ868" s="132">
        <v>42384</v>
      </c>
      <c r="AK868" s="136" t="s">
        <v>6983</v>
      </c>
      <c r="AL868" s="132">
        <v>42384</v>
      </c>
      <c r="AM868" s="131" t="s">
        <v>49</v>
      </c>
      <c r="AN868" s="133" t="s">
        <v>4440</v>
      </c>
    </row>
    <row r="869" spans="1:40" s="129" customFormat="1" x14ac:dyDescent="0.25">
      <c r="A869" s="136">
        <v>868</v>
      </c>
      <c r="B869" s="130" t="s">
        <v>4428</v>
      </c>
      <c r="C869" s="130" t="s">
        <v>38</v>
      </c>
      <c r="D869" s="136">
        <v>9103650830</v>
      </c>
      <c r="E869" s="132">
        <v>42364</v>
      </c>
      <c r="F869" s="132" t="s">
        <v>6640</v>
      </c>
      <c r="G869" s="132" t="s">
        <v>932</v>
      </c>
      <c r="H869" s="130" t="s">
        <v>4456</v>
      </c>
      <c r="I869" s="132" t="s">
        <v>40</v>
      </c>
      <c r="J869" s="131" t="s">
        <v>4432</v>
      </c>
      <c r="K869" s="132" t="s">
        <v>4433</v>
      </c>
      <c r="L869" s="136">
        <v>4884938</v>
      </c>
      <c r="M869" s="132">
        <v>42361</v>
      </c>
      <c r="N869" s="136" t="s">
        <v>4527</v>
      </c>
      <c r="O869" s="130" t="s">
        <v>4436</v>
      </c>
      <c r="P869" s="136" t="s">
        <v>59</v>
      </c>
      <c r="Q869" s="130">
        <v>38237090</v>
      </c>
      <c r="R869" s="136">
        <v>36.96</v>
      </c>
      <c r="S869" s="130" t="s">
        <v>70</v>
      </c>
      <c r="T869" s="136" t="s">
        <v>44</v>
      </c>
      <c r="U869" s="136" t="s">
        <v>4528</v>
      </c>
      <c r="V869" s="136">
        <v>845</v>
      </c>
      <c r="W869" s="133">
        <f t="shared" si="39"/>
        <v>31231.200000000001</v>
      </c>
      <c r="X869" s="136">
        <v>10.31</v>
      </c>
      <c r="Y869" s="136">
        <v>898.35</v>
      </c>
      <c r="Z869" s="136">
        <v>0</v>
      </c>
      <c r="AA869" s="136">
        <v>0</v>
      </c>
      <c r="AB869" s="131"/>
      <c r="AC869" s="134">
        <f t="shared" si="40"/>
        <v>30524.539971949514</v>
      </c>
      <c r="AD869" s="135">
        <v>71.3</v>
      </c>
      <c r="AE869" s="136">
        <f t="shared" si="41"/>
        <v>2226784.56</v>
      </c>
      <c r="AF869" s="130">
        <v>2176399.7000000002</v>
      </c>
      <c r="AG869" s="138">
        <v>71.3</v>
      </c>
      <c r="AH869" s="136" t="s">
        <v>6984</v>
      </c>
      <c r="AI869" s="136">
        <v>31231.200000000001</v>
      </c>
      <c r="AJ869" s="132">
        <v>42429</v>
      </c>
      <c r="AK869" s="136" t="s">
        <v>6985</v>
      </c>
      <c r="AL869" s="132">
        <v>42429</v>
      </c>
      <c r="AM869" s="131" t="s">
        <v>49</v>
      </c>
      <c r="AN869" s="133" t="s">
        <v>4440</v>
      </c>
    </row>
    <row r="870" spans="1:40" s="129" customFormat="1" x14ac:dyDescent="0.25">
      <c r="A870" s="130">
        <v>869</v>
      </c>
      <c r="B870" s="130" t="s">
        <v>4428</v>
      </c>
      <c r="C870" s="130" t="s">
        <v>38</v>
      </c>
      <c r="D870" s="136">
        <v>9103650831</v>
      </c>
      <c r="E870" s="132">
        <v>42366</v>
      </c>
      <c r="F870" s="132" t="s">
        <v>6640</v>
      </c>
      <c r="G870" s="132" t="s">
        <v>923</v>
      </c>
      <c r="H870" s="130" t="s">
        <v>4491</v>
      </c>
      <c r="I870" s="132" t="s">
        <v>40</v>
      </c>
      <c r="J870" s="131" t="s">
        <v>4432</v>
      </c>
      <c r="K870" s="132" t="s">
        <v>4433</v>
      </c>
      <c r="L870" s="136">
        <v>4884946</v>
      </c>
      <c r="M870" s="132">
        <v>42361</v>
      </c>
      <c r="N870" s="136" t="s">
        <v>3741</v>
      </c>
      <c r="O870" s="130" t="s">
        <v>4436</v>
      </c>
      <c r="P870" s="136" t="s">
        <v>4492</v>
      </c>
      <c r="Q870" s="130">
        <v>38237090</v>
      </c>
      <c r="R870" s="136">
        <v>18.27</v>
      </c>
      <c r="S870" s="130" t="s">
        <v>70</v>
      </c>
      <c r="T870" s="136" t="s">
        <v>44</v>
      </c>
      <c r="U870" s="136" t="s">
        <v>53</v>
      </c>
      <c r="V870" s="136">
        <v>1275</v>
      </c>
      <c r="W870" s="133">
        <f t="shared" si="39"/>
        <v>23294.25</v>
      </c>
      <c r="X870" s="136">
        <v>7.69</v>
      </c>
      <c r="Y870" s="136">
        <v>2000</v>
      </c>
      <c r="Z870" s="136">
        <v>0</v>
      </c>
      <c r="AA870" s="136">
        <v>0</v>
      </c>
      <c r="AB870" s="131"/>
      <c r="AC870" s="134">
        <f t="shared" si="40"/>
        <v>21286.559969788519</v>
      </c>
      <c r="AD870" s="135">
        <v>66.2</v>
      </c>
      <c r="AE870" s="136">
        <f t="shared" si="41"/>
        <v>1542079.35</v>
      </c>
      <c r="AF870" s="137">
        <v>1409170.27</v>
      </c>
      <c r="AG870" s="138">
        <v>66.2</v>
      </c>
      <c r="AH870" s="136" t="s">
        <v>6986</v>
      </c>
      <c r="AI870" s="136">
        <v>23294.25</v>
      </c>
      <c r="AJ870" s="132">
        <v>42384</v>
      </c>
      <c r="AK870" s="136" t="s">
        <v>6987</v>
      </c>
      <c r="AL870" s="132">
        <v>42385</v>
      </c>
      <c r="AM870" s="131" t="s">
        <v>49</v>
      </c>
      <c r="AN870" s="133" t="s">
        <v>4440</v>
      </c>
    </row>
    <row r="871" spans="1:40" s="129" customFormat="1" x14ac:dyDescent="0.25">
      <c r="A871" s="136">
        <v>870</v>
      </c>
      <c r="B871" s="130" t="s">
        <v>4428</v>
      </c>
      <c r="C871" s="130" t="s">
        <v>38</v>
      </c>
      <c r="D871" s="136">
        <v>9103650832</v>
      </c>
      <c r="E871" s="132">
        <v>42366</v>
      </c>
      <c r="F871" s="132" t="s">
        <v>6640</v>
      </c>
      <c r="G871" s="132" t="s">
        <v>941</v>
      </c>
      <c r="H871" s="130" t="s">
        <v>4491</v>
      </c>
      <c r="I871" s="132" t="s">
        <v>40</v>
      </c>
      <c r="J871" s="131" t="s">
        <v>4432</v>
      </c>
      <c r="K871" s="132" t="s">
        <v>4433</v>
      </c>
      <c r="L871" s="136">
        <v>4892125</v>
      </c>
      <c r="M871" s="132">
        <v>42361</v>
      </c>
      <c r="N871" s="136" t="s">
        <v>3741</v>
      </c>
      <c r="O871" s="130" t="s">
        <v>4436</v>
      </c>
      <c r="P871" s="136" t="s">
        <v>4492</v>
      </c>
      <c r="Q871" s="130">
        <v>29051700</v>
      </c>
      <c r="R871" s="136">
        <v>19.84</v>
      </c>
      <c r="S871" s="130" t="s">
        <v>70</v>
      </c>
      <c r="T871" s="136" t="s">
        <v>44</v>
      </c>
      <c r="U871" s="136" t="s">
        <v>53</v>
      </c>
      <c r="V871" s="136">
        <v>1502</v>
      </c>
      <c r="W871" s="133">
        <f t="shared" si="39"/>
        <v>29799.68</v>
      </c>
      <c r="X871" s="136">
        <v>9.83</v>
      </c>
      <c r="Y871" s="136">
        <v>2350</v>
      </c>
      <c r="Z871" s="136">
        <v>0</v>
      </c>
      <c r="AA871" s="136">
        <v>0</v>
      </c>
      <c r="AB871" s="131"/>
      <c r="AC871" s="134">
        <f t="shared" si="40"/>
        <v>27439.85</v>
      </c>
      <c r="AD871" s="135">
        <v>66.2</v>
      </c>
      <c r="AE871" s="136">
        <f t="shared" si="41"/>
        <v>1972738.8160000001</v>
      </c>
      <c r="AF871" s="137">
        <v>1816518.07</v>
      </c>
      <c r="AG871" s="138">
        <v>66.2</v>
      </c>
      <c r="AH871" s="136" t="s">
        <v>6988</v>
      </c>
      <c r="AI871" s="136">
        <v>29799.68</v>
      </c>
      <c r="AJ871" s="132">
        <v>42384</v>
      </c>
      <c r="AK871" s="136" t="s">
        <v>6989</v>
      </c>
      <c r="AL871" s="132">
        <v>42385</v>
      </c>
      <c r="AM871" s="131" t="s">
        <v>49</v>
      </c>
      <c r="AN871" s="133" t="s">
        <v>4440</v>
      </c>
    </row>
    <row r="872" spans="1:40" s="129" customFormat="1" x14ac:dyDescent="0.25">
      <c r="A872" s="130">
        <v>871</v>
      </c>
      <c r="B872" s="130" t="s">
        <v>4428</v>
      </c>
      <c r="C872" s="130" t="s">
        <v>38</v>
      </c>
      <c r="D872" s="136">
        <v>9103650833</v>
      </c>
      <c r="E872" s="132">
        <v>42365</v>
      </c>
      <c r="F872" s="132" t="s">
        <v>6640</v>
      </c>
      <c r="G872" s="132" t="s">
        <v>921</v>
      </c>
      <c r="H872" s="130" t="s">
        <v>4456</v>
      </c>
      <c r="I872" s="132" t="s">
        <v>40</v>
      </c>
      <c r="J872" s="131" t="s">
        <v>4432</v>
      </c>
      <c r="K872" s="132" t="s">
        <v>4433</v>
      </c>
      <c r="L872" s="136">
        <v>4892605</v>
      </c>
      <c r="M872" s="132">
        <v>42361</v>
      </c>
      <c r="N872" s="136" t="s">
        <v>4527</v>
      </c>
      <c r="O872" s="130" t="s">
        <v>4436</v>
      </c>
      <c r="P872" s="136" t="s">
        <v>59</v>
      </c>
      <c r="Q872" s="130">
        <v>38237090</v>
      </c>
      <c r="R872" s="136">
        <v>205.49</v>
      </c>
      <c r="S872" s="130" t="s">
        <v>70</v>
      </c>
      <c r="T872" s="136" t="s">
        <v>44</v>
      </c>
      <c r="U872" s="136" t="s">
        <v>4528</v>
      </c>
      <c r="V872" s="136">
        <v>845</v>
      </c>
      <c r="W872" s="133">
        <f t="shared" si="39"/>
        <v>173639.05000000002</v>
      </c>
      <c r="X872" s="136">
        <v>57.3</v>
      </c>
      <c r="Y872" s="136">
        <v>3829.94</v>
      </c>
      <c r="Z872" s="136">
        <v>0</v>
      </c>
      <c r="AA872" s="136">
        <v>0</v>
      </c>
      <c r="AB872" s="131"/>
      <c r="AC872" s="134">
        <f t="shared" si="40"/>
        <v>169751.81009817673</v>
      </c>
      <c r="AD872" s="135">
        <v>71.3</v>
      </c>
      <c r="AE872" s="136">
        <f t="shared" si="41"/>
        <v>12380464.265000001</v>
      </c>
      <c r="AF872" s="130">
        <v>12103304.060000001</v>
      </c>
      <c r="AG872" s="138">
        <v>71.3</v>
      </c>
      <c r="AH872" s="136" t="s">
        <v>6990</v>
      </c>
      <c r="AI872" s="136">
        <v>173639.05</v>
      </c>
      <c r="AJ872" s="132">
        <v>42429</v>
      </c>
      <c r="AK872" s="136" t="s">
        <v>6991</v>
      </c>
      <c r="AL872" s="132">
        <v>42429</v>
      </c>
      <c r="AM872" s="131" t="s">
        <v>49</v>
      </c>
      <c r="AN872" s="133" t="s">
        <v>4440</v>
      </c>
    </row>
    <row r="873" spans="1:40" s="129" customFormat="1" x14ac:dyDescent="0.25">
      <c r="A873" s="136">
        <v>872</v>
      </c>
      <c r="B873" s="130" t="s">
        <v>4428</v>
      </c>
      <c r="C873" s="130" t="s">
        <v>38</v>
      </c>
      <c r="D873" s="136" t="s">
        <v>6992</v>
      </c>
      <c r="E873" s="132">
        <v>42366</v>
      </c>
      <c r="F873" s="132" t="s">
        <v>6640</v>
      </c>
      <c r="G873" s="132" t="s">
        <v>6993</v>
      </c>
      <c r="H873" s="130" t="s">
        <v>4491</v>
      </c>
      <c r="I873" s="132" t="s">
        <v>40</v>
      </c>
      <c r="J873" s="131" t="s">
        <v>4432</v>
      </c>
      <c r="K873" s="132" t="s">
        <v>4433</v>
      </c>
      <c r="L873" s="136">
        <v>4891757</v>
      </c>
      <c r="M873" s="132">
        <v>42361</v>
      </c>
      <c r="N873" s="136" t="s">
        <v>3741</v>
      </c>
      <c r="O873" s="130" t="s">
        <v>4436</v>
      </c>
      <c r="P873" s="136" t="s">
        <v>4492</v>
      </c>
      <c r="Q873" s="130">
        <v>29051700</v>
      </c>
      <c r="R873" s="136">
        <v>19.844000000000001</v>
      </c>
      <c r="S873" s="130" t="s">
        <v>70</v>
      </c>
      <c r="T873" s="136" t="s">
        <v>44</v>
      </c>
      <c r="U873" s="136" t="s">
        <v>53</v>
      </c>
      <c r="V873" s="136">
        <v>1502</v>
      </c>
      <c r="W873" s="133">
        <f t="shared" si="39"/>
        <v>29805.688000000002</v>
      </c>
      <c r="X873" s="136">
        <v>9.84</v>
      </c>
      <c r="Y873" s="136">
        <v>2350</v>
      </c>
      <c r="Z873" s="136">
        <v>0</v>
      </c>
      <c r="AA873" s="136">
        <v>0</v>
      </c>
      <c r="AB873" s="131">
        <v>42363</v>
      </c>
      <c r="AC873" s="134">
        <f t="shared" si="40"/>
        <v>27445.85</v>
      </c>
      <c r="AD873" s="135">
        <v>66.2</v>
      </c>
      <c r="AE873" s="136">
        <f t="shared" si="41"/>
        <v>1973136.5456000003</v>
      </c>
      <c r="AF873" s="137">
        <v>1816915.27</v>
      </c>
      <c r="AG873" s="138">
        <v>66.2</v>
      </c>
      <c r="AH873" s="136" t="s">
        <v>6994</v>
      </c>
      <c r="AI873" s="136">
        <v>29805.69</v>
      </c>
      <c r="AJ873" s="132">
        <v>42384</v>
      </c>
      <c r="AK873" s="136" t="s">
        <v>6995</v>
      </c>
      <c r="AL873" s="132">
        <v>42385</v>
      </c>
      <c r="AM873" s="131" t="s">
        <v>49</v>
      </c>
      <c r="AN873" s="136" t="s">
        <v>4440</v>
      </c>
    </row>
    <row r="874" spans="1:40" s="129" customFormat="1" x14ac:dyDescent="0.25">
      <c r="A874" s="130">
        <v>873</v>
      </c>
      <c r="B874" s="130" t="s">
        <v>4428</v>
      </c>
      <c r="C874" s="130" t="s">
        <v>38</v>
      </c>
      <c r="D874" s="136" t="s">
        <v>6996</v>
      </c>
      <c r="E874" s="132">
        <v>42366</v>
      </c>
      <c r="F874" s="132" t="s">
        <v>6640</v>
      </c>
      <c r="G874" s="132" t="s">
        <v>6997</v>
      </c>
      <c r="H874" s="130" t="s">
        <v>4491</v>
      </c>
      <c r="I874" s="132" t="s">
        <v>40</v>
      </c>
      <c r="J874" s="131" t="s">
        <v>4432</v>
      </c>
      <c r="K874" s="132" t="s">
        <v>4433</v>
      </c>
      <c r="L874" s="136">
        <v>4901442</v>
      </c>
      <c r="M874" s="132">
        <v>42362</v>
      </c>
      <c r="N874" s="136" t="s">
        <v>3741</v>
      </c>
      <c r="O874" s="130" t="s">
        <v>4436</v>
      </c>
      <c r="P874" s="136" t="s">
        <v>4492</v>
      </c>
      <c r="Q874" s="130">
        <v>29051700</v>
      </c>
      <c r="R874" s="136">
        <v>19.84</v>
      </c>
      <c r="S874" s="130" t="s">
        <v>70</v>
      </c>
      <c r="T874" s="136" t="s">
        <v>44</v>
      </c>
      <c r="U874" s="136" t="s">
        <v>53</v>
      </c>
      <c r="V874" s="136">
        <v>1502</v>
      </c>
      <c r="W874" s="133">
        <f t="shared" si="39"/>
        <v>29799.68</v>
      </c>
      <c r="X874" s="136">
        <v>9.84</v>
      </c>
      <c r="Y874" s="136">
        <v>2350</v>
      </c>
      <c r="Z874" s="136">
        <v>0</v>
      </c>
      <c r="AA874" s="136">
        <v>0</v>
      </c>
      <c r="AB874" s="131">
        <v>42364</v>
      </c>
      <c r="AC874" s="134">
        <f t="shared" si="40"/>
        <v>27445.85</v>
      </c>
      <c r="AD874" s="135">
        <v>66.2</v>
      </c>
      <c r="AE874" s="136">
        <f t="shared" si="41"/>
        <v>1972738.8160000001</v>
      </c>
      <c r="AF874" s="137">
        <v>1816915.27</v>
      </c>
      <c r="AG874" s="138">
        <v>66.2</v>
      </c>
      <c r="AH874" s="136" t="s">
        <v>6994</v>
      </c>
      <c r="AI874" s="136">
        <v>29805.69</v>
      </c>
      <c r="AJ874" s="132">
        <v>42384</v>
      </c>
      <c r="AK874" s="136" t="s">
        <v>6998</v>
      </c>
      <c r="AL874" s="132">
        <v>42385</v>
      </c>
      <c r="AM874" s="131" t="s">
        <v>49</v>
      </c>
      <c r="AN874" s="136" t="s">
        <v>4440</v>
      </c>
    </row>
    <row r="875" spans="1:40" s="129" customFormat="1" x14ac:dyDescent="0.25">
      <c r="A875" s="136">
        <v>874</v>
      </c>
      <c r="B875" s="130" t="s">
        <v>4428</v>
      </c>
      <c r="C875" s="130" t="s">
        <v>38</v>
      </c>
      <c r="D875" s="136" t="s">
        <v>6981</v>
      </c>
      <c r="E875" s="132">
        <v>42365</v>
      </c>
      <c r="F875" s="132" t="s">
        <v>6640</v>
      </c>
      <c r="G875" s="132" t="s">
        <v>937</v>
      </c>
      <c r="H875" s="130" t="s">
        <v>4463</v>
      </c>
      <c r="I875" s="132" t="s">
        <v>40</v>
      </c>
      <c r="J875" s="131" t="s">
        <v>4432</v>
      </c>
      <c r="K875" s="132" t="s">
        <v>4433</v>
      </c>
      <c r="L875" s="136">
        <v>4902721</v>
      </c>
      <c r="M875" s="132">
        <v>42362</v>
      </c>
      <c r="N875" s="136" t="s">
        <v>5337</v>
      </c>
      <c r="O875" s="130" t="s">
        <v>4436</v>
      </c>
      <c r="P875" s="130" t="s">
        <v>143</v>
      </c>
      <c r="Q875" s="130">
        <v>38237090</v>
      </c>
      <c r="R875" s="136">
        <v>60</v>
      </c>
      <c r="S875" s="130" t="s">
        <v>70</v>
      </c>
      <c r="T875" s="136" t="s">
        <v>52</v>
      </c>
      <c r="U875" s="136" t="s">
        <v>53</v>
      </c>
      <c r="V875" s="136">
        <v>1250</v>
      </c>
      <c r="W875" s="133">
        <f t="shared" si="39"/>
        <v>75000</v>
      </c>
      <c r="X875" s="136">
        <v>0</v>
      </c>
      <c r="Y875" s="136">
        <v>2315</v>
      </c>
      <c r="Z875" s="136">
        <v>0</v>
      </c>
      <c r="AA875" s="136">
        <v>900</v>
      </c>
      <c r="AB875" s="131">
        <v>42363</v>
      </c>
      <c r="AC875" s="134">
        <f t="shared" si="40"/>
        <v>72685</v>
      </c>
      <c r="AD875" s="135">
        <v>66.2</v>
      </c>
      <c r="AE875" s="136">
        <f t="shared" si="41"/>
        <v>4965000</v>
      </c>
      <c r="AF875" s="137">
        <v>4811747</v>
      </c>
      <c r="AG875" s="138">
        <v>66.2</v>
      </c>
      <c r="AH875" s="136" t="s">
        <v>6982</v>
      </c>
      <c r="AI875" s="136">
        <v>74988</v>
      </c>
      <c r="AJ875" s="132">
        <v>42384</v>
      </c>
      <c r="AK875" s="136" t="s">
        <v>6999</v>
      </c>
      <c r="AL875" s="132">
        <v>42384</v>
      </c>
      <c r="AM875" s="131" t="s">
        <v>49</v>
      </c>
      <c r="AN875" s="136" t="s">
        <v>4440</v>
      </c>
    </row>
    <row r="876" spans="1:40" s="129" customFormat="1" x14ac:dyDescent="0.25">
      <c r="A876" s="130">
        <v>875</v>
      </c>
      <c r="B876" s="130" t="s">
        <v>4428</v>
      </c>
      <c r="C876" s="130" t="s">
        <v>38</v>
      </c>
      <c r="D876" s="136" t="s">
        <v>7000</v>
      </c>
      <c r="E876" s="132">
        <v>42366</v>
      </c>
      <c r="F876" s="132" t="s">
        <v>6640</v>
      </c>
      <c r="G876" s="132" t="s">
        <v>7001</v>
      </c>
      <c r="H876" s="130" t="s">
        <v>4431</v>
      </c>
      <c r="I876" s="132" t="s">
        <v>40</v>
      </c>
      <c r="J876" s="131" t="s">
        <v>4432</v>
      </c>
      <c r="K876" s="132" t="s">
        <v>4433</v>
      </c>
      <c r="L876" s="136">
        <v>4907085</v>
      </c>
      <c r="M876" s="132">
        <v>42362</v>
      </c>
      <c r="N876" s="136" t="s">
        <v>5963</v>
      </c>
      <c r="O876" s="130" t="s">
        <v>4436</v>
      </c>
      <c r="P876" s="136" t="s">
        <v>4465</v>
      </c>
      <c r="Q876" s="130">
        <v>38231200</v>
      </c>
      <c r="R876" s="136">
        <v>38.909999999999997</v>
      </c>
      <c r="S876" s="130" t="s">
        <v>70</v>
      </c>
      <c r="T876" s="136" t="s">
        <v>44</v>
      </c>
      <c r="U876" s="136" t="s">
        <v>53</v>
      </c>
      <c r="V876" s="136">
        <v>695</v>
      </c>
      <c r="W876" s="133">
        <f t="shared" si="39"/>
        <v>27042.449999999997</v>
      </c>
      <c r="X876" s="136">
        <v>8.92</v>
      </c>
      <c r="Y876" s="136">
        <v>900</v>
      </c>
      <c r="Z876" s="136">
        <v>0</v>
      </c>
      <c r="AA876" s="136">
        <v>311.27999999999997</v>
      </c>
      <c r="AB876" s="131">
        <v>42363</v>
      </c>
      <c r="AC876" s="134">
        <f t="shared" si="40"/>
        <v>26133.53006042296</v>
      </c>
      <c r="AD876" s="135">
        <v>66.2</v>
      </c>
      <c r="AE876" s="136">
        <f t="shared" si="41"/>
        <v>1790210.19</v>
      </c>
      <c r="AF876" s="137">
        <v>1730039.69</v>
      </c>
      <c r="AG876" s="138">
        <v>66.2</v>
      </c>
      <c r="AH876" s="136" t="s">
        <v>7002</v>
      </c>
      <c r="AI876" s="136">
        <v>26692.45</v>
      </c>
      <c r="AJ876" s="132">
        <v>42482</v>
      </c>
      <c r="AK876" s="136" t="s">
        <v>7003</v>
      </c>
      <c r="AL876" s="132">
        <v>42485</v>
      </c>
      <c r="AM876" s="131" t="s">
        <v>49</v>
      </c>
      <c r="AN876" s="136" t="s">
        <v>4440</v>
      </c>
    </row>
    <row r="877" spans="1:40" s="129" customFormat="1" x14ac:dyDescent="0.25">
      <c r="A877" s="136">
        <v>876</v>
      </c>
      <c r="B877" s="130" t="s">
        <v>4428</v>
      </c>
      <c r="C877" s="130" t="s">
        <v>38</v>
      </c>
      <c r="D877" s="136" t="s">
        <v>7004</v>
      </c>
      <c r="E877" s="132">
        <v>42368</v>
      </c>
      <c r="F877" s="132" t="s">
        <v>6640</v>
      </c>
      <c r="G877" s="132" t="s">
        <v>7005</v>
      </c>
      <c r="H877" s="130" t="s">
        <v>4456</v>
      </c>
      <c r="I877" s="132" t="s">
        <v>40</v>
      </c>
      <c r="J877" s="131" t="s">
        <v>4432</v>
      </c>
      <c r="K877" s="132" t="s">
        <v>4433</v>
      </c>
      <c r="L877" s="136">
        <v>4901453</v>
      </c>
      <c r="M877" s="132">
        <v>42362</v>
      </c>
      <c r="N877" s="136" t="s">
        <v>5106</v>
      </c>
      <c r="O877" s="130" t="s">
        <v>4436</v>
      </c>
      <c r="P877" s="136" t="s">
        <v>127</v>
      </c>
      <c r="Q877" s="130">
        <v>38237090</v>
      </c>
      <c r="R877" s="136">
        <v>8</v>
      </c>
      <c r="S877" s="130" t="s">
        <v>70</v>
      </c>
      <c r="T877" s="136" t="s">
        <v>44</v>
      </c>
      <c r="U877" s="136" t="s">
        <v>53</v>
      </c>
      <c r="V877" s="136">
        <v>3731</v>
      </c>
      <c r="W877" s="133">
        <f t="shared" si="39"/>
        <v>29848</v>
      </c>
      <c r="X877" s="136">
        <v>9.85</v>
      </c>
      <c r="Y877" s="136">
        <v>50</v>
      </c>
      <c r="Z877" s="136">
        <v>0</v>
      </c>
      <c r="AA877" s="136">
        <v>0</v>
      </c>
      <c r="AB877" s="131">
        <v>42364</v>
      </c>
      <c r="AC877" s="134">
        <f t="shared" si="40"/>
        <v>29788.149999999998</v>
      </c>
      <c r="AD877" s="135">
        <v>66.2</v>
      </c>
      <c r="AE877" s="136">
        <f t="shared" si="41"/>
        <v>1975937.6</v>
      </c>
      <c r="AF877" s="137">
        <v>1971975.53</v>
      </c>
      <c r="AG877" s="138">
        <v>66.2</v>
      </c>
      <c r="AH877" s="136" t="s">
        <v>7006</v>
      </c>
      <c r="AI877" s="136">
        <v>29801</v>
      </c>
      <c r="AJ877" s="132">
        <v>42429</v>
      </c>
      <c r="AK877" s="136" t="s">
        <v>7007</v>
      </c>
      <c r="AL877" s="132">
        <v>42430</v>
      </c>
      <c r="AM877" s="131" t="s">
        <v>49</v>
      </c>
      <c r="AN877" s="136" t="s">
        <v>4440</v>
      </c>
    </row>
    <row r="878" spans="1:40" s="129" customFormat="1" x14ac:dyDescent="0.25">
      <c r="A878" s="130">
        <v>877</v>
      </c>
      <c r="B878" s="130" t="s">
        <v>4428</v>
      </c>
      <c r="C878" s="130" t="s">
        <v>38</v>
      </c>
      <c r="D878" s="136">
        <v>9103650839</v>
      </c>
      <c r="E878" s="132">
        <v>42366</v>
      </c>
      <c r="F878" s="132" t="s">
        <v>6640</v>
      </c>
      <c r="G878" s="132" t="s">
        <v>7008</v>
      </c>
      <c r="H878" s="130" t="s">
        <v>5373</v>
      </c>
      <c r="I878" s="132" t="s">
        <v>40</v>
      </c>
      <c r="J878" s="131" t="s">
        <v>4432</v>
      </c>
      <c r="K878" s="132" t="s">
        <v>4433</v>
      </c>
      <c r="L878" s="136">
        <v>4902697</v>
      </c>
      <c r="M878" s="132">
        <v>42362</v>
      </c>
      <c r="N878" s="136" t="s">
        <v>7009</v>
      </c>
      <c r="O878" s="130" t="s">
        <v>4436</v>
      </c>
      <c r="P878" s="136" t="s">
        <v>329</v>
      </c>
      <c r="Q878" s="130" t="s">
        <v>7010</v>
      </c>
      <c r="R878" s="136">
        <v>14.99</v>
      </c>
      <c r="S878" s="130" t="s">
        <v>70</v>
      </c>
      <c r="T878" s="136" t="s">
        <v>52</v>
      </c>
      <c r="U878" s="136" t="s">
        <v>53</v>
      </c>
      <c r="V878" s="136">
        <v>0</v>
      </c>
      <c r="W878" s="133">
        <f>(5.76*4290+5315*2.88+6.35*1400)</f>
        <v>48907.6</v>
      </c>
      <c r="X878" s="136">
        <v>0</v>
      </c>
      <c r="Y878" s="136">
        <v>600</v>
      </c>
      <c r="Z878" s="136">
        <v>0</v>
      </c>
      <c r="AA878" s="136">
        <v>0</v>
      </c>
      <c r="AB878" s="131">
        <v>42364</v>
      </c>
      <c r="AC878" s="134">
        <f t="shared" si="40"/>
        <v>48307.6</v>
      </c>
      <c r="AD878" s="135">
        <v>66.2</v>
      </c>
      <c r="AE878" s="136">
        <f t="shared" si="41"/>
        <v>3237683.12</v>
      </c>
      <c r="AF878" s="137">
        <v>3197963.12</v>
      </c>
      <c r="AG878" s="138">
        <v>66.2</v>
      </c>
      <c r="AH878" s="136" t="s">
        <v>7011</v>
      </c>
      <c r="AI878" s="136">
        <v>48892.6</v>
      </c>
      <c r="AJ878" s="132">
        <v>42429</v>
      </c>
      <c r="AK878" s="136" t="s">
        <v>7012</v>
      </c>
      <c r="AL878" s="132">
        <v>42430</v>
      </c>
      <c r="AM878" s="131" t="s">
        <v>49</v>
      </c>
      <c r="AN878" s="136" t="s">
        <v>4440</v>
      </c>
    </row>
    <row r="879" spans="1:40" s="129" customFormat="1" x14ac:dyDescent="0.25">
      <c r="A879" s="136">
        <v>878</v>
      </c>
      <c r="B879" s="130" t="s">
        <v>4428</v>
      </c>
      <c r="C879" s="130" t="s">
        <v>38</v>
      </c>
      <c r="D879" s="136">
        <v>9103650840</v>
      </c>
      <c r="E879" s="132">
        <v>42368</v>
      </c>
      <c r="F879" s="132" t="s">
        <v>6640</v>
      </c>
      <c r="G879" s="132" t="s">
        <v>939</v>
      </c>
      <c r="H879" s="130" t="s">
        <v>7013</v>
      </c>
      <c r="I879" s="132" t="s">
        <v>40</v>
      </c>
      <c r="J879" s="131" t="s">
        <v>4432</v>
      </c>
      <c r="K879" s="132" t="s">
        <v>4433</v>
      </c>
      <c r="L879" s="136">
        <v>4927371</v>
      </c>
      <c r="M879" s="132">
        <v>42364</v>
      </c>
      <c r="N879" s="136" t="s">
        <v>4670</v>
      </c>
      <c r="O879" s="130" t="s">
        <v>4436</v>
      </c>
      <c r="P879" s="136" t="s">
        <v>243</v>
      </c>
      <c r="Q879" s="130">
        <v>38237090</v>
      </c>
      <c r="R879" s="136">
        <v>52</v>
      </c>
      <c r="S879" s="130" t="s">
        <v>70</v>
      </c>
      <c r="T879" s="136" t="s">
        <v>52</v>
      </c>
      <c r="U879" s="136" t="s">
        <v>53</v>
      </c>
      <c r="V879" s="136">
        <v>1250</v>
      </c>
      <c r="W879" s="133">
        <f t="shared" si="39"/>
        <v>65000</v>
      </c>
      <c r="X879" s="136">
        <v>0</v>
      </c>
      <c r="Y879" s="136">
        <v>900</v>
      </c>
      <c r="Z879" s="136">
        <v>0</v>
      </c>
      <c r="AA879" s="136">
        <v>0</v>
      </c>
      <c r="AB879" s="131"/>
      <c r="AC879" s="134">
        <f t="shared" si="40"/>
        <v>64100</v>
      </c>
      <c r="AD879" s="135">
        <v>66.2</v>
      </c>
      <c r="AE879" s="136">
        <f t="shared" si="41"/>
        <v>4303000</v>
      </c>
      <c r="AF879" s="130">
        <v>4243420</v>
      </c>
      <c r="AG879" s="138">
        <v>66.2</v>
      </c>
      <c r="AH879" s="136" t="s">
        <v>7014</v>
      </c>
      <c r="AI879" s="136">
        <v>45485</v>
      </c>
      <c r="AJ879" s="132">
        <v>42411</v>
      </c>
      <c r="AK879" s="136" t="s">
        <v>7015</v>
      </c>
      <c r="AL879" s="132">
        <v>42412</v>
      </c>
      <c r="AM879" s="131" t="s">
        <v>7016</v>
      </c>
      <c r="AN879" s="133" t="s">
        <v>6631</v>
      </c>
    </row>
    <row r="880" spans="1:40" s="129" customFormat="1" x14ac:dyDescent="0.25">
      <c r="A880" s="130">
        <v>879</v>
      </c>
      <c r="B880" s="130" t="s">
        <v>4428</v>
      </c>
      <c r="C880" s="130" t="s">
        <v>38</v>
      </c>
      <c r="D880" s="136">
        <v>9116650012</v>
      </c>
      <c r="E880" s="132">
        <v>42362</v>
      </c>
      <c r="F880" s="132" t="s">
        <v>6640</v>
      </c>
      <c r="G880" s="132" t="s">
        <v>7017</v>
      </c>
      <c r="H880" s="130" t="s">
        <v>4456</v>
      </c>
      <c r="I880" s="132" t="s">
        <v>65</v>
      </c>
      <c r="J880" s="131" t="s">
        <v>5507</v>
      </c>
      <c r="K880" s="132" t="s">
        <v>4433</v>
      </c>
      <c r="L880" s="136">
        <v>4693826</v>
      </c>
      <c r="M880" s="132">
        <v>42352</v>
      </c>
      <c r="N880" s="136" t="s">
        <v>3741</v>
      </c>
      <c r="O880" s="130" t="s">
        <v>7018</v>
      </c>
      <c r="P880" s="136" t="s">
        <v>4492</v>
      </c>
      <c r="Q880" s="158">
        <v>34011190</v>
      </c>
      <c r="R880" s="136">
        <v>1440</v>
      </c>
      <c r="S880" s="130" t="s">
        <v>7019</v>
      </c>
      <c r="T880" s="136" t="s">
        <v>5788</v>
      </c>
      <c r="U880" s="136" t="s">
        <v>53</v>
      </c>
      <c r="V880" s="136">
        <v>20</v>
      </c>
      <c r="W880" s="133">
        <f t="shared" si="39"/>
        <v>28800</v>
      </c>
      <c r="X880" s="136">
        <v>9.5</v>
      </c>
      <c r="Y880" s="136">
        <v>4850</v>
      </c>
      <c r="Z880" s="136">
        <v>0</v>
      </c>
      <c r="AA880" s="136">
        <v>0</v>
      </c>
      <c r="AB880" s="131">
        <v>42355</v>
      </c>
      <c r="AC880" s="134"/>
      <c r="AD880" s="135"/>
      <c r="AE880" s="136"/>
      <c r="AF880" s="130">
        <v>1685433.13</v>
      </c>
      <c r="AG880" s="138">
        <v>66.2</v>
      </c>
      <c r="AH880" s="136" t="s">
        <v>7020</v>
      </c>
      <c r="AI880" s="136">
        <v>28765</v>
      </c>
      <c r="AJ880" s="132">
        <v>42544</v>
      </c>
      <c r="AK880" s="136" t="s">
        <v>7021</v>
      </c>
      <c r="AL880" s="132">
        <v>42457</v>
      </c>
      <c r="AM880" s="131" t="s">
        <v>49</v>
      </c>
      <c r="AN880" s="133" t="s">
        <v>4440</v>
      </c>
    </row>
    <row r="881" spans="1:40" s="129" customFormat="1" x14ac:dyDescent="0.25">
      <c r="A881" s="136">
        <v>880</v>
      </c>
      <c r="B881" s="130" t="s">
        <v>4428</v>
      </c>
      <c r="C881" s="130" t="s">
        <v>38</v>
      </c>
      <c r="D881" s="136">
        <v>9116650013</v>
      </c>
      <c r="E881" s="132">
        <v>42362</v>
      </c>
      <c r="F881" s="132" t="s">
        <v>6640</v>
      </c>
      <c r="G881" s="132" t="s">
        <v>7022</v>
      </c>
      <c r="H881" s="130" t="s">
        <v>4456</v>
      </c>
      <c r="I881" s="132" t="s">
        <v>65</v>
      </c>
      <c r="J881" s="131" t="s">
        <v>5507</v>
      </c>
      <c r="K881" s="132" t="s">
        <v>4433</v>
      </c>
      <c r="L881" s="136">
        <v>4740605</v>
      </c>
      <c r="M881" s="132">
        <v>42354</v>
      </c>
      <c r="N881" s="136" t="s">
        <v>3741</v>
      </c>
      <c r="O881" s="130" t="s">
        <v>7018</v>
      </c>
      <c r="P881" s="136" t="s">
        <v>4492</v>
      </c>
      <c r="Q881" s="158">
        <v>34011190</v>
      </c>
      <c r="R881" s="136">
        <v>1440</v>
      </c>
      <c r="S881" s="130" t="s">
        <v>7019</v>
      </c>
      <c r="T881" s="136" t="s">
        <v>5788</v>
      </c>
      <c r="U881" s="136" t="s">
        <v>53</v>
      </c>
      <c r="V881" s="136">
        <v>20</v>
      </c>
      <c r="W881" s="133">
        <f t="shared" si="39"/>
        <v>28800</v>
      </c>
      <c r="X881" s="136">
        <v>9.5</v>
      </c>
      <c r="Y881" s="136">
        <v>4850</v>
      </c>
      <c r="Z881" s="136">
        <v>0</v>
      </c>
      <c r="AA881" s="136">
        <v>0</v>
      </c>
      <c r="AB881" s="131">
        <v>42356</v>
      </c>
      <c r="AC881" s="134"/>
      <c r="AD881" s="135"/>
      <c r="AE881" s="136"/>
      <c r="AF881" s="130">
        <v>1685433.13</v>
      </c>
      <c r="AG881" s="138">
        <v>66.2</v>
      </c>
      <c r="AH881" s="136" t="s">
        <v>7023</v>
      </c>
      <c r="AI881" s="136">
        <v>28800</v>
      </c>
      <c r="AJ881" s="132">
        <v>42452</v>
      </c>
      <c r="AK881" s="136" t="s">
        <v>7024</v>
      </c>
      <c r="AL881" s="132">
        <v>42457</v>
      </c>
      <c r="AM881" s="131" t="s">
        <v>49</v>
      </c>
      <c r="AN881" s="133" t="s">
        <v>4440</v>
      </c>
    </row>
    <row r="882" spans="1:40" s="129" customFormat="1" x14ac:dyDescent="0.25">
      <c r="A882" s="130">
        <v>881</v>
      </c>
      <c r="B882" s="130" t="s">
        <v>4428</v>
      </c>
      <c r="C882" s="130" t="s">
        <v>38</v>
      </c>
      <c r="D882" s="136" t="s">
        <v>7025</v>
      </c>
      <c r="E882" s="132">
        <v>42373</v>
      </c>
      <c r="F882" s="132" t="s">
        <v>7026</v>
      </c>
      <c r="G882" s="132" t="s">
        <v>7027</v>
      </c>
      <c r="H882" s="130" t="s">
        <v>4463</v>
      </c>
      <c r="I882" s="132" t="s">
        <v>40</v>
      </c>
      <c r="J882" s="131" t="s">
        <v>4432</v>
      </c>
      <c r="K882" s="132" t="s">
        <v>4433</v>
      </c>
      <c r="L882" s="136">
        <v>4962543</v>
      </c>
      <c r="M882" s="132">
        <v>42366</v>
      </c>
      <c r="N882" s="136" t="s">
        <v>5337</v>
      </c>
      <c r="O882" s="130" t="s">
        <v>4436</v>
      </c>
      <c r="P882" s="136" t="s">
        <v>143</v>
      </c>
      <c r="Q882" s="130">
        <v>38237090</v>
      </c>
      <c r="R882" s="136">
        <v>156</v>
      </c>
      <c r="S882" s="130" t="s">
        <v>70</v>
      </c>
      <c r="T882" s="136" t="s">
        <v>6462</v>
      </c>
      <c r="U882" s="136" t="s">
        <v>53</v>
      </c>
      <c r="V882" s="136">
        <v>1325</v>
      </c>
      <c r="W882" s="133">
        <f t="shared" si="39"/>
        <v>206700</v>
      </c>
      <c r="X882" s="136">
        <v>0</v>
      </c>
      <c r="Y882" s="136">
        <v>6019</v>
      </c>
      <c r="Z882" s="136">
        <v>0</v>
      </c>
      <c r="AA882" s="136">
        <v>2340</v>
      </c>
      <c r="AB882" s="131">
        <v>42369</v>
      </c>
      <c r="AC882" s="134">
        <f t="shared" si="40"/>
        <v>200680.99999999997</v>
      </c>
      <c r="AD882" s="135">
        <v>66.2</v>
      </c>
      <c r="AE882" s="136">
        <f t="shared" si="41"/>
        <v>13683540</v>
      </c>
      <c r="AF882" s="137">
        <v>13285082.199999999</v>
      </c>
      <c r="AG882" s="138">
        <v>66.2</v>
      </c>
      <c r="AH882" s="136" t="s">
        <v>7028</v>
      </c>
      <c r="AI882" s="136">
        <v>206688</v>
      </c>
      <c r="AJ882" s="132">
        <v>42391</v>
      </c>
      <c r="AK882" s="136" t="s">
        <v>7029</v>
      </c>
      <c r="AL882" s="132">
        <v>42391</v>
      </c>
      <c r="AM882" s="131" t="s">
        <v>49</v>
      </c>
      <c r="AN882" s="136" t="s">
        <v>4440</v>
      </c>
    </row>
    <row r="883" spans="1:40" s="129" customFormat="1" x14ac:dyDescent="0.25">
      <c r="A883" s="136">
        <v>882</v>
      </c>
      <c r="B883" s="130" t="s">
        <v>4428</v>
      </c>
      <c r="C883" s="130" t="s">
        <v>38</v>
      </c>
      <c r="D883" s="136" t="s">
        <v>7030</v>
      </c>
      <c r="E883" s="132">
        <v>42373</v>
      </c>
      <c r="F883" s="132" t="s">
        <v>7026</v>
      </c>
      <c r="G883" s="132" t="s">
        <v>7031</v>
      </c>
      <c r="H883" s="130" t="s">
        <v>4463</v>
      </c>
      <c r="I883" s="132" t="s">
        <v>40</v>
      </c>
      <c r="J883" s="131" t="s">
        <v>4432</v>
      </c>
      <c r="K883" s="132" t="s">
        <v>4433</v>
      </c>
      <c r="L883" s="136">
        <v>4985605</v>
      </c>
      <c r="M883" s="132">
        <v>42367</v>
      </c>
      <c r="N883" s="136" t="s">
        <v>5337</v>
      </c>
      <c r="O883" s="130" t="s">
        <v>4436</v>
      </c>
      <c r="P883" s="136" t="s">
        <v>143</v>
      </c>
      <c r="Q883" s="130">
        <v>38237090</v>
      </c>
      <c r="R883" s="136">
        <v>24</v>
      </c>
      <c r="S883" s="130" t="s">
        <v>70</v>
      </c>
      <c r="T883" s="136" t="s">
        <v>6462</v>
      </c>
      <c r="U883" s="136" t="s">
        <v>53</v>
      </c>
      <c r="V883" s="136">
        <v>1325</v>
      </c>
      <c r="W883" s="133">
        <f t="shared" si="39"/>
        <v>31800</v>
      </c>
      <c r="X883" s="136">
        <v>0</v>
      </c>
      <c r="Y883" s="136">
        <v>926</v>
      </c>
      <c r="Z883" s="136">
        <v>0</v>
      </c>
      <c r="AA883" s="136">
        <v>360</v>
      </c>
      <c r="AB883" s="131">
        <v>42369</v>
      </c>
      <c r="AC883" s="134">
        <f t="shared" si="40"/>
        <v>30874</v>
      </c>
      <c r="AD883" s="135">
        <v>66.2</v>
      </c>
      <c r="AE883" s="136">
        <f t="shared" si="41"/>
        <v>2105160</v>
      </c>
      <c r="AF883" s="137">
        <v>2043858.8</v>
      </c>
      <c r="AG883" s="138">
        <v>66.2</v>
      </c>
      <c r="AH883" s="136" t="s">
        <v>7032</v>
      </c>
      <c r="AI883" s="136">
        <v>31788</v>
      </c>
      <c r="AJ883" s="132">
        <v>42387</v>
      </c>
      <c r="AK883" s="136" t="s">
        <v>7033</v>
      </c>
      <c r="AL883" s="132">
        <v>42387</v>
      </c>
      <c r="AM883" s="131" t="s">
        <v>49</v>
      </c>
      <c r="AN883" s="136" t="s">
        <v>4440</v>
      </c>
    </row>
    <row r="884" spans="1:40" s="129" customFormat="1" x14ac:dyDescent="0.25">
      <c r="A884" s="130">
        <v>883</v>
      </c>
      <c r="B884" s="130" t="s">
        <v>4428</v>
      </c>
      <c r="C884" s="130" t="s">
        <v>38</v>
      </c>
      <c r="D884" s="136" t="s">
        <v>7034</v>
      </c>
      <c r="E884" s="132">
        <v>42375</v>
      </c>
      <c r="F884" s="132" t="s">
        <v>7026</v>
      </c>
      <c r="G884" s="132" t="s">
        <v>7035</v>
      </c>
      <c r="H884" s="130" t="s">
        <v>4491</v>
      </c>
      <c r="I884" s="132" t="s">
        <v>40</v>
      </c>
      <c r="J884" s="131" t="s">
        <v>4432</v>
      </c>
      <c r="K884" s="132" t="s">
        <v>4433</v>
      </c>
      <c r="L884" s="136">
        <v>4985590</v>
      </c>
      <c r="M884" s="132">
        <v>42367</v>
      </c>
      <c r="N884" s="136" t="s">
        <v>3741</v>
      </c>
      <c r="O884" s="130" t="s">
        <v>4436</v>
      </c>
      <c r="P884" s="136" t="s">
        <v>4492</v>
      </c>
      <c r="Q884" s="130">
        <v>38237090</v>
      </c>
      <c r="R884" s="136">
        <v>18.07</v>
      </c>
      <c r="S884" s="130" t="s">
        <v>70</v>
      </c>
      <c r="T884" s="136" t="s">
        <v>7036</v>
      </c>
      <c r="U884" s="136" t="s">
        <v>53</v>
      </c>
      <c r="V884" s="136">
        <v>1295</v>
      </c>
      <c r="W884" s="133">
        <f t="shared" si="39"/>
        <v>23400.65</v>
      </c>
      <c r="X884" s="136">
        <v>7.72</v>
      </c>
      <c r="Y884" s="136">
        <v>3400</v>
      </c>
      <c r="Z884" s="136">
        <v>0</v>
      </c>
      <c r="AA884" s="136">
        <v>0</v>
      </c>
      <c r="AB884" s="131">
        <v>42369</v>
      </c>
      <c r="AC884" s="134">
        <f t="shared" si="40"/>
        <v>19992.930060422961</v>
      </c>
      <c r="AD884" s="135">
        <v>66.2</v>
      </c>
      <c r="AE884" s="136">
        <f t="shared" si="41"/>
        <v>1549123.0300000003</v>
      </c>
      <c r="AF884" s="137">
        <v>1323531.97</v>
      </c>
      <c r="AG884" s="138">
        <v>66.2</v>
      </c>
      <c r="AH884" s="136" t="s">
        <v>7037</v>
      </c>
      <c r="AI884" s="136">
        <v>23400.65</v>
      </c>
      <c r="AJ884" s="132">
        <v>42397</v>
      </c>
      <c r="AK884" s="136" t="s">
        <v>7038</v>
      </c>
      <c r="AL884" s="132">
        <v>42398</v>
      </c>
      <c r="AM884" s="131" t="s">
        <v>49</v>
      </c>
      <c r="AN884" s="136" t="s">
        <v>4440</v>
      </c>
    </row>
    <row r="885" spans="1:40" s="129" customFormat="1" x14ac:dyDescent="0.25">
      <c r="A885" s="136">
        <v>884</v>
      </c>
      <c r="B885" s="130" t="s">
        <v>4428</v>
      </c>
      <c r="C885" s="130" t="s">
        <v>38</v>
      </c>
      <c r="D885" s="136" t="s">
        <v>7039</v>
      </c>
      <c r="E885" s="132">
        <v>42375</v>
      </c>
      <c r="F885" s="132" t="s">
        <v>7026</v>
      </c>
      <c r="G885" s="132" t="s">
        <v>7040</v>
      </c>
      <c r="H885" s="130" t="s">
        <v>4463</v>
      </c>
      <c r="I885" s="132" t="s">
        <v>40</v>
      </c>
      <c r="J885" s="131" t="s">
        <v>4432</v>
      </c>
      <c r="K885" s="132" t="s">
        <v>4433</v>
      </c>
      <c r="L885" s="136">
        <v>5006255</v>
      </c>
      <c r="M885" s="132">
        <v>42368</v>
      </c>
      <c r="N885" s="136" t="s">
        <v>4899</v>
      </c>
      <c r="O885" s="130" t="s">
        <v>4436</v>
      </c>
      <c r="P885" s="136" t="s">
        <v>257</v>
      </c>
      <c r="Q885" s="130">
        <v>38237090</v>
      </c>
      <c r="R885" s="136">
        <v>12</v>
      </c>
      <c r="S885" s="130" t="s">
        <v>70</v>
      </c>
      <c r="T885" s="136" t="s">
        <v>67</v>
      </c>
      <c r="U885" s="136" t="s">
        <v>53</v>
      </c>
      <c r="V885" s="136">
        <v>2050</v>
      </c>
      <c r="W885" s="133">
        <f t="shared" si="39"/>
        <v>24600</v>
      </c>
      <c r="X885" s="136">
        <v>0</v>
      </c>
      <c r="Y885" s="136">
        <v>0</v>
      </c>
      <c r="Z885" s="136">
        <v>0</v>
      </c>
      <c r="AA885" s="136">
        <v>0</v>
      </c>
      <c r="AB885" s="131">
        <v>42369</v>
      </c>
      <c r="AC885" s="134">
        <f t="shared" si="40"/>
        <v>24600</v>
      </c>
      <c r="AD885" s="135">
        <v>66.2</v>
      </c>
      <c r="AE885" s="136">
        <f t="shared" si="41"/>
        <v>1628520</v>
      </c>
      <c r="AF885" s="137">
        <v>1628520</v>
      </c>
      <c r="AG885" s="138">
        <v>66.2</v>
      </c>
      <c r="AH885" s="136" t="s">
        <v>7041</v>
      </c>
      <c r="AI885" s="136">
        <v>24585</v>
      </c>
      <c r="AJ885" s="132">
        <v>42422</v>
      </c>
      <c r="AK885" s="136" t="s">
        <v>7042</v>
      </c>
      <c r="AL885" s="132">
        <v>42423</v>
      </c>
      <c r="AM885" s="131" t="s">
        <v>49</v>
      </c>
      <c r="AN885" s="136" t="s">
        <v>4440</v>
      </c>
    </row>
    <row r="886" spans="1:40" s="129" customFormat="1" x14ac:dyDescent="0.25">
      <c r="A886" s="130">
        <v>885</v>
      </c>
      <c r="B886" s="130" t="s">
        <v>4428</v>
      </c>
      <c r="C886" s="130" t="s">
        <v>38</v>
      </c>
      <c r="D886" s="136" t="s">
        <v>7043</v>
      </c>
      <c r="E886" s="132">
        <v>42375</v>
      </c>
      <c r="F886" s="132" t="s">
        <v>7026</v>
      </c>
      <c r="G886" s="132" t="s">
        <v>7044</v>
      </c>
      <c r="H886" s="130" t="s">
        <v>4463</v>
      </c>
      <c r="I886" s="132" t="s">
        <v>40</v>
      </c>
      <c r="J886" s="131" t="s">
        <v>4432</v>
      </c>
      <c r="K886" s="132" t="s">
        <v>4433</v>
      </c>
      <c r="L886" s="136">
        <v>5025424</v>
      </c>
      <c r="M886" s="132">
        <v>42369</v>
      </c>
      <c r="N886" s="136" t="s">
        <v>4899</v>
      </c>
      <c r="O886" s="130" t="s">
        <v>4436</v>
      </c>
      <c r="P886" s="136" t="s">
        <v>257</v>
      </c>
      <c r="Q886" s="130">
        <v>38237090</v>
      </c>
      <c r="R886" s="136">
        <v>12</v>
      </c>
      <c r="S886" s="130" t="s">
        <v>70</v>
      </c>
      <c r="T886" s="136" t="s">
        <v>67</v>
      </c>
      <c r="U886" s="136" t="s">
        <v>53</v>
      </c>
      <c r="V886" s="136">
        <v>2050</v>
      </c>
      <c r="W886" s="133">
        <f t="shared" si="39"/>
        <v>24600</v>
      </c>
      <c r="X886" s="136">
        <v>0</v>
      </c>
      <c r="Y886" s="136">
        <v>0</v>
      </c>
      <c r="Z886" s="136">
        <v>0</v>
      </c>
      <c r="AA886" s="136">
        <v>0</v>
      </c>
      <c r="AB886" s="131">
        <v>42371</v>
      </c>
      <c r="AC886" s="134">
        <f t="shared" si="40"/>
        <v>24600</v>
      </c>
      <c r="AD886" s="135">
        <v>66.2</v>
      </c>
      <c r="AE886" s="136">
        <f t="shared" si="41"/>
        <v>1628520</v>
      </c>
      <c r="AF886" s="137">
        <v>1628520</v>
      </c>
      <c r="AG886" s="138">
        <v>66.2</v>
      </c>
      <c r="AH886" s="136" t="s">
        <v>7045</v>
      </c>
      <c r="AI886" s="136">
        <v>24585</v>
      </c>
      <c r="AJ886" s="132">
        <v>42422</v>
      </c>
      <c r="AK886" s="136" t="s">
        <v>7046</v>
      </c>
      <c r="AL886" s="132">
        <v>42423</v>
      </c>
      <c r="AM886" s="131" t="s">
        <v>49</v>
      </c>
      <c r="AN886" s="136" t="s">
        <v>4440</v>
      </c>
    </row>
    <row r="887" spans="1:40" s="129" customFormat="1" x14ac:dyDescent="0.25">
      <c r="A887" s="136">
        <v>886</v>
      </c>
      <c r="B887" s="130" t="s">
        <v>4428</v>
      </c>
      <c r="C887" s="130" t="s">
        <v>38</v>
      </c>
      <c r="D887" s="136" t="s">
        <v>7047</v>
      </c>
      <c r="E887" s="132">
        <v>42383</v>
      </c>
      <c r="F887" s="132" t="s">
        <v>7026</v>
      </c>
      <c r="G887" s="132" t="s">
        <v>7048</v>
      </c>
      <c r="H887" s="130" t="s">
        <v>4491</v>
      </c>
      <c r="I887" s="132" t="s">
        <v>40</v>
      </c>
      <c r="J887" s="131" t="s">
        <v>4432</v>
      </c>
      <c r="K887" s="132" t="s">
        <v>4433</v>
      </c>
      <c r="L887" s="136">
        <v>5033901</v>
      </c>
      <c r="M887" s="132">
        <v>42369</v>
      </c>
      <c r="N887" s="136" t="s">
        <v>3741</v>
      </c>
      <c r="O887" s="130" t="s">
        <v>4436</v>
      </c>
      <c r="P887" s="136" t="s">
        <v>4492</v>
      </c>
      <c r="Q887" s="130">
        <v>38237090</v>
      </c>
      <c r="R887" s="136">
        <v>20</v>
      </c>
      <c r="S887" s="130" t="s">
        <v>70</v>
      </c>
      <c r="T887" s="136" t="s">
        <v>7036</v>
      </c>
      <c r="U887" s="136" t="s">
        <v>53</v>
      </c>
      <c r="V887" s="136">
        <v>1395</v>
      </c>
      <c r="W887" s="133">
        <f t="shared" si="39"/>
        <v>27900</v>
      </c>
      <c r="X887" s="136">
        <v>9.2100000000000009</v>
      </c>
      <c r="Y887" s="136">
        <v>1650</v>
      </c>
      <c r="Z887" s="136">
        <v>0</v>
      </c>
      <c r="AA887" s="136">
        <v>0</v>
      </c>
      <c r="AB887" s="131">
        <v>42371</v>
      </c>
      <c r="AC887" s="134">
        <f t="shared" si="40"/>
        <v>26240.790030211479</v>
      </c>
      <c r="AD887" s="135">
        <v>66.2</v>
      </c>
      <c r="AE887" s="136">
        <f t="shared" si="41"/>
        <v>1846980</v>
      </c>
      <c r="AF887" s="137">
        <v>1737140.3</v>
      </c>
      <c r="AG887" s="138">
        <v>66.2</v>
      </c>
      <c r="AH887" s="136" t="s">
        <v>7049</v>
      </c>
      <c r="AI887" s="136">
        <v>27900</v>
      </c>
      <c r="AJ887" s="132">
        <v>42397</v>
      </c>
      <c r="AK887" s="136" t="s">
        <v>7050</v>
      </c>
      <c r="AL887" s="132">
        <v>42398</v>
      </c>
      <c r="AM887" s="131" t="s">
        <v>49</v>
      </c>
      <c r="AN887" s="136" t="s">
        <v>4440</v>
      </c>
    </row>
    <row r="888" spans="1:40" s="129" customFormat="1" x14ac:dyDescent="0.25">
      <c r="A888" s="130">
        <v>887</v>
      </c>
      <c r="B888" s="130" t="s">
        <v>4428</v>
      </c>
      <c r="C888" s="130" t="s">
        <v>38</v>
      </c>
      <c r="D888" s="136" t="s">
        <v>7051</v>
      </c>
      <c r="E888" s="132">
        <v>42383</v>
      </c>
      <c r="F888" s="132" t="s">
        <v>7026</v>
      </c>
      <c r="G888" s="132" t="s">
        <v>7052</v>
      </c>
      <c r="H888" s="130" t="s">
        <v>4491</v>
      </c>
      <c r="I888" s="132" t="s">
        <v>40</v>
      </c>
      <c r="J888" s="131" t="s">
        <v>4432</v>
      </c>
      <c r="K888" s="132" t="s">
        <v>4433</v>
      </c>
      <c r="L888" s="136">
        <v>5038327</v>
      </c>
      <c r="M888" s="132">
        <v>42369</v>
      </c>
      <c r="N888" s="136" t="s">
        <v>3741</v>
      </c>
      <c r="O888" s="130" t="s">
        <v>4436</v>
      </c>
      <c r="P888" s="136" t="s">
        <v>4492</v>
      </c>
      <c r="Q888" s="130">
        <v>38237090</v>
      </c>
      <c r="R888" s="136">
        <v>18.14</v>
      </c>
      <c r="S888" s="130" t="s">
        <v>70</v>
      </c>
      <c r="T888" s="136" t="s">
        <v>7036</v>
      </c>
      <c r="U888" s="136" t="s">
        <v>53</v>
      </c>
      <c r="V888" s="136">
        <v>1370</v>
      </c>
      <c r="W888" s="133">
        <f t="shared" si="39"/>
        <v>24851.8</v>
      </c>
      <c r="X888" s="136">
        <v>8.1999999999999993</v>
      </c>
      <c r="Y888" s="136">
        <v>1475</v>
      </c>
      <c r="Z888" s="136">
        <v>0</v>
      </c>
      <c r="AA888" s="136">
        <v>0</v>
      </c>
      <c r="AB888" s="131">
        <v>42371</v>
      </c>
      <c r="AC888" s="134">
        <f t="shared" si="40"/>
        <v>23368.6</v>
      </c>
      <c r="AD888" s="135">
        <v>66.2</v>
      </c>
      <c r="AE888" s="136">
        <f t="shared" si="41"/>
        <v>1645189.16</v>
      </c>
      <c r="AF888" s="137">
        <v>1547001.32</v>
      </c>
      <c r="AG888" s="138">
        <v>66.2</v>
      </c>
      <c r="AH888" s="136" t="s">
        <v>7053</v>
      </c>
      <c r="AI888" s="136">
        <v>24851.8</v>
      </c>
      <c r="AJ888" s="132">
        <v>42397</v>
      </c>
      <c r="AK888" s="136" t="s">
        <v>7054</v>
      </c>
      <c r="AL888" s="132">
        <v>42398</v>
      </c>
      <c r="AM888" s="131" t="s">
        <v>49</v>
      </c>
      <c r="AN888" s="136" t="s">
        <v>4440</v>
      </c>
    </row>
    <row r="889" spans="1:40" s="129" customFormat="1" x14ac:dyDescent="0.25">
      <c r="A889" s="136">
        <v>888</v>
      </c>
      <c r="B889" s="130" t="s">
        <v>4428</v>
      </c>
      <c r="C889" s="130" t="s">
        <v>38</v>
      </c>
      <c r="D889" s="136" t="s">
        <v>7055</v>
      </c>
      <c r="E889" s="132">
        <v>42375</v>
      </c>
      <c r="F889" s="132" t="s">
        <v>7026</v>
      </c>
      <c r="G889" s="132" t="s">
        <v>7056</v>
      </c>
      <c r="H889" s="130" t="s">
        <v>7057</v>
      </c>
      <c r="I889" s="132" t="s">
        <v>40</v>
      </c>
      <c r="J889" s="131" t="s">
        <v>4432</v>
      </c>
      <c r="K889" s="132" t="s">
        <v>4433</v>
      </c>
      <c r="L889" s="136">
        <v>5038360</v>
      </c>
      <c r="M889" s="132">
        <v>42369</v>
      </c>
      <c r="N889" s="136" t="s">
        <v>5333</v>
      </c>
      <c r="O889" s="130" t="s">
        <v>4436</v>
      </c>
      <c r="P889" s="136" t="s">
        <v>205</v>
      </c>
      <c r="Q889" s="130">
        <v>38237090</v>
      </c>
      <c r="R889" s="136">
        <v>16</v>
      </c>
      <c r="S889" s="130" t="s">
        <v>70</v>
      </c>
      <c r="T889" s="136" t="s">
        <v>67</v>
      </c>
      <c r="U889" s="136" t="s">
        <v>53</v>
      </c>
      <c r="V889" s="136">
        <v>1180</v>
      </c>
      <c r="W889" s="133">
        <f t="shared" si="39"/>
        <v>18880</v>
      </c>
      <c r="X889" s="136">
        <v>0</v>
      </c>
      <c r="Y889" s="136">
        <v>0</v>
      </c>
      <c r="Z889" s="136">
        <v>0</v>
      </c>
      <c r="AA889" s="136">
        <v>0</v>
      </c>
      <c r="AB889" s="131">
        <v>42371</v>
      </c>
      <c r="AC889" s="134">
        <f t="shared" si="40"/>
        <v>18880</v>
      </c>
      <c r="AD889" s="135">
        <v>66.2</v>
      </c>
      <c r="AE889" s="136">
        <f t="shared" si="41"/>
        <v>1249856</v>
      </c>
      <c r="AF889" s="137">
        <v>1249856</v>
      </c>
      <c r="AG889" s="138">
        <v>66.2</v>
      </c>
      <c r="AH889" s="136" t="s">
        <v>7058</v>
      </c>
      <c r="AI889" s="136">
        <v>18880</v>
      </c>
      <c r="AJ889" s="132">
        <v>42409</v>
      </c>
      <c r="AK889" s="136" t="s">
        <v>7059</v>
      </c>
      <c r="AL889" s="132">
        <v>42410</v>
      </c>
      <c r="AM889" s="131" t="s">
        <v>49</v>
      </c>
      <c r="AN889" s="136" t="s">
        <v>4440</v>
      </c>
    </row>
    <row r="890" spans="1:40" s="129" customFormat="1" x14ac:dyDescent="0.25">
      <c r="A890" s="130">
        <v>889</v>
      </c>
      <c r="B890" s="130" t="s">
        <v>4428</v>
      </c>
      <c r="C890" s="130" t="s">
        <v>38</v>
      </c>
      <c r="D890" s="136" t="s">
        <v>7060</v>
      </c>
      <c r="E890" s="132">
        <v>42375</v>
      </c>
      <c r="F890" s="132" t="s">
        <v>7026</v>
      </c>
      <c r="G890" s="132" t="s">
        <v>7061</v>
      </c>
      <c r="H890" s="130" t="s">
        <v>7057</v>
      </c>
      <c r="I890" s="132" t="s">
        <v>40</v>
      </c>
      <c r="J890" s="131" t="s">
        <v>4432</v>
      </c>
      <c r="K890" s="132" t="s">
        <v>4433</v>
      </c>
      <c r="L890" s="136">
        <v>5046383</v>
      </c>
      <c r="M890" s="132">
        <v>42370</v>
      </c>
      <c r="N890" s="136" t="s">
        <v>5333</v>
      </c>
      <c r="O890" s="130" t="s">
        <v>4436</v>
      </c>
      <c r="P890" s="136" t="s">
        <v>205</v>
      </c>
      <c r="Q890" s="130">
        <v>38237090</v>
      </c>
      <c r="R890" s="136">
        <v>48</v>
      </c>
      <c r="S890" s="130" t="s">
        <v>70</v>
      </c>
      <c r="T890" s="136" t="s">
        <v>67</v>
      </c>
      <c r="U890" s="136" t="s">
        <v>53</v>
      </c>
      <c r="V890" s="136">
        <v>1180</v>
      </c>
      <c r="W890" s="133">
        <f t="shared" si="39"/>
        <v>56640</v>
      </c>
      <c r="X890" s="136">
        <v>0</v>
      </c>
      <c r="Y890" s="136">
        <v>0</v>
      </c>
      <c r="Z890" s="136">
        <v>0</v>
      </c>
      <c r="AA890" s="136">
        <v>0</v>
      </c>
      <c r="AB890" s="131">
        <v>42371</v>
      </c>
      <c r="AC890" s="134">
        <f t="shared" si="40"/>
        <v>56640</v>
      </c>
      <c r="AD890" s="135">
        <v>66.2</v>
      </c>
      <c r="AE890" s="136">
        <f t="shared" si="41"/>
        <v>3749568</v>
      </c>
      <c r="AF890" s="137">
        <v>3749568</v>
      </c>
      <c r="AG890" s="138">
        <v>66.2</v>
      </c>
      <c r="AH890" s="136" t="s">
        <v>7058</v>
      </c>
      <c r="AI890" s="136">
        <v>56640</v>
      </c>
      <c r="AJ890" s="132">
        <v>42409</v>
      </c>
      <c r="AK890" s="136" t="s">
        <v>7062</v>
      </c>
      <c r="AL890" s="132">
        <v>42410</v>
      </c>
      <c r="AM890" s="131" t="s">
        <v>49</v>
      </c>
      <c r="AN890" s="136" t="s">
        <v>4440</v>
      </c>
    </row>
    <row r="891" spans="1:40" s="129" customFormat="1" x14ac:dyDescent="0.25">
      <c r="A891" s="136">
        <v>890</v>
      </c>
      <c r="B891" s="130" t="s">
        <v>4428</v>
      </c>
      <c r="C891" s="130" t="s">
        <v>38</v>
      </c>
      <c r="D891" s="136" t="s">
        <v>7063</v>
      </c>
      <c r="E891" s="132">
        <v>42375</v>
      </c>
      <c r="F891" s="132" t="s">
        <v>7026</v>
      </c>
      <c r="G891" s="132" t="s">
        <v>7064</v>
      </c>
      <c r="H891" s="130" t="s">
        <v>6636</v>
      </c>
      <c r="I891" s="132" t="s">
        <v>40</v>
      </c>
      <c r="J891" s="131" t="s">
        <v>4432</v>
      </c>
      <c r="K891" s="132" t="s">
        <v>4433</v>
      </c>
      <c r="L891" s="136">
        <v>5027883</v>
      </c>
      <c r="M891" s="132">
        <v>42369</v>
      </c>
      <c r="N891" s="136" t="s">
        <v>4670</v>
      </c>
      <c r="O891" s="130" t="s">
        <v>4436</v>
      </c>
      <c r="P891" s="136" t="s">
        <v>243</v>
      </c>
      <c r="Q891" s="130">
        <v>38237090</v>
      </c>
      <c r="R891" s="136">
        <v>26</v>
      </c>
      <c r="S891" s="130" t="s">
        <v>70</v>
      </c>
      <c r="T891" s="136" t="s">
        <v>6462</v>
      </c>
      <c r="U891" s="136" t="s">
        <v>53</v>
      </c>
      <c r="V891" s="136">
        <v>1250</v>
      </c>
      <c r="W891" s="133">
        <f>V891*R891</f>
        <v>32500</v>
      </c>
      <c r="X891" s="136">
        <v>0</v>
      </c>
      <c r="Y891" s="136">
        <v>430</v>
      </c>
      <c r="Z891" s="136">
        <v>0</v>
      </c>
      <c r="AA891" s="136">
        <v>0</v>
      </c>
      <c r="AB891" s="131">
        <v>42371</v>
      </c>
      <c r="AC891" s="134">
        <f t="shared" si="40"/>
        <v>32070</v>
      </c>
      <c r="AD891" s="135">
        <v>66.2</v>
      </c>
      <c r="AE891" s="136">
        <f t="shared" si="41"/>
        <v>2151500</v>
      </c>
      <c r="AF891" s="137">
        <v>2123034</v>
      </c>
      <c r="AG891" s="138">
        <v>66.2</v>
      </c>
      <c r="AH891" s="136" t="s">
        <v>7065</v>
      </c>
      <c r="AI891" s="136">
        <v>32500</v>
      </c>
      <c r="AJ891" s="132" t="s">
        <v>7066</v>
      </c>
      <c r="AK891" s="136" t="s">
        <v>7067</v>
      </c>
      <c r="AL891" s="132" t="s">
        <v>7068</v>
      </c>
      <c r="AM891" s="131" t="s">
        <v>49</v>
      </c>
      <c r="AN891" s="136" t="s">
        <v>4440</v>
      </c>
    </row>
    <row r="892" spans="1:40" s="129" customFormat="1" ht="15" x14ac:dyDescent="0.25">
      <c r="A892" s="130">
        <v>891</v>
      </c>
      <c r="B892" s="130" t="s">
        <v>4428</v>
      </c>
      <c r="C892" s="130" t="s">
        <v>38</v>
      </c>
      <c r="D892" s="136" t="s">
        <v>7063</v>
      </c>
      <c r="E892" s="132">
        <v>42375</v>
      </c>
      <c r="F892" s="132" t="s">
        <v>7026</v>
      </c>
      <c r="G892" s="132" t="s">
        <v>7069</v>
      </c>
      <c r="H892" s="130" t="s">
        <v>6636</v>
      </c>
      <c r="I892" s="132" t="s">
        <v>40</v>
      </c>
      <c r="J892" s="131" t="s">
        <v>4432</v>
      </c>
      <c r="K892" s="132" t="s">
        <v>4433</v>
      </c>
      <c r="L892" s="136">
        <v>5048680</v>
      </c>
      <c r="M892" s="132">
        <v>42370</v>
      </c>
      <c r="N892" s="136" t="s">
        <v>4670</v>
      </c>
      <c r="O892" s="130" t="s">
        <v>4436</v>
      </c>
      <c r="P892" s="136" t="s">
        <v>243</v>
      </c>
      <c r="Q892" s="130">
        <v>38237090</v>
      </c>
      <c r="R892" s="136">
        <v>26</v>
      </c>
      <c r="S892" s="130" t="s">
        <v>70</v>
      </c>
      <c r="T892" s="136" t="s">
        <v>6462</v>
      </c>
      <c r="U892" s="136" t="s">
        <v>53</v>
      </c>
      <c r="V892" s="136">
        <v>1250</v>
      </c>
      <c r="W892" s="133">
        <f>V892*R892</f>
        <v>32500</v>
      </c>
      <c r="X892" s="136">
        <v>0</v>
      </c>
      <c r="Y892" s="136">
        <v>430</v>
      </c>
      <c r="Z892" s="136">
        <v>0</v>
      </c>
      <c r="AA892" s="136">
        <v>0</v>
      </c>
      <c r="AB892" s="131">
        <v>42371</v>
      </c>
      <c r="AC892" s="134">
        <f t="shared" si="40"/>
        <v>32070</v>
      </c>
      <c r="AD892" s="135">
        <v>66.2</v>
      </c>
      <c r="AE892" s="136">
        <f t="shared" si="41"/>
        <v>2151500</v>
      </c>
      <c r="AF892" s="137">
        <v>2123034</v>
      </c>
      <c r="AG892" s="138">
        <v>66.2</v>
      </c>
      <c r="AH892" s="159" t="s">
        <v>7070</v>
      </c>
      <c r="AI892" s="136">
        <v>32500</v>
      </c>
      <c r="AJ892" s="132">
        <v>42418</v>
      </c>
      <c r="AK892" s="154" t="s">
        <v>7071</v>
      </c>
      <c r="AL892" s="132">
        <v>42420</v>
      </c>
      <c r="AM892" s="132" t="s">
        <v>49</v>
      </c>
      <c r="AN892" s="132" t="s">
        <v>4440</v>
      </c>
    </row>
    <row r="893" spans="1:40" s="129" customFormat="1" x14ac:dyDescent="0.25">
      <c r="A893" s="136">
        <v>892</v>
      </c>
      <c r="B893" s="130" t="s">
        <v>4428</v>
      </c>
      <c r="C893" s="130" t="s">
        <v>38</v>
      </c>
      <c r="D893" s="136" t="s">
        <v>7072</v>
      </c>
      <c r="E893" s="132">
        <v>42378</v>
      </c>
      <c r="F893" s="132" t="s">
        <v>7026</v>
      </c>
      <c r="G893" s="132" t="s">
        <v>7073</v>
      </c>
      <c r="H893" s="130" t="s">
        <v>4463</v>
      </c>
      <c r="I893" s="132" t="s">
        <v>40</v>
      </c>
      <c r="J893" s="131" t="s">
        <v>4432</v>
      </c>
      <c r="K893" s="132" t="s">
        <v>4433</v>
      </c>
      <c r="L893" s="136">
        <v>5058788</v>
      </c>
      <c r="M893" s="132">
        <v>42371</v>
      </c>
      <c r="N893" s="136" t="s">
        <v>7074</v>
      </c>
      <c r="O893" s="130" t="s">
        <v>4436</v>
      </c>
      <c r="P893" s="130" t="s">
        <v>5921</v>
      </c>
      <c r="Q893" s="130">
        <v>38237090</v>
      </c>
      <c r="R893" s="136">
        <v>32</v>
      </c>
      <c r="S893" s="130" t="s">
        <v>70</v>
      </c>
      <c r="T893" s="136" t="s">
        <v>6462</v>
      </c>
      <c r="U893" s="136" t="s">
        <v>53</v>
      </c>
      <c r="V893" s="136">
        <v>1210</v>
      </c>
      <c r="W893" s="133">
        <f t="shared" si="39"/>
        <v>38720</v>
      </c>
      <c r="X893" s="136">
        <v>0</v>
      </c>
      <c r="Y893" s="136">
        <v>1800</v>
      </c>
      <c r="Z893" s="136">
        <v>0</v>
      </c>
      <c r="AA893" s="136">
        <v>0</v>
      </c>
      <c r="AB893" s="131">
        <v>42374</v>
      </c>
      <c r="AC893" s="134">
        <f t="shared" si="40"/>
        <v>36920</v>
      </c>
      <c r="AD893" s="135">
        <v>66.2</v>
      </c>
      <c r="AE893" s="136">
        <f t="shared" si="41"/>
        <v>2563264</v>
      </c>
      <c r="AF893" s="137">
        <v>2444104</v>
      </c>
      <c r="AG893" s="138">
        <v>66.2</v>
      </c>
      <c r="AH893" s="136" t="s">
        <v>7075</v>
      </c>
      <c r="AI893" s="136">
        <v>38693.199999999997</v>
      </c>
      <c r="AJ893" s="132">
        <v>42402</v>
      </c>
      <c r="AK893" s="136" t="s">
        <v>7076</v>
      </c>
      <c r="AL893" s="132">
        <v>42403</v>
      </c>
      <c r="AM893" s="131" t="s">
        <v>49</v>
      </c>
      <c r="AN893" s="133" t="s">
        <v>4440</v>
      </c>
    </row>
    <row r="894" spans="1:40" s="129" customFormat="1" x14ac:dyDescent="0.25">
      <c r="A894" s="130">
        <v>893</v>
      </c>
      <c r="B894" s="130" t="s">
        <v>4428</v>
      </c>
      <c r="C894" s="130" t="s">
        <v>38</v>
      </c>
      <c r="D894" s="136" t="s">
        <v>7077</v>
      </c>
      <c r="E894" s="132">
        <v>42377</v>
      </c>
      <c r="F894" s="132" t="s">
        <v>7026</v>
      </c>
      <c r="G894" s="132" t="s">
        <v>7078</v>
      </c>
      <c r="H894" s="130" t="s">
        <v>4463</v>
      </c>
      <c r="I894" s="132" t="s">
        <v>40</v>
      </c>
      <c r="J894" s="131" t="s">
        <v>4432</v>
      </c>
      <c r="K894" s="132" t="s">
        <v>4433</v>
      </c>
      <c r="L894" s="136">
        <v>5058758</v>
      </c>
      <c r="M894" s="132">
        <v>42371</v>
      </c>
      <c r="N894" s="136" t="s">
        <v>7074</v>
      </c>
      <c r="O894" s="130" t="s">
        <v>4436</v>
      </c>
      <c r="P894" s="130" t="s">
        <v>5921</v>
      </c>
      <c r="Q894" s="130">
        <v>29051700</v>
      </c>
      <c r="R894" s="136">
        <v>32</v>
      </c>
      <c r="S894" s="130" t="s">
        <v>70</v>
      </c>
      <c r="T894" s="136" t="s">
        <v>6462</v>
      </c>
      <c r="U894" s="136" t="s">
        <v>53</v>
      </c>
      <c r="V894" s="136">
        <v>1260</v>
      </c>
      <c r="W894" s="133">
        <f t="shared" ref="W894:W957" si="42">V894*R894</f>
        <v>40320</v>
      </c>
      <c r="X894" s="136">
        <v>0</v>
      </c>
      <c r="Y894" s="136">
        <v>1800</v>
      </c>
      <c r="Z894" s="136">
        <v>0</v>
      </c>
      <c r="AA894" s="136">
        <v>0</v>
      </c>
      <c r="AB894" s="131">
        <v>42374</v>
      </c>
      <c r="AC894" s="134">
        <f t="shared" si="40"/>
        <v>38520</v>
      </c>
      <c r="AD894" s="135">
        <v>66.2</v>
      </c>
      <c r="AE894" s="136">
        <f t="shared" si="41"/>
        <v>2669184</v>
      </c>
      <c r="AF894" s="137">
        <v>2550024</v>
      </c>
      <c r="AG894" s="138">
        <v>66.2</v>
      </c>
      <c r="AH894" s="136" t="s">
        <v>7079</v>
      </c>
      <c r="AI894" s="136">
        <v>40320</v>
      </c>
      <c r="AJ894" s="132">
        <v>42402</v>
      </c>
      <c r="AK894" s="136" t="s">
        <v>7080</v>
      </c>
      <c r="AL894" s="132">
        <v>42403</v>
      </c>
      <c r="AM894" s="131" t="s">
        <v>49</v>
      </c>
      <c r="AN894" s="133" t="s">
        <v>4440</v>
      </c>
    </row>
    <row r="895" spans="1:40" s="129" customFormat="1" x14ac:dyDescent="0.25">
      <c r="A895" s="136">
        <v>894</v>
      </c>
      <c r="B895" s="130" t="s">
        <v>4428</v>
      </c>
      <c r="C895" s="130" t="s">
        <v>38</v>
      </c>
      <c r="D895" s="136">
        <v>9103650854</v>
      </c>
      <c r="E895" s="132">
        <v>42377</v>
      </c>
      <c r="F895" s="132" t="s">
        <v>7026</v>
      </c>
      <c r="G895" s="132" t="s">
        <v>7081</v>
      </c>
      <c r="H895" s="130" t="s">
        <v>5024</v>
      </c>
      <c r="I895" s="132" t="s">
        <v>40</v>
      </c>
      <c r="J895" s="131" t="s">
        <v>4432</v>
      </c>
      <c r="K895" s="132" t="s">
        <v>4433</v>
      </c>
      <c r="L895" s="136">
        <v>5058749</v>
      </c>
      <c r="M895" s="132">
        <v>42371</v>
      </c>
      <c r="N895" s="136" t="s">
        <v>4473</v>
      </c>
      <c r="O895" s="130" t="s">
        <v>4436</v>
      </c>
      <c r="P895" s="136" t="s">
        <v>361</v>
      </c>
      <c r="Q895" s="130">
        <v>29051700</v>
      </c>
      <c r="R895" s="136">
        <v>16</v>
      </c>
      <c r="S895" s="130" t="s">
        <v>70</v>
      </c>
      <c r="T895" s="136" t="e">
        <v>#N/A</v>
      </c>
      <c r="U895" s="136" t="s">
        <v>1117</v>
      </c>
      <c r="V895" s="136">
        <v>87510</v>
      </c>
      <c r="W895" s="133">
        <f t="shared" si="42"/>
        <v>1400160</v>
      </c>
      <c r="X895" s="136">
        <v>0</v>
      </c>
      <c r="Y895" s="136">
        <v>4965</v>
      </c>
      <c r="Z895" s="136">
        <v>0</v>
      </c>
      <c r="AA895" s="136">
        <v>0</v>
      </c>
      <c r="AB895" s="131">
        <v>42373</v>
      </c>
      <c r="AC895" s="134">
        <f t="shared" si="40"/>
        <v>1395195</v>
      </c>
      <c r="AD895" s="135">
        <v>1</v>
      </c>
      <c r="AE895" s="136">
        <f t="shared" si="41"/>
        <v>1400160</v>
      </c>
      <c r="AF895" s="130">
        <v>1395195</v>
      </c>
      <c r="AG895" s="138">
        <v>1</v>
      </c>
      <c r="AH895" s="136" t="s">
        <v>7082</v>
      </c>
      <c r="AI895" s="136">
        <v>1400160</v>
      </c>
      <c r="AJ895" s="132">
        <v>42640</v>
      </c>
      <c r="AK895" s="136" t="s">
        <v>7083</v>
      </c>
      <c r="AL895" s="132">
        <v>42662</v>
      </c>
      <c r="AM895" s="132" t="s">
        <v>49</v>
      </c>
      <c r="AN895" s="133" t="s">
        <v>5297</v>
      </c>
    </row>
    <row r="896" spans="1:40" s="129" customFormat="1" x14ac:dyDescent="0.25">
      <c r="A896" s="130">
        <v>895</v>
      </c>
      <c r="B896" s="130" t="s">
        <v>4428</v>
      </c>
      <c r="C896" s="130" t="s">
        <v>38</v>
      </c>
      <c r="D896" s="136" t="s">
        <v>7084</v>
      </c>
      <c r="E896" s="132">
        <v>42381</v>
      </c>
      <c r="F896" s="132" t="s">
        <v>7026</v>
      </c>
      <c r="G896" s="132" t="s">
        <v>7085</v>
      </c>
      <c r="H896" s="130" t="s">
        <v>5024</v>
      </c>
      <c r="I896" s="132" t="s">
        <v>40</v>
      </c>
      <c r="J896" s="131" t="s">
        <v>4432</v>
      </c>
      <c r="K896" s="132" t="s">
        <v>4433</v>
      </c>
      <c r="L896" s="136">
        <v>5078226</v>
      </c>
      <c r="M896" s="132">
        <v>42373</v>
      </c>
      <c r="N896" s="136" t="s">
        <v>4473</v>
      </c>
      <c r="O896" s="130" t="s">
        <v>4436</v>
      </c>
      <c r="P896" s="136" t="s">
        <v>361</v>
      </c>
      <c r="Q896" s="130">
        <v>38237090</v>
      </c>
      <c r="R896" s="136">
        <v>206.23</v>
      </c>
      <c r="S896" s="130" t="s">
        <v>70</v>
      </c>
      <c r="T896" s="136" t="e">
        <v>#N/A</v>
      </c>
      <c r="U896" s="136" t="s">
        <v>1117</v>
      </c>
      <c r="V896" s="136">
        <v>79405.350000000006</v>
      </c>
      <c r="W896" s="133">
        <f t="shared" si="42"/>
        <v>16375765.330500001</v>
      </c>
      <c r="X896" s="136">
        <v>0</v>
      </c>
      <c r="Y896" s="136">
        <v>484253</v>
      </c>
      <c r="Z896" s="136">
        <v>0</v>
      </c>
      <c r="AA896" s="136">
        <v>422822.26</v>
      </c>
      <c r="AB896" s="131">
        <v>42374</v>
      </c>
      <c r="AC896" s="134">
        <f t="shared" si="40"/>
        <v>15891512.33</v>
      </c>
      <c r="AD896" s="135">
        <v>1</v>
      </c>
      <c r="AE896" s="136">
        <f t="shared" si="41"/>
        <v>16375765.330500001</v>
      </c>
      <c r="AF896" s="130">
        <v>15891512.33</v>
      </c>
      <c r="AG896" s="138">
        <v>1</v>
      </c>
      <c r="AH896" s="136" t="s">
        <v>7086</v>
      </c>
      <c r="AI896" s="136">
        <v>16375765.33</v>
      </c>
      <c r="AJ896" s="132">
        <v>42640</v>
      </c>
      <c r="AK896" s="136" t="s">
        <v>7087</v>
      </c>
      <c r="AL896" s="132">
        <v>42662</v>
      </c>
      <c r="AM896" s="132" t="s">
        <v>49</v>
      </c>
      <c r="AN896" s="133" t="s">
        <v>4440</v>
      </c>
    </row>
    <row r="897" spans="1:40" s="129" customFormat="1" x14ac:dyDescent="0.25">
      <c r="A897" s="136">
        <v>896</v>
      </c>
      <c r="B897" s="130" t="s">
        <v>4428</v>
      </c>
      <c r="C897" s="130" t="s">
        <v>38</v>
      </c>
      <c r="D897" s="136" t="s">
        <v>7084</v>
      </c>
      <c r="E897" s="132">
        <v>42381</v>
      </c>
      <c r="F897" s="132" t="s">
        <v>7026</v>
      </c>
      <c r="G897" s="132" t="s">
        <v>7088</v>
      </c>
      <c r="H897" s="130" t="s">
        <v>5024</v>
      </c>
      <c r="I897" s="132" t="s">
        <v>40</v>
      </c>
      <c r="J897" s="131" t="s">
        <v>4432</v>
      </c>
      <c r="K897" s="132" t="s">
        <v>4433</v>
      </c>
      <c r="L897" s="136">
        <v>5081554</v>
      </c>
      <c r="M897" s="132">
        <v>42373</v>
      </c>
      <c r="N897" s="136" t="s">
        <v>4473</v>
      </c>
      <c r="O897" s="130" t="s">
        <v>4436</v>
      </c>
      <c r="P897" s="136" t="s">
        <v>361</v>
      </c>
      <c r="Q897" s="130">
        <v>38237090</v>
      </c>
      <c r="R897" s="136">
        <v>112.8</v>
      </c>
      <c r="S897" s="130" t="s">
        <v>70</v>
      </c>
      <c r="T897" s="136" t="e">
        <v>#N/A</v>
      </c>
      <c r="U897" s="136" t="s">
        <v>1117</v>
      </c>
      <c r="V897" s="136">
        <v>79405.350000000006</v>
      </c>
      <c r="W897" s="133">
        <f t="shared" si="42"/>
        <v>8956923.4800000004</v>
      </c>
      <c r="X897" s="136">
        <v>0</v>
      </c>
      <c r="Y897" s="136">
        <v>264138</v>
      </c>
      <c r="Z897" s="136">
        <v>0</v>
      </c>
      <c r="AA897" s="136">
        <v>231267.76</v>
      </c>
      <c r="AB897" s="131">
        <v>42374</v>
      </c>
      <c r="AC897" s="134">
        <f t="shared" si="40"/>
        <v>8692785.4800000004</v>
      </c>
      <c r="AD897" s="135">
        <v>1</v>
      </c>
      <c r="AE897" s="136">
        <f t="shared" si="41"/>
        <v>8956923.4800000004</v>
      </c>
      <c r="AF897" s="130">
        <v>8692785.4800000004</v>
      </c>
      <c r="AG897" s="138">
        <v>1</v>
      </c>
      <c r="AH897" s="136" t="s">
        <v>7086</v>
      </c>
      <c r="AI897" s="136">
        <v>8956923.4800000004</v>
      </c>
      <c r="AJ897" s="132">
        <v>42640</v>
      </c>
      <c r="AK897" s="136" t="s">
        <v>7089</v>
      </c>
      <c r="AL897" s="132">
        <v>42662</v>
      </c>
      <c r="AM897" s="132" t="s">
        <v>49</v>
      </c>
      <c r="AN897" s="133" t="s">
        <v>5297</v>
      </c>
    </row>
    <row r="898" spans="1:40" s="129" customFormat="1" x14ac:dyDescent="0.25">
      <c r="A898" s="130">
        <v>897</v>
      </c>
      <c r="B898" s="130" t="s">
        <v>4428</v>
      </c>
      <c r="C898" s="130" t="s">
        <v>38</v>
      </c>
      <c r="D898" s="136" t="s">
        <v>7090</v>
      </c>
      <c r="E898" s="132">
        <v>42380</v>
      </c>
      <c r="F898" s="132" t="s">
        <v>7026</v>
      </c>
      <c r="G898" s="132" t="s">
        <v>7091</v>
      </c>
      <c r="H898" s="130" t="s">
        <v>4456</v>
      </c>
      <c r="I898" s="132" t="s">
        <v>40</v>
      </c>
      <c r="J898" s="131" t="s">
        <v>4432</v>
      </c>
      <c r="K898" s="132" t="s">
        <v>4433</v>
      </c>
      <c r="L898" s="136">
        <v>5094827</v>
      </c>
      <c r="M898" s="132">
        <v>42374</v>
      </c>
      <c r="N898" s="136" t="s">
        <v>4527</v>
      </c>
      <c r="O898" s="130" t="s">
        <v>4436</v>
      </c>
      <c r="P898" s="136" t="s">
        <v>59</v>
      </c>
      <c r="Q898" s="130">
        <v>38237090</v>
      </c>
      <c r="R898" s="136">
        <v>16</v>
      </c>
      <c r="S898" s="130" t="s">
        <v>70</v>
      </c>
      <c r="T898" s="136" t="s">
        <v>6462</v>
      </c>
      <c r="U898" s="136" t="s">
        <v>53</v>
      </c>
      <c r="V898" s="136">
        <v>1185</v>
      </c>
      <c r="W898" s="133">
        <f t="shared" si="42"/>
        <v>18960</v>
      </c>
      <c r="X898" s="136">
        <v>0</v>
      </c>
      <c r="Y898" s="136">
        <v>200</v>
      </c>
      <c r="Z898" s="136">
        <v>0</v>
      </c>
      <c r="AA898" s="136">
        <v>0</v>
      </c>
      <c r="AB898" s="131">
        <v>42375</v>
      </c>
      <c r="AC898" s="134">
        <f t="shared" si="40"/>
        <v>18760</v>
      </c>
      <c r="AD898" s="135">
        <v>66.2</v>
      </c>
      <c r="AE898" s="136">
        <f t="shared" si="41"/>
        <v>1255152</v>
      </c>
      <c r="AF898" s="137">
        <v>1241912</v>
      </c>
      <c r="AG898" s="138">
        <v>66.2</v>
      </c>
      <c r="AH898" s="136" t="s">
        <v>7092</v>
      </c>
      <c r="AI898" s="136">
        <v>18950</v>
      </c>
      <c r="AJ898" s="132">
        <v>42451</v>
      </c>
      <c r="AK898" s="136" t="s">
        <v>7093</v>
      </c>
      <c r="AL898" s="132">
        <v>42451</v>
      </c>
      <c r="AM898" s="131" t="s">
        <v>49</v>
      </c>
      <c r="AN898" s="133" t="s">
        <v>4440</v>
      </c>
    </row>
    <row r="899" spans="1:40" s="129" customFormat="1" x14ac:dyDescent="0.25">
      <c r="A899" s="136">
        <v>898</v>
      </c>
      <c r="B899" s="130" t="s">
        <v>4428</v>
      </c>
      <c r="C899" s="130" t="s">
        <v>38</v>
      </c>
      <c r="D899" s="136" t="s">
        <v>7094</v>
      </c>
      <c r="E899" s="132">
        <v>42380</v>
      </c>
      <c r="F899" s="132" t="s">
        <v>7026</v>
      </c>
      <c r="G899" s="132" t="s">
        <v>7095</v>
      </c>
      <c r="H899" s="130" t="s">
        <v>4456</v>
      </c>
      <c r="I899" s="132" t="s">
        <v>40</v>
      </c>
      <c r="J899" s="131" t="s">
        <v>4432</v>
      </c>
      <c r="K899" s="132" t="s">
        <v>4433</v>
      </c>
      <c r="L899" s="136">
        <v>5101438</v>
      </c>
      <c r="M899" s="132">
        <v>42374</v>
      </c>
      <c r="N899" s="136" t="s">
        <v>4527</v>
      </c>
      <c r="O899" s="130" t="s">
        <v>4436</v>
      </c>
      <c r="P899" s="136" t="s">
        <v>59</v>
      </c>
      <c r="Q899" s="130" t="s">
        <v>6194</v>
      </c>
      <c r="R899" s="136">
        <v>24</v>
      </c>
      <c r="S899" s="130" t="s">
        <v>70</v>
      </c>
      <c r="T899" s="136" t="s">
        <v>6462</v>
      </c>
      <c r="U899" s="136" t="s">
        <v>53</v>
      </c>
      <c r="V899" s="136">
        <v>0</v>
      </c>
      <c r="W899" s="133">
        <f>(16*1225+8*1295)</f>
        <v>29960</v>
      </c>
      <c r="X899" s="136">
        <v>0</v>
      </c>
      <c r="Y899" s="136">
        <v>350</v>
      </c>
      <c r="Z899" s="136">
        <v>0</v>
      </c>
      <c r="AA899" s="136">
        <v>0</v>
      </c>
      <c r="AB899" s="131">
        <v>42375</v>
      </c>
      <c r="AC899" s="134">
        <f t="shared" si="40"/>
        <v>29610</v>
      </c>
      <c r="AD899" s="135">
        <v>66.2</v>
      </c>
      <c r="AE899" s="136">
        <f t="shared" si="41"/>
        <v>1983352</v>
      </c>
      <c r="AF899" s="137">
        <v>1960182</v>
      </c>
      <c r="AG899" s="138">
        <v>66.2</v>
      </c>
      <c r="AH899" s="136" t="s">
        <v>7096</v>
      </c>
      <c r="AI899" s="136">
        <v>29960</v>
      </c>
      <c r="AJ899" s="132">
        <v>42451</v>
      </c>
      <c r="AK899" s="136" t="s">
        <v>7097</v>
      </c>
      <c r="AL899" s="132">
        <v>42451</v>
      </c>
      <c r="AM899" s="131" t="s">
        <v>49</v>
      </c>
      <c r="AN899" s="136" t="s">
        <v>4440</v>
      </c>
    </row>
    <row r="900" spans="1:40" s="129" customFormat="1" x14ac:dyDescent="0.25">
      <c r="A900" s="130">
        <v>899</v>
      </c>
      <c r="B900" s="130" t="s">
        <v>4428</v>
      </c>
      <c r="C900" s="130" t="s">
        <v>38</v>
      </c>
      <c r="D900" s="136" t="s">
        <v>7098</v>
      </c>
      <c r="E900" s="132">
        <v>42380</v>
      </c>
      <c r="F900" s="132" t="s">
        <v>7026</v>
      </c>
      <c r="G900" s="132" t="s">
        <v>7099</v>
      </c>
      <c r="H900" s="130" t="s">
        <v>4446</v>
      </c>
      <c r="I900" s="132" t="s">
        <v>40</v>
      </c>
      <c r="J900" s="131" t="s">
        <v>4432</v>
      </c>
      <c r="K900" s="132" t="s">
        <v>4433</v>
      </c>
      <c r="L900" s="136">
        <v>5118829</v>
      </c>
      <c r="M900" s="132">
        <v>42375</v>
      </c>
      <c r="N900" s="136" t="s">
        <v>5073</v>
      </c>
      <c r="O900" s="130" t="s">
        <v>4436</v>
      </c>
      <c r="P900" s="136" t="s">
        <v>59</v>
      </c>
      <c r="Q900" s="130">
        <v>29159020</v>
      </c>
      <c r="R900" s="136">
        <v>19.96</v>
      </c>
      <c r="S900" s="130" t="s">
        <v>70</v>
      </c>
      <c r="T900" s="136" t="s">
        <v>7036</v>
      </c>
      <c r="U900" s="136" t="s">
        <v>53</v>
      </c>
      <c r="V900" s="136">
        <v>4780</v>
      </c>
      <c r="W900" s="133">
        <f t="shared" si="42"/>
        <v>95408.8</v>
      </c>
      <c r="X900" s="136">
        <v>31.48</v>
      </c>
      <c r="Y900" s="136">
        <v>426</v>
      </c>
      <c r="Z900" s="136">
        <v>0</v>
      </c>
      <c r="AA900" s="136">
        <v>0</v>
      </c>
      <c r="AB900" s="131">
        <v>42376</v>
      </c>
      <c r="AC900" s="134">
        <f t="shared" ref="AC900:AC963" si="43">AF900/AD900</f>
        <v>94951.319939577035</v>
      </c>
      <c r="AD900" s="135">
        <v>66.2</v>
      </c>
      <c r="AE900" s="136">
        <f t="shared" ref="AE900:AE963" si="44">AD900*W900</f>
        <v>6316062.5600000005</v>
      </c>
      <c r="AF900" s="137">
        <v>6285777.3799999999</v>
      </c>
      <c r="AG900" s="138">
        <v>66.2</v>
      </c>
      <c r="AH900" s="136" t="s">
        <v>7100</v>
      </c>
      <c r="AI900" s="136">
        <v>95387.8</v>
      </c>
      <c r="AJ900" s="132">
        <v>42416</v>
      </c>
      <c r="AK900" s="136" t="s">
        <v>7101</v>
      </c>
      <c r="AL900" s="132">
        <v>42417</v>
      </c>
      <c r="AM900" s="131" t="s">
        <v>49</v>
      </c>
      <c r="AN900" s="133" t="s">
        <v>4440</v>
      </c>
    </row>
    <row r="901" spans="1:40" s="129" customFormat="1" x14ac:dyDescent="0.25">
      <c r="A901" s="136">
        <v>900</v>
      </c>
      <c r="B901" s="130" t="s">
        <v>4428</v>
      </c>
      <c r="C901" s="130" t="s">
        <v>38</v>
      </c>
      <c r="D901" s="136" t="s">
        <v>7102</v>
      </c>
      <c r="E901" s="132">
        <v>42380</v>
      </c>
      <c r="F901" s="132" t="s">
        <v>7026</v>
      </c>
      <c r="G901" s="132" t="s">
        <v>7103</v>
      </c>
      <c r="H901" s="130" t="s">
        <v>4463</v>
      </c>
      <c r="I901" s="132" t="s">
        <v>40</v>
      </c>
      <c r="J901" s="131" t="s">
        <v>4432</v>
      </c>
      <c r="K901" s="132" t="s">
        <v>4433</v>
      </c>
      <c r="L901" s="136">
        <v>5123791</v>
      </c>
      <c r="M901" s="132">
        <v>42375</v>
      </c>
      <c r="N901" s="136" t="s">
        <v>7104</v>
      </c>
      <c r="O901" s="130" t="s">
        <v>4436</v>
      </c>
      <c r="P901" s="136" t="s">
        <v>7105</v>
      </c>
      <c r="Q901" s="130">
        <v>29159020</v>
      </c>
      <c r="R901" s="136">
        <v>19.87</v>
      </c>
      <c r="S901" s="130" t="s">
        <v>70</v>
      </c>
      <c r="T901" s="136" t="s">
        <v>7036</v>
      </c>
      <c r="U901" s="136" t="s">
        <v>53</v>
      </c>
      <c r="V901" s="136">
        <v>5250</v>
      </c>
      <c r="W901" s="133">
        <f t="shared" si="42"/>
        <v>104317.5</v>
      </c>
      <c r="X901" s="136">
        <v>34.42</v>
      </c>
      <c r="Y901" s="136">
        <v>425</v>
      </c>
      <c r="Z901" s="136">
        <v>0</v>
      </c>
      <c r="AA901" s="136">
        <v>0</v>
      </c>
      <c r="AB901" s="131">
        <v>42376</v>
      </c>
      <c r="AC901" s="134">
        <f t="shared" si="43"/>
        <v>103858.08006042296</v>
      </c>
      <c r="AD901" s="135">
        <v>66.2</v>
      </c>
      <c r="AE901" s="136">
        <f t="shared" si="44"/>
        <v>6905818.5</v>
      </c>
      <c r="AF901" s="137">
        <v>6875404.9000000004</v>
      </c>
      <c r="AG901" s="138">
        <v>66.2</v>
      </c>
      <c r="AH901" s="136" t="s">
        <v>7106</v>
      </c>
      <c r="AI901" s="136">
        <v>104317.5</v>
      </c>
      <c r="AJ901" s="132">
        <v>42412</v>
      </c>
      <c r="AK901" s="136" t="s">
        <v>7107</v>
      </c>
      <c r="AL901" s="132">
        <v>42412</v>
      </c>
      <c r="AM901" s="131" t="s">
        <v>49</v>
      </c>
      <c r="AN901" s="136" t="s">
        <v>4440</v>
      </c>
    </row>
    <row r="902" spans="1:40" s="129" customFormat="1" x14ac:dyDescent="0.25">
      <c r="A902" s="130">
        <v>901</v>
      </c>
      <c r="B902" s="130" t="s">
        <v>4428</v>
      </c>
      <c r="C902" s="130" t="s">
        <v>38</v>
      </c>
      <c r="D902" s="136" t="s">
        <v>7108</v>
      </c>
      <c r="E902" s="132">
        <v>42380</v>
      </c>
      <c r="F902" s="132" t="s">
        <v>7026</v>
      </c>
      <c r="G902" s="132" t="s">
        <v>7109</v>
      </c>
      <c r="H902" s="130" t="s">
        <v>4491</v>
      </c>
      <c r="I902" s="132" t="s">
        <v>40</v>
      </c>
      <c r="J902" s="131" t="s">
        <v>4432</v>
      </c>
      <c r="K902" s="132" t="s">
        <v>4433</v>
      </c>
      <c r="L902" s="136">
        <v>5127449</v>
      </c>
      <c r="M902" s="132">
        <v>42375</v>
      </c>
      <c r="N902" s="136" t="s">
        <v>3741</v>
      </c>
      <c r="O902" s="130" t="s">
        <v>4436</v>
      </c>
      <c r="P902" s="136" t="s">
        <v>4492</v>
      </c>
      <c r="Q902" s="130">
        <v>29051700</v>
      </c>
      <c r="R902" s="136">
        <v>18.143999999999998</v>
      </c>
      <c r="S902" s="130" t="s">
        <v>70</v>
      </c>
      <c r="T902" s="136" t="s">
        <v>7036</v>
      </c>
      <c r="U902" s="136" t="s">
        <v>53</v>
      </c>
      <c r="V902" s="136">
        <v>1679</v>
      </c>
      <c r="W902" s="133">
        <f t="shared" si="42"/>
        <v>30463.775999999998</v>
      </c>
      <c r="X902" s="136">
        <v>10.050000000000001</v>
      </c>
      <c r="Y902" s="136">
        <v>1450</v>
      </c>
      <c r="Z902" s="136">
        <v>0</v>
      </c>
      <c r="AA902" s="136">
        <v>0</v>
      </c>
      <c r="AB902" s="131">
        <v>42376</v>
      </c>
      <c r="AC902" s="134">
        <f t="shared" si="43"/>
        <v>29003.730060422957</v>
      </c>
      <c r="AD902" s="135">
        <v>66.2</v>
      </c>
      <c r="AE902" s="136">
        <f t="shared" si="44"/>
        <v>2016701.9712</v>
      </c>
      <c r="AF902" s="137">
        <v>1920046.93</v>
      </c>
      <c r="AG902" s="138">
        <v>66.2</v>
      </c>
      <c r="AH902" s="136" t="s">
        <v>7110</v>
      </c>
      <c r="AI902" s="136">
        <v>30463.78</v>
      </c>
      <c r="AJ902" s="132">
        <v>42397</v>
      </c>
      <c r="AK902" s="136" t="s">
        <v>7111</v>
      </c>
      <c r="AL902" s="132">
        <v>42398</v>
      </c>
      <c r="AM902" s="131" t="s">
        <v>49</v>
      </c>
      <c r="AN902" s="136" t="s">
        <v>4440</v>
      </c>
    </row>
    <row r="903" spans="1:40" s="129" customFormat="1" x14ac:dyDescent="0.25">
      <c r="A903" s="136">
        <v>902</v>
      </c>
      <c r="B903" s="130" t="s">
        <v>4428</v>
      </c>
      <c r="C903" s="130" t="s">
        <v>38</v>
      </c>
      <c r="D903" s="136" t="s">
        <v>7112</v>
      </c>
      <c r="E903" s="132">
        <v>42382</v>
      </c>
      <c r="F903" s="132" t="s">
        <v>7026</v>
      </c>
      <c r="G903" s="132" t="s">
        <v>7113</v>
      </c>
      <c r="H903" s="130" t="s">
        <v>4491</v>
      </c>
      <c r="I903" s="132" t="s">
        <v>40</v>
      </c>
      <c r="J903" s="131" t="s">
        <v>4432</v>
      </c>
      <c r="K903" s="132" t="s">
        <v>4433</v>
      </c>
      <c r="L903" s="136">
        <v>5131728</v>
      </c>
      <c r="M903" s="132">
        <v>42375</v>
      </c>
      <c r="N903" s="136" t="s">
        <v>3741</v>
      </c>
      <c r="O903" s="130" t="s">
        <v>4436</v>
      </c>
      <c r="P903" s="136" t="s">
        <v>4492</v>
      </c>
      <c r="Q903" s="130">
        <v>29051700</v>
      </c>
      <c r="R903" s="136">
        <v>36.287999999999997</v>
      </c>
      <c r="S903" s="130" t="s">
        <v>70</v>
      </c>
      <c r="T903" s="136" t="s">
        <v>7036</v>
      </c>
      <c r="U903" s="136" t="s">
        <v>53</v>
      </c>
      <c r="V903" s="136">
        <v>1639</v>
      </c>
      <c r="W903" s="133">
        <f t="shared" si="42"/>
        <v>59476.031999999992</v>
      </c>
      <c r="X903" s="136">
        <v>19.63</v>
      </c>
      <c r="Y903" s="136">
        <v>2700</v>
      </c>
      <c r="Z903" s="136">
        <v>0</v>
      </c>
      <c r="AA903" s="136">
        <v>0</v>
      </c>
      <c r="AB903" s="131">
        <v>42376</v>
      </c>
      <c r="AC903" s="134">
        <f t="shared" si="43"/>
        <v>56756.4</v>
      </c>
      <c r="AD903" s="135">
        <v>66.2</v>
      </c>
      <c r="AE903" s="136">
        <f t="shared" si="44"/>
        <v>3937313.3183999998</v>
      </c>
      <c r="AF903" s="137">
        <v>3757273.68</v>
      </c>
      <c r="AG903" s="138">
        <v>66.2</v>
      </c>
      <c r="AH903" s="136" t="s">
        <v>7114</v>
      </c>
      <c r="AI903" s="136">
        <v>59476.03</v>
      </c>
      <c r="AJ903" s="132">
        <v>42397</v>
      </c>
      <c r="AK903" s="136" t="s">
        <v>7115</v>
      </c>
      <c r="AL903" s="132">
        <v>42398</v>
      </c>
      <c r="AM903" s="131" t="s">
        <v>49</v>
      </c>
      <c r="AN903" s="136" t="s">
        <v>4440</v>
      </c>
    </row>
    <row r="904" spans="1:40" s="129" customFormat="1" x14ac:dyDescent="0.25">
      <c r="A904" s="130">
        <v>903</v>
      </c>
      <c r="B904" s="130" t="s">
        <v>4428</v>
      </c>
      <c r="C904" s="130" t="s">
        <v>38</v>
      </c>
      <c r="D904" s="136" t="s">
        <v>7116</v>
      </c>
      <c r="E904" s="132">
        <v>42382</v>
      </c>
      <c r="F904" s="132" t="s">
        <v>7026</v>
      </c>
      <c r="G904" s="132" t="s">
        <v>7117</v>
      </c>
      <c r="H904" s="130" t="s">
        <v>4446</v>
      </c>
      <c r="I904" s="132" t="s">
        <v>40</v>
      </c>
      <c r="J904" s="131" t="s">
        <v>4432</v>
      </c>
      <c r="K904" s="132" t="s">
        <v>4433</v>
      </c>
      <c r="L904" s="136">
        <v>5149398</v>
      </c>
      <c r="M904" s="132">
        <v>42376</v>
      </c>
      <c r="N904" s="136" t="s">
        <v>4452</v>
      </c>
      <c r="O904" s="130" t="s">
        <v>4436</v>
      </c>
      <c r="P904" s="136" t="s">
        <v>75</v>
      </c>
      <c r="Q904" s="130">
        <v>29159090</v>
      </c>
      <c r="R904" s="136">
        <v>40</v>
      </c>
      <c r="S904" s="130" t="s">
        <v>70</v>
      </c>
      <c r="T904" s="136" t="s">
        <v>6462</v>
      </c>
      <c r="U904" s="136" t="s">
        <v>53</v>
      </c>
      <c r="V904" s="136">
        <v>3500</v>
      </c>
      <c r="W904" s="133">
        <f t="shared" si="42"/>
        <v>140000</v>
      </c>
      <c r="X904" s="136">
        <v>0</v>
      </c>
      <c r="Y904" s="136">
        <v>250</v>
      </c>
      <c r="Z904" s="136">
        <v>0</v>
      </c>
      <c r="AA904" s="136">
        <v>0</v>
      </c>
      <c r="AB904" s="131">
        <v>42378</v>
      </c>
      <c r="AC904" s="134">
        <f t="shared" si="43"/>
        <v>139750</v>
      </c>
      <c r="AD904" s="135">
        <v>66.2</v>
      </c>
      <c r="AE904" s="136">
        <f t="shared" si="44"/>
        <v>9268000</v>
      </c>
      <c r="AF904" s="137">
        <v>9251450</v>
      </c>
      <c r="AG904" s="138">
        <v>66.2</v>
      </c>
      <c r="AH904" s="136" t="s">
        <v>7118</v>
      </c>
      <c r="AI904" s="136">
        <v>139930</v>
      </c>
      <c r="AJ904" s="132">
        <v>42416</v>
      </c>
      <c r="AK904" s="136" t="s">
        <v>7119</v>
      </c>
      <c r="AL904" s="132">
        <v>42417</v>
      </c>
      <c r="AM904" s="131" t="s">
        <v>49</v>
      </c>
      <c r="AN904" s="136" t="s">
        <v>4440</v>
      </c>
    </row>
    <row r="905" spans="1:40" s="129" customFormat="1" x14ac:dyDescent="0.25">
      <c r="A905" s="136">
        <v>904</v>
      </c>
      <c r="B905" s="130" t="s">
        <v>4428</v>
      </c>
      <c r="C905" s="130" t="s">
        <v>38</v>
      </c>
      <c r="D905" s="136" t="s">
        <v>7120</v>
      </c>
      <c r="E905" s="132">
        <v>42382</v>
      </c>
      <c r="F905" s="132" t="s">
        <v>7026</v>
      </c>
      <c r="G905" s="132" t="s">
        <v>7121</v>
      </c>
      <c r="H905" s="130" t="s">
        <v>4491</v>
      </c>
      <c r="I905" s="132" t="s">
        <v>40</v>
      </c>
      <c r="J905" s="131" t="s">
        <v>4432</v>
      </c>
      <c r="K905" s="132" t="s">
        <v>4433</v>
      </c>
      <c r="L905" s="136">
        <v>5171420</v>
      </c>
      <c r="M905" s="132">
        <v>42377</v>
      </c>
      <c r="N905" s="136" t="s">
        <v>3741</v>
      </c>
      <c r="O905" s="130" t="s">
        <v>4436</v>
      </c>
      <c r="P905" s="136" t="s">
        <v>4492</v>
      </c>
      <c r="Q905" s="130">
        <v>29051700</v>
      </c>
      <c r="R905" s="136">
        <v>59.531999999999996</v>
      </c>
      <c r="S905" s="130" t="s">
        <v>70</v>
      </c>
      <c r="T905" s="136" t="s">
        <v>7036</v>
      </c>
      <c r="U905" s="136" t="s">
        <v>53</v>
      </c>
      <c r="V905" s="136">
        <v>1502</v>
      </c>
      <c r="W905" s="133">
        <f t="shared" si="42"/>
        <v>89417.063999999998</v>
      </c>
      <c r="X905" s="136">
        <v>29.51</v>
      </c>
      <c r="Y905" s="136">
        <v>6900</v>
      </c>
      <c r="Z905" s="136">
        <v>0</v>
      </c>
      <c r="AA905" s="136">
        <v>0</v>
      </c>
      <c r="AB905" s="131">
        <v>42380</v>
      </c>
      <c r="AC905" s="134">
        <f t="shared" si="43"/>
        <v>82487.55</v>
      </c>
      <c r="AD905" s="135">
        <v>66.400000000000006</v>
      </c>
      <c r="AE905" s="136">
        <f t="shared" si="44"/>
        <v>5937293.0496000005</v>
      </c>
      <c r="AF905" s="137">
        <v>5477173.3200000003</v>
      </c>
      <c r="AG905" s="138">
        <v>66.400000000000006</v>
      </c>
      <c r="AH905" s="136" t="s">
        <v>7122</v>
      </c>
      <c r="AI905" s="136">
        <v>89382.06</v>
      </c>
      <c r="AJ905" s="132">
        <v>42397</v>
      </c>
      <c r="AK905" s="136" t="s">
        <v>7123</v>
      </c>
      <c r="AL905" s="132">
        <v>42398</v>
      </c>
      <c r="AM905" s="131" t="s">
        <v>49</v>
      </c>
      <c r="AN905" s="136" t="s">
        <v>4440</v>
      </c>
    </row>
    <row r="906" spans="1:40" s="129" customFormat="1" x14ac:dyDescent="0.25">
      <c r="A906" s="130">
        <v>905</v>
      </c>
      <c r="B906" s="130" t="s">
        <v>4428</v>
      </c>
      <c r="C906" s="130" t="s">
        <v>38</v>
      </c>
      <c r="D906" s="136" t="s">
        <v>7124</v>
      </c>
      <c r="E906" s="132">
        <v>42383</v>
      </c>
      <c r="F906" s="132" t="s">
        <v>7026</v>
      </c>
      <c r="G906" s="132" t="s">
        <v>7125</v>
      </c>
      <c r="H906" s="130" t="s">
        <v>4431</v>
      </c>
      <c r="I906" s="132" t="s">
        <v>40</v>
      </c>
      <c r="J906" s="131" t="s">
        <v>4432</v>
      </c>
      <c r="K906" s="132" t="s">
        <v>4433</v>
      </c>
      <c r="L906" s="136">
        <v>5171495</v>
      </c>
      <c r="M906" s="132">
        <v>42377</v>
      </c>
      <c r="N906" s="136" t="s">
        <v>5963</v>
      </c>
      <c r="O906" s="130" t="s">
        <v>4436</v>
      </c>
      <c r="P906" s="136" t="s">
        <v>4465</v>
      </c>
      <c r="Q906" s="158">
        <v>38231200</v>
      </c>
      <c r="R906" s="136">
        <v>19.559999999999999</v>
      </c>
      <c r="S906" s="130" t="s">
        <v>70</v>
      </c>
      <c r="T906" s="136" t="s">
        <v>7036</v>
      </c>
      <c r="U906" s="136" t="s">
        <v>53</v>
      </c>
      <c r="V906" s="136">
        <v>695</v>
      </c>
      <c r="W906" s="133">
        <f t="shared" si="42"/>
        <v>13594.199999999999</v>
      </c>
      <c r="X906" s="136">
        <v>4.49</v>
      </c>
      <c r="Y906" s="136">
        <v>600</v>
      </c>
      <c r="Z906" s="136">
        <v>0</v>
      </c>
      <c r="AA906" s="136">
        <v>156.47999999999999</v>
      </c>
      <c r="AB906" s="131">
        <v>42380</v>
      </c>
      <c r="AC906" s="134">
        <f t="shared" si="43"/>
        <v>12989.709939759035</v>
      </c>
      <c r="AD906" s="135">
        <v>66.400000000000006</v>
      </c>
      <c r="AE906" s="136">
        <f t="shared" si="44"/>
        <v>902654.88</v>
      </c>
      <c r="AF906" s="137">
        <v>862516.74</v>
      </c>
      <c r="AG906" s="138">
        <v>66.400000000000006</v>
      </c>
      <c r="AH906" s="136" t="s">
        <v>7126</v>
      </c>
      <c r="AI906" s="136">
        <v>13594.2</v>
      </c>
      <c r="AJ906" s="132">
        <v>42444</v>
      </c>
      <c r="AK906" s="136" t="s">
        <v>7127</v>
      </c>
      <c r="AL906" s="132">
        <v>42445</v>
      </c>
      <c r="AM906" s="131" t="s">
        <v>49</v>
      </c>
      <c r="AN906" s="136" t="s">
        <v>4440</v>
      </c>
    </row>
    <row r="907" spans="1:40" s="129" customFormat="1" x14ac:dyDescent="0.25">
      <c r="A907" s="136">
        <v>906</v>
      </c>
      <c r="B907" s="130" t="s">
        <v>4428</v>
      </c>
      <c r="C907" s="130" t="s">
        <v>38</v>
      </c>
      <c r="D907" s="136" t="s">
        <v>7128</v>
      </c>
      <c r="E907" s="132">
        <v>42381</v>
      </c>
      <c r="F907" s="132" t="s">
        <v>7026</v>
      </c>
      <c r="G907" s="132" t="s">
        <v>7129</v>
      </c>
      <c r="H907" s="130" t="s">
        <v>4446</v>
      </c>
      <c r="I907" s="132" t="s">
        <v>40</v>
      </c>
      <c r="J907" s="131" t="s">
        <v>4432</v>
      </c>
      <c r="K907" s="132" t="s">
        <v>4433</v>
      </c>
      <c r="L907" s="136">
        <v>5176972</v>
      </c>
      <c r="M907" s="132">
        <v>42377</v>
      </c>
      <c r="N907" s="136" t="s">
        <v>5580</v>
      </c>
      <c r="O907" s="130" t="s">
        <v>4436</v>
      </c>
      <c r="P907" s="136" t="s">
        <v>6722</v>
      </c>
      <c r="Q907" s="130">
        <v>29159090</v>
      </c>
      <c r="R907" s="136">
        <v>0.15</v>
      </c>
      <c r="S907" s="130" t="s">
        <v>70</v>
      </c>
      <c r="T907" s="136" t="s">
        <v>7036</v>
      </c>
      <c r="U907" s="136" t="s">
        <v>53</v>
      </c>
      <c r="V907" s="136">
        <v>2380</v>
      </c>
      <c r="W907" s="133">
        <f t="shared" si="42"/>
        <v>357</v>
      </c>
      <c r="X907" s="136">
        <v>0.12</v>
      </c>
      <c r="Y907" s="136">
        <v>75</v>
      </c>
      <c r="Z907" s="136">
        <v>0</v>
      </c>
      <c r="AA907" s="136">
        <v>0</v>
      </c>
      <c r="AB907" s="131">
        <v>42378</v>
      </c>
      <c r="AC907" s="134">
        <f t="shared" si="43"/>
        <v>281.87996987951806</v>
      </c>
      <c r="AD907" s="135">
        <v>66.400000000000006</v>
      </c>
      <c r="AE907" s="136">
        <f t="shared" si="44"/>
        <v>23704.800000000003</v>
      </c>
      <c r="AF907" s="137">
        <v>18716.830000000002</v>
      </c>
      <c r="AG907" s="138">
        <v>66.400000000000006</v>
      </c>
      <c r="AH907" s="136" t="s">
        <v>7130</v>
      </c>
      <c r="AI907" s="136">
        <v>357</v>
      </c>
      <c r="AJ907" s="132">
        <v>42445</v>
      </c>
      <c r="AK907" s="136" t="s">
        <v>7131</v>
      </c>
      <c r="AL907" s="132">
        <v>42446</v>
      </c>
      <c r="AM907" s="131" t="s">
        <v>49</v>
      </c>
      <c r="AN907" s="136" t="s">
        <v>4440</v>
      </c>
    </row>
    <row r="908" spans="1:40" s="129" customFormat="1" x14ac:dyDescent="0.25">
      <c r="A908" s="130">
        <v>907</v>
      </c>
      <c r="B908" s="130" t="s">
        <v>4428</v>
      </c>
      <c r="C908" s="130" t="s">
        <v>38</v>
      </c>
      <c r="D908" s="136" t="s">
        <v>7132</v>
      </c>
      <c r="E908" s="132">
        <v>42384</v>
      </c>
      <c r="F908" s="132" t="s">
        <v>7026</v>
      </c>
      <c r="G908" s="132" t="s">
        <v>7133</v>
      </c>
      <c r="H908" s="130" t="s">
        <v>4463</v>
      </c>
      <c r="I908" s="132" t="s">
        <v>40</v>
      </c>
      <c r="J908" s="131" t="s">
        <v>4432</v>
      </c>
      <c r="K908" s="132" t="s">
        <v>4433</v>
      </c>
      <c r="L908" s="136">
        <v>5171474</v>
      </c>
      <c r="M908" s="132">
        <v>42377</v>
      </c>
      <c r="N908" s="136" t="s">
        <v>4616</v>
      </c>
      <c r="O908" s="130" t="s">
        <v>4436</v>
      </c>
      <c r="P908" s="136" t="s">
        <v>137</v>
      </c>
      <c r="Q908" s="130">
        <v>38231900</v>
      </c>
      <c r="R908" s="136">
        <v>0.36</v>
      </c>
      <c r="S908" s="130" t="s">
        <v>70</v>
      </c>
      <c r="T908" s="136" t="s">
        <v>7036</v>
      </c>
      <c r="U908" s="136" t="s">
        <v>53</v>
      </c>
      <c r="V908" s="136">
        <v>1514</v>
      </c>
      <c r="W908" s="133">
        <f t="shared" si="42"/>
        <v>545.04</v>
      </c>
      <c r="X908" s="136">
        <v>0.28000000000000003</v>
      </c>
      <c r="Y908" s="136">
        <v>75</v>
      </c>
      <c r="Z908" s="136">
        <v>0</v>
      </c>
      <c r="AA908" s="136">
        <v>0</v>
      </c>
      <c r="AB908" s="131">
        <v>42378</v>
      </c>
      <c r="AC908" s="134">
        <f t="shared" si="43"/>
        <v>469.86009036144571</v>
      </c>
      <c r="AD908" s="135">
        <v>66.400000000000006</v>
      </c>
      <c r="AE908" s="136">
        <f t="shared" si="44"/>
        <v>36190.656000000003</v>
      </c>
      <c r="AF908" s="137">
        <v>31198.71</v>
      </c>
      <c r="AG908" s="138">
        <v>66.400000000000006</v>
      </c>
      <c r="AH908" s="136" t="s">
        <v>7134</v>
      </c>
      <c r="AI908" s="136">
        <v>504.04</v>
      </c>
      <c r="AJ908" s="132">
        <v>42394</v>
      </c>
      <c r="AK908" s="136" t="s">
        <v>7135</v>
      </c>
      <c r="AL908" s="132">
        <v>42396</v>
      </c>
      <c r="AM908" s="131" t="s">
        <v>49</v>
      </c>
      <c r="AN908" s="136" t="s">
        <v>4440</v>
      </c>
    </row>
    <row r="909" spans="1:40" s="129" customFormat="1" x14ac:dyDescent="0.25">
      <c r="A909" s="136">
        <v>908</v>
      </c>
      <c r="B909" s="130" t="s">
        <v>4428</v>
      </c>
      <c r="C909" s="130" t="s">
        <v>38</v>
      </c>
      <c r="D909" s="136" t="s">
        <v>7136</v>
      </c>
      <c r="E909" s="132">
        <v>42384</v>
      </c>
      <c r="F909" s="132" t="s">
        <v>7026</v>
      </c>
      <c r="G909" s="132" t="s">
        <v>7137</v>
      </c>
      <c r="H909" s="130" t="s">
        <v>4456</v>
      </c>
      <c r="I909" s="132" t="s">
        <v>40</v>
      </c>
      <c r="J909" s="131" t="s">
        <v>4432</v>
      </c>
      <c r="K909" s="132" t="s">
        <v>4433</v>
      </c>
      <c r="L909" s="136">
        <v>5176976</v>
      </c>
      <c r="M909" s="132">
        <v>42377</v>
      </c>
      <c r="N909" s="136" t="s">
        <v>5009</v>
      </c>
      <c r="O909" s="130" t="s">
        <v>4436</v>
      </c>
      <c r="P909" s="136" t="s">
        <v>90</v>
      </c>
      <c r="Q909" s="130" t="s">
        <v>6194</v>
      </c>
      <c r="R909" s="136">
        <v>1.45</v>
      </c>
      <c r="S909" s="130" t="s">
        <v>70</v>
      </c>
      <c r="T909" s="136" t="s">
        <v>7036</v>
      </c>
      <c r="U909" s="136" t="s">
        <v>53</v>
      </c>
      <c r="V909" s="136">
        <v>0</v>
      </c>
      <c r="W909" s="133">
        <f>(0.7*1560+0.5*1700+0.25*2000)</f>
        <v>2442</v>
      </c>
      <c r="X909" s="136">
        <v>0.81</v>
      </c>
      <c r="Y909" s="136">
        <v>75</v>
      </c>
      <c r="Z909" s="136">
        <v>0</v>
      </c>
      <c r="AA909" s="136">
        <v>0</v>
      </c>
      <c r="AB909" s="131">
        <v>42378</v>
      </c>
      <c r="AC909" s="134">
        <f t="shared" si="43"/>
        <v>2366.1900602409637</v>
      </c>
      <c r="AD909" s="135">
        <v>66.400000000000006</v>
      </c>
      <c r="AE909" s="136">
        <f t="shared" si="44"/>
        <v>162148.80000000002</v>
      </c>
      <c r="AF909" s="137">
        <v>157115.01999999999</v>
      </c>
      <c r="AG909" s="138">
        <v>66.400000000000006</v>
      </c>
      <c r="AH909" s="136" t="s">
        <v>7138</v>
      </c>
      <c r="AI909" s="136">
        <v>2442</v>
      </c>
      <c r="AJ909" s="132">
        <v>42422</v>
      </c>
      <c r="AK909" s="136" t="s">
        <v>7139</v>
      </c>
      <c r="AL909" s="132">
        <v>42423</v>
      </c>
      <c r="AM909" s="131" t="s">
        <v>49</v>
      </c>
      <c r="AN909" s="136" t="s">
        <v>4440</v>
      </c>
    </row>
    <row r="910" spans="1:40" s="129" customFormat="1" x14ac:dyDescent="0.25">
      <c r="A910" s="130">
        <v>909</v>
      </c>
      <c r="B910" s="130" t="s">
        <v>4428</v>
      </c>
      <c r="C910" s="130" t="s">
        <v>38</v>
      </c>
      <c r="D910" s="136" t="s">
        <v>7140</v>
      </c>
      <c r="E910" s="132">
        <v>42383</v>
      </c>
      <c r="F910" s="132" t="s">
        <v>7026</v>
      </c>
      <c r="G910" s="132" t="s">
        <v>7141</v>
      </c>
      <c r="H910" s="130" t="s">
        <v>4431</v>
      </c>
      <c r="I910" s="132" t="s">
        <v>40</v>
      </c>
      <c r="J910" s="131" t="s">
        <v>4432</v>
      </c>
      <c r="K910" s="132" t="s">
        <v>4433</v>
      </c>
      <c r="L910" s="136">
        <v>5186383</v>
      </c>
      <c r="M910" s="132">
        <v>42378</v>
      </c>
      <c r="N910" s="136" t="s">
        <v>5963</v>
      </c>
      <c r="O910" s="130" t="s">
        <v>4436</v>
      </c>
      <c r="P910" s="136" t="s">
        <v>4465</v>
      </c>
      <c r="Q910" s="130">
        <v>38231200</v>
      </c>
      <c r="R910" s="136">
        <v>19.670000000000002</v>
      </c>
      <c r="S910" s="130" t="s">
        <v>70</v>
      </c>
      <c r="T910" s="136" t="s">
        <v>7036</v>
      </c>
      <c r="U910" s="136" t="s">
        <v>53</v>
      </c>
      <c r="V910" s="136">
        <v>695</v>
      </c>
      <c r="W910" s="133">
        <f t="shared" si="42"/>
        <v>13670.650000000001</v>
      </c>
      <c r="X910" s="136">
        <v>4.51</v>
      </c>
      <c r="Y910" s="136">
        <v>600</v>
      </c>
      <c r="Z910" s="136">
        <v>0</v>
      </c>
      <c r="AA910" s="136">
        <v>157.36000000000001</v>
      </c>
      <c r="AB910" s="131">
        <v>42380</v>
      </c>
      <c r="AC910" s="134">
        <f t="shared" si="43"/>
        <v>13066.140060240961</v>
      </c>
      <c r="AD910" s="135">
        <v>66.400000000000006</v>
      </c>
      <c r="AE910" s="136">
        <f t="shared" si="44"/>
        <v>907731.16000000015</v>
      </c>
      <c r="AF910" s="137">
        <v>867591.7</v>
      </c>
      <c r="AG910" s="138">
        <v>66.400000000000006</v>
      </c>
      <c r="AH910" s="136" t="s">
        <v>7126</v>
      </c>
      <c r="AI910" s="136">
        <v>13670.65</v>
      </c>
      <c r="AJ910" s="132">
        <v>42444</v>
      </c>
      <c r="AK910" s="136" t="s">
        <v>7142</v>
      </c>
      <c r="AL910" s="132">
        <v>42445</v>
      </c>
      <c r="AM910" s="131" t="s">
        <v>49</v>
      </c>
      <c r="AN910" s="136" t="s">
        <v>4440</v>
      </c>
    </row>
    <row r="911" spans="1:40" s="129" customFormat="1" x14ac:dyDescent="0.25">
      <c r="A911" s="136">
        <v>910</v>
      </c>
      <c r="B911" s="130" t="s">
        <v>4428</v>
      </c>
      <c r="C911" s="130" t="s">
        <v>38</v>
      </c>
      <c r="D911" s="136" t="s">
        <v>7143</v>
      </c>
      <c r="E911" s="132">
        <v>42383</v>
      </c>
      <c r="F911" s="132" t="s">
        <v>7026</v>
      </c>
      <c r="G911" s="132" t="s">
        <v>7144</v>
      </c>
      <c r="H911" s="130" t="s">
        <v>4491</v>
      </c>
      <c r="I911" s="132" t="s">
        <v>40</v>
      </c>
      <c r="J911" s="131" t="s">
        <v>4432</v>
      </c>
      <c r="K911" s="132" t="s">
        <v>4433</v>
      </c>
      <c r="L911" s="136">
        <v>5186347</v>
      </c>
      <c r="M911" s="132">
        <v>42378</v>
      </c>
      <c r="N911" s="136" t="s">
        <v>3741</v>
      </c>
      <c r="O911" s="130" t="s">
        <v>4436</v>
      </c>
      <c r="P911" s="136" t="s">
        <v>4492</v>
      </c>
      <c r="Q911" s="130">
        <v>38237090</v>
      </c>
      <c r="R911" s="136">
        <v>19.5</v>
      </c>
      <c r="S911" s="130" t="s">
        <v>70</v>
      </c>
      <c r="T911" s="136" t="s">
        <v>7036</v>
      </c>
      <c r="U911" s="136" t="s">
        <v>53</v>
      </c>
      <c r="V911" s="136">
        <v>4060</v>
      </c>
      <c r="W911" s="133">
        <f t="shared" si="42"/>
        <v>79170</v>
      </c>
      <c r="X911" s="136">
        <v>26.13</v>
      </c>
      <c r="Y911" s="136">
        <v>2400</v>
      </c>
      <c r="Z911" s="136">
        <v>0</v>
      </c>
      <c r="AA911" s="136">
        <v>0</v>
      </c>
      <c r="AB911" s="131">
        <v>42380</v>
      </c>
      <c r="AC911" s="134">
        <f t="shared" si="43"/>
        <v>76743.870030120466</v>
      </c>
      <c r="AD911" s="135">
        <v>66.400000000000006</v>
      </c>
      <c r="AE911" s="136">
        <f t="shared" si="44"/>
        <v>5256888</v>
      </c>
      <c r="AF911" s="137">
        <v>5095792.97</v>
      </c>
      <c r="AG911" s="138">
        <v>66.400000000000006</v>
      </c>
      <c r="AH911" s="136" t="s">
        <v>7145</v>
      </c>
      <c r="AI911" s="136">
        <v>79170</v>
      </c>
      <c r="AJ911" s="132">
        <v>42397</v>
      </c>
      <c r="AK911" s="136" t="s">
        <v>7146</v>
      </c>
      <c r="AL911" s="132">
        <v>42398</v>
      </c>
      <c r="AM911" s="131" t="s">
        <v>49</v>
      </c>
      <c r="AN911" s="136" t="s">
        <v>4440</v>
      </c>
    </row>
    <row r="912" spans="1:40" s="129" customFormat="1" x14ac:dyDescent="0.25">
      <c r="A912" s="130">
        <v>911</v>
      </c>
      <c r="B912" s="130" t="s">
        <v>4428</v>
      </c>
      <c r="C912" s="130" t="s">
        <v>38</v>
      </c>
      <c r="D912" s="136" t="s">
        <v>7147</v>
      </c>
      <c r="E912" s="132">
        <v>42384</v>
      </c>
      <c r="F912" s="132" t="s">
        <v>7026</v>
      </c>
      <c r="G912" s="132" t="s">
        <v>7148</v>
      </c>
      <c r="H912" s="130" t="s">
        <v>4556</v>
      </c>
      <c r="I912" s="132" t="s">
        <v>40</v>
      </c>
      <c r="J912" s="131" t="s">
        <v>4432</v>
      </c>
      <c r="K912" s="132" t="s">
        <v>4433</v>
      </c>
      <c r="L912" s="136">
        <v>5186372</v>
      </c>
      <c r="M912" s="132">
        <v>42378</v>
      </c>
      <c r="N912" s="136" t="s">
        <v>4557</v>
      </c>
      <c r="O912" s="130" t="s">
        <v>4436</v>
      </c>
      <c r="P912" s="136" t="s">
        <v>137</v>
      </c>
      <c r="Q912" s="130">
        <v>38237090</v>
      </c>
      <c r="R912" s="136">
        <v>29.5</v>
      </c>
      <c r="S912" s="130" t="s">
        <v>70</v>
      </c>
      <c r="T912" s="136" t="s">
        <v>6462</v>
      </c>
      <c r="U912" s="136" t="s">
        <v>53</v>
      </c>
      <c r="V912" s="136">
        <v>0</v>
      </c>
      <c r="W912" s="133">
        <f>(28.5*1365+1*1415)</f>
        <v>40317.5</v>
      </c>
      <c r="X912" s="136">
        <v>0</v>
      </c>
      <c r="Y912" s="136">
        <v>1300</v>
      </c>
      <c r="Z912" s="136">
        <v>0</v>
      </c>
      <c r="AA912" s="136">
        <v>0</v>
      </c>
      <c r="AB912" s="131">
        <v>42380</v>
      </c>
      <c r="AC912" s="134">
        <f t="shared" si="43"/>
        <v>39017.5</v>
      </c>
      <c r="AD912" s="135">
        <v>66.400000000000006</v>
      </c>
      <c r="AE912" s="136">
        <f t="shared" si="44"/>
        <v>2677082</v>
      </c>
      <c r="AF912" s="137">
        <v>2590762</v>
      </c>
      <c r="AG912" s="138">
        <v>66.400000000000006</v>
      </c>
      <c r="AH912" s="136" t="s">
        <v>7149</v>
      </c>
      <c r="AI912" s="136">
        <v>40282.5</v>
      </c>
      <c r="AJ912" s="132">
        <v>42430</v>
      </c>
      <c r="AK912" s="136" t="s">
        <v>7150</v>
      </c>
      <c r="AL912" s="132">
        <v>42431</v>
      </c>
      <c r="AM912" s="131" t="s">
        <v>49</v>
      </c>
      <c r="AN912" s="136" t="s">
        <v>4440</v>
      </c>
    </row>
    <row r="913" spans="1:40" s="129" customFormat="1" x14ac:dyDescent="0.25">
      <c r="A913" s="136">
        <v>912</v>
      </c>
      <c r="B913" s="130" t="s">
        <v>4428</v>
      </c>
      <c r="C913" s="130" t="s">
        <v>38</v>
      </c>
      <c r="D913" s="136" t="s">
        <v>7151</v>
      </c>
      <c r="E913" s="132">
        <v>42390</v>
      </c>
      <c r="F913" s="132" t="s">
        <v>7026</v>
      </c>
      <c r="G913" s="132" t="s">
        <v>7152</v>
      </c>
      <c r="H913" s="130" t="s">
        <v>4491</v>
      </c>
      <c r="I913" s="132" t="s">
        <v>40</v>
      </c>
      <c r="J913" s="131" t="s">
        <v>4432</v>
      </c>
      <c r="K913" s="132" t="s">
        <v>4433</v>
      </c>
      <c r="L913" s="136">
        <v>5203177</v>
      </c>
      <c r="M913" s="132">
        <v>42380</v>
      </c>
      <c r="N913" s="136" t="s">
        <v>3741</v>
      </c>
      <c r="O913" s="130" t="s">
        <v>4436</v>
      </c>
      <c r="P913" s="136" t="s">
        <v>4492</v>
      </c>
      <c r="Q913" s="130">
        <v>38237090</v>
      </c>
      <c r="R913" s="136">
        <v>19.5</v>
      </c>
      <c r="S913" s="130" t="s">
        <v>70</v>
      </c>
      <c r="T913" s="136" t="s">
        <v>7036</v>
      </c>
      <c r="U913" s="136" t="s">
        <v>53</v>
      </c>
      <c r="V913" s="136">
        <v>4060</v>
      </c>
      <c r="W913" s="133">
        <f t="shared" si="42"/>
        <v>79170</v>
      </c>
      <c r="X913" s="136">
        <v>26.13</v>
      </c>
      <c r="Y913" s="136">
        <v>2400</v>
      </c>
      <c r="Z913" s="136">
        <v>0</v>
      </c>
      <c r="AA913" s="136">
        <v>0</v>
      </c>
      <c r="AB913" s="131">
        <v>42381</v>
      </c>
      <c r="AC913" s="134">
        <f t="shared" si="43"/>
        <v>76743.870030120466</v>
      </c>
      <c r="AD913" s="135">
        <v>66.400000000000006</v>
      </c>
      <c r="AE913" s="136">
        <f t="shared" si="44"/>
        <v>5256888</v>
      </c>
      <c r="AF913" s="137">
        <v>5095792.97</v>
      </c>
      <c r="AG913" s="138">
        <v>66.400000000000006</v>
      </c>
      <c r="AH913" s="136" t="s">
        <v>7153</v>
      </c>
      <c r="AI913" s="136">
        <v>79170</v>
      </c>
      <c r="AJ913" s="132">
        <v>42444</v>
      </c>
      <c r="AK913" s="136" t="s">
        <v>7154</v>
      </c>
      <c r="AL913" s="132">
        <v>42445</v>
      </c>
      <c r="AM913" s="131" t="s">
        <v>49</v>
      </c>
      <c r="AN913" s="136" t="s">
        <v>4440</v>
      </c>
    </row>
    <row r="914" spans="1:40" s="129" customFormat="1" x14ac:dyDescent="0.25">
      <c r="A914" s="130">
        <v>913</v>
      </c>
      <c r="B914" s="130" t="s">
        <v>4428</v>
      </c>
      <c r="C914" s="130" t="s">
        <v>38</v>
      </c>
      <c r="D914" s="136" t="s">
        <v>7155</v>
      </c>
      <c r="E914" s="132">
        <v>42384</v>
      </c>
      <c r="F914" s="132" t="s">
        <v>7026</v>
      </c>
      <c r="G914" s="132" t="s">
        <v>7156</v>
      </c>
      <c r="H914" s="130" t="s">
        <v>4463</v>
      </c>
      <c r="I914" s="132" t="s">
        <v>40</v>
      </c>
      <c r="J914" s="131" t="s">
        <v>4432</v>
      </c>
      <c r="K914" s="132" t="s">
        <v>4433</v>
      </c>
      <c r="L914" s="136">
        <v>5186369</v>
      </c>
      <c r="M914" s="132">
        <v>42378</v>
      </c>
      <c r="N914" s="136" t="s">
        <v>5661</v>
      </c>
      <c r="O914" s="130" t="s">
        <v>4436</v>
      </c>
      <c r="P914" s="136" t="s">
        <v>4492</v>
      </c>
      <c r="Q914" s="130">
        <v>38237090</v>
      </c>
      <c r="R914" s="136">
        <v>26</v>
      </c>
      <c r="S914" s="130" t="s">
        <v>70</v>
      </c>
      <c r="T914" s="136" t="s">
        <v>7036</v>
      </c>
      <c r="U914" s="136" t="s">
        <v>53</v>
      </c>
      <c r="V914" s="136">
        <v>0</v>
      </c>
      <c r="W914" s="133">
        <f>(23*1342+3*1310)</f>
        <v>34796</v>
      </c>
      <c r="X914" s="136">
        <v>11.45</v>
      </c>
      <c r="Y914" s="136">
        <v>800</v>
      </c>
      <c r="Z914" s="136">
        <v>0</v>
      </c>
      <c r="AA914" s="136">
        <v>0</v>
      </c>
      <c r="AB914" s="131">
        <v>42380</v>
      </c>
      <c r="AC914" s="134">
        <f t="shared" si="43"/>
        <v>33984.520030120475</v>
      </c>
      <c r="AD914" s="135">
        <v>66.400000000000006</v>
      </c>
      <c r="AE914" s="136">
        <f t="shared" si="44"/>
        <v>2310454.4000000004</v>
      </c>
      <c r="AF914" s="137">
        <v>2256572.13</v>
      </c>
      <c r="AG914" s="138">
        <v>66.400000000000006</v>
      </c>
      <c r="AH914" s="136" t="s">
        <v>7157</v>
      </c>
      <c r="AI914" s="136">
        <v>34796</v>
      </c>
      <c r="AJ914" s="132">
        <v>42438</v>
      </c>
      <c r="AK914" s="136" t="s">
        <v>7158</v>
      </c>
      <c r="AL914" s="132">
        <v>42439</v>
      </c>
      <c r="AM914" s="131" t="s">
        <v>49</v>
      </c>
      <c r="AN914" s="136" t="s">
        <v>4440</v>
      </c>
    </row>
    <row r="915" spans="1:40" s="129" customFormat="1" x14ac:dyDescent="0.25">
      <c r="A915" s="136">
        <v>914</v>
      </c>
      <c r="B915" s="130" t="s">
        <v>4428</v>
      </c>
      <c r="C915" s="130" t="s">
        <v>38</v>
      </c>
      <c r="D915" s="136">
        <v>9103650874</v>
      </c>
      <c r="E915" s="132">
        <v>42384</v>
      </c>
      <c r="F915" s="132" t="s">
        <v>7026</v>
      </c>
      <c r="G915" s="132" t="s">
        <v>7159</v>
      </c>
      <c r="H915" s="130" t="s">
        <v>4556</v>
      </c>
      <c r="I915" s="132" t="s">
        <v>40</v>
      </c>
      <c r="J915" s="131" t="s">
        <v>4432</v>
      </c>
      <c r="K915" s="132" t="s">
        <v>4433</v>
      </c>
      <c r="L915" s="136">
        <v>5206972</v>
      </c>
      <c r="M915" s="132">
        <v>42380</v>
      </c>
      <c r="N915" s="136" t="s">
        <v>4582</v>
      </c>
      <c r="O915" s="130" t="s">
        <v>4436</v>
      </c>
      <c r="P915" s="136" t="s">
        <v>90</v>
      </c>
      <c r="Q915" s="130">
        <v>38231190</v>
      </c>
      <c r="R915" s="136">
        <v>24</v>
      </c>
      <c r="S915" s="130" t="s">
        <v>70</v>
      </c>
      <c r="T915" s="136" t="e">
        <v>#N/A</v>
      </c>
      <c r="U915" s="136" t="s">
        <v>53</v>
      </c>
      <c r="V915" s="136">
        <v>740</v>
      </c>
      <c r="W915" s="133">
        <f t="shared" si="42"/>
        <v>17760</v>
      </c>
      <c r="X915" s="136">
        <v>5.86</v>
      </c>
      <c r="Y915" s="136">
        <v>575</v>
      </c>
      <c r="Z915" s="136">
        <v>0</v>
      </c>
      <c r="AA915" s="136">
        <v>319.2</v>
      </c>
      <c r="AB915" s="131"/>
      <c r="AC915" s="134">
        <f t="shared" si="43"/>
        <v>17179.140060240959</v>
      </c>
      <c r="AD915" s="135">
        <v>66.400000000000006</v>
      </c>
      <c r="AE915" s="136">
        <f t="shared" si="44"/>
        <v>1179264</v>
      </c>
      <c r="AF915" s="137">
        <v>1140694.8999999999</v>
      </c>
      <c r="AG915" s="138">
        <v>66.400000000000006</v>
      </c>
      <c r="AH915" s="136" t="s">
        <v>7160</v>
      </c>
      <c r="AI915" s="136">
        <v>17680</v>
      </c>
      <c r="AJ915" s="132">
        <v>42433</v>
      </c>
      <c r="AK915" s="136" t="s">
        <v>7161</v>
      </c>
      <c r="AL915" s="132">
        <v>42434</v>
      </c>
      <c r="AM915" s="131" t="s">
        <v>49</v>
      </c>
      <c r="AN915" s="133" t="s">
        <v>4440</v>
      </c>
    </row>
    <row r="916" spans="1:40" s="129" customFormat="1" x14ac:dyDescent="0.25">
      <c r="A916" s="130">
        <v>915</v>
      </c>
      <c r="B916" s="130" t="s">
        <v>4428</v>
      </c>
      <c r="C916" s="130" t="s">
        <v>38</v>
      </c>
      <c r="D916" s="136" t="s">
        <v>7162</v>
      </c>
      <c r="E916" s="132">
        <v>42392</v>
      </c>
      <c r="F916" s="132" t="s">
        <v>7026</v>
      </c>
      <c r="G916" s="132" t="s">
        <v>7163</v>
      </c>
      <c r="H916" s="130" t="s">
        <v>4446</v>
      </c>
      <c r="I916" s="132" t="s">
        <v>40</v>
      </c>
      <c r="J916" s="131" t="s">
        <v>4432</v>
      </c>
      <c r="K916" s="132" t="s">
        <v>4433</v>
      </c>
      <c r="L916" s="136">
        <v>5223673</v>
      </c>
      <c r="M916" s="132">
        <v>42381</v>
      </c>
      <c r="N916" s="136" t="s">
        <v>4448</v>
      </c>
      <c r="O916" s="130" t="s">
        <v>4436</v>
      </c>
      <c r="P916" s="136" t="s">
        <v>59</v>
      </c>
      <c r="Q916" s="130">
        <v>38231900</v>
      </c>
      <c r="R916" s="136">
        <v>99.06</v>
      </c>
      <c r="S916" s="130" t="s">
        <v>70</v>
      </c>
      <c r="T916" s="136" t="s">
        <v>7036</v>
      </c>
      <c r="U916" s="136" t="s">
        <v>53</v>
      </c>
      <c r="V916" s="136">
        <v>4010</v>
      </c>
      <c r="W916" s="133">
        <f t="shared" si="42"/>
        <v>397230.60000000003</v>
      </c>
      <c r="X916" s="136">
        <v>131.09</v>
      </c>
      <c r="Y916" s="136">
        <v>2125</v>
      </c>
      <c r="Z916" s="136">
        <v>0</v>
      </c>
      <c r="AA916" s="136">
        <v>0</v>
      </c>
      <c r="AB916" s="131">
        <v>42383</v>
      </c>
      <c r="AC916" s="134">
        <f t="shared" si="43"/>
        <v>394974.50993975904</v>
      </c>
      <c r="AD916" s="135">
        <v>66.400000000000006</v>
      </c>
      <c r="AE916" s="136">
        <f t="shared" si="44"/>
        <v>26376111.840000004</v>
      </c>
      <c r="AF916" s="137">
        <v>26226307.460000001</v>
      </c>
      <c r="AG916" s="138">
        <v>66.400000000000006</v>
      </c>
      <c r="AH916" s="136" t="s">
        <v>7164</v>
      </c>
      <c r="AI916" s="136">
        <v>397210.6</v>
      </c>
      <c r="AJ916" s="132">
        <v>42425</v>
      </c>
      <c r="AK916" s="136" t="s">
        <v>7165</v>
      </c>
      <c r="AL916" s="132">
        <v>42426</v>
      </c>
      <c r="AM916" s="131" t="s">
        <v>49</v>
      </c>
      <c r="AN916" s="136" t="s">
        <v>4440</v>
      </c>
    </row>
    <row r="917" spans="1:40" s="129" customFormat="1" x14ac:dyDescent="0.25">
      <c r="A917" s="136">
        <v>916</v>
      </c>
      <c r="B917" s="130" t="s">
        <v>4428</v>
      </c>
      <c r="C917" s="130" t="s">
        <v>38</v>
      </c>
      <c r="D917" s="136" t="s">
        <v>7166</v>
      </c>
      <c r="E917" s="132">
        <v>42394</v>
      </c>
      <c r="F917" s="132" t="s">
        <v>7026</v>
      </c>
      <c r="G917" s="132" t="s">
        <v>7167</v>
      </c>
      <c r="H917" s="130" t="s">
        <v>4491</v>
      </c>
      <c r="I917" s="132" t="s">
        <v>40</v>
      </c>
      <c r="J917" s="131" t="s">
        <v>4432</v>
      </c>
      <c r="K917" s="132" t="s">
        <v>4433</v>
      </c>
      <c r="L917" s="136">
        <v>5212842</v>
      </c>
      <c r="M917" s="132">
        <v>42380</v>
      </c>
      <c r="N917" s="136" t="s">
        <v>3741</v>
      </c>
      <c r="O917" s="130" t="s">
        <v>4436</v>
      </c>
      <c r="P917" s="136" t="s">
        <v>4492</v>
      </c>
      <c r="Q917" s="130">
        <v>29051700</v>
      </c>
      <c r="R917" s="136">
        <v>59.49</v>
      </c>
      <c r="S917" s="130" t="s">
        <v>70</v>
      </c>
      <c r="T917" s="136" t="s">
        <v>7036</v>
      </c>
      <c r="U917" s="136" t="s">
        <v>53</v>
      </c>
      <c r="V917" s="136">
        <v>1479</v>
      </c>
      <c r="W917" s="133">
        <f t="shared" si="42"/>
        <v>87985.71</v>
      </c>
      <c r="X917" s="136">
        <v>29.04</v>
      </c>
      <c r="Y917" s="136">
        <v>4350</v>
      </c>
      <c r="Z917" s="136">
        <v>0</v>
      </c>
      <c r="AA917" s="136">
        <v>0</v>
      </c>
      <c r="AB917" s="131">
        <v>42381</v>
      </c>
      <c r="AC917" s="134">
        <f t="shared" si="43"/>
        <v>83606.669879518056</v>
      </c>
      <c r="AD917" s="135">
        <v>66.400000000000006</v>
      </c>
      <c r="AE917" s="136">
        <f t="shared" si="44"/>
        <v>5842251.1440000013</v>
      </c>
      <c r="AF917" s="137">
        <v>5551482.8799999999</v>
      </c>
      <c r="AG917" s="138">
        <v>66.400000000000006</v>
      </c>
      <c r="AH917" s="136" t="s">
        <v>7168</v>
      </c>
      <c r="AI917" s="136">
        <v>87950.71</v>
      </c>
      <c r="AJ917" s="132">
        <v>42482</v>
      </c>
      <c r="AK917" s="136" t="s">
        <v>7169</v>
      </c>
      <c r="AL917" s="132">
        <v>42482</v>
      </c>
      <c r="AM917" s="131" t="s">
        <v>49</v>
      </c>
      <c r="AN917" s="136" t="s">
        <v>4440</v>
      </c>
    </row>
    <row r="918" spans="1:40" s="129" customFormat="1" x14ac:dyDescent="0.25">
      <c r="A918" s="130">
        <v>917</v>
      </c>
      <c r="B918" s="130" t="s">
        <v>4428</v>
      </c>
      <c r="C918" s="130" t="s">
        <v>38</v>
      </c>
      <c r="D918" s="136" t="s">
        <v>7170</v>
      </c>
      <c r="E918" s="132">
        <v>42394</v>
      </c>
      <c r="F918" s="132" t="s">
        <v>7026</v>
      </c>
      <c r="G918" s="132" t="s">
        <v>7171</v>
      </c>
      <c r="H918" s="130" t="s">
        <v>4491</v>
      </c>
      <c r="I918" s="132" t="s">
        <v>40</v>
      </c>
      <c r="J918" s="131" t="s">
        <v>4432</v>
      </c>
      <c r="K918" s="132" t="s">
        <v>4433</v>
      </c>
      <c r="L918" s="136">
        <v>5207008</v>
      </c>
      <c r="M918" s="132">
        <v>42380</v>
      </c>
      <c r="N918" s="136" t="s">
        <v>3741</v>
      </c>
      <c r="O918" s="130" t="s">
        <v>4436</v>
      </c>
      <c r="P918" s="136" t="s">
        <v>4492</v>
      </c>
      <c r="Q918" s="130">
        <v>29051700</v>
      </c>
      <c r="R918" s="136">
        <v>18.14</v>
      </c>
      <c r="S918" s="130" t="s">
        <v>70</v>
      </c>
      <c r="T918" s="136" t="s">
        <v>7036</v>
      </c>
      <c r="U918" s="136" t="s">
        <v>53</v>
      </c>
      <c r="V918" s="136">
        <v>1577</v>
      </c>
      <c r="W918" s="133">
        <f t="shared" si="42"/>
        <v>28606.780000000002</v>
      </c>
      <c r="X918" s="136">
        <v>9.44</v>
      </c>
      <c r="Y918" s="136">
        <v>1450</v>
      </c>
      <c r="Z918" s="136">
        <v>0</v>
      </c>
      <c r="AA918" s="136">
        <v>0</v>
      </c>
      <c r="AB918" s="131">
        <v>42381</v>
      </c>
      <c r="AC918" s="134">
        <f t="shared" si="43"/>
        <v>27147.339909638555</v>
      </c>
      <c r="AD918" s="135">
        <v>66.400000000000006</v>
      </c>
      <c r="AE918" s="136">
        <f t="shared" si="44"/>
        <v>1899490.1920000003</v>
      </c>
      <c r="AF918" s="137">
        <v>1802583.37</v>
      </c>
      <c r="AG918" s="138">
        <v>66.400000000000006</v>
      </c>
      <c r="AH918" s="136" t="s">
        <v>7172</v>
      </c>
      <c r="AI918" s="136">
        <v>28606.78</v>
      </c>
      <c r="AJ918" s="132">
        <v>42444</v>
      </c>
      <c r="AK918" s="136" t="s">
        <v>7173</v>
      </c>
      <c r="AL918" s="132">
        <v>42445</v>
      </c>
      <c r="AM918" s="131" t="s">
        <v>49</v>
      </c>
      <c r="AN918" s="136" t="s">
        <v>4440</v>
      </c>
    </row>
    <row r="919" spans="1:40" s="129" customFormat="1" x14ac:dyDescent="0.25">
      <c r="A919" s="136">
        <v>918</v>
      </c>
      <c r="B919" s="130" t="s">
        <v>4428</v>
      </c>
      <c r="C919" s="130" t="s">
        <v>38</v>
      </c>
      <c r="D919" s="136" t="s">
        <v>7174</v>
      </c>
      <c r="E919" s="132">
        <v>42384</v>
      </c>
      <c r="F919" s="132" t="s">
        <v>7026</v>
      </c>
      <c r="G919" s="132" t="s">
        <v>7175</v>
      </c>
      <c r="H919" s="130" t="s">
        <v>4446</v>
      </c>
      <c r="I919" s="132" t="s">
        <v>40</v>
      </c>
      <c r="J919" s="131" t="s">
        <v>4432</v>
      </c>
      <c r="K919" s="132" t="s">
        <v>4433</v>
      </c>
      <c r="L919" s="136">
        <v>5229624</v>
      </c>
      <c r="M919" s="132">
        <v>42381</v>
      </c>
      <c r="N919" s="136" t="s">
        <v>4448</v>
      </c>
      <c r="O919" s="130" t="s">
        <v>4436</v>
      </c>
      <c r="P919" s="136" t="s">
        <v>59</v>
      </c>
      <c r="Q919" s="130">
        <v>38231900</v>
      </c>
      <c r="R919" s="136">
        <v>59.24</v>
      </c>
      <c r="S919" s="130" t="s">
        <v>70</v>
      </c>
      <c r="T919" s="136" t="s">
        <v>7036</v>
      </c>
      <c r="U919" s="136" t="s">
        <v>53</v>
      </c>
      <c r="V919" s="136">
        <v>4010</v>
      </c>
      <c r="W919" s="133">
        <f t="shared" si="42"/>
        <v>237552.4</v>
      </c>
      <c r="X919" s="136">
        <v>78.39</v>
      </c>
      <c r="Y919" s="136">
        <v>1275</v>
      </c>
      <c r="Z919" s="136">
        <v>0</v>
      </c>
      <c r="AA919" s="136">
        <v>0</v>
      </c>
      <c r="AB919" s="131">
        <v>42383</v>
      </c>
      <c r="AC919" s="134">
        <f t="shared" si="43"/>
        <v>236199.00993975901</v>
      </c>
      <c r="AD919" s="135">
        <v>66.400000000000006</v>
      </c>
      <c r="AE919" s="136">
        <f t="shared" si="44"/>
        <v>15773479.360000001</v>
      </c>
      <c r="AF919" s="137">
        <v>15683614.26</v>
      </c>
      <c r="AG919" s="138">
        <v>66.400000000000006</v>
      </c>
      <c r="AH919" s="136" t="s">
        <v>7176</v>
      </c>
      <c r="AI919" s="136">
        <v>237532.4</v>
      </c>
      <c r="AJ919" s="132">
        <v>42447</v>
      </c>
      <c r="AK919" s="136" t="s">
        <v>7177</v>
      </c>
      <c r="AL919" s="132">
        <v>42448</v>
      </c>
      <c r="AM919" s="131" t="s">
        <v>49</v>
      </c>
      <c r="AN919" s="136" t="s">
        <v>4440</v>
      </c>
    </row>
    <row r="920" spans="1:40" s="129" customFormat="1" x14ac:dyDescent="0.25">
      <c r="A920" s="130">
        <v>919</v>
      </c>
      <c r="B920" s="130" t="s">
        <v>4428</v>
      </c>
      <c r="C920" s="130" t="s">
        <v>38</v>
      </c>
      <c r="D920" s="136">
        <v>9103650879</v>
      </c>
      <c r="E920" s="132">
        <v>42386</v>
      </c>
      <c r="F920" s="132" t="s">
        <v>7026</v>
      </c>
      <c r="G920" s="132" t="s">
        <v>7178</v>
      </c>
      <c r="H920" s="130" t="s">
        <v>4456</v>
      </c>
      <c r="I920" s="132" t="s">
        <v>40</v>
      </c>
      <c r="J920" s="131" t="s">
        <v>4432</v>
      </c>
      <c r="K920" s="132" t="s">
        <v>4433</v>
      </c>
      <c r="L920" s="136">
        <v>5239935</v>
      </c>
      <c r="M920" s="132">
        <v>42381</v>
      </c>
      <c r="N920" s="136" t="s">
        <v>7179</v>
      </c>
      <c r="O920" s="130" t="s">
        <v>4436</v>
      </c>
      <c r="P920" s="136" t="s">
        <v>190</v>
      </c>
      <c r="Q920" s="130">
        <v>29157010</v>
      </c>
      <c r="R920" s="136">
        <v>14</v>
      </c>
      <c r="S920" s="130" t="s">
        <v>70</v>
      </c>
      <c r="T920" s="136" t="s">
        <v>52</v>
      </c>
      <c r="U920" s="136" t="s">
        <v>53</v>
      </c>
      <c r="V920" s="136">
        <v>715</v>
      </c>
      <c r="W920" s="133">
        <f t="shared" si="42"/>
        <v>10010</v>
      </c>
      <c r="X920" s="136">
        <v>0</v>
      </c>
      <c r="Y920" s="136">
        <v>450</v>
      </c>
      <c r="Z920" s="136">
        <v>0</v>
      </c>
      <c r="AA920" s="136">
        <v>210</v>
      </c>
      <c r="AB920" s="131"/>
      <c r="AC920" s="134">
        <f t="shared" si="43"/>
        <v>9560</v>
      </c>
      <c r="AD920" s="135">
        <v>66.400000000000006</v>
      </c>
      <c r="AE920" s="136">
        <f t="shared" si="44"/>
        <v>664664</v>
      </c>
      <c r="AF920" s="137">
        <v>634784</v>
      </c>
      <c r="AG920" s="138">
        <v>66.400000000000006</v>
      </c>
      <c r="AH920" s="136" t="s">
        <v>7180</v>
      </c>
      <c r="AI920" s="136">
        <v>9870</v>
      </c>
      <c r="AJ920" s="132">
        <v>42432</v>
      </c>
      <c r="AK920" s="136" t="s">
        <v>7181</v>
      </c>
      <c r="AL920" s="132">
        <v>42433</v>
      </c>
      <c r="AM920" s="131" t="s">
        <v>49</v>
      </c>
      <c r="AN920" s="133" t="s">
        <v>4440</v>
      </c>
    </row>
    <row r="921" spans="1:40" s="129" customFormat="1" x14ac:dyDescent="0.25">
      <c r="A921" s="136">
        <v>920</v>
      </c>
      <c r="B921" s="130" t="s">
        <v>4428</v>
      </c>
      <c r="C921" s="130" t="s">
        <v>38</v>
      </c>
      <c r="D921" s="136" t="s">
        <v>7182</v>
      </c>
      <c r="E921" s="132">
        <v>42389</v>
      </c>
      <c r="F921" s="132" t="s">
        <v>7026</v>
      </c>
      <c r="G921" s="132" t="s">
        <v>7183</v>
      </c>
      <c r="H921" s="130" t="s">
        <v>4491</v>
      </c>
      <c r="I921" s="132" t="s">
        <v>40</v>
      </c>
      <c r="J921" s="131" t="s">
        <v>4432</v>
      </c>
      <c r="K921" s="132" t="s">
        <v>4433</v>
      </c>
      <c r="L921" s="136">
        <v>5239933</v>
      </c>
      <c r="M921" s="132">
        <v>42381</v>
      </c>
      <c r="N921" s="136" t="s">
        <v>4650</v>
      </c>
      <c r="O921" s="130" t="s">
        <v>4436</v>
      </c>
      <c r="P921" s="136" t="s">
        <v>308</v>
      </c>
      <c r="Q921" s="130">
        <v>38237090</v>
      </c>
      <c r="R921" s="136">
        <v>16.8</v>
      </c>
      <c r="S921" s="130" t="s">
        <v>70</v>
      </c>
      <c r="T921" s="136" t="s">
        <v>6462</v>
      </c>
      <c r="U921" s="136" t="s">
        <v>53</v>
      </c>
      <c r="V921" s="136">
        <v>3669</v>
      </c>
      <c r="W921" s="133">
        <f t="shared" si="42"/>
        <v>61639.200000000004</v>
      </c>
      <c r="X921" s="136">
        <v>0</v>
      </c>
      <c r="Y921" s="136">
        <v>550</v>
      </c>
      <c r="Z921" s="136">
        <v>0</v>
      </c>
      <c r="AA921" s="136">
        <v>0</v>
      </c>
      <c r="AB921" s="131">
        <v>42383</v>
      </c>
      <c r="AC921" s="134">
        <f t="shared" si="43"/>
        <v>61089.19999999999</v>
      </c>
      <c r="AD921" s="135">
        <v>66.400000000000006</v>
      </c>
      <c r="AE921" s="136">
        <f t="shared" si="44"/>
        <v>4092842.8800000008</v>
      </c>
      <c r="AF921" s="137">
        <v>4056322.88</v>
      </c>
      <c r="AG921" s="138">
        <v>66.400000000000006</v>
      </c>
      <c r="AH921" s="136" t="s">
        <v>7184</v>
      </c>
      <c r="AI921" s="136">
        <v>61551.72</v>
      </c>
      <c r="AJ921" s="132">
        <v>42499</v>
      </c>
      <c r="AK921" s="136" t="s">
        <v>7185</v>
      </c>
      <c r="AL921" s="132">
        <v>42500</v>
      </c>
      <c r="AM921" s="131" t="s">
        <v>49</v>
      </c>
      <c r="AN921" s="133" t="s">
        <v>4440</v>
      </c>
    </row>
    <row r="922" spans="1:40" s="129" customFormat="1" x14ac:dyDescent="0.25">
      <c r="A922" s="130">
        <v>921</v>
      </c>
      <c r="B922" s="130" t="s">
        <v>4428</v>
      </c>
      <c r="C922" s="130" t="s">
        <v>38</v>
      </c>
      <c r="D922" s="136">
        <v>9103650881</v>
      </c>
      <c r="E922" s="132">
        <v>42385</v>
      </c>
      <c r="F922" s="132" t="s">
        <v>7026</v>
      </c>
      <c r="G922" s="141" t="s">
        <v>7186</v>
      </c>
      <c r="H922" s="130" t="s">
        <v>4446</v>
      </c>
      <c r="I922" s="132" t="s">
        <v>40</v>
      </c>
      <c r="J922" s="131" t="s">
        <v>4432</v>
      </c>
      <c r="K922" s="132" t="s">
        <v>4433</v>
      </c>
      <c r="L922" s="136">
        <v>5239932</v>
      </c>
      <c r="M922" s="132">
        <v>42381</v>
      </c>
      <c r="N922" s="136" t="s">
        <v>4532</v>
      </c>
      <c r="O922" s="130" t="s">
        <v>4436</v>
      </c>
      <c r="P922" s="136" t="s">
        <v>690</v>
      </c>
      <c r="Q922" s="136">
        <v>29051700</v>
      </c>
      <c r="R922" s="136">
        <v>20</v>
      </c>
      <c r="S922" s="130" t="s">
        <v>70</v>
      </c>
      <c r="T922" s="136" t="s">
        <v>7036</v>
      </c>
      <c r="U922" s="136" t="s">
        <v>53</v>
      </c>
      <c r="V922" s="136">
        <v>1300</v>
      </c>
      <c r="W922" s="133">
        <f t="shared" si="42"/>
        <v>26000</v>
      </c>
      <c r="X922" s="136">
        <v>8.58</v>
      </c>
      <c r="Y922" s="136">
        <v>50</v>
      </c>
      <c r="Z922" s="136">
        <v>0</v>
      </c>
      <c r="AA922" s="136">
        <v>0</v>
      </c>
      <c r="AB922" s="131">
        <v>42382</v>
      </c>
      <c r="AC922" s="134">
        <f t="shared" si="43"/>
        <v>25941.42003012048</v>
      </c>
      <c r="AD922" s="135">
        <v>66.400000000000006</v>
      </c>
      <c r="AE922" s="136">
        <f t="shared" si="44"/>
        <v>1726400.0000000002</v>
      </c>
      <c r="AF922" s="137">
        <v>1722510.29</v>
      </c>
      <c r="AG922" s="138">
        <v>66.400000000000006</v>
      </c>
      <c r="AH922" s="136" t="s">
        <v>7187</v>
      </c>
      <c r="AI922" s="136">
        <v>26000</v>
      </c>
      <c r="AJ922" s="132">
        <v>42570</v>
      </c>
      <c r="AK922" s="136" t="s">
        <v>7188</v>
      </c>
      <c r="AL922" s="132">
        <v>42571</v>
      </c>
      <c r="AM922" s="131" t="s">
        <v>49</v>
      </c>
      <c r="AN922" s="133" t="s">
        <v>4440</v>
      </c>
    </row>
    <row r="923" spans="1:40" s="129" customFormat="1" x14ac:dyDescent="0.25">
      <c r="A923" s="136">
        <v>922</v>
      </c>
      <c r="B923" s="130" t="s">
        <v>4428</v>
      </c>
      <c r="C923" s="130" t="s">
        <v>38</v>
      </c>
      <c r="D923" s="136" t="s">
        <v>7189</v>
      </c>
      <c r="E923" s="132">
        <v>42384</v>
      </c>
      <c r="F923" s="132" t="s">
        <v>7026</v>
      </c>
      <c r="G923" s="141" t="s">
        <v>7190</v>
      </c>
      <c r="H923" s="130" t="s">
        <v>7191</v>
      </c>
      <c r="I923" s="132" t="s">
        <v>40</v>
      </c>
      <c r="J923" s="131" t="s">
        <v>4432</v>
      </c>
      <c r="K923" s="132" t="s">
        <v>4433</v>
      </c>
      <c r="L923" s="136">
        <v>5239966</v>
      </c>
      <c r="M923" s="132">
        <v>42381</v>
      </c>
      <c r="N923" s="136" t="s">
        <v>4473</v>
      </c>
      <c r="O923" s="130" t="s">
        <v>4436</v>
      </c>
      <c r="P923" s="136" t="s">
        <v>361</v>
      </c>
      <c r="Q923" s="130">
        <v>38237090</v>
      </c>
      <c r="R923" s="136">
        <v>57.11</v>
      </c>
      <c r="S923" s="130" t="s">
        <v>70</v>
      </c>
      <c r="T923" s="136" t="s">
        <v>67</v>
      </c>
      <c r="U923" s="136" t="s">
        <v>1117</v>
      </c>
      <c r="V923" s="136">
        <v>78020</v>
      </c>
      <c r="W923" s="133">
        <f t="shared" si="42"/>
        <v>4455722.2</v>
      </c>
      <c r="X923" s="136">
        <v>0</v>
      </c>
      <c r="Y923" s="136">
        <v>0</v>
      </c>
      <c r="Z923" s="136">
        <v>0</v>
      </c>
      <c r="AA923" s="136">
        <v>113398.13</v>
      </c>
      <c r="AB923" s="131">
        <v>42382</v>
      </c>
      <c r="AC923" s="134">
        <f t="shared" si="43"/>
        <v>4455722.2</v>
      </c>
      <c r="AD923" s="135">
        <v>1</v>
      </c>
      <c r="AE923" s="136">
        <f t="shared" si="44"/>
        <v>4455722.2</v>
      </c>
      <c r="AF923" s="130">
        <v>4455722.2</v>
      </c>
      <c r="AG923" s="138">
        <v>1</v>
      </c>
      <c r="AH923" s="136" t="s">
        <v>7192</v>
      </c>
      <c r="AI923" s="136">
        <v>4455722.2</v>
      </c>
      <c r="AJ923" s="132">
        <v>42401</v>
      </c>
      <c r="AK923" s="136" t="s">
        <v>7193</v>
      </c>
      <c r="AL923" s="132">
        <v>42402</v>
      </c>
      <c r="AM923" s="132" t="s">
        <v>49</v>
      </c>
      <c r="AN923" s="133" t="s">
        <v>4440</v>
      </c>
    </row>
    <row r="924" spans="1:40" s="129" customFormat="1" x14ac:dyDescent="0.25">
      <c r="A924" s="130">
        <v>923</v>
      </c>
      <c r="B924" s="130" t="s">
        <v>4428</v>
      </c>
      <c r="C924" s="130" t="s">
        <v>38</v>
      </c>
      <c r="D924" s="136" t="s">
        <v>7189</v>
      </c>
      <c r="E924" s="132">
        <v>42384</v>
      </c>
      <c r="F924" s="132" t="s">
        <v>7026</v>
      </c>
      <c r="G924" s="141" t="s">
        <v>7194</v>
      </c>
      <c r="H924" s="130" t="s">
        <v>7191</v>
      </c>
      <c r="I924" s="132" t="s">
        <v>40</v>
      </c>
      <c r="J924" s="131" t="s">
        <v>4432</v>
      </c>
      <c r="K924" s="132" t="s">
        <v>4433</v>
      </c>
      <c r="L924" s="136">
        <v>5250923</v>
      </c>
      <c r="M924" s="132">
        <v>42382</v>
      </c>
      <c r="N924" s="136" t="s">
        <v>4473</v>
      </c>
      <c r="O924" s="130" t="s">
        <v>4436</v>
      </c>
      <c r="P924" s="136" t="s">
        <v>361</v>
      </c>
      <c r="Q924" s="130">
        <v>38237090</v>
      </c>
      <c r="R924" s="136">
        <v>149.55000000000001</v>
      </c>
      <c r="S924" s="130" t="s">
        <v>70</v>
      </c>
      <c r="T924" s="136" t="s">
        <v>67</v>
      </c>
      <c r="U924" s="136" t="s">
        <v>1117</v>
      </c>
      <c r="V924" s="136">
        <v>78020</v>
      </c>
      <c r="W924" s="133">
        <f t="shared" si="42"/>
        <v>11667891</v>
      </c>
      <c r="X924" s="136">
        <v>0</v>
      </c>
      <c r="Y924" s="136">
        <v>0</v>
      </c>
      <c r="Z924" s="136">
        <v>0</v>
      </c>
      <c r="AA924" s="136">
        <v>296947.83</v>
      </c>
      <c r="AB924" s="131">
        <v>42383</v>
      </c>
      <c r="AC924" s="134">
        <f t="shared" si="43"/>
        <v>11667891</v>
      </c>
      <c r="AD924" s="135">
        <v>1</v>
      </c>
      <c r="AE924" s="136">
        <f t="shared" si="44"/>
        <v>11667891</v>
      </c>
      <c r="AF924" s="130">
        <v>11667891</v>
      </c>
      <c r="AG924" s="138">
        <v>1</v>
      </c>
      <c r="AH924" s="136" t="s">
        <v>7192</v>
      </c>
      <c r="AI924" s="136">
        <v>11667891</v>
      </c>
      <c r="AJ924" s="132">
        <v>42401</v>
      </c>
      <c r="AK924" s="136" t="s">
        <v>7195</v>
      </c>
      <c r="AL924" s="132">
        <v>42402</v>
      </c>
      <c r="AM924" s="132" t="s">
        <v>49</v>
      </c>
      <c r="AN924" s="133" t="s">
        <v>5297</v>
      </c>
    </row>
    <row r="925" spans="1:40" s="129" customFormat="1" x14ac:dyDescent="0.25">
      <c r="A925" s="136">
        <v>924</v>
      </c>
      <c r="B925" s="130" t="s">
        <v>4428</v>
      </c>
      <c r="C925" s="130" t="s">
        <v>38</v>
      </c>
      <c r="D925" s="136" t="s">
        <v>7196</v>
      </c>
      <c r="E925" s="132">
        <v>42389</v>
      </c>
      <c r="F925" s="132" t="s">
        <v>7026</v>
      </c>
      <c r="G925" s="132" t="s">
        <v>7197</v>
      </c>
      <c r="H925" s="130" t="s">
        <v>4491</v>
      </c>
      <c r="I925" s="132" t="s">
        <v>40</v>
      </c>
      <c r="J925" s="131" t="s">
        <v>4432</v>
      </c>
      <c r="K925" s="132" t="s">
        <v>4433</v>
      </c>
      <c r="L925" s="136">
        <v>5258482</v>
      </c>
      <c r="M925" s="132">
        <v>42382</v>
      </c>
      <c r="N925" s="136" t="s">
        <v>3741</v>
      </c>
      <c r="O925" s="130" t="s">
        <v>4436</v>
      </c>
      <c r="P925" s="136" t="s">
        <v>4492</v>
      </c>
      <c r="Q925" s="130">
        <v>29051700</v>
      </c>
      <c r="R925" s="136">
        <v>18.143999999999998</v>
      </c>
      <c r="S925" s="130" t="s">
        <v>70</v>
      </c>
      <c r="T925" s="136" t="s">
        <v>7036</v>
      </c>
      <c r="U925" s="136" t="s">
        <v>53</v>
      </c>
      <c r="V925" s="136">
        <v>1510</v>
      </c>
      <c r="W925" s="133">
        <f t="shared" si="42"/>
        <v>27397.439999999999</v>
      </c>
      <c r="X925" s="136">
        <v>9.0399999999999991</v>
      </c>
      <c r="Y925" s="136">
        <v>1250</v>
      </c>
      <c r="Z925" s="136">
        <v>0</v>
      </c>
      <c r="AA925" s="136">
        <v>0</v>
      </c>
      <c r="AB925" s="131">
        <v>42383</v>
      </c>
      <c r="AC925" s="134">
        <f t="shared" si="43"/>
        <v>26138.399999999998</v>
      </c>
      <c r="AD925" s="135">
        <v>66.400000000000006</v>
      </c>
      <c r="AE925" s="136">
        <f t="shared" si="44"/>
        <v>1819190.0160000001</v>
      </c>
      <c r="AF925" s="137">
        <v>1735589.76</v>
      </c>
      <c r="AG925" s="138">
        <v>66.400000000000006</v>
      </c>
      <c r="AH925" s="136" t="s">
        <v>7198</v>
      </c>
      <c r="AI925" s="136">
        <v>27397.439999999999</v>
      </c>
      <c r="AJ925" s="132">
        <v>42444</v>
      </c>
      <c r="AK925" s="136" t="s">
        <v>7199</v>
      </c>
      <c r="AL925" s="132">
        <v>42445</v>
      </c>
      <c r="AM925" s="131" t="s">
        <v>49</v>
      </c>
      <c r="AN925" s="136" t="s">
        <v>4440</v>
      </c>
    </row>
    <row r="926" spans="1:40" s="129" customFormat="1" x14ac:dyDescent="0.25">
      <c r="A926" s="130">
        <v>925</v>
      </c>
      <c r="B926" s="130" t="s">
        <v>4428</v>
      </c>
      <c r="C926" s="130" t="s">
        <v>38</v>
      </c>
      <c r="D926" s="136" t="s">
        <v>7200</v>
      </c>
      <c r="E926" s="132">
        <v>42389</v>
      </c>
      <c r="F926" s="132" t="s">
        <v>7026</v>
      </c>
      <c r="G926" s="132" t="s">
        <v>7201</v>
      </c>
      <c r="H926" s="130" t="s">
        <v>4491</v>
      </c>
      <c r="I926" s="132" t="s">
        <v>40</v>
      </c>
      <c r="J926" s="131" t="s">
        <v>4432</v>
      </c>
      <c r="K926" s="132" t="s">
        <v>4433</v>
      </c>
      <c r="L926" s="136">
        <v>5277471</v>
      </c>
      <c r="M926" s="132">
        <v>42383</v>
      </c>
      <c r="N926" s="136" t="s">
        <v>3741</v>
      </c>
      <c r="O926" s="130" t="s">
        <v>4436</v>
      </c>
      <c r="P926" s="136" t="s">
        <v>4492</v>
      </c>
      <c r="Q926" s="130">
        <v>29051700</v>
      </c>
      <c r="R926" s="136">
        <v>18.143999999999998</v>
      </c>
      <c r="S926" s="130" t="s">
        <v>70</v>
      </c>
      <c r="T926" s="136" t="s">
        <v>7036</v>
      </c>
      <c r="U926" s="136" t="s">
        <v>53</v>
      </c>
      <c r="V926" s="136">
        <v>1510</v>
      </c>
      <c r="W926" s="133">
        <f t="shared" si="42"/>
        <v>27397.439999999999</v>
      </c>
      <c r="X926" s="136">
        <v>9.0399999999999991</v>
      </c>
      <c r="Y926" s="136">
        <v>1250</v>
      </c>
      <c r="Z926" s="136">
        <v>0</v>
      </c>
      <c r="AA926" s="136">
        <v>0</v>
      </c>
      <c r="AB926" s="131">
        <v>42385</v>
      </c>
      <c r="AC926" s="134">
        <f t="shared" si="43"/>
        <v>26138.399999999998</v>
      </c>
      <c r="AD926" s="135">
        <v>66.400000000000006</v>
      </c>
      <c r="AE926" s="136">
        <f t="shared" si="44"/>
        <v>1819190.0160000001</v>
      </c>
      <c r="AF926" s="137">
        <v>1735589.76</v>
      </c>
      <c r="AG926" s="138">
        <v>66.400000000000006</v>
      </c>
      <c r="AH926" s="136" t="s">
        <v>7198</v>
      </c>
      <c r="AI926" s="136">
        <v>27397.439999999999</v>
      </c>
      <c r="AJ926" s="132">
        <v>42444</v>
      </c>
      <c r="AK926" s="136" t="s">
        <v>7202</v>
      </c>
      <c r="AL926" s="132">
        <v>42445</v>
      </c>
      <c r="AM926" s="131" t="s">
        <v>49</v>
      </c>
      <c r="AN926" s="136" t="s">
        <v>4440</v>
      </c>
    </row>
    <row r="927" spans="1:40" s="129" customFormat="1" x14ac:dyDescent="0.25">
      <c r="A927" s="136">
        <v>926</v>
      </c>
      <c r="B927" s="130" t="s">
        <v>4428</v>
      </c>
      <c r="C927" s="130" t="s">
        <v>38</v>
      </c>
      <c r="D927" s="136" t="s">
        <v>7203</v>
      </c>
      <c r="E927" s="132">
        <v>42387</v>
      </c>
      <c r="F927" s="132" t="s">
        <v>7026</v>
      </c>
      <c r="G927" s="132" t="s">
        <v>7204</v>
      </c>
      <c r="H927" s="130" t="s">
        <v>4456</v>
      </c>
      <c r="I927" s="132" t="s">
        <v>40</v>
      </c>
      <c r="J927" s="131" t="s">
        <v>4432</v>
      </c>
      <c r="K927" s="132" t="s">
        <v>4433</v>
      </c>
      <c r="L927" s="136">
        <v>5277678</v>
      </c>
      <c r="M927" s="132">
        <v>42383</v>
      </c>
      <c r="N927" s="136" t="s">
        <v>4527</v>
      </c>
      <c r="O927" s="130" t="s">
        <v>4436</v>
      </c>
      <c r="P927" s="136" t="s">
        <v>59</v>
      </c>
      <c r="Q927" s="130">
        <v>38237090</v>
      </c>
      <c r="R927" s="136">
        <v>93.97</v>
      </c>
      <c r="S927" s="130" t="s">
        <v>70</v>
      </c>
      <c r="T927" s="136" t="s">
        <v>7036</v>
      </c>
      <c r="U927" s="136" t="s">
        <v>4528</v>
      </c>
      <c r="V927" s="136">
        <v>1086</v>
      </c>
      <c r="W927" s="133">
        <f t="shared" si="42"/>
        <v>102051.42</v>
      </c>
      <c r="X927" s="136">
        <v>33.68</v>
      </c>
      <c r="Y927" s="136">
        <v>1972.05</v>
      </c>
      <c r="Z927" s="136">
        <v>0</v>
      </c>
      <c r="AA927" s="136">
        <v>0</v>
      </c>
      <c r="AB927" s="131">
        <v>42385</v>
      </c>
      <c r="AC927" s="134">
        <f t="shared" si="43"/>
        <v>100045.69000698812</v>
      </c>
      <c r="AD927" s="135">
        <v>71.55</v>
      </c>
      <c r="AE927" s="136">
        <f t="shared" si="44"/>
        <v>7301779.1009999998</v>
      </c>
      <c r="AF927" s="130">
        <v>7158269.1200000001</v>
      </c>
      <c r="AG927" s="138">
        <v>71.55</v>
      </c>
      <c r="AH927" s="136" t="s">
        <v>7205</v>
      </c>
      <c r="AI927" s="136">
        <v>102051.42</v>
      </c>
      <c r="AJ927" s="132">
        <v>42466</v>
      </c>
      <c r="AK927" s="136" t="s">
        <v>7206</v>
      </c>
      <c r="AL927" s="132">
        <v>42466</v>
      </c>
      <c r="AM927" s="131" t="s">
        <v>49</v>
      </c>
      <c r="AN927" s="136" t="s">
        <v>4440</v>
      </c>
    </row>
    <row r="928" spans="1:40" s="129" customFormat="1" x14ac:dyDescent="0.25">
      <c r="A928" s="130">
        <v>927</v>
      </c>
      <c r="B928" s="130" t="s">
        <v>4428</v>
      </c>
      <c r="C928" s="130" t="s">
        <v>38</v>
      </c>
      <c r="D928" s="136" t="s">
        <v>7207</v>
      </c>
      <c r="E928" s="132">
        <v>42389</v>
      </c>
      <c r="F928" s="132" t="s">
        <v>7026</v>
      </c>
      <c r="G928" s="132" t="s">
        <v>7208</v>
      </c>
      <c r="H928" s="130" t="s">
        <v>4431</v>
      </c>
      <c r="I928" s="132" t="s">
        <v>40</v>
      </c>
      <c r="J928" s="131" t="s">
        <v>4432</v>
      </c>
      <c r="K928" s="132" t="s">
        <v>4433</v>
      </c>
      <c r="L928" s="136">
        <v>5280037</v>
      </c>
      <c r="M928" s="132">
        <v>42383</v>
      </c>
      <c r="N928" s="136" t="s">
        <v>6676</v>
      </c>
      <c r="O928" s="130" t="s">
        <v>4436</v>
      </c>
      <c r="P928" s="136" t="s">
        <v>4465</v>
      </c>
      <c r="Q928" s="130">
        <v>38237090</v>
      </c>
      <c r="R928" s="136">
        <v>12</v>
      </c>
      <c r="S928" s="130" t="s">
        <v>70</v>
      </c>
      <c r="T928" s="136" t="s">
        <v>44</v>
      </c>
      <c r="U928" s="136" t="s">
        <v>53</v>
      </c>
      <c r="V928" s="136">
        <v>3810</v>
      </c>
      <c r="W928" s="133">
        <f t="shared" si="42"/>
        <v>45720</v>
      </c>
      <c r="X928" s="136">
        <v>15.09</v>
      </c>
      <c r="Y928" s="136">
        <v>50</v>
      </c>
      <c r="Z928" s="136">
        <v>0</v>
      </c>
      <c r="AA928" s="136">
        <v>0</v>
      </c>
      <c r="AB928" s="131">
        <v>42384</v>
      </c>
      <c r="AC928" s="134">
        <f t="shared" si="43"/>
        <v>45654.909939759033</v>
      </c>
      <c r="AD928" s="135">
        <v>66.400000000000006</v>
      </c>
      <c r="AE928" s="136">
        <f t="shared" si="44"/>
        <v>3035808.0000000005</v>
      </c>
      <c r="AF928" s="137">
        <v>3031486.02</v>
      </c>
      <c r="AG928" s="138">
        <v>66.400000000000006</v>
      </c>
      <c r="AH928" s="136" t="s">
        <v>7209</v>
      </c>
      <c r="AI928" s="136">
        <v>45525</v>
      </c>
      <c r="AJ928" s="132">
        <v>42404</v>
      </c>
      <c r="AK928" s="136" t="s">
        <v>7210</v>
      </c>
      <c r="AL928" s="132">
        <v>42405</v>
      </c>
      <c r="AM928" s="131" t="s">
        <v>49</v>
      </c>
      <c r="AN928" s="133" t="s">
        <v>4440</v>
      </c>
    </row>
    <row r="929" spans="1:40" s="129" customFormat="1" x14ac:dyDescent="0.25">
      <c r="A929" s="136">
        <v>928</v>
      </c>
      <c r="B929" s="130" t="s">
        <v>4428</v>
      </c>
      <c r="C929" s="130" t="s">
        <v>38</v>
      </c>
      <c r="D929" s="136" t="s">
        <v>7211</v>
      </c>
      <c r="E929" s="132">
        <v>42389</v>
      </c>
      <c r="F929" s="132" t="s">
        <v>7026</v>
      </c>
      <c r="G929" s="132" t="s">
        <v>7212</v>
      </c>
      <c r="H929" s="130" t="s">
        <v>4463</v>
      </c>
      <c r="I929" s="132" t="s">
        <v>40</v>
      </c>
      <c r="J929" s="131" t="s">
        <v>4432</v>
      </c>
      <c r="K929" s="132" t="s">
        <v>4433</v>
      </c>
      <c r="L929" s="136">
        <v>5280962</v>
      </c>
      <c r="M929" s="132">
        <v>42383</v>
      </c>
      <c r="N929" s="136" t="s">
        <v>6280</v>
      </c>
      <c r="O929" s="130" t="s">
        <v>4436</v>
      </c>
      <c r="P929" s="136" t="s">
        <v>59</v>
      </c>
      <c r="Q929" s="130">
        <v>38237090</v>
      </c>
      <c r="R929" s="136">
        <v>16</v>
      </c>
      <c r="S929" s="130" t="s">
        <v>70</v>
      </c>
      <c r="T929" s="136" t="s">
        <v>52</v>
      </c>
      <c r="U929" s="136" t="s">
        <v>53</v>
      </c>
      <c r="V929" s="136">
        <v>1375</v>
      </c>
      <c r="W929" s="133">
        <f t="shared" si="42"/>
        <v>22000</v>
      </c>
      <c r="X929" s="136">
        <v>0</v>
      </c>
      <c r="Y929" s="136">
        <v>500</v>
      </c>
      <c r="Z929" s="136">
        <v>0</v>
      </c>
      <c r="AA929" s="136">
        <v>400</v>
      </c>
      <c r="AB929" s="131">
        <v>42384</v>
      </c>
      <c r="AC929" s="134">
        <f t="shared" si="43"/>
        <v>21499.999999999996</v>
      </c>
      <c r="AD929" s="135">
        <v>66.400000000000006</v>
      </c>
      <c r="AE929" s="136">
        <f t="shared" si="44"/>
        <v>1460800.0000000002</v>
      </c>
      <c r="AF929" s="137">
        <v>1427600</v>
      </c>
      <c r="AG929" s="138">
        <v>66.400000000000006</v>
      </c>
      <c r="AH929" s="136" t="s">
        <v>7213</v>
      </c>
      <c r="AI929" s="136">
        <v>21975</v>
      </c>
      <c r="AJ929" s="132">
        <v>42446</v>
      </c>
      <c r="AK929" s="136" t="s">
        <v>7214</v>
      </c>
      <c r="AL929" s="132">
        <v>42447</v>
      </c>
      <c r="AM929" s="131" t="s">
        <v>49</v>
      </c>
      <c r="AN929" s="133" t="s">
        <v>4440</v>
      </c>
    </row>
    <row r="930" spans="1:40" s="129" customFormat="1" x14ac:dyDescent="0.25">
      <c r="A930" s="130">
        <v>929</v>
      </c>
      <c r="B930" s="130" t="s">
        <v>4428</v>
      </c>
      <c r="C930" s="130" t="s">
        <v>38</v>
      </c>
      <c r="D930" s="136" t="s">
        <v>7215</v>
      </c>
      <c r="E930" s="132">
        <v>42390</v>
      </c>
      <c r="F930" s="132" t="s">
        <v>7026</v>
      </c>
      <c r="G930" s="132" t="s">
        <v>7216</v>
      </c>
      <c r="H930" s="130" t="s">
        <v>4446</v>
      </c>
      <c r="I930" s="132" t="s">
        <v>40</v>
      </c>
      <c r="J930" s="131" t="s">
        <v>4432</v>
      </c>
      <c r="K930" s="132" t="s">
        <v>4433</v>
      </c>
      <c r="L930" s="136">
        <v>5285667</v>
      </c>
      <c r="M930" s="132">
        <v>42383</v>
      </c>
      <c r="N930" s="136" t="s">
        <v>4741</v>
      </c>
      <c r="O930" s="130" t="s">
        <v>4436</v>
      </c>
      <c r="P930" s="136" t="s">
        <v>47</v>
      </c>
      <c r="Q930" s="130">
        <v>38231900</v>
      </c>
      <c r="R930" s="136">
        <v>39.68</v>
      </c>
      <c r="S930" s="130" t="s">
        <v>70</v>
      </c>
      <c r="T930" s="136" t="s">
        <v>44</v>
      </c>
      <c r="U930" s="136" t="s">
        <v>53</v>
      </c>
      <c r="V930" s="136">
        <v>4040</v>
      </c>
      <c r="W930" s="133">
        <f t="shared" si="42"/>
        <v>160307.20000000001</v>
      </c>
      <c r="X930" s="136">
        <v>52.9</v>
      </c>
      <c r="Y930" s="136">
        <v>1600</v>
      </c>
      <c r="Z930" s="136">
        <v>0</v>
      </c>
      <c r="AA930" s="136">
        <v>0</v>
      </c>
      <c r="AB930" s="131">
        <v>42387</v>
      </c>
      <c r="AC930" s="134">
        <f t="shared" si="43"/>
        <v>158654.29999999999</v>
      </c>
      <c r="AD930" s="135">
        <v>66.400000000000006</v>
      </c>
      <c r="AE930" s="136">
        <f t="shared" si="44"/>
        <v>10644398.080000002</v>
      </c>
      <c r="AF930" s="137">
        <v>10534645.52</v>
      </c>
      <c r="AG930" s="138">
        <v>66.400000000000006</v>
      </c>
      <c r="AH930" s="136" t="s">
        <v>7217</v>
      </c>
      <c r="AI930" s="136">
        <v>160307.20000000001</v>
      </c>
      <c r="AJ930" s="132">
        <v>42437</v>
      </c>
      <c r="AK930" s="136" t="s">
        <v>7218</v>
      </c>
      <c r="AL930" s="132">
        <v>42438</v>
      </c>
      <c r="AM930" s="131" t="s">
        <v>49</v>
      </c>
      <c r="AN930" s="136" t="s">
        <v>4440</v>
      </c>
    </row>
    <row r="931" spans="1:40" s="129" customFormat="1" x14ac:dyDescent="0.25">
      <c r="A931" s="136">
        <v>930</v>
      </c>
      <c r="B931" s="130" t="s">
        <v>4428</v>
      </c>
      <c r="C931" s="130" t="s">
        <v>38</v>
      </c>
      <c r="D931" s="136" t="s">
        <v>7219</v>
      </c>
      <c r="E931" s="132">
        <v>42390</v>
      </c>
      <c r="F931" s="132" t="s">
        <v>7026</v>
      </c>
      <c r="G931" s="132" t="s">
        <v>7220</v>
      </c>
      <c r="H931" s="130" t="s">
        <v>4456</v>
      </c>
      <c r="I931" s="132" t="s">
        <v>40</v>
      </c>
      <c r="J931" s="131" t="s">
        <v>4432</v>
      </c>
      <c r="K931" s="132" t="s">
        <v>4433</v>
      </c>
      <c r="L931" s="136">
        <v>5292455</v>
      </c>
      <c r="M931" s="132">
        <v>42384</v>
      </c>
      <c r="N931" s="136" t="s">
        <v>4527</v>
      </c>
      <c r="O931" s="130" t="s">
        <v>4436</v>
      </c>
      <c r="P931" s="136" t="s">
        <v>59</v>
      </c>
      <c r="Q931" s="130">
        <v>29051700</v>
      </c>
      <c r="R931" s="136">
        <v>18.63</v>
      </c>
      <c r="S931" s="130" t="s">
        <v>70</v>
      </c>
      <c r="T931" s="136" t="s">
        <v>44</v>
      </c>
      <c r="U931" s="136" t="s">
        <v>4528</v>
      </c>
      <c r="V931" s="136">
        <v>1155</v>
      </c>
      <c r="W931" s="133">
        <f t="shared" si="42"/>
        <v>21517.649999999998</v>
      </c>
      <c r="X931" s="136">
        <v>7.1</v>
      </c>
      <c r="Y931" s="136">
        <v>348.01</v>
      </c>
      <c r="Z931" s="136">
        <v>0</v>
      </c>
      <c r="AA931" s="136">
        <v>0</v>
      </c>
      <c r="AB931" s="131">
        <v>42387</v>
      </c>
      <c r="AC931" s="134">
        <f t="shared" si="43"/>
        <v>21162.540041928722</v>
      </c>
      <c r="AD931" s="135">
        <v>71.55</v>
      </c>
      <c r="AE931" s="136">
        <f t="shared" si="44"/>
        <v>1539587.8574999997</v>
      </c>
      <c r="AF931" s="130">
        <v>1514179.74</v>
      </c>
      <c r="AG931" s="138">
        <v>71.55</v>
      </c>
      <c r="AH931" s="136" t="s">
        <v>7221</v>
      </c>
      <c r="AI931" s="136">
        <v>21517.65</v>
      </c>
      <c r="AJ931" s="132">
        <v>42466</v>
      </c>
      <c r="AK931" s="136" t="s">
        <v>7222</v>
      </c>
      <c r="AL931" s="132">
        <v>42466</v>
      </c>
      <c r="AM931" s="131" t="s">
        <v>49</v>
      </c>
      <c r="AN931" s="136" t="s">
        <v>4440</v>
      </c>
    </row>
    <row r="932" spans="1:40" s="129" customFormat="1" x14ac:dyDescent="0.25">
      <c r="A932" s="130">
        <v>931</v>
      </c>
      <c r="B932" s="130" t="s">
        <v>4428</v>
      </c>
      <c r="C932" s="130" t="s">
        <v>38</v>
      </c>
      <c r="D932" s="136" t="s">
        <v>7223</v>
      </c>
      <c r="E932" s="132">
        <v>42389</v>
      </c>
      <c r="F932" s="132" t="s">
        <v>7026</v>
      </c>
      <c r="G932" s="132" t="s">
        <v>7224</v>
      </c>
      <c r="H932" s="130" t="s">
        <v>4491</v>
      </c>
      <c r="I932" s="132" t="s">
        <v>40</v>
      </c>
      <c r="J932" s="131" t="s">
        <v>4432</v>
      </c>
      <c r="K932" s="132" t="s">
        <v>4433</v>
      </c>
      <c r="L932" s="136">
        <v>5292734</v>
      </c>
      <c r="M932" s="132">
        <v>42384</v>
      </c>
      <c r="N932" s="136" t="s">
        <v>3741</v>
      </c>
      <c r="O932" s="130" t="s">
        <v>4436</v>
      </c>
      <c r="P932" s="136" t="s">
        <v>4492</v>
      </c>
      <c r="Q932" s="130">
        <v>29051700</v>
      </c>
      <c r="R932" s="136">
        <v>18.43</v>
      </c>
      <c r="S932" s="130" t="s">
        <v>70</v>
      </c>
      <c r="T932" s="136" t="s">
        <v>44</v>
      </c>
      <c r="U932" s="136" t="s">
        <v>53</v>
      </c>
      <c r="V932" s="136">
        <v>1820</v>
      </c>
      <c r="W932" s="133">
        <f t="shared" si="42"/>
        <v>33542.6</v>
      </c>
      <c r="X932" s="136">
        <v>11.07</v>
      </c>
      <c r="Y932" s="136">
        <v>3400</v>
      </c>
      <c r="Z932" s="136">
        <v>0</v>
      </c>
      <c r="AA932" s="136">
        <v>0</v>
      </c>
      <c r="AB932" s="131">
        <v>42385</v>
      </c>
      <c r="AC932" s="134">
        <f t="shared" si="43"/>
        <v>30131.529969879517</v>
      </c>
      <c r="AD932" s="135">
        <v>66.400000000000006</v>
      </c>
      <c r="AE932" s="136">
        <f t="shared" si="44"/>
        <v>2227228.64</v>
      </c>
      <c r="AF932" s="137">
        <v>2000733.59</v>
      </c>
      <c r="AG932" s="138">
        <v>66.400000000000006</v>
      </c>
      <c r="AH932" s="136" t="s">
        <v>7225</v>
      </c>
      <c r="AI932" s="136">
        <v>33542.6</v>
      </c>
      <c r="AJ932" s="132">
        <v>42444</v>
      </c>
      <c r="AK932" s="136" t="s">
        <v>7226</v>
      </c>
      <c r="AL932" s="132">
        <v>42445</v>
      </c>
      <c r="AM932" s="131" t="s">
        <v>49</v>
      </c>
      <c r="AN932" s="136" t="s">
        <v>4440</v>
      </c>
    </row>
    <row r="933" spans="1:40" s="129" customFormat="1" x14ac:dyDescent="0.25">
      <c r="A933" s="136">
        <v>932</v>
      </c>
      <c r="B933" s="130" t="s">
        <v>4428</v>
      </c>
      <c r="C933" s="130" t="s">
        <v>38</v>
      </c>
      <c r="D933" s="136">
        <v>9103650892</v>
      </c>
      <c r="E933" s="132">
        <v>42391</v>
      </c>
      <c r="F933" s="132" t="s">
        <v>7026</v>
      </c>
      <c r="G933" s="132" t="s">
        <v>7227</v>
      </c>
      <c r="H933" s="130" t="s">
        <v>5712</v>
      </c>
      <c r="I933" s="132" t="s">
        <v>40</v>
      </c>
      <c r="J933" s="131" t="s">
        <v>4432</v>
      </c>
      <c r="K933" s="132" t="s">
        <v>4433</v>
      </c>
      <c r="L933" s="136">
        <v>5295301</v>
      </c>
      <c r="M933" s="132">
        <v>42384</v>
      </c>
      <c r="N933" s="136" t="s">
        <v>7228</v>
      </c>
      <c r="O933" s="130" t="s">
        <v>4436</v>
      </c>
      <c r="P933" s="136" t="s">
        <v>90</v>
      </c>
      <c r="Q933" s="130">
        <v>29051700</v>
      </c>
      <c r="R933" s="136">
        <v>12</v>
      </c>
      <c r="S933" s="130" t="s">
        <v>70</v>
      </c>
      <c r="T933" s="136" t="s">
        <v>44</v>
      </c>
      <c r="U933" s="136" t="s">
        <v>53</v>
      </c>
      <c r="V933" s="136">
        <v>1445</v>
      </c>
      <c r="W933" s="133">
        <f t="shared" si="42"/>
        <v>17340</v>
      </c>
      <c r="X933" s="136">
        <v>5.72</v>
      </c>
      <c r="Y933" s="136">
        <v>375</v>
      </c>
      <c r="Z933" s="136">
        <v>0</v>
      </c>
      <c r="AA933" s="136">
        <v>0</v>
      </c>
      <c r="AB933" s="131">
        <v>42387</v>
      </c>
      <c r="AC933" s="134">
        <f t="shared" si="43"/>
        <v>16959.279969879517</v>
      </c>
      <c r="AD933" s="135">
        <v>66.400000000000006</v>
      </c>
      <c r="AE933" s="136">
        <f t="shared" si="44"/>
        <v>1151376</v>
      </c>
      <c r="AF933" s="137">
        <v>1126096.19</v>
      </c>
      <c r="AG933" s="138">
        <v>66.400000000000006</v>
      </c>
      <c r="AH933" s="136" t="s">
        <v>7229</v>
      </c>
      <c r="AI933" s="136">
        <v>17283</v>
      </c>
      <c r="AJ933" s="132">
        <v>42403</v>
      </c>
      <c r="AK933" s="136" t="s">
        <v>7230</v>
      </c>
      <c r="AL933" s="132">
        <v>42403</v>
      </c>
      <c r="AM933" s="131" t="s">
        <v>49</v>
      </c>
      <c r="AN933" s="136" t="s">
        <v>4440</v>
      </c>
    </row>
    <row r="934" spans="1:40" s="129" customFormat="1" x14ac:dyDescent="0.25">
      <c r="A934" s="130">
        <v>933</v>
      </c>
      <c r="B934" s="130" t="s">
        <v>4428</v>
      </c>
      <c r="C934" s="130" t="s">
        <v>38</v>
      </c>
      <c r="D934" s="136" t="s">
        <v>7231</v>
      </c>
      <c r="E934" s="132">
        <v>42391</v>
      </c>
      <c r="F934" s="132" t="s">
        <v>7026</v>
      </c>
      <c r="G934" s="132" t="s">
        <v>7232</v>
      </c>
      <c r="H934" s="130" t="s">
        <v>5201</v>
      </c>
      <c r="I934" s="132" t="s">
        <v>40</v>
      </c>
      <c r="J934" s="131" t="s">
        <v>4432</v>
      </c>
      <c r="K934" s="132" t="s">
        <v>4433</v>
      </c>
      <c r="L934" s="136">
        <v>5311502</v>
      </c>
      <c r="M934" s="132">
        <v>42385</v>
      </c>
      <c r="N934" s="136" t="s">
        <v>4858</v>
      </c>
      <c r="O934" s="130" t="s">
        <v>4436</v>
      </c>
      <c r="P934" s="136" t="s">
        <v>54</v>
      </c>
      <c r="Q934" s="130">
        <v>38237090</v>
      </c>
      <c r="R934" s="136">
        <v>12</v>
      </c>
      <c r="S934" s="130" t="s">
        <v>70</v>
      </c>
      <c r="T934" s="136" t="s">
        <v>44</v>
      </c>
      <c r="U934" s="136" t="s">
        <v>53</v>
      </c>
      <c r="V934" s="136">
        <v>3700</v>
      </c>
      <c r="W934" s="133">
        <f t="shared" si="42"/>
        <v>44400</v>
      </c>
      <c r="X934" s="136">
        <v>14.65</v>
      </c>
      <c r="Y934" s="136">
        <v>80</v>
      </c>
      <c r="Z934" s="136">
        <v>0</v>
      </c>
      <c r="AA934" s="136">
        <v>0</v>
      </c>
      <c r="AB934" s="131">
        <v>42387</v>
      </c>
      <c r="AC934" s="134">
        <f t="shared" si="43"/>
        <v>44305.35</v>
      </c>
      <c r="AD934" s="135">
        <v>66.400000000000006</v>
      </c>
      <c r="AE934" s="136">
        <f t="shared" si="44"/>
        <v>2948160.0000000005</v>
      </c>
      <c r="AF934" s="137">
        <v>2941875.24</v>
      </c>
      <c r="AG934" s="138">
        <v>66.400000000000006</v>
      </c>
      <c r="AH934" s="136" t="s">
        <v>7233</v>
      </c>
      <c r="AI934" s="136">
        <v>44400</v>
      </c>
      <c r="AJ934" s="132">
        <v>42482</v>
      </c>
      <c r="AK934" s="136" t="s">
        <v>7234</v>
      </c>
      <c r="AL934" s="132">
        <v>42485</v>
      </c>
      <c r="AM934" s="131" t="s">
        <v>49</v>
      </c>
      <c r="AN934" s="136" t="s">
        <v>4440</v>
      </c>
    </row>
    <row r="935" spans="1:40" s="129" customFormat="1" x14ac:dyDescent="0.25">
      <c r="A935" s="136">
        <v>934</v>
      </c>
      <c r="B935" s="130" t="s">
        <v>4428</v>
      </c>
      <c r="C935" s="130" t="s">
        <v>38</v>
      </c>
      <c r="D935" s="136" t="s">
        <v>7235</v>
      </c>
      <c r="E935" s="132">
        <v>42391</v>
      </c>
      <c r="F935" s="132" t="s">
        <v>7026</v>
      </c>
      <c r="G935" s="132" t="s">
        <v>7236</v>
      </c>
      <c r="H935" s="130" t="s">
        <v>5201</v>
      </c>
      <c r="I935" s="132" t="s">
        <v>40</v>
      </c>
      <c r="J935" s="131" t="s">
        <v>4432</v>
      </c>
      <c r="K935" s="132" t="s">
        <v>4433</v>
      </c>
      <c r="L935" s="136">
        <v>5324932</v>
      </c>
      <c r="M935" s="132">
        <v>42387</v>
      </c>
      <c r="N935" s="136" t="s">
        <v>4858</v>
      </c>
      <c r="O935" s="130" t="s">
        <v>4436</v>
      </c>
      <c r="P935" s="136" t="s">
        <v>54</v>
      </c>
      <c r="Q935" s="130">
        <v>38237090</v>
      </c>
      <c r="R935" s="136">
        <v>12</v>
      </c>
      <c r="S935" s="130" t="s">
        <v>70</v>
      </c>
      <c r="T935" s="136" t="s">
        <v>44</v>
      </c>
      <c r="U935" s="136" t="s">
        <v>53</v>
      </c>
      <c r="V935" s="136">
        <v>3700</v>
      </c>
      <c r="W935" s="133">
        <f t="shared" si="42"/>
        <v>44400</v>
      </c>
      <c r="X935" s="136">
        <v>14.65</v>
      </c>
      <c r="Y935" s="136">
        <v>80</v>
      </c>
      <c r="Z935" s="136">
        <v>0</v>
      </c>
      <c r="AA935" s="136">
        <v>0</v>
      </c>
      <c r="AB935" s="131">
        <v>42388</v>
      </c>
      <c r="AC935" s="134">
        <f t="shared" si="43"/>
        <v>44305.35</v>
      </c>
      <c r="AD935" s="135">
        <v>66.400000000000006</v>
      </c>
      <c r="AE935" s="136">
        <f t="shared" si="44"/>
        <v>2948160.0000000005</v>
      </c>
      <c r="AF935" s="137">
        <v>2941875.24</v>
      </c>
      <c r="AG935" s="138">
        <v>66.400000000000006</v>
      </c>
      <c r="AH935" s="136" t="s">
        <v>7233</v>
      </c>
      <c r="AI935" s="136">
        <v>44400</v>
      </c>
      <c r="AJ935" s="132">
        <v>42482</v>
      </c>
      <c r="AK935" s="136" t="s">
        <v>7237</v>
      </c>
      <c r="AL935" s="132">
        <v>42485</v>
      </c>
      <c r="AM935" s="131" t="s">
        <v>49</v>
      </c>
      <c r="AN935" s="136" t="s">
        <v>4440</v>
      </c>
    </row>
    <row r="936" spans="1:40" s="129" customFormat="1" x14ac:dyDescent="0.25">
      <c r="A936" s="130">
        <v>935</v>
      </c>
      <c r="B936" s="130" t="s">
        <v>4428</v>
      </c>
      <c r="C936" s="130" t="s">
        <v>38</v>
      </c>
      <c r="D936" s="136">
        <v>9103650895</v>
      </c>
      <c r="E936" s="132">
        <v>42391</v>
      </c>
      <c r="F936" s="132" t="s">
        <v>7026</v>
      </c>
      <c r="G936" s="132" t="s">
        <v>7238</v>
      </c>
      <c r="H936" s="130" t="s">
        <v>4446</v>
      </c>
      <c r="I936" s="132" t="s">
        <v>40</v>
      </c>
      <c r="J936" s="131" t="s">
        <v>4432</v>
      </c>
      <c r="K936" s="132" t="s">
        <v>4433</v>
      </c>
      <c r="L936" s="136">
        <v>5324960</v>
      </c>
      <c r="M936" s="132">
        <v>42387</v>
      </c>
      <c r="N936" s="136" t="s">
        <v>4733</v>
      </c>
      <c r="O936" s="130" t="s">
        <v>4436</v>
      </c>
      <c r="P936" s="136" t="s">
        <v>492</v>
      </c>
      <c r="Q936" s="130">
        <v>29157010</v>
      </c>
      <c r="R936" s="136">
        <v>195.62</v>
      </c>
      <c r="S936" s="130" t="s">
        <v>70</v>
      </c>
      <c r="T936" s="136" t="s">
        <v>7036</v>
      </c>
      <c r="U936" s="136" t="s">
        <v>53</v>
      </c>
      <c r="V936" s="136">
        <v>530</v>
      </c>
      <c r="W936" s="133">
        <f t="shared" si="42"/>
        <v>103678.6</v>
      </c>
      <c r="X936" s="136">
        <v>34.21</v>
      </c>
      <c r="Y936" s="136">
        <v>2000</v>
      </c>
      <c r="Z936" s="136">
        <v>0</v>
      </c>
      <c r="AA936" s="136">
        <v>0</v>
      </c>
      <c r="AB936" s="131"/>
      <c r="AC936" s="134">
        <f t="shared" si="43"/>
        <v>101644.39006024096</v>
      </c>
      <c r="AD936" s="135">
        <v>66.400000000000006</v>
      </c>
      <c r="AE936" s="136">
        <f t="shared" si="44"/>
        <v>6884259.040000001</v>
      </c>
      <c r="AF936" s="137">
        <v>6749187.5</v>
      </c>
      <c r="AG936" s="138">
        <v>66.400000000000006</v>
      </c>
      <c r="AH936" s="136" t="s">
        <v>7239</v>
      </c>
      <c r="AI936" s="136">
        <v>103678.6</v>
      </c>
      <c r="AJ936" s="132">
        <v>42437</v>
      </c>
      <c r="AK936" s="136" t="s">
        <v>7240</v>
      </c>
      <c r="AL936" s="132">
        <v>42467</v>
      </c>
      <c r="AM936" s="131" t="s">
        <v>49</v>
      </c>
      <c r="AN936" s="133" t="s">
        <v>4440</v>
      </c>
    </row>
    <row r="937" spans="1:40" s="129" customFormat="1" x14ac:dyDescent="0.25">
      <c r="A937" s="136">
        <v>936</v>
      </c>
      <c r="B937" s="130" t="s">
        <v>4428</v>
      </c>
      <c r="C937" s="130" t="s">
        <v>38</v>
      </c>
      <c r="D937" s="136">
        <v>9103650896</v>
      </c>
      <c r="E937" s="132">
        <v>42394</v>
      </c>
      <c r="F937" s="132" t="s">
        <v>7026</v>
      </c>
      <c r="G937" s="132" t="s">
        <v>7241</v>
      </c>
      <c r="H937" s="130" t="s">
        <v>4446</v>
      </c>
      <c r="I937" s="132" t="s">
        <v>40</v>
      </c>
      <c r="J937" s="131" t="s">
        <v>4432</v>
      </c>
      <c r="K937" s="132" t="s">
        <v>4433</v>
      </c>
      <c r="L937" s="136">
        <v>5324954</v>
      </c>
      <c r="M937" s="132">
        <v>42387</v>
      </c>
      <c r="N937" s="136" t="s">
        <v>4733</v>
      </c>
      <c r="O937" s="130" t="s">
        <v>4436</v>
      </c>
      <c r="P937" s="136" t="s">
        <v>492</v>
      </c>
      <c r="Q937" s="130">
        <v>29157010</v>
      </c>
      <c r="R937" s="136">
        <v>97.93</v>
      </c>
      <c r="S937" s="130" t="s">
        <v>70</v>
      </c>
      <c r="T937" s="136" t="s">
        <v>7036</v>
      </c>
      <c r="U937" s="136" t="s">
        <v>53</v>
      </c>
      <c r="V937" s="136">
        <v>530</v>
      </c>
      <c r="W937" s="133">
        <f t="shared" si="42"/>
        <v>51902.9</v>
      </c>
      <c r="X937" s="136">
        <v>17.13</v>
      </c>
      <c r="Y937" s="136">
        <v>1000</v>
      </c>
      <c r="Z937" s="136">
        <v>0</v>
      </c>
      <c r="AA937" s="136">
        <v>0</v>
      </c>
      <c r="AB937" s="131"/>
      <c r="AC937" s="134">
        <f t="shared" si="43"/>
        <v>50885.770030120475</v>
      </c>
      <c r="AD937" s="135">
        <v>66.400000000000006</v>
      </c>
      <c r="AE937" s="136">
        <f t="shared" si="44"/>
        <v>3446352.5600000005</v>
      </c>
      <c r="AF937" s="137">
        <v>3378815.13</v>
      </c>
      <c r="AG937" s="138">
        <v>66.400000000000006</v>
      </c>
      <c r="AH937" s="136" t="s">
        <v>7242</v>
      </c>
      <c r="AI937" s="136">
        <v>51902.9</v>
      </c>
      <c r="AJ937" s="132">
        <v>42447</v>
      </c>
      <c r="AK937" s="136" t="s">
        <v>7243</v>
      </c>
      <c r="AL937" s="132">
        <v>42447</v>
      </c>
      <c r="AM937" s="131" t="s">
        <v>49</v>
      </c>
      <c r="AN937" s="133" t="s">
        <v>4440</v>
      </c>
    </row>
    <row r="938" spans="1:40" s="129" customFormat="1" x14ac:dyDescent="0.25">
      <c r="A938" s="130">
        <v>937</v>
      </c>
      <c r="B938" s="130" t="s">
        <v>4428</v>
      </c>
      <c r="C938" s="130" t="s">
        <v>38</v>
      </c>
      <c r="D938" s="136" t="s">
        <v>7244</v>
      </c>
      <c r="E938" s="132">
        <v>42393</v>
      </c>
      <c r="F938" s="132" t="s">
        <v>7026</v>
      </c>
      <c r="G938" s="132" t="s">
        <v>7245</v>
      </c>
      <c r="H938" s="130" t="s">
        <v>4463</v>
      </c>
      <c r="I938" s="132" t="s">
        <v>40</v>
      </c>
      <c r="J938" s="131" t="s">
        <v>4432</v>
      </c>
      <c r="K938" s="132" t="s">
        <v>4433</v>
      </c>
      <c r="L938" s="136">
        <v>5328954</v>
      </c>
      <c r="M938" s="132">
        <v>42387</v>
      </c>
      <c r="N938" s="136" t="s">
        <v>5360</v>
      </c>
      <c r="O938" s="130" t="s">
        <v>4436</v>
      </c>
      <c r="P938" s="136" t="s">
        <v>294</v>
      </c>
      <c r="Q938" s="130">
        <v>29051700</v>
      </c>
      <c r="R938" s="136">
        <v>12</v>
      </c>
      <c r="S938" s="130" t="s">
        <v>70</v>
      </c>
      <c r="T938" s="136" t="s">
        <v>52</v>
      </c>
      <c r="U938" s="136" t="s">
        <v>53</v>
      </c>
      <c r="V938" s="136">
        <v>1370</v>
      </c>
      <c r="W938" s="133">
        <f t="shared" si="42"/>
        <v>16440</v>
      </c>
      <c r="X938" s="136">
        <v>0</v>
      </c>
      <c r="Y938" s="136">
        <v>350</v>
      </c>
      <c r="Z938" s="136">
        <v>0</v>
      </c>
      <c r="AA938" s="136">
        <v>0</v>
      </c>
      <c r="AB938" s="131">
        <v>42388</v>
      </c>
      <c r="AC938" s="134">
        <f t="shared" si="43"/>
        <v>16089.999999999998</v>
      </c>
      <c r="AD938" s="135">
        <v>66.400000000000006</v>
      </c>
      <c r="AE938" s="136">
        <f t="shared" si="44"/>
        <v>1091616</v>
      </c>
      <c r="AF938" s="137">
        <v>1068376</v>
      </c>
      <c r="AG938" s="138">
        <v>66.400000000000006</v>
      </c>
      <c r="AH938" s="136" t="s">
        <v>7246</v>
      </c>
      <c r="AI938" s="136">
        <v>16317.84</v>
      </c>
      <c r="AJ938" s="132">
        <v>42445</v>
      </c>
      <c r="AK938" s="136" t="s">
        <v>7247</v>
      </c>
      <c r="AL938" s="132">
        <v>42446</v>
      </c>
      <c r="AM938" s="131" t="s">
        <v>49</v>
      </c>
      <c r="AN938" s="133" t="s">
        <v>4440</v>
      </c>
    </row>
    <row r="939" spans="1:40" s="129" customFormat="1" x14ac:dyDescent="0.25">
      <c r="A939" s="136">
        <v>938</v>
      </c>
      <c r="B939" s="130" t="s">
        <v>4428</v>
      </c>
      <c r="C939" s="130" t="s">
        <v>38</v>
      </c>
      <c r="D939" s="136" t="s">
        <v>7248</v>
      </c>
      <c r="E939" s="132">
        <v>42391</v>
      </c>
      <c r="F939" s="132" t="s">
        <v>7026</v>
      </c>
      <c r="G939" s="132" t="s">
        <v>7249</v>
      </c>
      <c r="H939" s="130" t="s">
        <v>4456</v>
      </c>
      <c r="I939" s="132" t="s">
        <v>40</v>
      </c>
      <c r="J939" s="131" t="s">
        <v>4432</v>
      </c>
      <c r="K939" s="132" t="s">
        <v>4433</v>
      </c>
      <c r="L939" s="136">
        <v>5332242</v>
      </c>
      <c r="M939" s="132">
        <v>42387</v>
      </c>
      <c r="N939" s="136" t="s">
        <v>4945</v>
      </c>
      <c r="O939" s="130" t="s">
        <v>4436</v>
      </c>
      <c r="P939" s="136" t="s">
        <v>90</v>
      </c>
      <c r="Q939" s="130">
        <v>38237090</v>
      </c>
      <c r="R939" s="136">
        <v>24</v>
      </c>
      <c r="S939" s="130" t="s">
        <v>70</v>
      </c>
      <c r="T939" s="136" t="s">
        <v>44</v>
      </c>
      <c r="U939" s="136" t="s">
        <v>53</v>
      </c>
      <c r="V939" s="136">
        <v>1335</v>
      </c>
      <c r="W939" s="133">
        <f t="shared" si="42"/>
        <v>32040</v>
      </c>
      <c r="X939" s="136">
        <v>10.57</v>
      </c>
      <c r="Y939" s="136">
        <v>575</v>
      </c>
      <c r="Z939" s="136">
        <v>0</v>
      </c>
      <c r="AA939" s="136">
        <v>592.79999999999995</v>
      </c>
      <c r="AB939" s="131">
        <v>42388</v>
      </c>
      <c r="AC939" s="134">
        <f t="shared" si="43"/>
        <v>31454.429969879515</v>
      </c>
      <c r="AD939" s="135">
        <v>66.400000000000006</v>
      </c>
      <c r="AE939" s="136">
        <f t="shared" si="44"/>
        <v>2127456</v>
      </c>
      <c r="AF939" s="137">
        <v>2088574.15</v>
      </c>
      <c r="AG939" s="138">
        <v>66.400000000000006</v>
      </c>
      <c r="AH939" s="136" t="s">
        <v>7250</v>
      </c>
      <c r="AI939" s="136">
        <v>31900</v>
      </c>
      <c r="AJ939" s="132">
        <v>42445</v>
      </c>
      <c r="AK939" s="136" t="s">
        <v>7251</v>
      </c>
      <c r="AL939" s="132">
        <v>42457</v>
      </c>
      <c r="AM939" s="131" t="s">
        <v>49</v>
      </c>
      <c r="AN939" s="133" t="s">
        <v>4440</v>
      </c>
    </row>
    <row r="940" spans="1:40" s="129" customFormat="1" x14ac:dyDescent="0.25">
      <c r="A940" s="130">
        <v>939</v>
      </c>
      <c r="B940" s="130" t="s">
        <v>4428</v>
      </c>
      <c r="C940" s="130" t="s">
        <v>38</v>
      </c>
      <c r="D940" s="136" t="s">
        <v>7252</v>
      </c>
      <c r="E940" s="132">
        <v>42392</v>
      </c>
      <c r="F940" s="132" t="s">
        <v>7026</v>
      </c>
      <c r="G940" s="132" t="s">
        <v>7253</v>
      </c>
      <c r="H940" s="130" t="s">
        <v>4446</v>
      </c>
      <c r="I940" s="132" t="s">
        <v>40</v>
      </c>
      <c r="J940" s="131" t="s">
        <v>4432</v>
      </c>
      <c r="K940" s="132" t="s">
        <v>4433</v>
      </c>
      <c r="L940" s="136">
        <v>5334681</v>
      </c>
      <c r="M940" s="132">
        <v>42387</v>
      </c>
      <c r="N940" s="136" t="s">
        <v>4448</v>
      </c>
      <c r="O940" s="130" t="s">
        <v>4436</v>
      </c>
      <c r="P940" s="136" t="s">
        <v>59</v>
      </c>
      <c r="Q940" s="130">
        <v>29159090</v>
      </c>
      <c r="R940" s="136">
        <v>19.920000000000002</v>
      </c>
      <c r="S940" s="130" t="s">
        <v>70</v>
      </c>
      <c r="T940" s="136" t="s">
        <v>44</v>
      </c>
      <c r="U940" s="136" t="s">
        <v>53</v>
      </c>
      <c r="V940" s="136">
        <v>2860</v>
      </c>
      <c r="W940" s="133">
        <f t="shared" si="42"/>
        <v>56971.200000000004</v>
      </c>
      <c r="X940" s="136">
        <v>18.8</v>
      </c>
      <c r="Y940" s="136">
        <v>425</v>
      </c>
      <c r="Z940" s="136">
        <v>0</v>
      </c>
      <c r="AA940" s="136">
        <v>0</v>
      </c>
      <c r="AB940" s="131">
        <v>42388</v>
      </c>
      <c r="AC940" s="134">
        <f t="shared" si="43"/>
        <v>56527.399999999994</v>
      </c>
      <c r="AD940" s="135">
        <v>66.400000000000006</v>
      </c>
      <c r="AE940" s="136">
        <f t="shared" si="44"/>
        <v>3782887.6800000006</v>
      </c>
      <c r="AF940" s="137">
        <v>3753419.36</v>
      </c>
      <c r="AG940" s="138">
        <v>66.400000000000006</v>
      </c>
      <c r="AH940" s="136" t="s">
        <v>7254</v>
      </c>
      <c r="AI940" s="136">
        <v>56971.199999999997</v>
      </c>
      <c r="AJ940" s="132">
        <v>42423</v>
      </c>
      <c r="AK940" s="136" t="s">
        <v>7255</v>
      </c>
      <c r="AL940" s="132">
        <v>42424</v>
      </c>
      <c r="AM940" s="131" t="s">
        <v>49</v>
      </c>
      <c r="AN940" s="136" t="s">
        <v>4440</v>
      </c>
    </row>
    <row r="941" spans="1:40" s="129" customFormat="1" x14ac:dyDescent="0.25">
      <c r="A941" s="136">
        <v>940</v>
      </c>
      <c r="B941" s="130" t="s">
        <v>4428</v>
      </c>
      <c r="C941" s="130" t="s">
        <v>38</v>
      </c>
      <c r="D941" s="136">
        <v>9103650900</v>
      </c>
      <c r="E941" s="132">
        <v>42392</v>
      </c>
      <c r="F941" s="132" t="s">
        <v>7026</v>
      </c>
      <c r="G941" s="132" t="s">
        <v>7256</v>
      </c>
      <c r="H941" s="130" t="s">
        <v>4446</v>
      </c>
      <c r="I941" s="132" t="s">
        <v>40</v>
      </c>
      <c r="J941" s="131" t="s">
        <v>4432</v>
      </c>
      <c r="K941" s="132" t="s">
        <v>4433</v>
      </c>
      <c r="L941" s="136">
        <v>5348535</v>
      </c>
      <c r="M941" s="132">
        <v>42388</v>
      </c>
      <c r="N941" s="136" t="s">
        <v>4448</v>
      </c>
      <c r="O941" s="130" t="s">
        <v>4436</v>
      </c>
      <c r="P941" s="136" t="s">
        <v>59</v>
      </c>
      <c r="Q941" s="130">
        <v>29159090</v>
      </c>
      <c r="R941" s="136">
        <v>59.66</v>
      </c>
      <c r="S941" s="130" t="s">
        <v>70</v>
      </c>
      <c r="T941" s="136" t="s">
        <v>44</v>
      </c>
      <c r="U941" s="136" t="s">
        <v>53</v>
      </c>
      <c r="V941" s="136">
        <v>2860</v>
      </c>
      <c r="W941" s="133">
        <f t="shared" si="42"/>
        <v>170627.59999999998</v>
      </c>
      <c r="X941" s="136">
        <v>56.31</v>
      </c>
      <c r="Y941" s="136">
        <v>1275</v>
      </c>
      <c r="Z941" s="136">
        <v>0</v>
      </c>
      <c r="AA941" s="136">
        <v>0</v>
      </c>
      <c r="AB941" s="131">
        <v>42391</v>
      </c>
      <c r="AC941" s="134">
        <f t="shared" si="43"/>
        <v>169296.29006024095</v>
      </c>
      <c r="AD941" s="135">
        <v>66.400000000000006</v>
      </c>
      <c r="AE941" s="136">
        <f t="shared" si="44"/>
        <v>11329672.639999999</v>
      </c>
      <c r="AF941" s="137">
        <v>11241273.66</v>
      </c>
      <c r="AG941" s="138">
        <v>67.349999999999994</v>
      </c>
      <c r="AH941" s="136" t="s">
        <v>7254</v>
      </c>
      <c r="AI941" s="136">
        <v>170627.6</v>
      </c>
      <c r="AJ941" s="132">
        <v>42423</v>
      </c>
      <c r="AK941" s="136" t="s">
        <v>7257</v>
      </c>
      <c r="AL941" s="132">
        <v>42424</v>
      </c>
      <c r="AM941" s="131" t="s">
        <v>49</v>
      </c>
      <c r="AN941" s="136" t="s">
        <v>4440</v>
      </c>
    </row>
    <row r="942" spans="1:40" s="129" customFormat="1" x14ac:dyDescent="0.25">
      <c r="A942" s="130">
        <v>941</v>
      </c>
      <c r="B942" s="130" t="s">
        <v>4428</v>
      </c>
      <c r="C942" s="130" t="s">
        <v>38</v>
      </c>
      <c r="D942" s="136">
        <v>9103650900</v>
      </c>
      <c r="E942" s="132">
        <v>42392</v>
      </c>
      <c r="F942" s="132" t="s">
        <v>7026</v>
      </c>
      <c r="G942" s="132" t="s">
        <v>7258</v>
      </c>
      <c r="H942" s="130" t="s">
        <v>4446</v>
      </c>
      <c r="I942" s="132" t="s">
        <v>40</v>
      </c>
      <c r="J942" s="131" t="s">
        <v>4432</v>
      </c>
      <c r="K942" s="132" t="s">
        <v>4433</v>
      </c>
      <c r="L942" s="136">
        <v>5348540</v>
      </c>
      <c r="M942" s="132">
        <v>42388</v>
      </c>
      <c r="N942" s="136" t="s">
        <v>4448</v>
      </c>
      <c r="O942" s="130" t="s">
        <v>4436</v>
      </c>
      <c r="P942" s="136" t="s">
        <v>59</v>
      </c>
      <c r="Q942" s="130">
        <v>29159090</v>
      </c>
      <c r="R942" s="136">
        <v>59.67</v>
      </c>
      <c r="S942" s="130" t="s">
        <v>70</v>
      </c>
      <c r="T942" s="136" t="s">
        <v>44</v>
      </c>
      <c r="U942" s="136" t="s">
        <v>53</v>
      </c>
      <c r="V942" s="136">
        <v>2860</v>
      </c>
      <c r="W942" s="133">
        <f>V942*R942</f>
        <v>170656.2</v>
      </c>
      <c r="X942" s="136">
        <v>56.32</v>
      </c>
      <c r="Y942" s="136">
        <v>1275</v>
      </c>
      <c r="Z942" s="136">
        <v>0</v>
      </c>
      <c r="AA942" s="136">
        <v>0</v>
      </c>
      <c r="AB942" s="131">
        <v>42389</v>
      </c>
      <c r="AC942" s="134">
        <f>AF942/AD942</f>
        <v>169324.87996987949</v>
      </c>
      <c r="AD942" s="135">
        <v>66.400000000000006</v>
      </c>
      <c r="AE942" s="136">
        <f>AD942*W942</f>
        <v>11331571.680000002</v>
      </c>
      <c r="AF942" s="137">
        <v>11243172.029999999</v>
      </c>
      <c r="AG942" s="138">
        <v>66.400000000000006</v>
      </c>
      <c r="AH942" s="136" t="s">
        <v>7254</v>
      </c>
      <c r="AI942" s="136">
        <v>170656.2</v>
      </c>
      <c r="AJ942" s="132">
        <v>42423</v>
      </c>
      <c r="AK942" s="136" t="s">
        <v>7259</v>
      </c>
      <c r="AL942" s="132">
        <v>42424</v>
      </c>
      <c r="AM942" s="131" t="s">
        <v>49</v>
      </c>
      <c r="AN942" s="136" t="s">
        <v>4440</v>
      </c>
    </row>
    <row r="943" spans="1:40" s="129" customFormat="1" x14ac:dyDescent="0.25">
      <c r="A943" s="136">
        <v>942</v>
      </c>
      <c r="B943" s="130" t="s">
        <v>4428</v>
      </c>
      <c r="C943" s="130" t="s">
        <v>38</v>
      </c>
      <c r="D943" s="136" t="s">
        <v>7260</v>
      </c>
      <c r="E943" s="132">
        <v>42394</v>
      </c>
      <c r="F943" s="132" t="s">
        <v>7026</v>
      </c>
      <c r="G943" s="132" t="s">
        <v>7261</v>
      </c>
      <c r="H943" s="130" t="s">
        <v>4446</v>
      </c>
      <c r="I943" s="132" t="s">
        <v>40</v>
      </c>
      <c r="J943" s="131" t="s">
        <v>4432</v>
      </c>
      <c r="K943" s="132" t="s">
        <v>4433</v>
      </c>
      <c r="L943" s="136">
        <v>5348577</v>
      </c>
      <c r="M943" s="132">
        <v>42388</v>
      </c>
      <c r="N943" s="136" t="s">
        <v>4733</v>
      </c>
      <c r="O943" s="130" t="s">
        <v>4436</v>
      </c>
      <c r="P943" s="136" t="s">
        <v>492</v>
      </c>
      <c r="Q943" s="130">
        <v>38231900</v>
      </c>
      <c r="R943" s="136">
        <v>58.54</v>
      </c>
      <c r="S943" s="130" t="s">
        <v>70</v>
      </c>
      <c r="T943" s="136" t="s">
        <v>44</v>
      </c>
      <c r="U943" s="136" t="s">
        <v>53</v>
      </c>
      <c r="V943" s="136">
        <v>3870</v>
      </c>
      <c r="W943" s="133">
        <f t="shared" si="42"/>
        <v>226549.8</v>
      </c>
      <c r="X943" s="136">
        <v>74.760000000000005</v>
      </c>
      <c r="Y943" s="136">
        <v>1050</v>
      </c>
      <c r="Z943" s="136">
        <v>0</v>
      </c>
      <c r="AA943" s="136">
        <v>0</v>
      </c>
      <c r="AB943" s="131">
        <v>42389</v>
      </c>
      <c r="AC943" s="134">
        <f t="shared" si="43"/>
        <v>225425.04006024095</v>
      </c>
      <c r="AD943" s="135">
        <v>66.400000000000006</v>
      </c>
      <c r="AE943" s="136">
        <f t="shared" si="44"/>
        <v>15042906.720000001</v>
      </c>
      <c r="AF943" s="137">
        <v>14968222.66</v>
      </c>
      <c r="AG943" s="138">
        <v>66.400000000000006</v>
      </c>
      <c r="AH943" s="136" t="s">
        <v>7262</v>
      </c>
      <c r="AI943" s="136">
        <v>226512.8</v>
      </c>
      <c r="AJ943" s="132">
        <v>42437</v>
      </c>
      <c r="AK943" s="136" t="s">
        <v>7263</v>
      </c>
      <c r="AL943" s="132">
        <v>42467</v>
      </c>
      <c r="AM943" s="131" t="s">
        <v>49</v>
      </c>
      <c r="AN943" s="133" t="s">
        <v>4440</v>
      </c>
    </row>
    <row r="944" spans="1:40" s="129" customFormat="1" x14ac:dyDescent="0.25">
      <c r="A944" s="130">
        <v>943</v>
      </c>
      <c r="B944" s="130" t="s">
        <v>4428</v>
      </c>
      <c r="C944" s="130" t="s">
        <v>38</v>
      </c>
      <c r="D944" s="136" t="s">
        <v>7264</v>
      </c>
      <c r="E944" s="132">
        <v>42394</v>
      </c>
      <c r="F944" s="132" t="s">
        <v>7026</v>
      </c>
      <c r="G944" s="132" t="s">
        <v>7265</v>
      </c>
      <c r="H944" s="130" t="s">
        <v>4446</v>
      </c>
      <c r="I944" s="132" t="s">
        <v>40</v>
      </c>
      <c r="J944" s="131" t="s">
        <v>4432</v>
      </c>
      <c r="K944" s="132" t="s">
        <v>4433</v>
      </c>
      <c r="L944" s="136">
        <v>5348570</v>
      </c>
      <c r="M944" s="132">
        <v>42388</v>
      </c>
      <c r="N944" s="136" t="s">
        <v>4733</v>
      </c>
      <c r="O944" s="130" t="s">
        <v>4436</v>
      </c>
      <c r="P944" s="136" t="s">
        <v>492</v>
      </c>
      <c r="Q944" s="130">
        <v>38231900</v>
      </c>
      <c r="R944" s="136">
        <v>19.899999999999999</v>
      </c>
      <c r="S944" s="130" t="s">
        <v>70</v>
      </c>
      <c r="T944" s="136" t="s">
        <v>44</v>
      </c>
      <c r="U944" s="136" t="s">
        <v>53</v>
      </c>
      <c r="V944" s="136">
        <v>3750</v>
      </c>
      <c r="W944" s="133">
        <f t="shared" si="42"/>
        <v>74625</v>
      </c>
      <c r="X944" s="136">
        <v>24.63</v>
      </c>
      <c r="Y944" s="136">
        <v>350</v>
      </c>
      <c r="Z944" s="136">
        <v>0</v>
      </c>
      <c r="AA944" s="136">
        <v>0</v>
      </c>
      <c r="AB944" s="131">
        <v>42390</v>
      </c>
      <c r="AC944" s="134">
        <f t="shared" si="43"/>
        <v>74250.370030120481</v>
      </c>
      <c r="AD944" s="135">
        <v>66.400000000000006</v>
      </c>
      <c r="AE944" s="136">
        <f t="shared" si="44"/>
        <v>4955100</v>
      </c>
      <c r="AF944" s="137">
        <v>4930224.57</v>
      </c>
      <c r="AG944" s="138">
        <v>66.400000000000006</v>
      </c>
      <c r="AH944" s="136" t="s">
        <v>7266</v>
      </c>
      <c r="AI944" s="136">
        <v>74625</v>
      </c>
      <c r="AJ944" s="132">
        <v>42437</v>
      </c>
      <c r="AK944" s="136" t="s">
        <v>7267</v>
      </c>
      <c r="AL944" s="132">
        <v>42438</v>
      </c>
      <c r="AM944" s="131" t="s">
        <v>49</v>
      </c>
      <c r="AN944" s="136" t="s">
        <v>4440</v>
      </c>
    </row>
    <row r="945" spans="1:40" s="129" customFormat="1" x14ac:dyDescent="0.25">
      <c r="A945" s="136">
        <v>944</v>
      </c>
      <c r="B945" s="130" t="s">
        <v>4428</v>
      </c>
      <c r="C945" s="130" t="s">
        <v>38</v>
      </c>
      <c r="D945" s="136" t="s">
        <v>7268</v>
      </c>
      <c r="E945" s="132">
        <v>42393</v>
      </c>
      <c r="F945" s="132" t="s">
        <v>7026</v>
      </c>
      <c r="G945" s="132" t="s">
        <v>7269</v>
      </c>
      <c r="H945" s="130" t="s">
        <v>4446</v>
      </c>
      <c r="I945" s="132" t="s">
        <v>40</v>
      </c>
      <c r="J945" s="131" t="s">
        <v>4432</v>
      </c>
      <c r="K945" s="132" t="s">
        <v>4433</v>
      </c>
      <c r="L945" s="136">
        <v>5354386</v>
      </c>
      <c r="M945" s="132">
        <v>42388</v>
      </c>
      <c r="N945" s="136" t="s">
        <v>4452</v>
      </c>
      <c r="O945" s="130" t="s">
        <v>4436</v>
      </c>
      <c r="P945" s="136" t="s">
        <v>75</v>
      </c>
      <c r="Q945" s="130">
        <v>38237090</v>
      </c>
      <c r="R945" s="136">
        <v>16</v>
      </c>
      <c r="S945" s="130" t="s">
        <v>70</v>
      </c>
      <c r="T945" s="136" t="s">
        <v>52</v>
      </c>
      <c r="U945" s="136" t="s">
        <v>53</v>
      </c>
      <c r="V945" s="136">
        <v>3830</v>
      </c>
      <c r="W945" s="133">
        <f t="shared" si="42"/>
        <v>61280</v>
      </c>
      <c r="X945" s="136">
        <v>0</v>
      </c>
      <c r="Y945" s="136">
        <v>125</v>
      </c>
      <c r="Z945" s="136">
        <v>0</v>
      </c>
      <c r="AA945" s="136">
        <v>0</v>
      </c>
      <c r="AB945" s="131">
        <v>42390</v>
      </c>
      <c r="AC945" s="134">
        <f t="shared" si="43"/>
        <v>61154.999999999993</v>
      </c>
      <c r="AD945" s="135">
        <v>66.400000000000006</v>
      </c>
      <c r="AE945" s="136">
        <f t="shared" si="44"/>
        <v>4068992.0000000005</v>
      </c>
      <c r="AF945" s="137">
        <v>4060692</v>
      </c>
      <c r="AG945" s="138">
        <v>66.400000000000006</v>
      </c>
      <c r="AH945" s="136" t="s">
        <v>7270</v>
      </c>
      <c r="AI945" s="136">
        <v>61280</v>
      </c>
      <c r="AJ945" s="132">
        <v>42425</v>
      </c>
      <c r="AK945" s="136" t="s">
        <v>7271</v>
      </c>
      <c r="AL945" s="132">
        <v>42425</v>
      </c>
      <c r="AM945" s="131" t="s">
        <v>49</v>
      </c>
      <c r="AN945" s="136" t="s">
        <v>4440</v>
      </c>
    </row>
    <row r="946" spans="1:40" s="129" customFormat="1" x14ac:dyDescent="0.25">
      <c r="A946" s="130">
        <v>945</v>
      </c>
      <c r="B946" s="130" t="s">
        <v>4428</v>
      </c>
      <c r="C946" s="130" t="s">
        <v>38</v>
      </c>
      <c r="D946" s="136" t="s">
        <v>7272</v>
      </c>
      <c r="E946" s="132">
        <v>42391</v>
      </c>
      <c r="F946" s="132" t="s">
        <v>7026</v>
      </c>
      <c r="G946" s="132" t="s">
        <v>7273</v>
      </c>
      <c r="H946" s="130" t="s">
        <v>4556</v>
      </c>
      <c r="I946" s="132" t="s">
        <v>40</v>
      </c>
      <c r="J946" s="131" t="s">
        <v>4432</v>
      </c>
      <c r="K946" s="132" t="s">
        <v>4433</v>
      </c>
      <c r="L946" s="136">
        <v>5356526</v>
      </c>
      <c r="M946" s="132">
        <v>42388</v>
      </c>
      <c r="N946" s="136" t="s">
        <v>4582</v>
      </c>
      <c r="O946" s="130" t="s">
        <v>4436</v>
      </c>
      <c r="P946" s="136" t="s">
        <v>90</v>
      </c>
      <c r="Q946" s="130">
        <v>38231190</v>
      </c>
      <c r="R946" s="136">
        <v>24</v>
      </c>
      <c r="S946" s="130" t="s">
        <v>70</v>
      </c>
      <c r="T946" s="136" t="s">
        <v>44</v>
      </c>
      <c r="U946" s="136" t="s">
        <v>53</v>
      </c>
      <c r="V946" s="136">
        <v>780</v>
      </c>
      <c r="W946" s="133">
        <f t="shared" si="42"/>
        <v>18720</v>
      </c>
      <c r="X946" s="136">
        <v>6.18</v>
      </c>
      <c r="Y946" s="136">
        <v>575</v>
      </c>
      <c r="Z946" s="136">
        <v>0</v>
      </c>
      <c r="AA946" s="136">
        <v>0</v>
      </c>
      <c r="AB946" s="131">
        <v>42389</v>
      </c>
      <c r="AC946" s="134">
        <f t="shared" si="43"/>
        <v>18138.820030120478</v>
      </c>
      <c r="AD946" s="135">
        <v>66.400000000000006</v>
      </c>
      <c r="AE946" s="136">
        <f t="shared" si="44"/>
        <v>1243008</v>
      </c>
      <c r="AF946" s="137">
        <v>1204417.6499999999</v>
      </c>
      <c r="AG946" s="138">
        <v>66.400000000000006</v>
      </c>
      <c r="AH946" s="136" t="s">
        <v>7274</v>
      </c>
      <c r="AI946" s="136">
        <v>18635</v>
      </c>
      <c r="AJ946" s="132">
        <v>42437</v>
      </c>
      <c r="AK946" s="136" t="s">
        <v>7275</v>
      </c>
      <c r="AL946" s="132">
        <v>42438</v>
      </c>
      <c r="AM946" s="131" t="s">
        <v>49</v>
      </c>
      <c r="AN946" s="133" t="s">
        <v>4440</v>
      </c>
    </row>
    <row r="947" spans="1:40" s="129" customFormat="1" x14ac:dyDescent="0.25">
      <c r="A947" s="136">
        <v>946</v>
      </c>
      <c r="B947" s="130" t="s">
        <v>4428</v>
      </c>
      <c r="C947" s="130" t="s">
        <v>38</v>
      </c>
      <c r="D947" s="136" t="s">
        <v>7276</v>
      </c>
      <c r="E947" s="132">
        <v>42392</v>
      </c>
      <c r="F947" s="132" t="s">
        <v>7026</v>
      </c>
      <c r="G947" s="132" t="s">
        <v>7277</v>
      </c>
      <c r="H947" s="130" t="s">
        <v>4463</v>
      </c>
      <c r="I947" s="132" t="s">
        <v>40</v>
      </c>
      <c r="J947" s="131" t="s">
        <v>4432</v>
      </c>
      <c r="K947" s="132" t="s">
        <v>4433</v>
      </c>
      <c r="L947" s="136">
        <v>5357404</v>
      </c>
      <c r="M947" s="132">
        <v>42388</v>
      </c>
      <c r="N947" s="136" t="s">
        <v>4630</v>
      </c>
      <c r="O947" s="130" t="s">
        <v>4436</v>
      </c>
      <c r="P947" s="136" t="s">
        <v>61</v>
      </c>
      <c r="Q947" s="130" t="s">
        <v>6878</v>
      </c>
      <c r="R947" s="136">
        <v>15</v>
      </c>
      <c r="S947" s="130" t="s">
        <v>70</v>
      </c>
      <c r="T947" s="136" t="s">
        <v>44</v>
      </c>
      <c r="U947" s="136" t="s">
        <v>53</v>
      </c>
      <c r="V947" s="136">
        <v>0</v>
      </c>
      <c r="W947" s="133">
        <f>(7.5*1200+7.5*790)</f>
        <v>14925</v>
      </c>
      <c r="X947" s="136">
        <v>4.93</v>
      </c>
      <c r="Y947" s="136">
        <v>25</v>
      </c>
      <c r="Z947" s="136">
        <v>0</v>
      </c>
      <c r="AA947" s="136">
        <v>0</v>
      </c>
      <c r="AB947" s="131">
        <v>42389</v>
      </c>
      <c r="AC947" s="134">
        <f t="shared" si="43"/>
        <v>14895.070030120482</v>
      </c>
      <c r="AD947" s="135">
        <v>66.400000000000006</v>
      </c>
      <c r="AE947" s="136">
        <f t="shared" si="44"/>
        <v>991020.00000000012</v>
      </c>
      <c r="AF947" s="137">
        <v>989032.65</v>
      </c>
      <c r="AG947" s="138">
        <v>66.400000000000006</v>
      </c>
      <c r="AH947" s="136" t="s">
        <v>7278</v>
      </c>
      <c r="AI947" s="136">
        <v>14925</v>
      </c>
      <c r="AJ947" s="132">
        <v>42446</v>
      </c>
      <c r="AK947" s="136" t="s">
        <v>7279</v>
      </c>
      <c r="AL947" s="132">
        <v>42447</v>
      </c>
      <c r="AM947" s="131" t="s">
        <v>49</v>
      </c>
      <c r="AN947" s="136" t="s">
        <v>4440</v>
      </c>
    </row>
    <row r="948" spans="1:40" s="129" customFormat="1" x14ac:dyDescent="0.25">
      <c r="A948" s="130">
        <v>947</v>
      </c>
      <c r="B948" s="130" t="s">
        <v>4428</v>
      </c>
      <c r="C948" s="130" t="s">
        <v>38</v>
      </c>
      <c r="D948" s="136" t="s">
        <v>7280</v>
      </c>
      <c r="E948" s="132">
        <v>42396</v>
      </c>
      <c r="F948" s="132" t="s">
        <v>7026</v>
      </c>
      <c r="G948" s="132" t="s">
        <v>7281</v>
      </c>
      <c r="H948" s="130" t="s">
        <v>4491</v>
      </c>
      <c r="I948" s="132" t="s">
        <v>40</v>
      </c>
      <c r="J948" s="131" t="s">
        <v>4432</v>
      </c>
      <c r="K948" s="132" t="s">
        <v>4433</v>
      </c>
      <c r="L948" s="136">
        <v>5372267</v>
      </c>
      <c r="M948" s="132">
        <v>42389</v>
      </c>
      <c r="N948" s="136" t="s">
        <v>3741</v>
      </c>
      <c r="O948" s="130" t="s">
        <v>4436</v>
      </c>
      <c r="P948" s="136" t="s">
        <v>4492</v>
      </c>
      <c r="Q948" s="130">
        <v>29051700</v>
      </c>
      <c r="R948" s="136">
        <v>18.143999999999998</v>
      </c>
      <c r="S948" s="130" t="s">
        <v>70</v>
      </c>
      <c r="T948" s="136" t="s">
        <v>44</v>
      </c>
      <c r="U948" s="136" t="s">
        <v>53</v>
      </c>
      <c r="V948" s="136">
        <v>1510</v>
      </c>
      <c r="W948" s="133">
        <f t="shared" si="42"/>
        <v>27397.439999999999</v>
      </c>
      <c r="X948" s="136">
        <v>9.0399999999999991</v>
      </c>
      <c r="Y948" s="136">
        <v>1250</v>
      </c>
      <c r="Z948" s="136">
        <v>0</v>
      </c>
      <c r="AA948" s="136">
        <v>0</v>
      </c>
      <c r="AB948" s="131">
        <v>42391</v>
      </c>
      <c r="AC948" s="134">
        <f t="shared" si="43"/>
        <v>26138.399999999998</v>
      </c>
      <c r="AD948" s="135">
        <v>66.400000000000006</v>
      </c>
      <c r="AE948" s="136">
        <f t="shared" si="44"/>
        <v>1819190.0160000001</v>
      </c>
      <c r="AF948" s="137">
        <v>1735589.76</v>
      </c>
      <c r="AG948" s="138">
        <v>67.349999999999994</v>
      </c>
      <c r="AH948" s="136" t="s">
        <v>7282</v>
      </c>
      <c r="AI948" s="136">
        <v>27397.439999999999</v>
      </c>
      <c r="AJ948" s="132">
        <v>42444</v>
      </c>
      <c r="AK948" s="136" t="s">
        <v>7283</v>
      </c>
      <c r="AL948" s="132">
        <v>42445</v>
      </c>
      <c r="AM948" s="131" t="s">
        <v>49</v>
      </c>
      <c r="AN948" s="136" t="s">
        <v>4440</v>
      </c>
    </row>
    <row r="949" spans="1:40" s="129" customFormat="1" x14ac:dyDescent="0.25">
      <c r="A949" s="136">
        <v>948</v>
      </c>
      <c r="B949" s="130" t="s">
        <v>4428</v>
      </c>
      <c r="C949" s="130" t="s">
        <v>38</v>
      </c>
      <c r="D949" s="136" t="s">
        <v>7284</v>
      </c>
      <c r="E949" s="132">
        <v>42393</v>
      </c>
      <c r="F949" s="132" t="s">
        <v>7026</v>
      </c>
      <c r="G949" s="132" t="s">
        <v>7285</v>
      </c>
      <c r="H949" s="130" t="s">
        <v>4456</v>
      </c>
      <c r="I949" s="132" t="s">
        <v>40</v>
      </c>
      <c r="J949" s="131" t="s">
        <v>4432</v>
      </c>
      <c r="K949" s="132" t="s">
        <v>4433</v>
      </c>
      <c r="L949" s="136">
        <v>5376153</v>
      </c>
      <c r="M949" s="132">
        <v>42389</v>
      </c>
      <c r="N949" s="136" t="s">
        <v>4950</v>
      </c>
      <c r="O949" s="130" t="s">
        <v>4436</v>
      </c>
      <c r="P949" s="136" t="s">
        <v>143</v>
      </c>
      <c r="Q949" s="130" t="s">
        <v>6194</v>
      </c>
      <c r="R949" s="136">
        <v>12.9</v>
      </c>
      <c r="S949" s="130" t="s">
        <v>70</v>
      </c>
      <c r="T949" s="136" t="s">
        <v>52</v>
      </c>
      <c r="U949" s="136" t="s">
        <v>53</v>
      </c>
      <c r="V949" s="136">
        <v>0</v>
      </c>
      <c r="W949" s="133">
        <f>(12*1360+0.9*1500)</f>
        <v>17670</v>
      </c>
      <c r="X949" s="136">
        <v>0</v>
      </c>
      <c r="Y949" s="136">
        <v>400</v>
      </c>
      <c r="Z949" s="136">
        <v>0</v>
      </c>
      <c r="AA949" s="136">
        <v>0</v>
      </c>
      <c r="AB949" s="131">
        <v>42390</v>
      </c>
      <c r="AC949" s="134">
        <f t="shared" si="43"/>
        <v>17270</v>
      </c>
      <c r="AD949" s="135">
        <v>66.400000000000006</v>
      </c>
      <c r="AE949" s="136">
        <f t="shared" si="44"/>
        <v>1173288</v>
      </c>
      <c r="AF949" s="137">
        <v>1146728</v>
      </c>
      <c r="AG949" s="138">
        <v>66.400000000000006</v>
      </c>
      <c r="AH949" s="136" t="s">
        <v>7286</v>
      </c>
      <c r="AI949" s="136">
        <v>17650</v>
      </c>
      <c r="AJ949" s="132">
        <v>42450</v>
      </c>
      <c r="AK949" s="136" t="s">
        <v>7287</v>
      </c>
      <c r="AL949" s="132">
        <v>42451</v>
      </c>
      <c r="AM949" s="131" t="s">
        <v>49</v>
      </c>
      <c r="AN949" s="133" t="s">
        <v>4440</v>
      </c>
    </row>
    <row r="950" spans="1:40" s="129" customFormat="1" x14ac:dyDescent="0.25">
      <c r="A950" s="130">
        <v>949</v>
      </c>
      <c r="B950" s="130" t="s">
        <v>4428</v>
      </c>
      <c r="C950" s="130" t="s">
        <v>38</v>
      </c>
      <c r="D950" s="136" t="s">
        <v>7288</v>
      </c>
      <c r="E950" s="132">
        <v>42397</v>
      </c>
      <c r="F950" s="132" t="s">
        <v>7026</v>
      </c>
      <c r="G950" s="132" t="s">
        <v>7289</v>
      </c>
      <c r="H950" s="130" t="s">
        <v>4463</v>
      </c>
      <c r="I950" s="132" t="s">
        <v>40</v>
      </c>
      <c r="J950" s="131" t="s">
        <v>4432</v>
      </c>
      <c r="K950" s="132" t="s">
        <v>4433</v>
      </c>
      <c r="L950" s="136">
        <v>5376157</v>
      </c>
      <c r="M950" s="132">
        <v>42389</v>
      </c>
      <c r="N950" s="136" t="s">
        <v>5824</v>
      </c>
      <c r="O950" s="130" t="s">
        <v>4436</v>
      </c>
      <c r="P950" s="136" t="s">
        <v>205</v>
      </c>
      <c r="Q950" s="130">
        <v>29051700</v>
      </c>
      <c r="R950" s="136">
        <v>4.9000000000000004</v>
      </c>
      <c r="S950" s="130" t="s">
        <v>70</v>
      </c>
      <c r="T950" s="136" t="s">
        <v>67</v>
      </c>
      <c r="U950" s="136" t="s">
        <v>53</v>
      </c>
      <c r="V950" s="136">
        <v>1360</v>
      </c>
      <c r="W950" s="133">
        <f t="shared" si="42"/>
        <v>6664.0000000000009</v>
      </c>
      <c r="X950" s="136">
        <v>0</v>
      </c>
      <c r="Y950" s="136">
        <v>0</v>
      </c>
      <c r="Z950" s="136">
        <v>0</v>
      </c>
      <c r="AA950" s="136">
        <v>0</v>
      </c>
      <c r="AB950" s="131">
        <v>42390</v>
      </c>
      <c r="AC950" s="134">
        <f t="shared" si="43"/>
        <v>6663.9999999999991</v>
      </c>
      <c r="AD950" s="135">
        <v>66.400000000000006</v>
      </c>
      <c r="AE950" s="136">
        <f t="shared" si="44"/>
        <v>442489.60000000009</v>
      </c>
      <c r="AF950" s="137">
        <v>442489.59999999998</v>
      </c>
      <c r="AG950" s="138">
        <v>66.400000000000006</v>
      </c>
      <c r="AH950" s="136" t="s">
        <v>7290</v>
      </c>
      <c r="AI950" s="136">
        <v>6594.5</v>
      </c>
      <c r="AJ950" s="132">
        <v>42422</v>
      </c>
      <c r="AK950" s="136" t="s">
        <v>7291</v>
      </c>
      <c r="AL950" s="132">
        <v>42423</v>
      </c>
      <c r="AM950" s="131" t="s">
        <v>49</v>
      </c>
      <c r="AN950" s="133" t="s">
        <v>4440</v>
      </c>
    </row>
    <row r="951" spans="1:40" s="129" customFormat="1" x14ac:dyDescent="0.25">
      <c r="A951" s="136">
        <v>950</v>
      </c>
      <c r="B951" s="130" t="s">
        <v>4428</v>
      </c>
      <c r="C951" s="130" t="s">
        <v>38</v>
      </c>
      <c r="D951" s="136" t="s">
        <v>7292</v>
      </c>
      <c r="E951" s="132">
        <v>42395</v>
      </c>
      <c r="F951" s="132" t="s">
        <v>7026</v>
      </c>
      <c r="G951" s="132" t="s">
        <v>7293</v>
      </c>
      <c r="H951" s="130" t="s">
        <v>4564</v>
      </c>
      <c r="I951" s="132" t="s">
        <v>40</v>
      </c>
      <c r="J951" s="131" t="s">
        <v>4432</v>
      </c>
      <c r="K951" s="132" t="s">
        <v>4433</v>
      </c>
      <c r="L951" s="136">
        <v>5396913</v>
      </c>
      <c r="M951" s="132">
        <v>42390</v>
      </c>
      <c r="N951" s="136" t="s">
        <v>5610</v>
      </c>
      <c r="O951" s="130" t="s">
        <v>4436</v>
      </c>
      <c r="P951" s="136" t="s">
        <v>3290</v>
      </c>
      <c r="Q951" s="130" t="s">
        <v>7294</v>
      </c>
      <c r="R951" s="136">
        <v>14.89</v>
      </c>
      <c r="S951" s="130" t="s">
        <v>70</v>
      </c>
      <c r="T951" s="136" t="s">
        <v>6462</v>
      </c>
      <c r="U951" s="136" t="s">
        <v>53</v>
      </c>
      <c r="V951" s="136">
        <v>0</v>
      </c>
      <c r="W951" s="133">
        <f>(2.89*1600+12*1474)</f>
        <v>22312</v>
      </c>
      <c r="X951" s="136">
        <v>0</v>
      </c>
      <c r="Y951" s="136">
        <v>1250</v>
      </c>
      <c r="Z951" s="136">
        <v>0</v>
      </c>
      <c r="AA951" s="136">
        <v>0</v>
      </c>
      <c r="AB951" s="131">
        <v>42392</v>
      </c>
      <c r="AC951" s="134">
        <f t="shared" si="43"/>
        <v>21062</v>
      </c>
      <c r="AD951" s="135">
        <v>66.400000000000006</v>
      </c>
      <c r="AE951" s="136">
        <f t="shared" si="44"/>
        <v>1481516.8</v>
      </c>
      <c r="AF951" s="137">
        <v>1398516.8</v>
      </c>
      <c r="AG951" s="138">
        <v>66.400000000000006</v>
      </c>
      <c r="AH951" s="136" t="s">
        <v>7295</v>
      </c>
      <c r="AI951" s="136">
        <v>22312</v>
      </c>
      <c r="AJ951" s="132" t="s">
        <v>7296</v>
      </c>
      <c r="AK951" s="136" t="s">
        <v>7297</v>
      </c>
      <c r="AL951" s="132" t="s">
        <v>7296</v>
      </c>
      <c r="AM951" s="131" t="s">
        <v>49</v>
      </c>
      <c r="AN951" s="136" t="s">
        <v>4440</v>
      </c>
    </row>
    <row r="952" spans="1:40" s="129" customFormat="1" x14ac:dyDescent="0.25">
      <c r="A952" s="130">
        <v>951</v>
      </c>
      <c r="B952" s="130" t="s">
        <v>4428</v>
      </c>
      <c r="C952" s="130" t="s">
        <v>38</v>
      </c>
      <c r="D952" s="136" t="s">
        <v>7298</v>
      </c>
      <c r="E952" s="132">
        <v>42395</v>
      </c>
      <c r="F952" s="132" t="s">
        <v>7026</v>
      </c>
      <c r="G952" s="132" t="s">
        <v>7299</v>
      </c>
      <c r="H952" s="130" t="s">
        <v>4564</v>
      </c>
      <c r="I952" s="132" t="s">
        <v>40</v>
      </c>
      <c r="J952" s="131" t="s">
        <v>4432</v>
      </c>
      <c r="K952" s="132" t="s">
        <v>4433</v>
      </c>
      <c r="L952" s="136">
        <v>5396970</v>
      </c>
      <c r="M952" s="132">
        <v>42390</v>
      </c>
      <c r="N952" s="136" t="s">
        <v>5610</v>
      </c>
      <c r="O952" s="130" t="s">
        <v>4436</v>
      </c>
      <c r="P952" s="136" t="s">
        <v>3290</v>
      </c>
      <c r="Q952" s="130" t="s">
        <v>7294</v>
      </c>
      <c r="R952" s="136">
        <v>14.89</v>
      </c>
      <c r="S952" s="130" t="s">
        <v>70</v>
      </c>
      <c r="T952" s="136" t="s">
        <v>6462</v>
      </c>
      <c r="U952" s="136" t="s">
        <v>53</v>
      </c>
      <c r="V952" s="136">
        <v>0</v>
      </c>
      <c r="W952" s="133">
        <f>(2.89*1600+12*1474)</f>
        <v>22312</v>
      </c>
      <c r="X952" s="136">
        <v>0</v>
      </c>
      <c r="Y952" s="136">
        <v>1250</v>
      </c>
      <c r="Z952" s="136">
        <v>0</v>
      </c>
      <c r="AA952" s="136">
        <v>0</v>
      </c>
      <c r="AB952" s="131">
        <v>42391</v>
      </c>
      <c r="AC952" s="134">
        <f t="shared" si="43"/>
        <v>21062</v>
      </c>
      <c r="AD952" s="135">
        <v>66.400000000000006</v>
      </c>
      <c r="AE952" s="136">
        <f t="shared" si="44"/>
        <v>1481516.8</v>
      </c>
      <c r="AF952" s="137">
        <v>1398516.8</v>
      </c>
      <c r="AG952" s="138">
        <v>66.400000000000006</v>
      </c>
      <c r="AH952" s="136" t="s">
        <v>7300</v>
      </c>
      <c r="AI952" s="136">
        <v>22312</v>
      </c>
      <c r="AJ952" s="132">
        <v>42416</v>
      </c>
      <c r="AK952" s="136" t="s">
        <v>7301</v>
      </c>
      <c r="AL952" s="132">
        <v>42416</v>
      </c>
      <c r="AM952" s="131" t="s">
        <v>49</v>
      </c>
      <c r="AN952" s="136" t="s">
        <v>4440</v>
      </c>
    </row>
    <row r="953" spans="1:40" s="129" customFormat="1" x14ac:dyDescent="0.25">
      <c r="A953" s="136">
        <v>952</v>
      </c>
      <c r="B953" s="130" t="s">
        <v>4428</v>
      </c>
      <c r="C953" s="130" t="s">
        <v>38</v>
      </c>
      <c r="D953" s="136" t="s">
        <v>7302</v>
      </c>
      <c r="E953" s="132">
        <v>42393</v>
      </c>
      <c r="F953" s="132" t="s">
        <v>7026</v>
      </c>
      <c r="G953" s="132" t="s">
        <v>7303</v>
      </c>
      <c r="H953" s="130" t="s">
        <v>4463</v>
      </c>
      <c r="I953" s="132" t="s">
        <v>40</v>
      </c>
      <c r="J953" s="131" t="s">
        <v>4432</v>
      </c>
      <c r="K953" s="132" t="s">
        <v>4433</v>
      </c>
      <c r="L953" s="136">
        <v>5380348</v>
      </c>
      <c r="M953" s="132">
        <v>42389</v>
      </c>
      <c r="N953" s="136" t="s">
        <v>5337</v>
      </c>
      <c r="O953" s="130" t="s">
        <v>4436</v>
      </c>
      <c r="P953" s="136" t="s">
        <v>143</v>
      </c>
      <c r="Q953" s="130">
        <v>38237090</v>
      </c>
      <c r="R953" s="136">
        <v>60</v>
      </c>
      <c r="S953" s="130" t="s">
        <v>70</v>
      </c>
      <c r="T953" s="136" t="s">
        <v>52</v>
      </c>
      <c r="U953" s="136" t="s">
        <v>53</v>
      </c>
      <c r="V953" s="136">
        <v>1250</v>
      </c>
      <c r="W953" s="133">
        <f t="shared" si="42"/>
        <v>75000</v>
      </c>
      <c r="X953" s="136">
        <v>0</v>
      </c>
      <c r="Y953" s="136">
        <v>2000</v>
      </c>
      <c r="Z953" s="136">
        <v>0</v>
      </c>
      <c r="AA953" s="136">
        <v>900</v>
      </c>
      <c r="AB953" s="131">
        <v>42390</v>
      </c>
      <c r="AC953" s="134">
        <f t="shared" si="43"/>
        <v>73000</v>
      </c>
      <c r="AD953" s="135">
        <v>66.400000000000006</v>
      </c>
      <c r="AE953" s="136">
        <f t="shared" si="44"/>
        <v>4980000</v>
      </c>
      <c r="AF953" s="137">
        <v>4847200</v>
      </c>
      <c r="AG953" s="138">
        <v>66.400000000000006</v>
      </c>
      <c r="AH953" s="136" t="s">
        <v>7304</v>
      </c>
      <c r="AI953" s="136">
        <v>75000</v>
      </c>
      <c r="AJ953" s="132">
        <v>42412</v>
      </c>
      <c r="AK953" s="136" t="s">
        <v>7305</v>
      </c>
      <c r="AL953" s="132">
        <v>42412</v>
      </c>
      <c r="AM953" s="131" t="s">
        <v>49</v>
      </c>
      <c r="AN953" s="136" t="s">
        <v>4440</v>
      </c>
    </row>
    <row r="954" spans="1:40" s="129" customFormat="1" x14ac:dyDescent="0.25">
      <c r="A954" s="130">
        <v>953</v>
      </c>
      <c r="B954" s="130" t="s">
        <v>4428</v>
      </c>
      <c r="C954" s="130" t="s">
        <v>38</v>
      </c>
      <c r="D954" s="136" t="s">
        <v>7306</v>
      </c>
      <c r="E954" s="132">
        <v>42393</v>
      </c>
      <c r="F954" s="132" t="s">
        <v>7026</v>
      </c>
      <c r="G954" s="132" t="s">
        <v>7307</v>
      </c>
      <c r="H954" s="130" t="s">
        <v>4463</v>
      </c>
      <c r="I954" s="132" t="s">
        <v>40</v>
      </c>
      <c r="J954" s="131" t="s">
        <v>4432</v>
      </c>
      <c r="K954" s="132" t="s">
        <v>4433</v>
      </c>
      <c r="L954" s="136">
        <v>5396914</v>
      </c>
      <c r="M954" s="132">
        <v>42390</v>
      </c>
      <c r="N954" s="136" t="s">
        <v>5337</v>
      </c>
      <c r="O954" s="130" t="s">
        <v>4436</v>
      </c>
      <c r="P954" s="136" t="s">
        <v>143</v>
      </c>
      <c r="Q954" s="130">
        <v>38237090</v>
      </c>
      <c r="R954" s="136">
        <v>48</v>
      </c>
      <c r="S954" s="130" t="s">
        <v>70</v>
      </c>
      <c r="T954" s="136" t="s">
        <v>52</v>
      </c>
      <c r="U954" s="136" t="s">
        <v>53</v>
      </c>
      <c r="V954" s="136">
        <v>1250</v>
      </c>
      <c r="W954" s="133">
        <f t="shared" si="42"/>
        <v>60000</v>
      </c>
      <c r="X954" s="136">
        <v>0</v>
      </c>
      <c r="Y954" s="136">
        <v>1600</v>
      </c>
      <c r="Z954" s="136">
        <v>0</v>
      </c>
      <c r="AA954" s="136">
        <v>720</v>
      </c>
      <c r="AB954" s="131">
        <v>42391</v>
      </c>
      <c r="AC954" s="134">
        <f t="shared" si="43"/>
        <v>58399.999999999993</v>
      </c>
      <c r="AD954" s="135">
        <v>66.400000000000006</v>
      </c>
      <c r="AE954" s="136">
        <f t="shared" si="44"/>
        <v>3984000.0000000005</v>
      </c>
      <c r="AF954" s="137">
        <v>3877760</v>
      </c>
      <c r="AG954" s="138">
        <v>67.349999999999994</v>
      </c>
      <c r="AH954" s="136" t="s">
        <v>7304</v>
      </c>
      <c r="AI954" s="136">
        <v>60000</v>
      </c>
      <c r="AJ954" s="132">
        <v>42412</v>
      </c>
      <c r="AK954" s="136" t="s">
        <v>7308</v>
      </c>
      <c r="AL954" s="132">
        <v>42412</v>
      </c>
      <c r="AM954" s="131" t="s">
        <v>49</v>
      </c>
      <c r="AN954" s="136" t="s">
        <v>4440</v>
      </c>
    </row>
    <row r="955" spans="1:40" s="129" customFormat="1" x14ac:dyDescent="0.25">
      <c r="A955" s="136">
        <v>954</v>
      </c>
      <c r="B955" s="130" t="s">
        <v>4428</v>
      </c>
      <c r="C955" s="130" t="s">
        <v>38</v>
      </c>
      <c r="D955" s="136" t="s">
        <v>7309</v>
      </c>
      <c r="E955" s="132">
        <v>42399</v>
      </c>
      <c r="F955" s="132" t="s">
        <v>7026</v>
      </c>
      <c r="G955" s="132" t="s">
        <v>7310</v>
      </c>
      <c r="H955" s="130" t="s">
        <v>4463</v>
      </c>
      <c r="I955" s="132" t="s">
        <v>40</v>
      </c>
      <c r="J955" s="131" t="s">
        <v>4432</v>
      </c>
      <c r="K955" s="132" t="s">
        <v>4433</v>
      </c>
      <c r="L955" s="136">
        <v>5404639</v>
      </c>
      <c r="M955" s="132">
        <v>42390</v>
      </c>
      <c r="N955" s="136" t="s">
        <v>5920</v>
      </c>
      <c r="O955" s="130" t="s">
        <v>4436</v>
      </c>
      <c r="P955" s="136" t="s">
        <v>61</v>
      </c>
      <c r="Q955" s="130">
        <v>29051700</v>
      </c>
      <c r="R955" s="136">
        <v>16</v>
      </c>
      <c r="S955" s="130" t="s">
        <v>70</v>
      </c>
      <c r="T955" s="136" t="s">
        <v>52</v>
      </c>
      <c r="U955" s="136" t="s">
        <v>53</v>
      </c>
      <c r="V955" s="136">
        <v>0</v>
      </c>
      <c r="W955" s="133">
        <f>(8*1315+8*1370)</f>
        <v>21480</v>
      </c>
      <c r="X955" s="136">
        <v>0</v>
      </c>
      <c r="Y955" s="136">
        <v>850</v>
      </c>
      <c r="Z955" s="136">
        <v>0</v>
      </c>
      <c r="AA955" s="136">
        <v>0</v>
      </c>
      <c r="AB955" s="131">
        <v>42391</v>
      </c>
      <c r="AC955" s="134">
        <f t="shared" si="43"/>
        <v>20630</v>
      </c>
      <c r="AD955" s="135">
        <v>66.400000000000006</v>
      </c>
      <c r="AE955" s="136">
        <f t="shared" si="44"/>
        <v>1426272.0000000002</v>
      </c>
      <c r="AF955" s="137">
        <v>1369832</v>
      </c>
      <c r="AG955" s="138">
        <v>67.349999999999994</v>
      </c>
      <c r="AH955" s="136" t="s">
        <v>7311</v>
      </c>
      <c r="AI955" s="136">
        <v>21432</v>
      </c>
      <c r="AJ955" s="132">
        <v>42418</v>
      </c>
      <c r="AK955" s="136" t="s">
        <v>7312</v>
      </c>
      <c r="AL955" s="132">
        <v>42418</v>
      </c>
      <c r="AM955" s="131" t="s">
        <v>49</v>
      </c>
      <c r="AN955" s="133" t="s">
        <v>4440</v>
      </c>
    </row>
    <row r="956" spans="1:40" s="129" customFormat="1" x14ac:dyDescent="0.25">
      <c r="A956" s="130">
        <v>955</v>
      </c>
      <c r="B956" s="130" t="s">
        <v>4428</v>
      </c>
      <c r="C956" s="130" t="s">
        <v>38</v>
      </c>
      <c r="D956" s="136" t="s">
        <v>7313</v>
      </c>
      <c r="E956" s="132">
        <v>42398</v>
      </c>
      <c r="F956" s="132" t="s">
        <v>7026</v>
      </c>
      <c r="G956" s="132" t="s">
        <v>7314</v>
      </c>
      <c r="H956" s="130" t="s">
        <v>4456</v>
      </c>
      <c r="I956" s="132" t="s">
        <v>40</v>
      </c>
      <c r="J956" s="131" t="s">
        <v>4432</v>
      </c>
      <c r="K956" s="132" t="s">
        <v>4433</v>
      </c>
      <c r="L956" s="136">
        <v>5404660</v>
      </c>
      <c r="M956" s="132">
        <v>42390</v>
      </c>
      <c r="N956" s="136" t="s">
        <v>4527</v>
      </c>
      <c r="O956" s="130" t="s">
        <v>4436</v>
      </c>
      <c r="P956" s="136" t="s">
        <v>59</v>
      </c>
      <c r="Q956" s="130">
        <v>38237090</v>
      </c>
      <c r="R956" s="136">
        <v>109.95</v>
      </c>
      <c r="S956" s="130" t="s">
        <v>70</v>
      </c>
      <c r="T956" s="136" t="s">
        <v>44</v>
      </c>
      <c r="U956" s="136" t="s">
        <v>4528</v>
      </c>
      <c r="V956" s="136">
        <v>845</v>
      </c>
      <c r="W956" s="133">
        <f t="shared" si="42"/>
        <v>92907.75</v>
      </c>
      <c r="X956" s="136">
        <v>30.66</v>
      </c>
      <c r="Y956" s="136">
        <v>1948.85</v>
      </c>
      <c r="Z956" s="136">
        <v>0</v>
      </c>
      <c r="AA956" s="136">
        <v>0</v>
      </c>
      <c r="AB956" s="131">
        <v>42392</v>
      </c>
      <c r="AC956" s="134">
        <f t="shared" si="43"/>
        <v>90928.239972047522</v>
      </c>
      <c r="AD956" s="135">
        <v>71.55</v>
      </c>
      <c r="AE956" s="136">
        <f t="shared" si="44"/>
        <v>6647549.5125000002</v>
      </c>
      <c r="AF956" s="130">
        <v>6505915.5700000003</v>
      </c>
      <c r="AG956" s="138">
        <v>72.900000000000006</v>
      </c>
      <c r="AH956" s="136" t="s">
        <v>7315</v>
      </c>
      <c r="AI956" s="136">
        <v>92907.75</v>
      </c>
      <c r="AJ956" s="132">
        <v>42466</v>
      </c>
      <c r="AK956" s="136" t="s">
        <v>7316</v>
      </c>
      <c r="AL956" s="132">
        <v>42466</v>
      </c>
      <c r="AM956" s="131" t="s">
        <v>49</v>
      </c>
      <c r="AN956" s="136" t="s">
        <v>4440</v>
      </c>
    </row>
    <row r="957" spans="1:40" s="129" customFormat="1" x14ac:dyDescent="0.25">
      <c r="A957" s="136">
        <v>956</v>
      </c>
      <c r="B957" s="130" t="s">
        <v>4428</v>
      </c>
      <c r="C957" s="130" t="s">
        <v>38</v>
      </c>
      <c r="D957" s="136" t="s">
        <v>7317</v>
      </c>
      <c r="E957" s="132">
        <v>42394</v>
      </c>
      <c r="F957" s="132" t="s">
        <v>7026</v>
      </c>
      <c r="G957" s="132" t="s">
        <v>7318</v>
      </c>
      <c r="H957" s="130" t="s">
        <v>4491</v>
      </c>
      <c r="I957" s="132" t="s">
        <v>40</v>
      </c>
      <c r="J957" s="131" t="s">
        <v>4432</v>
      </c>
      <c r="K957" s="132" t="s">
        <v>4433</v>
      </c>
      <c r="L957" s="136">
        <v>5404652</v>
      </c>
      <c r="M957" s="132">
        <v>42390</v>
      </c>
      <c r="N957" s="136" t="s">
        <v>3741</v>
      </c>
      <c r="O957" s="130" t="s">
        <v>4436</v>
      </c>
      <c r="P957" s="136" t="s">
        <v>4492</v>
      </c>
      <c r="Q957" s="130">
        <v>38237090</v>
      </c>
      <c r="R957" s="136">
        <v>18.07</v>
      </c>
      <c r="S957" s="130" t="s">
        <v>70</v>
      </c>
      <c r="T957" s="136" t="s">
        <v>44</v>
      </c>
      <c r="U957" s="136" t="s">
        <v>53</v>
      </c>
      <c r="V957" s="136">
        <v>1275</v>
      </c>
      <c r="W957" s="133">
        <f t="shared" si="42"/>
        <v>23039.25</v>
      </c>
      <c r="X957" s="136">
        <v>7.6</v>
      </c>
      <c r="Y957" s="136">
        <v>2000</v>
      </c>
      <c r="Z957" s="136">
        <v>0</v>
      </c>
      <c r="AA957" s="136">
        <v>0</v>
      </c>
      <c r="AB957" s="131">
        <v>42391</v>
      </c>
      <c r="AC957" s="134">
        <f t="shared" si="43"/>
        <v>21031.649999999998</v>
      </c>
      <c r="AD957" s="135">
        <v>66.400000000000006</v>
      </c>
      <c r="AE957" s="136">
        <f t="shared" si="44"/>
        <v>1529806.2000000002</v>
      </c>
      <c r="AF957" s="137">
        <v>1396501.56</v>
      </c>
      <c r="AG957" s="138">
        <v>67.349999999999994</v>
      </c>
      <c r="AH957" s="136" t="s">
        <v>7319</v>
      </c>
      <c r="AI957" s="136">
        <v>23039.25</v>
      </c>
      <c r="AJ957" s="132">
        <v>42444</v>
      </c>
      <c r="AK957" s="136" t="s">
        <v>7320</v>
      </c>
      <c r="AL957" s="132">
        <v>42445</v>
      </c>
      <c r="AM957" s="131" t="s">
        <v>49</v>
      </c>
      <c r="AN957" s="136" t="s">
        <v>4440</v>
      </c>
    </row>
    <row r="958" spans="1:40" s="129" customFormat="1" x14ac:dyDescent="0.25">
      <c r="A958" s="130">
        <v>957</v>
      </c>
      <c r="B958" s="130" t="s">
        <v>4428</v>
      </c>
      <c r="C958" s="130" t="s">
        <v>38</v>
      </c>
      <c r="D958" s="136" t="s">
        <v>7321</v>
      </c>
      <c r="E958" s="132">
        <v>42394</v>
      </c>
      <c r="F958" s="132" t="s">
        <v>7026</v>
      </c>
      <c r="G958" s="132" t="s">
        <v>7322</v>
      </c>
      <c r="H958" s="130" t="s">
        <v>4491</v>
      </c>
      <c r="I958" s="132" t="s">
        <v>40</v>
      </c>
      <c r="J958" s="131" t="s">
        <v>4432</v>
      </c>
      <c r="K958" s="132" t="s">
        <v>4433</v>
      </c>
      <c r="L958" s="136">
        <v>5404653</v>
      </c>
      <c r="M958" s="132">
        <v>42390</v>
      </c>
      <c r="N958" s="136" t="s">
        <v>3741</v>
      </c>
      <c r="O958" s="130" t="s">
        <v>4436</v>
      </c>
      <c r="P958" s="136" t="s">
        <v>4492</v>
      </c>
      <c r="Q958" s="130">
        <v>38237090</v>
      </c>
      <c r="R958" s="136">
        <v>18.14</v>
      </c>
      <c r="S958" s="130" t="s">
        <v>70</v>
      </c>
      <c r="T958" s="136" t="s">
        <v>44</v>
      </c>
      <c r="U958" s="136" t="s">
        <v>53</v>
      </c>
      <c r="V958" s="136">
        <v>1295</v>
      </c>
      <c r="W958" s="133">
        <f t="shared" ref="W958:W1025" si="45">V958*R958</f>
        <v>23491.3</v>
      </c>
      <c r="X958" s="136">
        <v>7.75</v>
      </c>
      <c r="Y958" s="136">
        <v>3400</v>
      </c>
      <c r="Z958" s="136">
        <v>0</v>
      </c>
      <c r="AA958" s="136">
        <v>0</v>
      </c>
      <c r="AB958" s="131">
        <v>42391</v>
      </c>
      <c r="AC958" s="134">
        <f t="shared" si="43"/>
        <v>20083.55</v>
      </c>
      <c r="AD958" s="135">
        <v>66.400000000000006</v>
      </c>
      <c r="AE958" s="136">
        <f t="shared" si="44"/>
        <v>1559822.32</v>
      </c>
      <c r="AF958" s="137">
        <v>1333547.72</v>
      </c>
      <c r="AG958" s="138">
        <v>67.349999999999994</v>
      </c>
      <c r="AH958" s="136" t="s">
        <v>7323</v>
      </c>
      <c r="AI958" s="136">
        <v>23491.3</v>
      </c>
      <c r="AJ958" s="132">
        <v>42444</v>
      </c>
      <c r="AK958" s="136" t="s">
        <v>7324</v>
      </c>
      <c r="AL958" s="132">
        <v>42445</v>
      </c>
      <c r="AM958" s="131" t="s">
        <v>49</v>
      </c>
      <c r="AN958" s="136" t="s">
        <v>4440</v>
      </c>
    </row>
    <row r="959" spans="1:40" s="129" customFormat="1" x14ac:dyDescent="0.25">
      <c r="A959" s="136">
        <v>958</v>
      </c>
      <c r="B959" s="130" t="s">
        <v>4428</v>
      </c>
      <c r="C959" s="130" t="s">
        <v>38</v>
      </c>
      <c r="D959" s="136" t="s">
        <v>7325</v>
      </c>
      <c r="E959" s="132">
        <v>42396</v>
      </c>
      <c r="F959" s="132" t="s">
        <v>7026</v>
      </c>
      <c r="G959" s="132" t="s">
        <v>7326</v>
      </c>
      <c r="H959" s="130" t="s">
        <v>4463</v>
      </c>
      <c r="I959" s="132" t="s">
        <v>40</v>
      </c>
      <c r="J959" s="131" t="s">
        <v>4432</v>
      </c>
      <c r="K959" s="132" t="s">
        <v>4433</v>
      </c>
      <c r="L959" s="136">
        <v>5404655</v>
      </c>
      <c r="M959" s="132">
        <v>42390</v>
      </c>
      <c r="N959" s="136" t="s">
        <v>5193</v>
      </c>
      <c r="O959" s="130" t="s">
        <v>4436</v>
      </c>
      <c r="P959" s="136" t="s">
        <v>4465</v>
      </c>
      <c r="Q959" s="130">
        <v>38237090</v>
      </c>
      <c r="R959" s="136">
        <v>12</v>
      </c>
      <c r="S959" s="130" t="s">
        <v>70</v>
      </c>
      <c r="T959" s="136" t="s">
        <v>44</v>
      </c>
      <c r="U959" s="136" t="s">
        <v>53</v>
      </c>
      <c r="V959" s="136">
        <v>1340</v>
      </c>
      <c r="W959" s="133">
        <f t="shared" si="45"/>
        <v>16080</v>
      </c>
      <c r="X959" s="136">
        <v>5.31</v>
      </c>
      <c r="Y959" s="136">
        <v>20</v>
      </c>
      <c r="Z959" s="136">
        <v>0</v>
      </c>
      <c r="AA959" s="136">
        <v>360</v>
      </c>
      <c r="AB959" s="131">
        <v>42391</v>
      </c>
      <c r="AC959" s="134">
        <f t="shared" si="43"/>
        <v>16054.690060240961</v>
      </c>
      <c r="AD959" s="135">
        <v>66.400000000000006</v>
      </c>
      <c r="AE959" s="136">
        <f t="shared" si="44"/>
        <v>1067712</v>
      </c>
      <c r="AF959" s="137">
        <v>1066031.42</v>
      </c>
      <c r="AG959" s="138">
        <v>67.349999999999994</v>
      </c>
      <c r="AH959" s="136" t="s">
        <v>7327</v>
      </c>
      <c r="AI959" s="136">
        <v>16040</v>
      </c>
      <c r="AJ959" s="132">
        <v>42445</v>
      </c>
      <c r="AK959" s="136" t="s">
        <v>7328</v>
      </c>
      <c r="AL959" s="132">
        <v>42446</v>
      </c>
      <c r="AM959" s="131" t="s">
        <v>49</v>
      </c>
      <c r="AN959" s="133" t="s">
        <v>4440</v>
      </c>
    </row>
    <row r="960" spans="1:40" s="129" customFormat="1" x14ac:dyDescent="0.25">
      <c r="A960" s="130">
        <v>959</v>
      </c>
      <c r="B960" s="130" t="s">
        <v>4428</v>
      </c>
      <c r="C960" s="130" t="s">
        <v>38</v>
      </c>
      <c r="D960" s="136" t="s">
        <v>7329</v>
      </c>
      <c r="E960" s="132">
        <v>42398</v>
      </c>
      <c r="F960" s="132" t="s">
        <v>7026</v>
      </c>
      <c r="G960" s="132" t="s">
        <v>7330</v>
      </c>
      <c r="H960" s="130" t="s">
        <v>7331</v>
      </c>
      <c r="I960" s="132" t="s">
        <v>40</v>
      </c>
      <c r="J960" s="131" t="s">
        <v>4432</v>
      </c>
      <c r="K960" s="132" t="s">
        <v>4433</v>
      </c>
      <c r="L960" s="136">
        <v>5428803</v>
      </c>
      <c r="M960" s="132">
        <v>42391</v>
      </c>
      <c r="N960" s="136" t="s">
        <v>7332</v>
      </c>
      <c r="O960" s="130" t="s">
        <v>4436</v>
      </c>
      <c r="P960" s="136" t="s">
        <v>90</v>
      </c>
      <c r="Q960" s="130" t="s">
        <v>4645</v>
      </c>
      <c r="R960" s="136">
        <v>16</v>
      </c>
      <c r="S960" s="130" t="s">
        <v>70</v>
      </c>
      <c r="T960" s="136" t="s">
        <v>44</v>
      </c>
      <c r="U960" s="136" t="s">
        <v>53</v>
      </c>
      <c r="V960" s="136">
        <v>0</v>
      </c>
      <c r="W960" s="133">
        <f>(14*1330+1320+1360)</f>
        <v>21300</v>
      </c>
      <c r="X960" s="136">
        <v>7.03</v>
      </c>
      <c r="Y960" s="136">
        <v>375</v>
      </c>
      <c r="Z960" s="136">
        <v>0</v>
      </c>
      <c r="AA960" s="136">
        <v>0</v>
      </c>
      <c r="AB960" s="131">
        <v>42392</v>
      </c>
      <c r="AC960" s="134">
        <f t="shared" si="43"/>
        <v>20917.970007423908</v>
      </c>
      <c r="AD960" s="135">
        <v>67.349999999999994</v>
      </c>
      <c r="AE960" s="136">
        <f t="shared" si="44"/>
        <v>1434554.9999999998</v>
      </c>
      <c r="AF960" s="137">
        <v>1408825.28</v>
      </c>
      <c r="AG960" s="138">
        <v>67.349999999999994</v>
      </c>
      <c r="AH960" s="136" t="s">
        <v>7333</v>
      </c>
      <c r="AI960" s="136">
        <v>21247</v>
      </c>
      <c r="AJ960" s="132">
        <v>42446</v>
      </c>
      <c r="AK960" s="136" t="s">
        <v>7334</v>
      </c>
      <c r="AL960" s="132">
        <v>42447</v>
      </c>
      <c r="AM960" s="131" t="s">
        <v>49</v>
      </c>
      <c r="AN960" s="133" t="s">
        <v>4440</v>
      </c>
    </row>
    <row r="961" spans="1:40" s="129" customFormat="1" x14ac:dyDescent="0.25">
      <c r="A961" s="136">
        <v>960</v>
      </c>
      <c r="B961" s="130" t="s">
        <v>4428</v>
      </c>
      <c r="C961" s="130" t="s">
        <v>38</v>
      </c>
      <c r="D961" s="136">
        <v>9103650921</v>
      </c>
      <c r="E961" s="132">
        <v>42398</v>
      </c>
      <c r="F961" s="132" t="s">
        <v>7026</v>
      </c>
      <c r="G961" s="132" t="s">
        <v>7335</v>
      </c>
      <c r="H961" s="130" t="s">
        <v>4556</v>
      </c>
      <c r="I961" s="132" t="s">
        <v>40</v>
      </c>
      <c r="J961" s="131" t="s">
        <v>4432</v>
      </c>
      <c r="K961" s="132" t="s">
        <v>4433</v>
      </c>
      <c r="L961" s="136">
        <v>5424767</v>
      </c>
      <c r="M961" s="132">
        <v>42391</v>
      </c>
      <c r="N961" s="136" t="s">
        <v>4582</v>
      </c>
      <c r="O961" s="130" t="s">
        <v>4436</v>
      </c>
      <c r="P961" s="136" t="s">
        <v>90</v>
      </c>
      <c r="Q961" s="130">
        <v>38231190</v>
      </c>
      <c r="R961" s="136">
        <v>24</v>
      </c>
      <c r="S961" s="130" t="s">
        <v>70</v>
      </c>
      <c r="T961" s="136" t="s">
        <v>44</v>
      </c>
      <c r="U961" s="136" t="s">
        <v>53</v>
      </c>
      <c r="V961" s="136">
        <v>780</v>
      </c>
      <c r="W961" s="133">
        <f t="shared" si="45"/>
        <v>18720</v>
      </c>
      <c r="X961" s="136">
        <v>6.18</v>
      </c>
      <c r="Y961" s="136">
        <v>575</v>
      </c>
      <c r="Z961" s="136">
        <v>0</v>
      </c>
      <c r="AA961" s="136">
        <v>338.4</v>
      </c>
      <c r="AB961" s="131">
        <v>42392</v>
      </c>
      <c r="AC961" s="134">
        <f t="shared" si="43"/>
        <v>18138.82004454343</v>
      </c>
      <c r="AD961" s="135">
        <v>67.349999999999994</v>
      </c>
      <c r="AE961" s="136">
        <f t="shared" si="44"/>
        <v>1260792</v>
      </c>
      <c r="AF961" s="137">
        <v>1221649.53</v>
      </c>
      <c r="AG961" s="138">
        <v>67.349999999999994</v>
      </c>
      <c r="AH961" s="136" t="s">
        <v>7336</v>
      </c>
      <c r="AI961" s="136">
        <v>18720</v>
      </c>
      <c r="AJ961" s="132">
        <v>42447</v>
      </c>
      <c r="AK961" s="136" t="s">
        <v>7337</v>
      </c>
      <c r="AL961" s="132">
        <v>42448</v>
      </c>
      <c r="AM961" s="131" t="s">
        <v>49</v>
      </c>
      <c r="AN961" s="136" t="s">
        <v>4440</v>
      </c>
    </row>
    <row r="962" spans="1:40" s="129" customFormat="1" x14ac:dyDescent="0.25">
      <c r="A962" s="130">
        <v>961</v>
      </c>
      <c r="B962" s="130" t="s">
        <v>4428</v>
      </c>
      <c r="C962" s="130" t="s">
        <v>38</v>
      </c>
      <c r="D962" s="136">
        <v>9103650921</v>
      </c>
      <c r="E962" s="132">
        <v>42398</v>
      </c>
      <c r="F962" s="132" t="s">
        <v>7026</v>
      </c>
      <c r="G962" s="132" t="s">
        <v>7338</v>
      </c>
      <c r="H962" s="130" t="s">
        <v>4556</v>
      </c>
      <c r="I962" s="132" t="s">
        <v>40</v>
      </c>
      <c r="J962" s="131" t="s">
        <v>4432</v>
      </c>
      <c r="K962" s="132" t="s">
        <v>4433</v>
      </c>
      <c r="L962" s="136">
        <v>5428787</v>
      </c>
      <c r="M962" s="132">
        <v>42391</v>
      </c>
      <c r="N962" s="136" t="s">
        <v>4582</v>
      </c>
      <c r="O962" s="130" t="s">
        <v>4436</v>
      </c>
      <c r="P962" s="136" t="s">
        <v>90</v>
      </c>
      <c r="Q962" s="130">
        <v>38231190</v>
      </c>
      <c r="R962" s="136">
        <v>14</v>
      </c>
      <c r="S962" s="130" t="s">
        <v>70</v>
      </c>
      <c r="T962" s="136" t="s">
        <v>44</v>
      </c>
      <c r="U962" s="136" t="s">
        <v>53</v>
      </c>
      <c r="V962" s="136">
        <v>780</v>
      </c>
      <c r="W962" s="133">
        <f>V962*R962</f>
        <v>10920</v>
      </c>
      <c r="X962" s="136">
        <v>6.18</v>
      </c>
      <c r="Y962" s="136">
        <v>575</v>
      </c>
      <c r="Z962" s="136">
        <v>0</v>
      </c>
      <c r="AA962" s="136">
        <v>338.4</v>
      </c>
      <c r="AB962" s="131">
        <v>42392</v>
      </c>
      <c r="AC962" s="134">
        <f>AF962/AD962</f>
        <v>10341.400000000001</v>
      </c>
      <c r="AD962" s="135">
        <v>67.349999999999994</v>
      </c>
      <c r="AE962" s="136">
        <f>AD962*W962</f>
        <v>735461.99999999988</v>
      </c>
      <c r="AF962" s="137">
        <v>696493.29</v>
      </c>
      <c r="AG962" s="138">
        <v>67.349999999999994</v>
      </c>
      <c r="AH962" s="136" t="s">
        <v>7336</v>
      </c>
      <c r="AI962" s="136">
        <v>10920</v>
      </c>
      <c r="AJ962" s="132">
        <v>42447</v>
      </c>
      <c r="AK962" s="136" t="s">
        <v>7339</v>
      </c>
      <c r="AL962" s="132">
        <v>42448</v>
      </c>
      <c r="AM962" s="131" t="s">
        <v>49</v>
      </c>
      <c r="AN962" s="136" t="s">
        <v>4440</v>
      </c>
    </row>
    <row r="963" spans="1:40" s="129" customFormat="1" x14ac:dyDescent="0.25">
      <c r="A963" s="136">
        <v>962</v>
      </c>
      <c r="B963" s="130" t="s">
        <v>4428</v>
      </c>
      <c r="C963" s="130" t="s">
        <v>38</v>
      </c>
      <c r="D963" s="136" t="s">
        <v>7340</v>
      </c>
      <c r="E963" s="132">
        <v>42396</v>
      </c>
      <c r="F963" s="132" t="s">
        <v>7026</v>
      </c>
      <c r="G963" s="132" t="s">
        <v>7341</v>
      </c>
      <c r="H963" s="130" t="s">
        <v>4446</v>
      </c>
      <c r="I963" s="132" t="s">
        <v>40</v>
      </c>
      <c r="J963" s="131" t="s">
        <v>4432</v>
      </c>
      <c r="K963" s="132" t="s">
        <v>4433</v>
      </c>
      <c r="L963" s="136">
        <v>5436934</v>
      </c>
      <c r="M963" s="132">
        <v>42392</v>
      </c>
      <c r="N963" s="136" t="s">
        <v>4452</v>
      </c>
      <c r="O963" s="130" t="s">
        <v>4436</v>
      </c>
      <c r="P963" s="136" t="s">
        <v>75</v>
      </c>
      <c r="Q963" s="130">
        <v>29161990</v>
      </c>
      <c r="R963" s="136">
        <v>19.18</v>
      </c>
      <c r="S963" s="130" t="s">
        <v>70</v>
      </c>
      <c r="T963" s="136" t="s">
        <v>52</v>
      </c>
      <c r="U963" s="136" t="s">
        <v>53</v>
      </c>
      <c r="V963" s="136">
        <v>3000</v>
      </c>
      <c r="W963" s="133">
        <f t="shared" si="45"/>
        <v>57540</v>
      </c>
      <c r="X963" s="136">
        <v>0</v>
      </c>
      <c r="Y963" s="136">
        <v>600</v>
      </c>
      <c r="Z963" s="136">
        <v>0</v>
      </c>
      <c r="AA963" s="136">
        <v>0</v>
      </c>
      <c r="AB963" s="131">
        <v>42394</v>
      </c>
      <c r="AC963" s="134">
        <f t="shared" si="43"/>
        <v>56940.000000000007</v>
      </c>
      <c r="AD963" s="135">
        <v>67.349999999999994</v>
      </c>
      <c r="AE963" s="136">
        <f t="shared" si="44"/>
        <v>3875318.9999999995</v>
      </c>
      <c r="AF963" s="137">
        <v>3834909</v>
      </c>
      <c r="AG963" s="138">
        <v>67.349999999999994</v>
      </c>
      <c r="AH963" s="136" t="s">
        <v>7342</v>
      </c>
      <c r="AI963" s="136">
        <v>57540</v>
      </c>
      <c r="AJ963" s="132">
        <v>42429</v>
      </c>
      <c r="AK963" s="136" t="s">
        <v>7343</v>
      </c>
      <c r="AL963" s="132">
        <v>42430</v>
      </c>
      <c r="AM963" s="131" t="s">
        <v>49</v>
      </c>
      <c r="AN963" s="136" t="s">
        <v>4440</v>
      </c>
    </row>
    <row r="964" spans="1:40" s="129" customFormat="1" x14ac:dyDescent="0.25">
      <c r="A964" s="130">
        <v>963</v>
      </c>
      <c r="B964" s="130" t="s">
        <v>4428</v>
      </c>
      <c r="C964" s="130" t="s">
        <v>38</v>
      </c>
      <c r="D964" s="136" t="s">
        <v>7344</v>
      </c>
      <c r="E964" s="132">
        <v>42396</v>
      </c>
      <c r="F964" s="132" t="s">
        <v>7026</v>
      </c>
      <c r="G964" s="132" t="s">
        <v>7345</v>
      </c>
      <c r="H964" s="130" t="s">
        <v>4446</v>
      </c>
      <c r="I964" s="132" t="s">
        <v>40</v>
      </c>
      <c r="J964" s="131" t="s">
        <v>4432</v>
      </c>
      <c r="K964" s="132" t="s">
        <v>4433</v>
      </c>
      <c r="L964" s="136">
        <v>5443329</v>
      </c>
      <c r="M964" s="132">
        <v>42392</v>
      </c>
      <c r="N964" s="136" t="s">
        <v>4452</v>
      </c>
      <c r="O964" s="130" t="s">
        <v>4436</v>
      </c>
      <c r="P964" s="136" t="s">
        <v>75</v>
      </c>
      <c r="Q964" s="130">
        <v>29161990</v>
      </c>
      <c r="R964" s="136">
        <v>19.62</v>
      </c>
      <c r="S964" s="130" t="s">
        <v>70</v>
      </c>
      <c r="T964" s="136" t="s">
        <v>52</v>
      </c>
      <c r="U964" s="136" t="s">
        <v>53</v>
      </c>
      <c r="V964" s="136">
        <v>3000</v>
      </c>
      <c r="W964" s="133">
        <f t="shared" si="45"/>
        <v>58860</v>
      </c>
      <c r="X964" s="136">
        <v>0</v>
      </c>
      <c r="Y964" s="136">
        <v>600</v>
      </c>
      <c r="Z964" s="136">
        <v>0</v>
      </c>
      <c r="AA964" s="136">
        <v>0</v>
      </c>
      <c r="AB964" s="131">
        <v>42394</v>
      </c>
      <c r="AC964" s="134">
        <f t="shared" ref="AC964:AC1031" si="46">AF964/AD964</f>
        <v>58260.000000000007</v>
      </c>
      <c r="AD964" s="135">
        <v>67.349999999999994</v>
      </c>
      <c r="AE964" s="136">
        <f t="shared" ref="AE964:AE1031" si="47">AD964*W964</f>
        <v>3964220.9999999995</v>
      </c>
      <c r="AF964" s="137">
        <v>3923811</v>
      </c>
      <c r="AG964" s="138">
        <v>67.349999999999994</v>
      </c>
      <c r="AH964" s="136" t="s">
        <v>7342</v>
      </c>
      <c r="AI964" s="136">
        <v>58860</v>
      </c>
      <c r="AJ964" s="132">
        <v>42429</v>
      </c>
      <c r="AK964" s="136" t="s">
        <v>7346</v>
      </c>
      <c r="AL964" s="132">
        <v>42430</v>
      </c>
      <c r="AM964" s="131" t="s">
        <v>49</v>
      </c>
      <c r="AN964" s="136" t="s">
        <v>4440</v>
      </c>
    </row>
    <row r="965" spans="1:40" s="129" customFormat="1" x14ac:dyDescent="0.25">
      <c r="A965" s="136">
        <v>964</v>
      </c>
      <c r="B965" s="130" t="s">
        <v>4428</v>
      </c>
      <c r="C965" s="130" t="s">
        <v>38</v>
      </c>
      <c r="D965" s="136" t="s">
        <v>7347</v>
      </c>
      <c r="E965" s="132">
        <v>42395</v>
      </c>
      <c r="F965" s="132" t="s">
        <v>7026</v>
      </c>
      <c r="G965" s="132" t="s">
        <v>7348</v>
      </c>
      <c r="H965" s="130" t="s">
        <v>4446</v>
      </c>
      <c r="I965" s="132" t="s">
        <v>40</v>
      </c>
      <c r="J965" s="131" t="s">
        <v>4432</v>
      </c>
      <c r="K965" s="132" t="s">
        <v>4433</v>
      </c>
      <c r="L965" s="136">
        <v>5443327</v>
      </c>
      <c r="M965" s="132">
        <v>42392</v>
      </c>
      <c r="N965" s="136" t="s">
        <v>4741</v>
      </c>
      <c r="O965" s="130" t="s">
        <v>4436</v>
      </c>
      <c r="P965" s="136" t="s">
        <v>47</v>
      </c>
      <c r="Q965" s="130">
        <v>38231900</v>
      </c>
      <c r="R965" s="136">
        <v>39.42</v>
      </c>
      <c r="S965" s="130" t="s">
        <v>70</v>
      </c>
      <c r="T965" s="136" t="s">
        <v>44</v>
      </c>
      <c r="U965" s="136" t="s">
        <v>53</v>
      </c>
      <c r="V965" s="136">
        <v>4040</v>
      </c>
      <c r="W965" s="133">
        <f t="shared" si="45"/>
        <v>159256.80000000002</v>
      </c>
      <c r="X965" s="136">
        <v>52.55</v>
      </c>
      <c r="Y965" s="136">
        <v>750</v>
      </c>
      <c r="Z965" s="136">
        <v>0</v>
      </c>
      <c r="AA965" s="136">
        <v>0</v>
      </c>
      <c r="AB965" s="131">
        <v>42394</v>
      </c>
      <c r="AC965" s="134">
        <f t="shared" si="46"/>
        <v>158454.25003711955</v>
      </c>
      <c r="AD965" s="135">
        <v>67.349999999999994</v>
      </c>
      <c r="AE965" s="136">
        <f t="shared" si="47"/>
        <v>10725945.48</v>
      </c>
      <c r="AF965" s="137">
        <v>10671893.74</v>
      </c>
      <c r="AG965" s="138">
        <v>67.349999999999994</v>
      </c>
      <c r="AH965" s="136" t="s">
        <v>7349</v>
      </c>
      <c r="AI965" s="136">
        <v>159256.79999999999</v>
      </c>
      <c r="AJ965" s="132">
        <v>42444</v>
      </c>
      <c r="AK965" s="136" t="s">
        <v>7350</v>
      </c>
      <c r="AL965" s="132">
        <v>42445</v>
      </c>
      <c r="AM965" s="131" t="s">
        <v>49</v>
      </c>
      <c r="AN965" s="136" t="s">
        <v>4440</v>
      </c>
    </row>
    <row r="966" spans="1:40" s="129" customFormat="1" x14ac:dyDescent="0.25">
      <c r="A966" s="130">
        <v>965</v>
      </c>
      <c r="B966" s="130" t="s">
        <v>4428</v>
      </c>
      <c r="C966" s="130" t="s">
        <v>38</v>
      </c>
      <c r="D966" s="136" t="s">
        <v>7351</v>
      </c>
      <c r="E966" s="132">
        <v>42398</v>
      </c>
      <c r="F966" s="132" t="s">
        <v>7026</v>
      </c>
      <c r="G966" s="132" t="s">
        <v>7352</v>
      </c>
      <c r="H966" s="130" t="s">
        <v>4446</v>
      </c>
      <c r="I966" s="132" t="s">
        <v>40</v>
      </c>
      <c r="J966" s="131" t="s">
        <v>4432</v>
      </c>
      <c r="K966" s="132" t="s">
        <v>4433</v>
      </c>
      <c r="L966" s="136">
        <v>5424777</v>
      </c>
      <c r="M966" s="132">
        <v>42391</v>
      </c>
      <c r="N966" s="136" t="s">
        <v>5073</v>
      </c>
      <c r="O966" s="130" t="s">
        <v>4436</v>
      </c>
      <c r="P966" s="136" t="s">
        <v>59</v>
      </c>
      <c r="Q966" s="130">
        <v>29157010</v>
      </c>
      <c r="R966" s="136">
        <v>77.849999999999994</v>
      </c>
      <c r="S966" s="130" t="s">
        <v>70</v>
      </c>
      <c r="T966" s="136" t="e">
        <v>#N/A</v>
      </c>
      <c r="U966" s="136" t="s">
        <v>53</v>
      </c>
      <c r="V966" s="136">
        <v>568</v>
      </c>
      <c r="W966" s="133">
        <f t="shared" si="45"/>
        <v>44218.799999999996</v>
      </c>
      <c r="X966" s="136">
        <v>14.59</v>
      </c>
      <c r="Y966" s="136">
        <v>1400</v>
      </c>
      <c r="Z966" s="136">
        <v>0</v>
      </c>
      <c r="AA966" s="136">
        <v>0</v>
      </c>
      <c r="AB966" s="131"/>
      <c r="AC966" s="134">
        <f t="shared" si="46"/>
        <v>42804.209948032672</v>
      </c>
      <c r="AD966" s="135">
        <v>67.349999999999994</v>
      </c>
      <c r="AE966" s="136">
        <f t="shared" si="47"/>
        <v>2978136.1799999992</v>
      </c>
      <c r="AF966" s="137">
        <v>2882863.54</v>
      </c>
      <c r="AG966" s="138">
        <v>67.349999999999994</v>
      </c>
      <c r="AH966" s="136" t="s">
        <v>7353</v>
      </c>
      <c r="AI966" s="136">
        <v>44218.8</v>
      </c>
      <c r="AJ966" s="132">
        <v>42432</v>
      </c>
      <c r="AK966" s="136" t="s">
        <v>7354</v>
      </c>
      <c r="AL966" s="132">
        <v>42433</v>
      </c>
      <c r="AM966" s="131" t="s">
        <v>49</v>
      </c>
      <c r="AN966" s="133" t="s">
        <v>4440</v>
      </c>
    </row>
    <row r="967" spans="1:40" s="129" customFormat="1" x14ac:dyDescent="0.25">
      <c r="A967" s="136">
        <v>966</v>
      </c>
      <c r="B967" s="130" t="s">
        <v>4428</v>
      </c>
      <c r="C967" s="130" t="s">
        <v>38</v>
      </c>
      <c r="D967" s="136" t="s">
        <v>7351</v>
      </c>
      <c r="E967" s="132">
        <v>42398</v>
      </c>
      <c r="F967" s="132" t="s">
        <v>7026</v>
      </c>
      <c r="G967" s="132" t="s">
        <v>7355</v>
      </c>
      <c r="H967" s="130" t="s">
        <v>4446</v>
      </c>
      <c r="I967" s="132" t="s">
        <v>40</v>
      </c>
      <c r="J967" s="131" t="s">
        <v>4432</v>
      </c>
      <c r="K967" s="132" t="s">
        <v>4433</v>
      </c>
      <c r="L967" s="136">
        <v>5443406</v>
      </c>
      <c r="M967" s="132">
        <v>42452</v>
      </c>
      <c r="N967" s="136" t="s">
        <v>5073</v>
      </c>
      <c r="O967" s="130" t="s">
        <v>4436</v>
      </c>
      <c r="P967" s="136" t="s">
        <v>59</v>
      </c>
      <c r="Q967" s="130">
        <v>29157010</v>
      </c>
      <c r="R967" s="136">
        <v>19.510000000000002</v>
      </c>
      <c r="S967" s="130" t="s">
        <v>70</v>
      </c>
      <c r="T967" s="136" t="e">
        <v>#N/A</v>
      </c>
      <c r="U967" s="136" t="s">
        <v>53</v>
      </c>
      <c r="V967" s="136">
        <v>568</v>
      </c>
      <c r="W967" s="133">
        <f t="shared" si="45"/>
        <v>11081.68</v>
      </c>
      <c r="X967" s="136">
        <v>3.66</v>
      </c>
      <c r="Y967" s="136">
        <v>350</v>
      </c>
      <c r="Z967" s="136">
        <v>0</v>
      </c>
      <c r="AA967" s="136">
        <v>0</v>
      </c>
      <c r="AB967" s="131"/>
      <c r="AC967" s="134">
        <f t="shared" si="46"/>
        <v>10728.020044543431</v>
      </c>
      <c r="AD967" s="135">
        <v>67.349999999999994</v>
      </c>
      <c r="AE967" s="136">
        <f t="shared" si="47"/>
        <v>746351.14799999993</v>
      </c>
      <c r="AF967" s="137">
        <v>722532.15</v>
      </c>
      <c r="AG967" s="138">
        <v>67.349999999999994</v>
      </c>
      <c r="AH967" s="136" t="s">
        <v>7353</v>
      </c>
      <c r="AI967" s="136">
        <v>11081.68</v>
      </c>
      <c r="AJ967" s="132">
        <v>42432</v>
      </c>
      <c r="AK967" s="136" t="s">
        <v>7356</v>
      </c>
      <c r="AL967" s="132">
        <v>42433</v>
      </c>
      <c r="AM967" s="131" t="s">
        <v>49</v>
      </c>
      <c r="AN967" s="133" t="s">
        <v>4440</v>
      </c>
    </row>
    <row r="968" spans="1:40" s="129" customFormat="1" x14ac:dyDescent="0.25">
      <c r="A968" s="130">
        <v>967</v>
      </c>
      <c r="B968" s="130" t="s">
        <v>4428</v>
      </c>
      <c r="C968" s="130" t="s">
        <v>38</v>
      </c>
      <c r="D968" s="136" t="s">
        <v>7357</v>
      </c>
      <c r="E968" s="132">
        <v>42396</v>
      </c>
      <c r="F968" s="132" t="s">
        <v>7026</v>
      </c>
      <c r="G968" s="132" t="s">
        <v>7358</v>
      </c>
      <c r="H968" s="130" t="s">
        <v>4446</v>
      </c>
      <c r="I968" s="132" t="s">
        <v>40</v>
      </c>
      <c r="J968" s="131" t="s">
        <v>4432</v>
      </c>
      <c r="K968" s="132" t="s">
        <v>4433</v>
      </c>
      <c r="L968" s="136">
        <v>5443715</v>
      </c>
      <c r="M968" s="132">
        <v>42392</v>
      </c>
      <c r="N968" s="136" t="s">
        <v>4670</v>
      </c>
      <c r="O968" s="130" t="s">
        <v>4436</v>
      </c>
      <c r="P968" s="136" t="s">
        <v>243</v>
      </c>
      <c r="Q968" s="130">
        <v>38237090</v>
      </c>
      <c r="R968" s="136">
        <v>52</v>
      </c>
      <c r="S968" s="130" t="s">
        <v>70</v>
      </c>
      <c r="T968" s="136" t="s">
        <v>52</v>
      </c>
      <c r="U968" s="136" t="s">
        <v>53</v>
      </c>
      <c r="V968" s="136">
        <v>1250</v>
      </c>
      <c r="W968" s="133">
        <f t="shared" si="45"/>
        <v>65000</v>
      </c>
      <c r="X968" s="136">
        <v>0</v>
      </c>
      <c r="Y968" s="136">
        <v>900</v>
      </c>
      <c r="Z968" s="136">
        <v>0</v>
      </c>
      <c r="AA968" s="136">
        <v>0</v>
      </c>
      <c r="AB968" s="131">
        <v>42394</v>
      </c>
      <c r="AC968" s="134">
        <f t="shared" si="46"/>
        <v>64100.000000000007</v>
      </c>
      <c r="AD968" s="135">
        <v>67.349999999999994</v>
      </c>
      <c r="AE968" s="136">
        <f t="shared" si="47"/>
        <v>4377750</v>
      </c>
      <c r="AF968" s="137">
        <v>4317135</v>
      </c>
      <c r="AG968" s="138">
        <v>67.349999999999994</v>
      </c>
      <c r="AH968" s="136" t="s">
        <v>7359</v>
      </c>
      <c r="AI968" s="136">
        <v>64906</v>
      </c>
      <c r="AJ968" s="132">
        <v>42440</v>
      </c>
      <c r="AK968" s="136" t="s">
        <v>7360</v>
      </c>
      <c r="AL968" s="132">
        <v>42443</v>
      </c>
      <c r="AM968" s="131" t="s">
        <v>49</v>
      </c>
      <c r="AN968" s="133" t="s">
        <v>4440</v>
      </c>
    </row>
    <row r="969" spans="1:40" s="129" customFormat="1" x14ac:dyDescent="0.25">
      <c r="A969" s="136">
        <v>968</v>
      </c>
      <c r="B969" s="130" t="s">
        <v>4428</v>
      </c>
      <c r="C969" s="130" t="s">
        <v>38</v>
      </c>
      <c r="D969" s="136" t="s">
        <v>7361</v>
      </c>
      <c r="E969" s="132">
        <v>42396</v>
      </c>
      <c r="F969" s="132" t="s">
        <v>7026</v>
      </c>
      <c r="G969" s="132" t="s">
        <v>7362</v>
      </c>
      <c r="H969" s="130" t="s">
        <v>4431</v>
      </c>
      <c r="I969" s="132" t="s">
        <v>40</v>
      </c>
      <c r="J969" s="131" t="s">
        <v>4432</v>
      </c>
      <c r="K969" s="132" t="s">
        <v>4433</v>
      </c>
      <c r="L969" s="136">
        <v>5428794</v>
      </c>
      <c r="M969" s="132">
        <v>42391</v>
      </c>
      <c r="N969" s="136" t="s">
        <v>5839</v>
      </c>
      <c r="O969" s="130" t="s">
        <v>4436</v>
      </c>
      <c r="P969" s="136" t="s">
        <v>4465</v>
      </c>
      <c r="Q969" s="130">
        <v>38237090</v>
      </c>
      <c r="R969" s="136">
        <v>20</v>
      </c>
      <c r="S969" s="130" t="s">
        <v>70</v>
      </c>
      <c r="T969" s="136" t="s">
        <v>44</v>
      </c>
      <c r="U969" s="136" t="s">
        <v>53</v>
      </c>
      <c r="V969" s="136">
        <v>3450</v>
      </c>
      <c r="W969" s="133">
        <f t="shared" si="45"/>
        <v>69000</v>
      </c>
      <c r="X969" s="136">
        <v>22.77</v>
      </c>
      <c r="Y969" s="136">
        <v>40</v>
      </c>
      <c r="Z969" s="136">
        <v>0</v>
      </c>
      <c r="AA969" s="136">
        <v>0</v>
      </c>
      <c r="AB969" s="131">
        <v>42392</v>
      </c>
      <c r="AC969" s="134">
        <f t="shared" si="46"/>
        <v>68937.229992576104</v>
      </c>
      <c r="AD969" s="135">
        <v>67.349999999999994</v>
      </c>
      <c r="AE969" s="136">
        <f t="shared" si="47"/>
        <v>4647150</v>
      </c>
      <c r="AF969" s="137">
        <v>4642922.4400000004</v>
      </c>
      <c r="AG969" s="138">
        <v>67.349999999999994</v>
      </c>
      <c r="AH969" s="136" t="s">
        <v>7363</v>
      </c>
      <c r="AI969" s="136">
        <v>68775</v>
      </c>
      <c r="AJ969" s="132">
        <v>42418</v>
      </c>
      <c r="AK969" s="136" t="s">
        <v>7364</v>
      </c>
      <c r="AL969" s="132">
        <v>42420</v>
      </c>
      <c r="AM969" s="131" t="s">
        <v>49</v>
      </c>
      <c r="AN969" s="133" t="s">
        <v>4440</v>
      </c>
    </row>
    <row r="970" spans="1:40" s="129" customFormat="1" x14ac:dyDescent="0.25">
      <c r="A970" s="130">
        <v>969</v>
      </c>
      <c r="B970" s="130" t="s">
        <v>4428</v>
      </c>
      <c r="C970" s="130" t="s">
        <v>38</v>
      </c>
      <c r="D970" s="136">
        <v>9103650929</v>
      </c>
      <c r="E970" s="132">
        <v>42399</v>
      </c>
      <c r="F970" s="132" t="s">
        <v>7026</v>
      </c>
      <c r="G970" s="132" t="s">
        <v>7365</v>
      </c>
      <c r="H970" s="130" t="s">
        <v>4446</v>
      </c>
      <c r="I970" s="132" t="s">
        <v>40</v>
      </c>
      <c r="J970" s="131" t="s">
        <v>4432</v>
      </c>
      <c r="K970" s="132" t="s">
        <v>4433</v>
      </c>
      <c r="L970" s="136">
        <v>5461434</v>
      </c>
      <c r="M970" s="132">
        <v>42394</v>
      </c>
      <c r="N970" s="136" t="s">
        <v>5073</v>
      </c>
      <c r="O970" s="130" t="s">
        <v>4436</v>
      </c>
      <c r="P970" s="136" t="s">
        <v>59</v>
      </c>
      <c r="Q970" s="130">
        <v>29157010</v>
      </c>
      <c r="R970" s="136">
        <v>59.09</v>
      </c>
      <c r="S970" s="130" t="s">
        <v>70</v>
      </c>
      <c r="T970" s="136" t="s">
        <v>7036</v>
      </c>
      <c r="U970" s="136" t="s">
        <v>53</v>
      </c>
      <c r="V970" s="136">
        <v>568</v>
      </c>
      <c r="W970" s="133">
        <f t="shared" si="45"/>
        <v>33563.120000000003</v>
      </c>
      <c r="X970" s="136">
        <v>11.08</v>
      </c>
      <c r="Y970" s="136">
        <v>975</v>
      </c>
      <c r="Z970" s="136">
        <v>0</v>
      </c>
      <c r="AA970" s="136">
        <v>0</v>
      </c>
      <c r="AB970" s="131"/>
      <c r="AC970" s="134">
        <f t="shared" si="46"/>
        <v>32577.039940608764</v>
      </c>
      <c r="AD970" s="135">
        <v>67.349999999999994</v>
      </c>
      <c r="AE970" s="136">
        <f t="shared" si="47"/>
        <v>2260476.1320000002</v>
      </c>
      <c r="AF970" s="137">
        <v>2194063.64</v>
      </c>
      <c r="AG970" s="138">
        <v>67.349999999999994</v>
      </c>
      <c r="AH970" s="136" t="s">
        <v>7366</v>
      </c>
      <c r="AI970" s="136">
        <v>33542.120000000003</v>
      </c>
      <c r="AJ970" s="132">
        <v>42433</v>
      </c>
      <c r="AK970" s="136" t="s">
        <v>7367</v>
      </c>
      <c r="AL970" s="132">
        <v>42434</v>
      </c>
      <c r="AM970" s="131" t="s">
        <v>49</v>
      </c>
      <c r="AN970" s="133" t="s">
        <v>4440</v>
      </c>
    </row>
    <row r="971" spans="1:40" s="129" customFormat="1" x14ac:dyDescent="0.25">
      <c r="A971" s="136">
        <v>970</v>
      </c>
      <c r="B971" s="130" t="s">
        <v>4428</v>
      </c>
      <c r="C971" s="130" t="s">
        <v>38</v>
      </c>
      <c r="D971" s="136" t="s">
        <v>7368</v>
      </c>
      <c r="E971" s="132">
        <v>42399</v>
      </c>
      <c r="F971" s="132" t="s">
        <v>7026</v>
      </c>
      <c r="G971" s="132" t="s">
        <v>7369</v>
      </c>
      <c r="H971" s="130" t="s">
        <v>4446</v>
      </c>
      <c r="I971" s="132" t="s">
        <v>40</v>
      </c>
      <c r="J971" s="131" t="s">
        <v>4432</v>
      </c>
      <c r="K971" s="132" t="s">
        <v>4433</v>
      </c>
      <c r="L971" s="136">
        <v>5461393</v>
      </c>
      <c r="M971" s="132">
        <v>42394</v>
      </c>
      <c r="N971" s="136" t="s">
        <v>4448</v>
      </c>
      <c r="O971" s="130" t="s">
        <v>4436</v>
      </c>
      <c r="P971" s="136" t="s">
        <v>59</v>
      </c>
      <c r="Q971" s="130">
        <v>38231900</v>
      </c>
      <c r="R971" s="136">
        <v>39.26</v>
      </c>
      <c r="S971" s="130" t="s">
        <v>70</v>
      </c>
      <c r="T971" s="136" t="s">
        <v>7036</v>
      </c>
      <c r="U971" s="136" t="s">
        <v>53</v>
      </c>
      <c r="V971" s="136">
        <v>4010</v>
      </c>
      <c r="W971" s="133">
        <f t="shared" si="45"/>
        <v>157432.6</v>
      </c>
      <c r="X971" s="136">
        <v>51.95</v>
      </c>
      <c r="Y971" s="136">
        <v>850</v>
      </c>
      <c r="Z971" s="136">
        <v>0</v>
      </c>
      <c r="AA971" s="136">
        <v>0</v>
      </c>
      <c r="AB971" s="131">
        <v>42396</v>
      </c>
      <c r="AC971" s="134">
        <f t="shared" si="46"/>
        <v>156530.65003711951</v>
      </c>
      <c r="AD971" s="135">
        <v>67.349999999999994</v>
      </c>
      <c r="AE971" s="136">
        <f t="shared" si="47"/>
        <v>10603085.609999999</v>
      </c>
      <c r="AF971" s="137">
        <v>10542339.279999999</v>
      </c>
      <c r="AG971" s="138">
        <v>67.349999999999994</v>
      </c>
      <c r="AH971" s="136" t="s">
        <v>7370</v>
      </c>
      <c r="AI971" s="136">
        <v>157412.6</v>
      </c>
      <c r="AJ971" s="132">
        <v>42430</v>
      </c>
      <c r="AK971" s="136" t="s">
        <v>7371</v>
      </c>
      <c r="AL971" s="132">
        <v>42431</v>
      </c>
      <c r="AM971" s="131" t="s">
        <v>49</v>
      </c>
      <c r="AN971" s="133" t="s">
        <v>4440</v>
      </c>
    </row>
    <row r="972" spans="1:40" s="129" customFormat="1" x14ac:dyDescent="0.25">
      <c r="A972" s="130">
        <v>971</v>
      </c>
      <c r="B972" s="130" t="s">
        <v>4428</v>
      </c>
      <c r="C972" s="130" t="s">
        <v>38</v>
      </c>
      <c r="D972" s="136" t="s">
        <v>7372</v>
      </c>
      <c r="E972" s="132">
        <v>42398</v>
      </c>
      <c r="F972" s="132" t="s">
        <v>7026</v>
      </c>
      <c r="G972" s="132" t="s">
        <v>7373</v>
      </c>
      <c r="H972" s="130" t="s">
        <v>4456</v>
      </c>
      <c r="I972" s="132" t="s">
        <v>40</v>
      </c>
      <c r="J972" s="131" t="s">
        <v>4432</v>
      </c>
      <c r="K972" s="132" t="s">
        <v>4433</v>
      </c>
      <c r="L972" s="136">
        <v>5468745</v>
      </c>
      <c r="M972" s="132">
        <v>42394</v>
      </c>
      <c r="N972" s="136" t="s">
        <v>4720</v>
      </c>
      <c r="O972" s="130" t="s">
        <v>4436</v>
      </c>
      <c r="P972" s="136" t="s">
        <v>130</v>
      </c>
      <c r="Q972" s="130">
        <v>29159090</v>
      </c>
      <c r="R972" s="136">
        <v>19.63</v>
      </c>
      <c r="S972" s="130" t="s">
        <v>70</v>
      </c>
      <c r="T972" s="136" t="s">
        <v>7036</v>
      </c>
      <c r="U972" s="136" t="s">
        <v>4528</v>
      </c>
      <c r="V972" s="136">
        <v>2936</v>
      </c>
      <c r="W972" s="133">
        <f t="shared" si="45"/>
        <v>57633.68</v>
      </c>
      <c r="X972" s="136">
        <v>19.02</v>
      </c>
      <c r="Y972" s="136">
        <v>2546.1799999999998</v>
      </c>
      <c r="Z972" s="136">
        <v>0</v>
      </c>
      <c r="AA972" s="136">
        <v>1070.6199999999999</v>
      </c>
      <c r="AB972" s="131">
        <v>42396</v>
      </c>
      <c r="AC972" s="134">
        <f t="shared" si="46"/>
        <v>55068.479972565154</v>
      </c>
      <c r="AD972" s="135">
        <v>72.900000000000006</v>
      </c>
      <c r="AE972" s="136">
        <f t="shared" si="47"/>
        <v>4201495.2720000008</v>
      </c>
      <c r="AF972" s="130">
        <v>4014492.19</v>
      </c>
      <c r="AG972" s="138">
        <v>72.900000000000006</v>
      </c>
      <c r="AH972" s="136" t="s">
        <v>7374</v>
      </c>
      <c r="AI972" s="136">
        <v>57528.68</v>
      </c>
      <c r="AJ972" s="132">
        <v>42464</v>
      </c>
      <c r="AK972" s="136" t="s">
        <v>7375</v>
      </c>
      <c r="AL972" s="132">
        <v>42465</v>
      </c>
      <c r="AM972" s="131" t="s">
        <v>49</v>
      </c>
      <c r="AN972" s="133" t="s">
        <v>4440</v>
      </c>
    </row>
    <row r="973" spans="1:40" s="129" customFormat="1" x14ac:dyDescent="0.25">
      <c r="A973" s="136">
        <v>972</v>
      </c>
      <c r="B973" s="130" t="s">
        <v>4428</v>
      </c>
      <c r="C973" s="130" t="s">
        <v>38</v>
      </c>
      <c r="D973" s="136" t="s">
        <v>7376</v>
      </c>
      <c r="E973" s="132">
        <v>42398</v>
      </c>
      <c r="F973" s="132" t="s">
        <v>7026</v>
      </c>
      <c r="G973" s="132" t="s">
        <v>7377</v>
      </c>
      <c r="H973" s="130" t="s">
        <v>7331</v>
      </c>
      <c r="I973" s="132" t="s">
        <v>40</v>
      </c>
      <c r="J973" s="131" t="s">
        <v>4432</v>
      </c>
      <c r="K973" s="132" t="s">
        <v>4433</v>
      </c>
      <c r="L973" s="136">
        <v>5468207</v>
      </c>
      <c r="M973" s="132">
        <v>42394</v>
      </c>
      <c r="N973" s="136" t="s">
        <v>4443</v>
      </c>
      <c r="O973" s="130" t="s">
        <v>4436</v>
      </c>
      <c r="P973" s="136" t="s">
        <v>3287</v>
      </c>
      <c r="Q973" s="130">
        <v>38237090</v>
      </c>
      <c r="R973" s="136">
        <v>26</v>
      </c>
      <c r="S973" s="130" t="s">
        <v>70</v>
      </c>
      <c r="T973" s="136" t="s">
        <v>7036</v>
      </c>
      <c r="U973" s="136" t="s">
        <v>53</v>
      </c>
      <c r="V973" s="136">
        <v>1390</v>
      </c>
      <c r="W973" s="133">
        <f t="shared" si="45"/>
        <v>36140</v>
      </c>
      <c r="X973" s="136">
        <v>11.93</v>
      </c>
      <c r="Y973" s="136">
        <v>575</v>
      </c>
      <c r="Z973" s="136">
        <v>0</v>
      </c>
      <c r="AA973" s="136">
        <v>0</v>
      </c>
      <c r="AB973" s="131">
        <v>42396</v>
      </c>
      <c r="AC973" s="134">
        <f t="shared" si="46"/>
        <v>35553.069933184852</v>
      </c>
      <c r="AD973" s="135">
        <v>67.349999999999994</v>
      </c>
      <c r="AE973" s="136">
        <f t="shared" si="47"/>
        <v>2434029</v>
      </c>
      <c r="AF973" s="137">
        <v>2394499.2599999998</v>
      </c>
      <c r="AG973" s="138">
        <v>67.349999999999994</v>
      </c>
      <c r="AH973" s="136" t="s">
        <v>7378</v>
      </c>
      <c r="AI973" s="136">
        <v>36140</v>
      </c>
      <c r="AJ973" s="132">
        <v>42445</v>
      </c>
      <c r="AK973" s="136" t="s">
        <v>7379</v>
      </c>
      <c r="AL973" s="132">
        <v>42446</v>
      </c>
      <c r="AM973" s="131" t="s">
        <v>49</v>
      </c>
      <c r="AN973" s="136" t="s">
        <v>4440</v>
      </c>
    </row>
    <row r="974" spans="1:40" s="129" customFormat="1" x14ac:dyDescent="0.25">
      <c r="A974" s="130">
        <v>973</v>
      </c>
      <c r="B974" s="130" t="s">
        <v>4428</v>
      </c>
      <c r="C974" s="130" t="s">
        <v>38</v>
      </c>
      <c r="D974" s="136" t="s">
        <v>7380</v>
      </c>
      <c r="E974" s="132">
        <v>42399</v>
      </c>
      <c r="F974" s="132" t="s">
        <v>7026</v>
      </c>
      <c r="G974" s="132" t="s">
        <v>7381</v>
      </c>
      <c r="H974" s="130" t="s">
        <v>4446</v>
      </c>
      <c r="I974" s="132" t="s">
        <v>40</v>
      </c>
      <c r="J974" s="131" t="s">
        <v>4432</v>
      </c>
      <c r="K974" s="132" t="s">
        <v>4433</v>
      </c>
      <c r="L974" s="136">
        <v>5463443</v>
      </c>
      <c r="M974" s="132">
        <v>42394</v>
      </c>
      <c r="N974" s="136" t="s">
        <v>4448</v>
      </c>
      <c r="O974" s="130" t="s">
        <v>4436</v>
      </c>
      <c r="P974" s="136" t="s">
        <v>59</v>
      </c>
      <c r="Q974" s="130">
        <v>29159090</v>
      </c>
      <c r="R974" s="136">
        <v>99.38</v>
      </c>
      <c r="S974" s="130" t="s">
        <v>70</v>
      </c>
      <c r="T974" s="136" t="s">
        <v>7036</v>
      </c>
      <c r="U974" s="136" t="s">
        <v>53</v>
      </c>
      <c r="V974" s="136">
        <v>3065</v>
      </c>
      <c r="W974" s="133">
        <f t="shared" si="45"/>
        <v>304599.7</v>
      </c>
      <c r="X974" s="136">
        <v>100.52</v>
      </c>
      <c r="Y974" s="136">
        <v>2000</v>
      </c>
      <c r="Z974" s="136">
        <v>0</v>
      </c>
      <c r="AA974" s="136">
        <v>0</v>
      </c>
      <c r="AB974" s="131">
        <v>42396</v>
      </c>
      <c r="AC974" s="134">
        <f t="shared" si="46"/>
        <v>302499.18010393472</v>
      </c>
      <c r="AD974" s="135">
        <v>67.349999999999994</v>
      </c>
      <c r="AE974" s="136">
        <f t="shared" si="47"/>
        <v>20514789.794999998</v>
      </c>
      <c r="AF974" s="137">
        <v>20373319.780000001</v>
      </c>
      <c r="AG974" s="138">
        <v>67.349999999999994</v>
      </c>
      <c r="AH974" s="136" t="s">
        <v>7382</v>
      </c>
      <c r="AI974" s="136">
        <v>304599.7</v>
      </c>
      <c r="AJ974" s="132">
        <v>42432</v>
      </c>
      <c r="AK974" s="136" t="s">
        <v>7383</v>
      </c>
      <c r="AL974" s="132">
        <v>42433</v>
      </c>
      <c r="AM974" s="131" t="s">
        <v>49</v>
      </c>
      <c r="AN974" s="136" t="s">
        <v>4440</v>
      </c>
    </row>
    <row r="975" spans="1:40" s="129" customFormat="1" x14ac:dyDescent="0.25">
      <c r="A975" s="136">
        <v>974</v>
      </c>
      <c r="B975" s="130" t="s">
        <v>4428</v>
      </c>
      <c r="C975" s="130" t="s">
        <v>38</v>
      </c>
      <c r="D975" s="136" t="s">
        <v>7380</v>
      </c>
      <c r="E975" s="132">
        <v>42399</v>
      </c>
      <c r="F975" s="132" t="s">
        <v>7026</v>
      </c>
      <c r="G975" s="132" t="s">
        <v>7384</v>
      </c>
      <c r="H975" s="130" t="s">
        <v>4446</v>
      </c>
      <c r="I975" s="132" t="s">
        <v>40</v>
      </c>
      <c r="J975" s="131" t="s">
        <v>4432</v>
      </c>
      <c r="K975" s="132" t="s">
        <v>4433</v>
      </c>
      <c r="L975" s="136">
        <v>5471911</v>
      </c>
      <c r="M975" s="132">
        <v>42394</v>
      </c>
      <c r="N975" s="136" t="s">
        <v>4448</v>
      </c>
      <c r="O975" s="130" t="s">
        <v>4436</v>
      </c>
      <c r="P975" s="136" t="s">
        <v>59</v>
      </c>
      <c r="Q975" s="130">
        <v>29159090</v>
      </c>
      <c r="R975" s="136">
        <v>59.49</v>
      </c>
      <c r="S975" s="130" t="s">
        <v>70</v>
      </c>
      <c r="T975" s="136" t="s">
        <v>7036</v>
      </c>
      <c r="U975" s="136" t="s">
        <v>53</v>
      </c>
      <c r="V975" s="136">
        <v>3065</v>
      </c>
      <c r="W975" s="133">
        <f>V975*R975</f>
        <v>182336.85</v>
      </c>
      <c r="X975" s="136">
        <v>60.17</v>
      </c>
      <c r="Y975" s="136">
        <v>1200</v>
      </c>
      <c r="Z975" s="136">
        <v>0</v>
      </c>
      <c r="AA975" s="136">
        <v>0</v>
      </c>
      <c r="AB975" s="131">
        <v>42396</v>
      </c>
      <c r="AC975" s="134">
        <f>AF975/AD975</f>
        <v>181076.68002969565</v>
      </c>
      <c r="AD975" s="135">
        <v>67.349999999999994</v>
      </c>
      <c r="AE975" s="136">
        <f>AD975*W975</f>
        <v>12280386.8475</v>
      </c>
      <c r="AF975" s="137">
        <v>12195514.4</v>
      </c>
      <c r="AG975" s="138">
        <v>67.349999999999994</v>
      </c>
      <c r="AH975" s="136" t="s">
        <v>7382</v>
      </c>
      <c r="AI975" s="136">
        <v>182336.85</v>
      </c>
      <c r="AJ975" s="132">
        <v>42432</v>
      </c>
      <c r="AK975" s="136" t="s">
        <v>7385</v>
      </c>
      <c r="AL975" s="132">
        <v>42433</v>
      </c>
      <c r="AM975" s="131" t="s">
        <v>49</v>
      </c>
      <c r="AN975" s="136" t="s">
        <v>4440</v>
      </c>
    </row>
    <row r="976" spans="1:40" s="129" customFormat="1" x14ac:dyDescent="0.25">
      <c r="A976" s="130">
        <v>975</v>
      </c>
      <c r="B976" s="130" t="s">
        <v>4428</v>
      </c>
      <c r="C976" s="130" t="s">
        <v>38</v>
      </c>
      <c r="D976" s="136" t="s">
        <v>7386</v>
      </c>
      <c r="E976" s="132">
        <v>42400</v>
      </c>
      <c r="F976" s="132" t="s">
        <v>7026</v>
      </c>
      <c r="G976" s="132" t="s">
        <v>7387</v>
      </c>
      <c r="H976" s="130" t="s">
        <v>4456</v>
      </c>
      <c r="I976" s="132" t="s">
        <v>40</v>
      </c>
      <c r="J976" s="131" t="s">
        <v>4432</v>
      </c>
      <c r="K976" s="132" t="s">
        <v>4433</v>
      </c>
      <c r="L976" s="136">
        <v>5468210</v>
      </c>
      <c r="M976" s="132">
        <v>42394</v>
      </c>
      <c r="N976" s="136" t="s">
        <v>4950</v>
      </c>
      <c r="O976" s="130" t="s">
        <v>4436</v>
      </c>
      <c r="P976" s="136" t="s">
        <v>143</v>
      </c>
      <c r="Q976" s="130">
        <v>38237090</v>
      </c>
      <c r="R976" s="136">
        <v>12</v>
      </c>
      <c r="S976" s="130" t="s">
        <v>70</v>
      </c>
      <c r="T976" s="136" t="s">
        <v>6462</v>
      </c>
      <c r="U976" s="136" t="s">
        <v>53</v>
      </c>
      <c r="V976" s="136">
        <v>1360</v>
      </c>
      <c r="W976" s="133">
        <f t="shared" si="45"/>
        <v>16320</v>
      </c>
      <c r="X976" s="136">
        <v>0</v>
      </c>
      <c r="Y976" s="136">
        <v>400</v>
      </c>
      <c r="Z976" s="136">
        <v>0</v>
      </c>
      <c r="AA976" s="136">
        <v>0</v>
      </c>
      <c r="AB976" s="131">
        <v>42396</v>
      </c>
      <c r="AC976" s="134">
        <f t="shared" si="46"/>
        <v>15920.000000000002</v>
      </c>
      <c r="AD976" s="135">
        <v>67.349999999999994</v>
      </c>
      <c r="AE976" s="136">
        <f t="shared" si="47"/>
        <v>1099152</v>
      </c>
      <c r="AF976" s="137">
        <v>1072212</v>
      </c>
      <c r="AG976" s="138">
        <v>67.349999999999994</v>
      </c>
      <c r="AH976" s="136" t="s">
        <v>7388</v>
      </c>
      <c r="AI976" s="136">
        <v>16300</v>
      </c>
      <c r="AJ976" s="132">
        <v>42450</v>
      </c>
      <c r="AK976" s="136" t="s">
        <v>7389</v>
      </c>
      <c r="AL976" s="132">
        <v>42451</v>
      </c>
      <c r="AM976" s="131" t="s">
        <v>49</v>
      </c>
      <c r="AN976" s="133" t="s">
        <v>4440</v>
      </c>
    </row>
    <row r="977" spans="1:40 16283:16307" s="129" customFormat="1" x14ac:dyDescent="0.25">
      <c r="A977" s="136">
        <v>976</v>
      </c>
      <c r="B977" s="130" t="s">
        <v>4428</v>
      </c>
      <c r="C977" s="130" t="s">
        <v>38</v>
      </c>
      <c r="D977" s="136" t="s">
        <v>7390</v>
      </c>
      <c r="E977" s="132">
        <v>42400</v>
      </c>
      <c r="F977" s="132" t="s">
        <v>7026</v>
      </c>
      <c r="G977" s="132" t="s">
        <v>7391</v>
      </c>
      <c r="H977" s="130" t="s">
        <v>4446</v>
      </c>
      <c r="I977" s="132" t="s">
        <v>40</v>
      </c>
      <c r="J977" s="131" t="s">
        <v>4432</v>
      </c>
      <c r="K977" s="132" t="s">
        <v>4433</v>
      </c>
      <c r="L977" s="136">
        <v>5445408</v>
      </c>
      <c r="M977" s="132">
        <v>42392</v>
      </c>
      <c r="N977" s="136" t="s">
        <v>5580</v>
      </c>
      <c r="O977" s="130" t="s">
        <v>4436</v>
      </c>
      <c r="P977" s="136" t="s">
        <v>6722</v>
      </c>
      <c r="Q977" s="130" t="s">
        <v>7392</v>
      </c>
      <c r="R977" s="136">
        <v>2.125</v>
      </c>
      <c r="S977" s="130" t="s">
        <v>70</v>
      </c>
      <c r="T977" s="136" t="s">
        <v>44</v>
      </c>
      <c r="U977" s="136" t="s">
        <v>53</v>
      </c>
      <c r="V977" s="136">
        <v>0</v>
      </c>
      <c r="W977" s="133">
        <f>(2*1210+0.125*2672)</f>
        <v>2754</v>
      </c>
      <c r="X977" s="136">
        <v>0.91</v>
      </c>
      <c r="Y977" s="136">
        <v>35</v>
      </c>
      <c r="Z977" s="136">
        <v>0</v>
      </c>
      <c r="AA977" s="136">
        <v>0</v>
      </c>
      <c r="AB977" s="131">
        <v>42394</v>
      </c>
      <c r="AC977" s="134">
        <f t="shared" si="46"/>
        <v>2718.0899777282852</v>
      </c>
      <c r="AD977" s="135">
        <v>67.349999999999994</v>
      </c>
      <c r="AE977" s="136">
        <f t="shared" si="47"/>
        <v>185481.9</v>
      </c>
      <c r="AF977" s="137">
        <v>183063.36</v>
      </c>
      <c r="AG977" s="138">
        <v>67.349999999999994</v>
      </c>
      <c r="AH977" s="136" t="s">
        <v>7393</v>
      </c>
      <c r="AI977" s="136">
        <v>2754</v>
      </c>
      <c r="AJ977" s="132">
        <v>42445</v>
      </c>
      <c r="AK977" s="136" t="s">
        <v>7394</v>
      </c>
      <c r="AL977" s="132">
        <v>42446</v>
      </c>
      <c r="AM977" s="131" t="s">
        <v>49</v>
      </c>
      <c r="AN977" s="136" t="s">
        <v>4440</v>
      </c>
    </row>
    <row r="978" spans="1:40 16283:16307" s="129" customFormat="1" x14ac:dyDescent="0.25">
      <c r="A978" s="130">
        <v>977</v>
      </c>
      <c r="B978" s="130" t="s">
        <v>4428</v>
      </c>
      <c r="C978" s="130" t="s">
        <v>38</v>
      </c>
      <c r="D978" s="136" t="s">
        <v>7395</v>
      </c>
      <c r="E978" s="132">
        <v>42398</v>
      </c>
      <c r="F978" s="132" t="s">
        <v>7026</v>
      </c>
      <c r="G978" s="132" t="s">
        <v>7396</v>
      </c>
      <c r="H978" s="130" t="s">
        <v>4456</v>
      </c>
      <c r="I978" s="132" t="s">
        <v>40</v>
      </c>
      <c r="J978" s="131" t="s">
        <v>4432</v>
      </c>
      <c r="K978" s="132" t="s">
        <v>4433</v>
      </c>
      <c r="L978" s="136">
        <v>5445448</v>
      </c>
      <c r="M978" s="132">
        <v>42392</v>
      </c>
      <c r="N978" s="136" t="s">
        <v>5009</v>
      </c>
      <c r="O978" s="130" t="s">
        <v>4436</v>
      </c>
      <c r="P978" s="136" t="s">
        <v>90</v>
      </c>
      <c r="Q978" s="130">
        <v>38237090</v>
      </c>
      <c r="R978" s="136">
        <v>2.0750000000000002</v>
      </c>
      <c r="S978" s="130" t="s">
        <v>70</v>
      </c>
      <c r="T978" s="136" t="s">
        <v>44</v>
      </c>
      <c r="U978" s="136" t="s">
        <v>53</v>
      </c>
      <c r="V978" s="136">
        <v>0</v>
      </c>
      <c r="W978" s="133">
        <f>(1.175*1560+0.65*1700+0.25*2000)</f>
        <v>3438</v>
      </c>
      <c r="X978" s="136">
        <v>1.1299999999999999</v>
      </c>
      <c r="Y978" s="136">
        <v>50</v>
      </c>
      <c r="Z978" s="136">
        <v>0</v>
      </c>
      <c r="AA978" s="136">
        <v>0</v>
      </c>
      <c r="AB978" s="131">
        <v>42394</v>
      </c>
      <c r="AC978" s="134">
        <f t="shared" si="46"/>
        <v>3386.8699331848557</v>
      </c>
      <c r="AD978" s="135">
        <v>67.349999999999994</v>
      </c>
      <c r="AE978" s="136">
        <f t="shared" si="47"/>
        <v>231549.3</v>
      </c>
      <c r="AF978" s="137">
        <v>228105.69</v>
      </c>
      <c r="AG978" s="138">
        <v>67.349999999999994</v>
      </c>
      <c r="AH978" s="136" t="s">
        <v>7397</v>
      </c>
      <c r="AI978" s="136">
        <v>3417</v>
      </c>
      <c r="AJ978" s="132">
        <v>42422</v>
      </c>
      <c r="AK978" s="136" t="s">
        <v>7398</v>
      </c>
      <c r="AL978" s="132">
        <v>42423</v>
      </c>
      <c r="AM978" s="131" t="s">
        <v>49</v>
      </c>
      <c r="AN978" s="133" t="s">
        <v>4440</v>
      </c>
    </row>
    <row r="979" spans="1:40 16283:16307" s="129" customFormat="1" x14ac:dyDescent="0.25">
      <c r="A979" s="136">
        <v>978</v>
      </c>
      <c r="B979" s="130" t="s">
        <v>4428</v>
      </c>
      <c r="C979" s="130" t="s">
        <v>38</v>
      </c>
      <c r="D979" s="136" t="s">
        <v>7399</v>
      </c>
      <c r="E979" s="132">
        <v>42399</v>
      </c>
      <c r="F979" s="132" t="s">
        <v>7026</v>
      </c>
      <c r="G979" s="132" t="s">
        <v>7400</v>
      </c>
      <c r="H979" s="130" t="s">
        <v>4431</v>
      </c>
      <c r="I979" s="132" t="s">
        <v>40</v>
      </c>
      <c r="J979" s="131" t="s">
        <v>4432</v>
      </c>
      <c r="K979" s="132" t="s">
        <v>4433</v>
      </c>
      <c r="L979" s="136">
        <v>5493080</v>
      </c>
      <c r="M979" s="132">
        <v>42396</v>
      </c>
      <c r="N979" s="136" t="s">
        <v>5744</v>
      </c>
      <c r="O979" s="130" t="s">
        <v>4436</v>
      </c>
      <c r="P979" s="136" t="s">
        <v>361</v>
      </c>
      <c r="Q979" s="130">
        <v>29051700</v>
      </c>
      <c r="R979" s="136">
        <v>48</v>
      </c>
      <c r="S979" s="130" t="s">
        <v>70</v>
      </c>
      <c r="T979" s="136" t="s">
        <v>6462</v>
      </c>
      <c r="U979" s="136" t="s">
        <v>1117</v>
      </c>
      <c r="V979" s="136">
        <v>91000</v>
      </c>
      <c r="W979" s="133">
        <f t="shared" si="45"/>
        <v>4368000</v>
      </c>
      <c r="X979" s="136">
        <v>0</v>
      </c>
      <c r="Y979" s="136">
        <v>17174.25</v>
      </c>
      <c r="Z979" s="136">
        <v>0</v>
      </c>
      <c r="AA979" s="136">
        <v>45864</v>
      </c>
      <c r="AB979" s="131">
        <v>42397</v>
      </c>
      <c r="AC979" s="134">
        <f t="shared" si="46"/>
        <v>4350825.75</v>
      </c>
      <c r="AD979" s="135">
        <v>1</v>
      </c>
      <c r="AE979" s="136">
        <f t="shared" si="47"/>
        <v>4368000</v>
      </c>
      <c r="AF979" s="130">
        <v>4350825.75</v>
      </c>
      <c r="AG979" s="138">
        <v>1</v>
      </c>
      <c r="AH979" s="136" t="s">
        <v>7401</v>
      </c>
      <c r="AI979" s="136">
        <v>4353118.01</v>
      </c>
      <c r="AJ979" s="132">
        <v>42422</v>
      </c>
      <c r="AK979" s="136" t="s">
        <v>7402</v>
      </c>
      <c r="AL979" s="132">
        <v>42423</v>
      </c>
      <c r="AM979" s="131" t="s">
        <v>49</v>
      </c>
      <c r="AN979" s="136" t="s">
        <v>4440</v>
      </c>
    </row>
    <row r="980" spans="1:40 16283:16307" s="129" customFormat="1" x14ac:dyDescent="0.25">
      <c r="A980" s="130">
        <v>979</v>
      </c>
      <c r="B980" s="130" t="s">
        <v>4428</v>
      </c>
      <c r="C980" s="130" t="s">
        <v>38</v>
      </c>
      <c r="D980" s="136" t="s">
        <v>7399</v>
      </c>
      <c r="E980" s="132">
        <v>42399</v>
      </c>
      <c r="F980" s="132" t="s">
        <v>7026</v>
      </c>
      <c r="G980" s="132" t="s">
        <v>7403</v>
      </c>
      <c r="H980" s="130" t="s">
        <v>4431</v>
      </c>
      <c r="I980" s="132" t="s">
        <v>40</v>
      </c>
      <c r="J980" s="131" t="s">
        <v>4432</v>
      </c>
      <c r="K980" s="132" t="s">
        <v>4433</v>
      </c>
      <c r="L980" s="136">
        <v>5493113</v>
      </c>
      <c r="M980" s="132">
        <v>42396</v>
      </c>
      <c r="N980" s="136" t="s">
        <v>5744</v>
      </c>
      <c r="O980" s="130" t="s">
        <v>4436</v>
      </c>
      <c r="P980" s="136" t="s">
        <v>361</v>
      </c>
      <c r="Q980" s="130">
        <v>38237090</v>
      </c>
      <c r="R980" s="136">
        <v>80</v>
      </c>
      <c r="S980" s="130" t="s">
        <v>70</v>
      </c>
      <c r="T980" s="136" t="s">
        <v>6462</v>
      </c>
      <c r="U980" s="136" t="s">
        <v>1117</v>
      </c>
      <c r="V980" s="136">
        <v>88780</v>
      </c>
      <c r="W980" s="133">
        <f>V980*R980</f>
        <v>7102400</v>
      </c>
      <c r="X980" s="136">
        <v>0</v>
      </c>
      <c r="Y980" s="136">
        <v>17174.25</v>
      </c>
      <c r="Z980" s="136">
        <v>0</v>
      </c>
      <c r="AA980" s="136">
        <v>45864</v>
      </c>
      <c r="AB980" s="131">
        <v>42397</v>
      </c>
      <c r="AC980" s="134">
        <f>AF980/AD980</f>
        <v>7073776.25</v>
      </c>
      <c r="AD980" s="135">
        <v>1</v>
      </c>
      <c r="AE980" s="136">
        <f>AD980*W980</f>
        <v>7102400</v>
      </c>
      <c r="AF980" s="130">
        <v>7073776.25</v>
      </c>
      <c r="AG980" s="138">
        <v>1</v>
      </c>
      <c r="AH980" s="136" t="s">
        <v>7401</v>
      </c>
      <c r="AI980" s="136">
        <v>7102400</v>
      </c>
      <c r="AJ980" s="132">
        <v>42422</v>
      </c>
      <c r="AK980" s="136" t="s">
        <v>7404</v>
      </c>
      <c r="AL980" s="132">
        <v>42423</v>
      </c>
      <c r="AM980" s="131" t="s">
        <v>49</v>
      </c>
      <c r="AN980" s="136" t="s">
        <v>4440</v>
      </c>
    </row>
    <row r="981" spans="1:40 16283:16307" s="129" customFormat="1" x14ac:dyDescent="0.25">
      <c r="A981" s="136">
        <v>980</v>
      </c>
      <c r="B981" s="130" t="s">
        <v>4428</v>
      </c>
      <c r="C981" s="130" t="s">
        <v>38</v>
      </c>
      <c r="D981" s="136" t="s">
        <v>7405</v>
      </c>
      <c r="E981" s="132">
        <v>42400</v>
      </c>
      <c r="F981" s="132" t="s">
        <v>7026</v>
      </c>
      <c r="G981" s="132" t="s">
        <v>7406</v>
      </c>
      <c r="H981" s="130" t="s">
        <v>4456</v>
      </c>
      <c r="I981" s="132" t="s">
        <v>40</v>
      </c>
      <c r="J981" s="131" t="s">
        <v>4432</v>
      </c>
      <c r="K981" s="132" t="s">
        <v>4433</v>
      </c>
      <c r="L981" s="136">
        <v>5496123</v>
      </c>
      <c r="M981" s="132">
        <v>42396</v>
      </c>
      <c r="N981" s="136" t="s">
        <v>4527</v>
      </c>
      <c r="O981" s="130" t="s">
        <v>4436</v>
      </c>
      <c r="P981" s="136" t="s">
        <v>59</v>
      </c>
      <c r="Q981" s="130">
        <v>38237090</v>
      </c>
      <c r="R981" s="136">
        <v>18.84</v>
      </c>
      <c r="S981" s="130" t="s">
        <v>70</v>
      </c>
      <c r="T981" s="136" t="s">
        <v>7036</v>
      </c>
      <c r="U981" s="136" t="s">
        <v>4528</v>
      </c>
      <c r="V981" s="136">
        <v>1086</v>
      </c>
      <c r="W981" s="133">
        <f t="shared" si="45"/>
        <v>20460.240000000002</v>
      </c>
      <c r="X981" s="136">
        <v>6.75</v>
      </c>
      <c r="Y981" s="136">
        <v>369.55</v>
      </c>
      <c r="Z981" s="136">
        <v>0</v>
      </c>
      <c r="AA981" s="136">
        <v>0</v>
      </c>
      <c r="AB981" s="131">
        <v>42398</v>
      </c>
      <c r="AC981" s="134">
        <f t="shared" si="46"/>
        <v>20083.940054869683</v>
      </c>
      <c r="AD981" s="135">
        <v>72.900000000000006</v>
      </c>
      <c r="AE981" s="136">
        <f t="shared" si="47"/>
        <v>1491551.4960000003</v>
      </c>
      <c r="AF981" s="130">
        <v>1464119.23</v>
      </c>
      <c r="AG981" s="138">
        <v>72.900000000000006</v>
      </c>
      <c r="AH981" s="136" t="s">
        <v>7407</v>
      </c>
      <c r="AI981" s="136">
        <v>20460.240000000002</v>
      </c>
      <c r="AJ981" s="132">
        <v>42466</v>
      </c>
      <c r="AK981" s="136" t="s">
        <v>7408</v>
      </c>
      <c r="AL981" s="132">
        <v>42466</v>
      </c>
      <c r="AM981" s="131" t="s">
        <v>49</v>
      </c>
      <c r="AN981" s="136" t="s">
        <v>4440</v>
      </c>
    </row>
    <row r="982" spans="1:40 16283:16307" s="129" customFormat="1" x14ac:dyDescent="0.25">
      <c r="A982" s="130">
        <v>981</v>
      </c>
      <c r="B982" s="130" t="s">
        <v>4428</v>
      </c>
      <c r="C982" s="130" t="s">
        <v>38</v>
      </c>
      <c r="D982" s="136" t="s">
        <v>7409</v>
      </c>
      <c r="E982" s="132">
        <v>42399</v>
      </c>
      <c r="F982" s="132" t="s">
        <v>7026</v>
      </c>
      <c r="G982" s="132" t="s">
        <v>7410</v>
      </c>
      <c r="H982" s="130" t="s">
        <v>4456</v>
      </c>
      <c r="I982" s="132" t="s">
        <v>40</v>
      </c>
      <c r="J982" s="131" t="s">
        <v>4432</v>
      </c>
      <c r="K982" s="132" t="s">
        <v>4433</v>
      </c>
      <c r="L982" s="136">
        <v>5496140</v>
      </c>
      <c r="M982" s="132">
        <v>42396</v>
      </c>
      <c r="N982" s="136" t="s">
        <v>4527</v>
      </c>
      <c r="O982" s="130" t="s">
        <v>4436</v>
      </c>
      <c r="P982" s="136" t="s">
        <v>59</v>
      </c>
      <c r="Q982" s="130">
        <v>38237090</v>
      </c>
      <c r="R982" s="136">
        <v>92.31</v>
      </c>
      <c r="S982" s="130" t="s">
        <v>70</v>
      </c>
      <c r="T982" s="136" t="s">
        <v>7036</v>
      </c>
      <c r="U982" s="136" t="s">
        <v>4528</v>
      </c>
      <c r="V982" s="136">
        <v>845</v>
      </c>
      <c r="W982" s="133">
        <f t="shared" si="45"/>
        <v>78001.95</v>
      </c>
      <c r="X982" s="136">
        <v>25.74</v>
      </c>
      <c r="Y982" s="136">
        <v>1501.29</v>
      </c>
      <c r="Z982" s="136">
        <v>0</v>
      </c>
      <c r="AA982" s="136">
        <v>0</v>
      </c>
      <c r="AB982" s="131">
        <v>42397</v>
      </c>
      <c r="AC982" s="134">
        <f t="shared" si="46"/>
        <v>76474.92002743484</v>
      </c>
      <c r="AD982" s="135">
        <v>72.900000000000006</v>
      </c>
      <c r="AE982" s="136">
        <f t="shared" si="47"/>
        <v>5686342.1550000003</v>
      </c>
      <c r="AF982" s="130">
        <v>5575021.6699999999</v>
      </c>
      <c r="AG982" s="138">
        <v>72.900000000000006</v>
      </c>
      <c r="AH982" s="136" t="s">
        <v>7411</v>
      </c>
      <c r="AI982" s="136">
        <v>78001.95</v>
      </c>
      <c r="AJ982" s="132">
        <v>42466</v>
      </c>
      <c r="AK982" s="136" t="s">
        <v>7412</v>
      </c>
      <c r="AL982" s="132">
        <v>42466</v>
      </c>
      <c r="AM982" s="131" t="s">
        <v>49</v>
      </c>
      <c r="AN982" s="136" t="s">
        <v>4440</v>
      </c>
    </row>
    <row r="983" spans="1:40 16283:16307" s="129" customFormat="1" x14ac:dyDescent="0.25">
      <c r="A983" s="136">
        <v>982</v>
      </c>
      <c r="B983" s="130" t="s">
        <v>4428</v>
      </c>
      <c r="C983" s="130" t="s">
        <v>38</v>
      </c>
      <c r="D983" s="136">
        <v>9116650014</v>
      </c>
      <c r="E983" s="132">
        <v>42372</v>
      </c>
      <c r="F983" s="132" t="s">
        <v>7026</v>
      </c>
      <c r="G983" s="132" t="s">
        <v>7413</v>
      </c>
      <c r="H983" s="130" t="s">
        <v>4456</v>
      </c>
      <c r="I983" s="132" t="s">
        <v>65</v>
      </c>
      <c r="J983" s="131" t="s">
        <v>5507</v>
      </c>
      <c r="K983" s="132" t="s">
        <v>4433</v>
      </c>
      <c r="L983" s="136">
        <v>4796782</v>
      </c>
      <c r="M983" s="132">
        <v>42356</v>
      </c>
      <c r="N983" s="136" t="s">
        <v>3741</v>
      </c>
      <c r="O983" s="130" t="s">
        <v>7018</v>
      </c>
      <c r="P983" s="136" t="s">
        <v>4492</v>
      </c>
      <c r="Q983" s="130">
        <v>34011190</v>
      </c>
      <c r="R983" s="160">
        <v>115200</v>
      </c>
      <c r="S983" s="130" t="s">
        <v>70</v>
      </c>
      <c r="T983" s="136" t="s">
        <v>5788</v>
      </c>
      <c r="U983" s="136" t="s">
        <v>53</v>
      </c>
      <c r="V983" s="136">
        <v>0.25</v>
      </c>
      <c r="W983" s="133">
        <f t="shared" si="45"/>
        <v>28800</v>
      </c>
      <c r="X983" s="136">
        <v>9.5</v>
      </c>
      <c r="Y983" s="136">
        <v>3350</v>
      </c>
      <c r="Z983" s="136">
        <v>0</v>
      </c>
      <c r="AA983" s="136">
        <v>0</v>
      </c>
      <c r="AB983" s="131">
        <v>42361</v>
      </c>
      <c r="AC983" s="134">
        <f t="shared" si="46"/>
        <v>25440.5</v>
      </c>
      <c r="AD983" s="135">
        <v>66.2</v>
      </c>
      <c r="AE983" s="136">
        <f>AD983*W983</f>
        <v>1906560</v>
      </c>
      <c r="AF983" s="130">
        <v>1684161.1</v>
      </c>
      <c r="AG983" s="138">
        <v>66.2</v>
      </c>
      <c r="AH983" s="136" t="s">
        <v>7414</v>
      </c>
      <c r="AI983" s="136">
        <v>28800</v>
      </c>
      <c r="AJ983" s="132">
        <v>42452</v>
      </c>
      <c r="AK983" s="136" t="s">
        <v>7415</v>
      </c>
      <c r="AL983" s="132">
        <v>42457</v>
      </c>
      <c r="AM983" s="131" t="s">
        <v>49</v>
      </c>
      <c r="AN983" s="133" t="s">
        <v>4440</v>
      </c>
    </row>
    <row r="984" spans="1:40 16283:16307" s="129" customFormat="1" x14ac:dyDescent="0.25">
      <c r="A984" s="130">
        <v>983</v>
      </c>
      <c r="B984" s="130" t="s">
        <v>4428</v>
      </c>
      <c r="C984" s="130" t="s">
        <v>38</v>
      </c>
      <c r="D984" s="136">
        <v>9116650015</v>
      </c>
      <c r="E984" s="132">
        <v>42372</v>
      </c>
      <c r="F984" s="132" t="s">
        <v>7026</v>
      </c>
      <c r="G984" s="132" t="s">
        <v>7416</v>
      </c>
      <c r="H984" s="130" t="s">
        <v>4456</v>
      </c>
      <c r="I984" s="132" t="s">
        <v>65</v>
      </c>
      <c r="J984" s="131" t="s">
        <v>5507</v>
      </c>
      <c r="K984" s="132" t="s">
        <v>4433</v>
      </c>
      <c r="L984" s="136">
        <v>4848845</v>
      </c>
      <c r="M984" s="132">
        <v>42360</v>
      </c>
      <c r="N984" s="136" t="s">
        <v>3741</v>
      </c>
      <c r="O984" s="130" t="s">
        <v>7018</v>
      </c>
      <c r="P984" s="136" t="s">
        <v>4492</v>
      </c>
      <c r="Q984" s="130">
        <v>34011190</v>
      </c>
      <c r="R984" s="136">
        <v>115200</v>
      </c>
      <c r="S984" s="130" t="s">
        <v>70</v>
      </c>
      <c r="T984" s="136" t="s">
        <v>5788</v>
      </c>
      <c r="U984" s="136" t="s">
        <v>53</v>
      </c>
      <c r="V984" s="136">
        <v>0.25</v>
      </c>
      <c r="W984" s="133">
        <f t="shared" si="45"/>
        <v>28800</v>
      </c>
      <c r="X984" s="136">
        <v>9.5</v>
      </c>
      <c r="Y984" s="136">
        <v>3350</v>
      </c>
      <c r="Z984" s="136">
        <v>0</v>
      </c>
      <c r="AA984" s="136">
        <v>0</v>
      </c>
      <c r="AB984" s="131">
        <v>42361</v>
      </c>
      <c r="AC984" s="134">
        <f t="shared" si="46"/>
        <v>25440.5</v>
      </c>
      <c r="AD984" s="135">
        <v>66.2</v>
      </c>
      <c r="AE984" s="136">
        <f t="shared" si="47"/>
        <v>1906560</v>
      </c>
      <c r="AF984" s="130">
        <v>1684161.1</v>
      </c>
      <c r="AG984" s="138">
        <v>66.2</v>
      </c>
      <c r="AH984" s="136" t="s">
        <v>7417</v>
      </c>
      <c r="AI984" s="136">
        <v>28800</v>
      </c>
      <c r="AJ984" s="132">
        <v>42452</v>
      </c>
      <c r="AK984" s="136" t="s">
        <v>7418</v>
      </c>
      <c r="AL984" s="132">
        <v>42457</v>
      </c>
      <c r="AM984" s="131" t="s">
        <v>49</v>
      </c>
      <c r="AN984" s="133" t="s">
        <v>4440</v>
      </c>
    </row>
    <row r="985" spans="1:40 16283:16307" s="129" customFormat="1" ht="15.95" customHeight="1" x14ac:dyDescent="0.25">
      <c r="A985" s="136">
        <v>984</v>
      </c>
      <c r="B985" s="130" t="s">
        <v>4428</v>
      </c>
      <c r="C985" s="130" t="s">
        <v>38</v>
      </c>
      <c r="D985" s="136" t="s">
        <v>7419</v>
      </c>
      <c r="E985" s="132">
        <v>42373</v>
      </c>
      <c r="F985" s="132" t="s">
        <v>7026</v>
      </c>
      <c r="G985" s="132" t="s">
        <v>7420</v>
      </c>
      <c r="H985" s="130" t="s">
        <v>4456</v>
      </c>
      <c r="I985" s="132" t="s">
        <v>65</v>
      </c>
      <c r="J985" s="131" t="s">
        <v>5507</v>
      </c>
      <c r="K985" s="132" t="s">
        <v>4433</v>
      </c>
      <c r="L985" s="136">
        <v>4946680</v>
      </c>
      <c r="M985" s="132">
        <v>42366</v>
      </c>
      <c r="N985" s="136" t="s">
        <v>3741</v>
      </c>
      <c r="O985" s="130" t="s">
        <v>7018</v>
      </c>
      <c r="P985" s="136" t="s">
        <v>4492</v>
      </c>
      <c r="Q985" s="130">
        <v>34011190</v>
      </c>
      <c r="R985" s="136">
        <v>115200</v>
      </c>
      <c r="S985" s="130" t="s">
        <v>70</v>
      </c>
      <c r="T985" s="136" t="s">
        <v>5788</v>
      </c>
      <c r="U985" s="136" t="s">
        <v>53</v>
      </c>
      <c r="V985" s="136">
        <v>0.25</v>
      </c>
      <c r="W985" s="133">
        <f t="shared" si="45"/>
        <v>28800</v>
      </c>
      <c r="X985" s="136">
        <v>9.5</v>
      </c>
      <c r="Y985" s="136">
        <v>3350</v>
      </c>
      <c r="Z985" s="136">
        <v>0</v>
      </c>
      <c r="AA985" s="136">
        <v>0</v>
      </c>
      <c r="AB985" s="131">
        <v>42368</v>
      </c>
      <c r="AC985" s="134">
        <f t="shared" si="46"/>
        <v>25440.5</v>
      </c>
      <c r="AD985" s="135">
        <v>66.2</v>
      </c>
      <c r="AE985" s="136">
        <f t="shared" si="47"/>
        <v>1906560</v>
      </c>
      <c r="AF985" s="130">
        <v>1684161.1</v>
      </c>
      <c r="AG985" s="138">
        <v>66.2</v>
      </c>
      <c r="AH985" s="136" t="s">
        <v>7421</v>
      </c>
      <c r="AI985" s="136">
        <v>28800</v>
      </c>
      <c r="AJ985" s="132">
        <v>42452</v>
      </c>
      <c r="AK985" s="136" t="s">
        <v>7422</v>
      </c>
      <c r="AL985" s="132">
        <v>42457</v>
      </c>
      <c r="AM985" s="131" t="s">
        <v>49</v>
      </c>
      <c r="AN985" s="133" t="s">
        <v>4440</v>
      </c>
    </row>
    <row r="986" spans="1:40 16283:16307" s="129" customFormat="1" ht="15.95" customHeight="1" x14ac:dyDescent="0.25">
      <c r="A986" s="130">
        <v>985</v>
      </c>
      <c r="B986" s="130" t="s">
        <v>4428</v>
      </c>
      <c r="C986" s="130" t="s">
        <v>38</v>
      </c>
      <c r="D986" s="136" t="s">
        <v>7423</v>
      </c>
      <c r="E986" s="132">
        <v>42373</v>
      </c>
      <c r="F986" s="132" t="s">
        <v>7026</v>
      </c>
      <c r="G986" s="132" t="s">
        <v>7424</v>
      </c>
      <c r="H986" s="130" t="s">
        <v>4456</v>
      </c>
      <c r="I986" s="132" t="s">
        <v>65</v>
      </c>
      <c r="J986" s="131" t="s">
        <v>5507</v>
      </c>
      <c r="K986" s="132" t="s">
        <v>4433</v>
      </c>
      <c r="L986" s="136">
        <v>4952832</v>
      </c>
      <c r="M986" s="132">
        <v>42366</v>
      </c>
      <c r="N986" s="136" t="s">
        <v>3741</v>
      </c>
      <c r="O986" s="130" t="s">
        <v>7018</v>
      </c>
      <c r="P986" s="136" t="s">
        <v>4492</v>
      </c>
      <c r="Q986" s="130">
        <v>34011190</v>
      </c>
      <c r="R986" s="136">
        <v>115200</v>
      </c>
      <c r="S986" s="130" t="s">
        <v>70</v>
      </c>
      <c r="T986" s="136" t="s">
        <v>5788</v>
      </c>
      <c r="U986" s="136" t="s">
        <v>53</v>
      </c>
      <c r="V986" s="136">
        <v>0.25</v>
      </c>
      <c r="W986" s="133">
        <f t="shared" si="45"/>
        <v>28800</v>
      </c>
      <c r="X986" s="136">
        <v>9.5</v>
      </c>
      <c r="Y986" s="136">
        <v>3350</v>
      </c>
      <c r="Z986" s="136">
        <v>0</v>
      </c>
      <c r="AA986" s="136">
        <v>0</v>
      </c>
      <c r="AB986" s="131">
        <v>42368</v>
      </c>
      <c r="AC986" s="134">
        <f t="shared" si="46"/>
        <v>25440.5</v>
      </c>
      <c r="AD986" s="135">
        <v>66.2</v>
      </c>
      <c r="AE986" s="136">
        <f t="shared" si="47"/>
        <v>1906560</v>
      </c>
      <c r="AF986" s="130">
        <v>1684161.1</v>
      </c>
      <c r="AG986" s="138">
        <v>66.2</v>
      </c>
      <c r="AH986" s="136" t="s">
        <v>7425</v>
      </c>
      <c r="AI986" s="136">
        <v>28800</v>
      </c>
      <c r="AJ986" s="132">
        <v>42452</v>
      </c>
      <c r="AK986" s="136" t="s">
        <v>7426</v>
      </c>
      <c r="AL986" s="132">
        <v>42457</v>
      </c>
      <c r="AM986" s="131" t="s">
        <v>49</v>
      </c>
      <c r="AN986" s="133" t="s">
        <v>4440</v>
      </c>
    </row>
    <row r="987" spans="1:40 16283:16307" s="129" customFormat="1" ht="15.95" customHeight="1" x14ac:dyDescent="0.25">
      <c r="A987" s="136">
        <v>986</v>
      </c>
      <c r="B987" s="130" t="s">
        <v>4428</v>
      </c>
      <c r="C987" s="130" t="s">
        <v>38</v>
      </c>
      <c r="D987" s="136">
        <v>9103650920</v>
      </c>
      <c r="E987" s="132">
        <v>42401</v>
      </c>
      <c r="F987" s="132" t="s">
        <v>7427</v>
      </c>
      <c r="G987" s="132" t="s">
        <v>7428</v>
      </c>
      <c r="H987" s="130" t="s">
        <v>4456</v>
      </c>
      <c r="I987" s="132" t="s">
        <v>40</v>
      </c>
      <c r="J987" s="131" t="s">
        <v>4432</v>
      </c>
      <c r="K987" s="132" t="s">
        <v>4433</v>
      </c>
      <c r="L987" s="136">
        <v>5428817</v>
      </c>
      <c r="M987" s="132">
        <v>42391</v>
      </c>
      <c r="N987" s="136" t="s">
        <v>4527</v>
      </c>
      <c r="O987" s="130" t="s">
        <v>4436</v>
      </c>
      <c r="P987" s="136" t="s">
        <v>59</v>
      </c>
      <c r="Q987" s="130">
        <v>38237090</v>
      </c>
      <c r="R987" s="136">
        <v>16</v>
      </c>
      <c r="S987" s="130" t="s">
        <v>70</v>
      </c>
      <c r="T987" s="136" t="s">
        <v>44</v>
      </c>
      <c r="U987" s="136" t="s">
        <v>53</v>
      </c>
      <c r="V987" s="136">
        <v>1188</v>
      </c>
      <c r="W987" s="133">
        <f t="shared" si="45"/>
        <v>19008</v>
      </c>
      <c r="X987" s="136">
        <v>6.27</v>
      </c>
      <c r="Y987" s="136">
        <v>175</v>
      </c>
      <c r="Z987" s="136">
        <v>0</v>
      </c>
      <c r="AA987" s="136">
        <v>0</v>
      </c>
      <c r="AB987" s="131">
        <v>42396</v>
      </c>
      <c r="AC987" s="134">
        <f t="shared" si="46"/>
        <v>18826.730066815147</v>
      </c>
      <c r="AD987" s="135">
        <v>67.349999999999994</v>
      </c>
      <c r="AE987" s="136">
        <f t="shared" si="47"/>
        <v>1280188.7999999998</v>
      </c>
      <c r="AF987" s="137">
        <v>1267980.27</v>
      </c>
      <c r="AG987" s="138">
        <v>67.349999999999994</v>
      </c>
      <c r="AH987" s="136" t="s">
        <v>7429</v>
      </c>
      <c r="AI987" s="136">
        <v>18998</v>
      </c>
      <c r="AJ987" s="132">
        <v>42472</v>
      </c>
      <c r="AK987" s="136" t="s">
        <v>7430</v>
      </c>
      <c r="AL987" s="132">
        <v>42472</v>
      </c>
      <c r="AM987" s="131" t="s">
        <v>49</v>
      </c>
      <c r="AN987" s="133" t="s">
        <v>4440</v>
      </c>
    </row>
    <row r="988" spans="1:40 16283:16307" s="129" customFormat="1" ht="15.95" customHeight="1" x14ac:dyDescent="0.25">
      <c r="A988" s="130">
        <v>987</v>
      </c>
      <c r="B988" s="130" t="s">
        <v>4428</v>
      </c>
      <c r="C988" s="130" t="s">
        <v>38</v>
      </c>
      <c r="D988" s="136">
        <v>9103650931</v>
      </c>
      <c r="E988" s="132">
        <v>42401</v>
      </c>
      <c r="F988" s="132" t="s">
        <v>7427</v>
      </c>
      <c r="G988" s="132" t="s">
        <v>7431</v>
      </c>
      <c r="H988" s="130" t="s">
        <v>5712</v>
      </c>
      <c r="I988" s="132" t="s">
        <v>40</v>
      </c>
      <c r="J988" s="131" t="s">
        <v>4432</v>
      </c>
      <c r="K988" s="132" t="s">
        <v>4433</v>
      </c>
      <c r="L988" s="136">
        <v>5468221</v>
      </c>
      <c r="M988" s="132">
        <v>42394</v>
      </c>
      <c r="N988" s="136" t="s">
        <v>7432</v>
      </c>
      <c r="O988" s="130" t="s">
        <v>4436</v>
      </c>
      <c r="P988" s="136" t="s">
        <v>1756</v>
      </c>
      <c r="Q988" s="130">
        <v>38237090</v>
      </c>
      <c r="R988" s="136">
        <v>16</v>
      </c>
      <c r="S988" s="130" t="s">
        <v>70</v>
      </c>
      <c r="T988" s="136" t="s">
        <v>44</v>
      </c>
      <c r="U988" s="136" t="s">
        <v>53</v>
      </c>
      <c r="V988" s="136">
        <v>0</v>
      </c>
      <c r="W988" s="133">
        <f>(15.5*1230+0.5*1320)</f>
        <v>19725</v>
      </c>
      <c r="X988" s="136">
        <v>6.51</v>
      </c>
      <c r="Y988" s="136">
        <v>30</v>
      </c>
      <c r="Z988" s="136">
        <v>0</v>
      </c>
      <c r="AA988" s="136">
        <v>0</v>
      </c>
      <c r="AB988" s="131">
        <v>42396</v>
      </c>
      <c r="AC988" s="134">
        <f t="shared" si="46"/>
        <v>19688.489977728288</v>
      </c>
      <c r="AD988" s="135">
        <v>67.349999999999994</v>
      </c>
      <c r="AE988" s="136">
        <f t="shared" si="47"/>
        <v>1328478.75</v>
      </c>
      <c r="AF988" s="137">
        <v>1326019.8</v>
      </c>
      <c r="AG988" s="138">
        <v>66.400000000000006</v>
      </c>
      <c r="AH988" s="136" t="s">
        <v>7433</v>
      </c>
      <c r="AI988" s="136">
        <v>19715</v>
      </c>
      <c r="AJ988" s="132">
        <v>42418</v>
      </c>
      <c r="AK988" s="136" t="s">
        <v>7434</v>
      </c>
      <c r="AL988" s="132">
        <v>42418</v>
      </c>
      <c r="AM988" s="131" t="s">
        <v>49</v>
      </c>
      <c r="AN988" s="133" t="s">
        <v>4440</v>
      </c>
    </row>
    <row r="989" spans="1:40 16283:16307" s="129" customFormat="1" ht="15.95" customHeight="1" x14ac:dyDescent="0.25">
      <c r="A989" s="136">
        <v>988</v>
      </c>
      <c r="B989" s="130" t="s">
        <v>4428</v>
      </c>
      <c r="C989" s="141" t="s">
        <v>38</v>
      </c>
      <c r="D989" s="136">
        <v>9103650940</v>
      </c>
      <c r="E989" s="132">
        <v>42401</v>
      </c>
      <c r="F989" s="131" t="s">
        <v>7427</v>
      </c>
      <c r="G989" s="132" t="s">
        <v>7435</v>
      </c>
      <c r="H989" s="130" t="s">
        <v>4491</v>
      </c>
      <c r="I989" s="132" t="s">
        <v>40</v>
      </c>
      <c r="J989" s="131" t="s">
        <v>4432</v>
      </c>
      <c r="K989" s="132" t="s">
        <v>4433</v>
      </c>
      <c r="L989" s="136">
        <v>5496136</v>
      </c>
      <c r="M989" s="132" t="s">
        <v>7436</v>
      </c>
      <c r="N989" s="136" t="s">
        <v>3741</v>
      </c>
      <c r="O989" s="130" t="s">
        <v>4436</v>
      </c>
      <c r="P989" s="129" t="s">
        <v>4492</v>
      </c>
      <c r="Q989" s="130">
        <v>38237090</v>
      </c>
      <c r="R989" s="136">
        <v>18.21</v>
      </c>
      <c r="S989" s="130" t="s">
        <v>70</v>
      </c>
      <c r="T989" s="136" t="s">
        <v>7036</v>
      </c>
      <c r="U989" s="136" t="s">
        <v>53</v>
      </c>
      <c r="V989" s="156">
        <v>1275</v>
      </c>
      <c r="W989" s="133">
        <f t="shared" si="45"/>
        <v>23217.75</v>
      </c>
      <c r="X989" s="129">
        <v>7.66</v>
      </c>
      <c r="Y989" s="129">
        <v>2000</v>
      </c>
      <c r="Z989" s="129">
        <v>0</v>
      </c>
      <c r="AA989" s="129">
        <v>0</v>
      </c>
      <c r="AB989" s="131">
        <v>42398</v>
      </c>
      <c r="AC989" s="134">
        <f t="shared" si="46"/>
        <v>21210.089977728287</v>
      </c>
      <c r="AD989" s="135">
        <v>67.349999999999994</v>
      </c>
      <c r="AE989" s="136">
        <f t="shared" si="47"/>
        <v>1563715.4624999999</v>
      </c>
      <c r="AF989" s="137">
        <v>1428499.56</v>
      </c>
      <c r="AG989" s="138">
        <v>67.349999999999994</v>
      </c>
      <c r="AH989" s="136" t="s">
        <v>7437</v>
      </c>
      <c r="AI989" s="133">
        <v>23217.75</v>
      </c>
      <c r="AJ989" s="132">
        <v>42444</v>
      </c>
      <c r="AK989" s="136" t="s">
        <v>7438</v>
      </c>
      <c r="AL989" s="132">
        <v>42445</v>
      </c>
      <c r="AM989" s="131" t="s">
        <v>49</v>
      </c>
      <c r="AN989" s="136" t="s">
        <v>4440</v>
      </c>
      <c r="XBG989" s="136"/>
      <c r="XBH989" s="130"/>
      <c r="XBI989" s="130"/>
      <c r="XBJ989" s="141"/>
      <c r="XBK989" s="132"/>
      <c r="XBL989" s="132"/>
      <c r="XBM989" s="131"/>
      <c r="XBN989" s="136"/>
      <c r="XBO989" s="130"/>
      <c r="XBP989" s="136"/>
      <c r="XBQ989" s="136"/>
      <c r="XBR989" s="133"/>
      <c r="XBS989" s="136"/>
      <c r="XBT989" s="132"/>
      <c r="XBU989" s="130"/>
      <c r="XBV989" s="136"/>
      <c r="XBW989" s="136"/>
      <c r="XBX989" s="133"/>
      <c r="XBY989" s="132"/>
      <c r="XBZ989" s="136"/>
      <c r="XCA989" s="132"/>
      <c r="XCB989" s="133"/>
      <c r="XCC989" s="136"/>
      <c r="XCD989" s="136"/>
      <c r="XCE989" s="136"/>
    </row>
    <row r="990" spans="1:40 16283:16307" s="129" customFormat="1" ht="15.95" customHeight="1" x14ac:dyDescent="0.25">
      <c r="A990" s="130">
        <v>989</v>
      </c>
      <c r="B990" s="130" t="s">
        <v>4428</v>
      </c>
      <c r="C990" s="130" t="s">
        <v>38</v>
      </c>
      <c r="D990" s="136">
        <v>9103650941</v>
      </c>
      <c r="E990" s="132">
        <v>42403</v>
      </c>
      <c r="F990" s="132" t="s">
        <v>7427</v>
      </c>
      <c r="G990" s="132" t="s">
        <v>7439</v>
      </c>
      <c r="H990" s="130" t="s">
        <v>4491</v>
      </c>
      <c r="I990" s="132" t="s">
        <v>40</v>
      </c>
      <c r="J990" s="131" t="s">
        <v>4432</v>
      </c>
      <c r="K990" s="132" t="s">
        <v>4433</v>
      </c>
      <c r="L990" s="136">
        <v>5498694</v>
      </c>
      <c r="M990" s="132" t="s">
        <v>7436</v>
      </c>
      <c r="N990" s="136" t="s">
        <v>3741</v>
      </c>
      <c r="O990" s="130" t="s">
        <v>4436</v>
      </c>
      <c r="P990" s="136" t="s">
        <v>4492</v>
      </c>
      <c r="Q990" s="130">
        <v>29051700</v>
      </c>
      <c r="R990" s="136">
        <v>39.659999999999997</v>
      </c>
      <c r="S990" s="130" t="s">
        <v>70</v>
      </c>
      <c r="T990" s="136" t="s">
        <v>7036</v>
      </c>
      <c r="U990" s="136" t="s">
        <v>53</v>
      </c>
      <c r="V990" s="136">
        <v>1479</v>
      </c>
      <c r="W990" s="133">
        <f t="shared" si="45"/>
        <v>58657.139999999992</v>
      </c>
      <c r="X990" s="136">
        <v>19.36</v>
      </c>
      <c r="Y990" s="136">
        <v>2820</v>
      </c>
      <c r="Z990" s="136">
        <v>0</v>
      </c>
      <c r="AA990" s="136">
        <v>0</v>
      </c>
      <c r="AB990" s="131">
        <v>42397</v>
      </c>
      <c r="AC990" s="134">
        <f t="shared" si="46"/>
        <v>55817.779955456572</v>
      </c>
      <c r="AD990" s="135">
        <v>67.349999999999994</v>
      </c>
      <c r="AE990" s="136">
        <f t="shared" si="47"/>
        <v>3950558.3789999993</v>
      </c>
      <c r="AF990" s="137">
        <v>3759327.48</v>
      </c>
      <c r="AG990" s="138">
        <v>67.349999999999994</v>
      </c>
      <c r="AH990" s="136" t="s">
        <v>7440</v>
      </c>
      <c r="AI990" s="136">
        <v>58657.14</v>
      </c>
      <c r="AJ990" s="132">
        <v>42482</v>
      </c>
      <c r="AK990" s="136" t="s">
        <v>7441</v>
      </c>
      <c r="AL990" s="132">
        <v>42482</v>
      </c>
      <c r="AM990" s="131" t="s">
        <v>49</v>
      </c>
      <c r="AN990" s="136" t="s">
        <v>4440</v>
      </c>
    </row>
    <row r="991" spans="1:40 16283:16307" s="129" customFormat="1" ht="15.95" customHeight="1" x14ac:dyDescent="0.25">
      <c r="A991" s="136">
        <v>990</v>
      </c>
      <c r="B991" s="130" t="s">
        <v>4428</v>
      </c>
      <c r="C991" s="130" t="s">
        <v>38</v>
      </c>
      <c r="D991" s="136">
        <v>9103650943</v>
      </c>
      <c r="E991" s="132">
        <v>42401</v>
      </c>
      <c r="F991" s="132" t="s">
        <v>7427</v>
      </c>
      <c r="G991" s="132" t="s">
        <v>7442</v>
      </c>
      <c r="H991" s="130" t="s">
        <v>4446</v>
      </c>
      <c r="I991" s="132" t="s">
        <v>40</v>
      </c>
      <c r="J991" s="131" t="s">
        <v>4432</v>
      </c>
      <c r="K991" s="132" t="s">
        <v>4433</v>
      </c>
      <c r="L991" s="136">
        <v>5525278</v>
      </c>
      <c r="M991" s="132">
        <v>42397</v>
      </c>
      <c r="N991" s="136" t="s">
        <v>4733</v>
      </c>
      <c r="O991" s="130" t="s">
        <v>4436</v>
      </c>
      <c r="P991" s="136" t="s">
        <v>492</v>
      </c>
      <c r="Q991" s="130">
        <v>38231900</v>
      </c>
      <c r="R991" s="136">
        <v>59.48</v>
      </c>
      <c r="S991" s="130" t="s">
        <v>70</v>
      </c>
      <c r="T991" s="136" t="s">
        <v>7036</v>
      </c>
      <c r="U991" s="136" t="s">
        <v>53</v>
      </c>
      <c r="V991" s="136">
        <v>3870</v>
      </c>
      <c r="W991" s="133">
        <f t="shared" si="45"/>
        <v>230187.59999999998</v>
      </c>
      <c r="X991" s="136">
        <v>75.959999999999994</v>
      </c>
      <c r="Y991" s="136">
        <v>1200</v>
      </c>
      <c r="Z991" s="136">
        <v>0</v>
      </c>
      <c r="AA991" s="136">
        <v>0</v>
      </c>
      <c r="AB991" s="131">
        <v>42398</v>
      </c>
      <c r="AC991" s="134">
        <f t="shared" si="46"/>
        <v>228911.63994060876</v>
      </c>
      <c r="AD991" s="135">
        <v>67.349999999999994</v>
      </c>
      <c r="AE991" s="136">
        <f t="shared" si="47"/>
        <v>15503134.859999998</v>
      </c>
      <c r="AF991" s="137">
        <v>15417198.949999999</v>
      </c>
      <c r="AG991" s="138">
        <v>67.349999999999994</v>
      </c>
      <c r="AH991" s="136" t="s">
        <v>7443</v>
      </c>
      <c r="AI991" s="136">
        <v>230187.6</v>
      </c>
      <c r="AJ991" s="132">
        <v>42466</v>
      </c>
      <c r="AK991" s="136" t="s">
        <v>7444</v>
      </c>
      <c r="AL991" s="132">
        <v>42466</v>
      </c>
      <c r="AM991" s="131" t="s">
        <v>49</v>
      </c>
      <c r="AN991" s="136" t="s">
        <v>4440</v>
      </c>
    </row>
    <row r="992" spans="1:40 16283:16307" s="129" customFormat="1" ht="15.95" customHeight="1" x14ac:dyDescent="0.25">
      <c r="A992" s="130">
        <v>991</v>
      </c>
      <c r="B992" s="130" t="s">
        <v>4428</v>
      </c>
      <c r="C992" s="130" t="s">
        <v>38</v>
      </c>
      <c r="D992" s="136">
        <v>9103650944</v>
      </c>
      <c r="E992" s="132">
        <v>42401</v>
      </c>
      <c r="F992" s="132" t="s">
        <v>7427</v>
      </c>
      <c r="G992" s="132" t="s">
        <v>7445</v>
      </c>
      <c r="H992" s="130" t="s">
        <v>4491</v>
      </c>
      <c r="I992" s="132" t="s">
        <v>40</v>
      </c>
      <c r="J992" s="131" t="s">
        <v>4432</v>
      </c>
      <c r="K992" s="132" t="s">
        <v>4433</v>
      </c>
      <c r="L992" s="136">
        <v>5525267</v>
      </c>
      <c r="M992" s="132">
        <v>42397</v>
      </c>
      <c r="N992" s="136" t="s">
        <v>3741</v>
      </c>
      <c r="O992" s="130" t="s">
        <v>4436</v>
      </c>
      <c r="P992" s="147" t="s">
        <v>4492</v>
      </c>
      <c r="Q992" s="130">
        <v>38237090</v>
      </c>
      <c r="R992" s="136">
        <v>18.239999999999998</v>
      </c>
      <c r="S992" s="130" t="s">
        <v>70</v>
      </c>
      <c r="T992" s="136" t="s">
        <v>7036</v>
      </c>
      <c r="U992" s="136" t="s">
        <v>53</v>
      </c>
      <c r="V992" s="156">
        <v>1295</v>
      </c>
      <c r="W992" s="133">
        <f t="shared" si="45"/>
        <v>23620.799999999999</v>
      </c>
      <c r="X992" s="136">
        <v>7.79</v>
      </c>
      <c r="Y992" s="161">
        <v>3400</v>
      </c>
      <c r="Z992" s="136">
        <v>0</v>
      </c>
      <c r="AA992" s="136">
        <v>0</v>
      </c>
      <c r="AB992" s="131">
        <v>42398</v>
      </c>
      <c r="AC992" s="134">
        <f t="shared" si="46"/>
        <v>20213.009948032668</v>
      </c>
      <c r="AD992" s="135">
        <v>67.349999999999994</v>
      </c>
      <c r="AE992" s="136">
        <f t="shared" si="47"/>
        <v>1590860.88</v>
      </c>
      <c r="AF992" s="137">
        <v>1361346.22</v>
      </c>
      <c r="AG992" s="138">
        <v>67.349999999999994</v>
      </c>
      <c r="AH992" s="136" t="s">
        <v>7446</v>
      </c>
      <c r="AI992" s="133">
        <v>23620.799999999999</v>
      </c>
      <c r="AJ992" s="132">
        <v>42444</v>
      </c>
      <c r="AK992" s="136" t="s">
        <v>7447</v>
      </c>
      <c r="AL992" s="132">
        <v>42445</v>
      </c>
      <c r="AM992" s="131" t="s">
        <v>49</v>
      </c>
      <c r="AN992" s="136" t="s">
        <v>4440</v>
      </c>
    </row>
    <row r="993" spans="1:40" s="129" customFormat="1" ht="15.95" customHeight="1" x14ac:dyDescent="0.25">
      <c r="A993" s="136">
        <v>992</v>
      </c>
      <c r="B993" s="130" t="s">
        <v>4428</v>
      </c>
      <c r="C993" s="130" t="s">
        <v>38</v>
      </c>
      <c r="D993" s="162">
        <v>9103650945</v>
      </c>
      <c r="E993" s="132">
        <v>42406</v>
      </c>
      <c r="F993" s="132" t="s">
        <v>7427</v>
      </c>
      <c r="G993" s="132" t="s">
        <v>7448</v>
      </c>
      <c r="H993" s="130" t="s">
        <v>4456</v>
      </c>
      <c r="I993" s="132" t="s">
        <v>40</v>
      </c>
      <c r="J993" s="131" t="s">
        <v>4432</v>
      </c>
      <c r="K993" s="132" t="s">
        <v>4433</v>
      </c>
      <c r="L993" s="136">
        <v>5527383</v>
      </c>
      <c r="M993" s="132">
        <v>42397</v>
      </c>
      <c r="N993" s="136" t="s">
        <v>4527</v>
      </c>
      <c r="O993" s="130" t="s">
        <v>4436</v>
      </c>
      <c r="P993" s="136" t="s">
        <v>59</v>
      </c>
      <c r="Q993" s="130">
        <v>38237090</v>
      </c>
      <c r="R993" s="136">
        <v>75.930000000000007</v>
      </c>
      <c r="S993" s="130" t="s">
        <v>70</v>
      </c>
      <c r="T993" s="136" t="s">
        <v>7036</v>
      </c>
      <c r="U993" s="136" t="s">
        <v>4528</v>
      </c>
      <c r="V993" s="136">
        <v>1086</v>
      </c>
      <c r="W993" s="133">
        <f t="shared" si="45"/>
        <v>82459.98000000001</v>
      </c>
      <c r="X993" s="136">
        <v>27.21</v>
      </c>
      <c r="Y993" s="136">
        <v>1478.19</v>
      </c>
      <c r="Z993" s="136">
        <v>0</v>
      </c>
      <c r="AA993" s="136">
        <v>0</v>
      </c>
      <c r="AB993" s="131">
        <v>42400</v>
      </c>
      <c r="AC993" s="134">
        <f t="shared" si="46"/>
        <v>80954.579972565145</v>
      </c>
      <c r="AD993" s="135">
        <v>72.900000000000006</v>
      </c>
      <c r="AE993" s="136">
        <f t="shared" si="47"/>
        <v>6011332.5420000013</v>
      </c>
      <c r="AF993" s="130">
        <v>5901588.8799999999</v>
      </c>
      <c r="AG993" s="138">
        <v>72.900000000000006</v>
      </c>
      <c r="AH993" s="136" t="s">
        <v>7449</v>
      </c>
      <c r="AI993" s="136">
        <v>82459.98</v>
      </c>
      <c r="AJ993" s="132" t="s">
        <v>7450</v>
      </c>
      <c r="AK993" s="136" t="s">
        <v>7451</v>
      </c>
      <c r="AL993" s="132" t="s">
        <v>7450</v>
      </c>
      <c r="AM993" s="131" t="s">
        <v>49</v>
      </c>
      <c r="AN993" s="136" t="s">
        <v>4440</v>
      </c>
    </row>
    <row r="994" spans="1:40" s="129" customFormat="1" ht="15.95" customHeight="1" x14ac:dyDescent="0.25">
      <c r="A994" s="130">
        <v>993</v>
      </c>
      <c r="B994" s="130" t="s">
        <v>4428</v>
      </c>
      <c r="C994" s="130" t="s">
        <v>38</v>
      </c>
      <c r="D994" s="162">
        <v>9103650946</v>
      </c>
      <c r="E994" s="132">
        <v>42404</v>
      </c>
      <c r="F994" s="132" t="s">
        <v>7427</v>
      </c>
      <c r="G994" s="132" t="s">
        <v>7452</v>
      </c>
      <c r="H994" s="130" t="s">
        <v>4431</v>
      </c>
      <c r="I994" s="132" t="s">
        <v>40</v>
      </c>
      <c r="J994" s="131" t="s">
        <v>4432</v>
      </c>
      <c r="K994" s="132" t="s">
        <v>4433</v>
      </c>
      <c r="L994" s="136">
        <v>5512660</v>
      </c>
      <c r="M994" s="132">
        <v>42397</v>
      </c>
      <c r="N994" s="136" t="s">
        <v>5963</v>
      </c>
      <c r="O994" s="130" t="s">
        <v>4436</v>
      </c>
      <c r="P994" s="147" t="s">
        <v>4465</v>
      </c>
      <c r="Q994" s="130">
        <v>38231200</v>
      </c>
      <c r="R994" s="136">
        <v>39.299999999999997</v>
      </c>
      <c r="S994" s="130" t="s">
        <v>70</v>
      </c>
      <c r="T994" s="136" t="s">
        <v>7036</v>
      </c>
      <c r="U994" s="136" t="s">
        <v>53</v>
      </c>
      <c r="V994" s="156">
        <v>695</v>
      </c>
      <c r="W994" s="133">
        <f t="shared" si="45"/>
        <v>27313.499999999996</v>
      </c>
      <c r="X994" s="136">
        <v>9.01</v>
      </c>
      <c r="Y994" s="161">
        <v>1200</v>
      </c>
      <c r="Z994" s="136">
        <v>0</v>
      </c>
      <c r="AA994" s="136">
        <v>314.39999999999998</v>
      </c>
      <c r="AB994" s="131">
        <v>42399</v>
      </c>
      <c r="AC994" s="134">
        <f t="shared" si="46"/>
        <v>26104.490126206387</v>
      </c>
      <c r="AD994" s="135">
        <v>67.349999999999994</v>
      </c>
      <c r="AE994" s="136">
        <f t="shared" si="47"/>
        <v>1839564.2249999996</v>
      </c>
      <c r="AF994" s="137">
        <v>1758137.41</v>
      </c>
      <c r="AG994" s="138">
        <v>67.349999999999994</v>
      </c>
      <c r="AH994" s="136" t="s">
        <v>7453</v>
      </c>
      <c r="AI994" s="133">
        <v>27073.5</v>
      </c>
      <c r="AJ994" s="132">
        <v>42443</v>
      </c>
      <c r="AK994" s="136" t="s">
        <v>7454</v>
      </c>
      <c r="AL994" s="132">
        <v>42444</v>
      </c>
      <c r="AM994" s="131" t="s">
        <v>49</v>
      </c>
      <c r="AN994" s="136" t="s">
        <v>4440</v>
      </c>
    </row>
    <row r="995" spans="1:40" s="129" customFormat="1" ht="15.95" customHeight="1" x14ac:dyDescent="0.25">
      <c r="A995" s="136">
        <v>994</v>
      </c>
      <c r="B995" s="130" t="s">
        <v>4428</v>
      </c>
      <c r="C995" s="130" t="s">
        <v>38</v>
      </c>
      <c r="D995" s="162">
        <v>9103650947</v>
      </c>
      <c r="E995" s="132">
        <v>42403</v>
      </c>
      <c r="F995" s="132" t="s">
        <v>7427</v>
      </c>
      <c r="G995" s="132" t="s">
        <v>7455</v>
      </c>
      <c r="H995" s="130" t="s">
        <v>4431</v>
      </c>
      <c r="I995" s="132" t="s">
        <v>40</v>
      </c>
      <c r="J995" s="131" t="s">
        <v>4432</v>
      </c>
      <c r="K995" s="132" t="s">
        <v>4433</v>
      </c>
      <c r="L995" s="136">
        <v>5525283</v>
      </c>
      <c r="M995" s="132">
        <v>42397</v>
      </c>
      <c r="N995" s="136" t="s">
        <v>4832</v>
      </c>
      <c r="O995" s="130" t="s">
        <v>4436</v>
      </c>
      <c r="P995" s="147" t="s">
        <v>6826</v>
      </c>
      <c r="Q995" s="130">
        <v>29161990</v>
      </c>
      <c r="R995" s="136">
        <v>86.4</v>
      </c>
      <c r="S995" s="130" t="s">
        <v>70</v>
      </c>
      <c r="T995" s="136" t="s">
        <v>7036</v>
      </c>
      <c r="U995" s="136" t="s">
        <v>53</v>
      </c>
      <c r="V995" s="156">
        <v>2950</v>
      </c>
      <c r="W995" s="133">
        <f t="shared" si="45"/>
        <v>254880.00000000003</v>
      </c>
      <c r="X995" s="136">
        <v>84.11</v>
      </c>
      <c r="Y995" s="161">
        <v>900</v>
      </c>
      <c r="Z995" s="136">
        <v>0</v>
      </c>
      <c r="AA995" s="136">
        <v>0</v>
      </c>
      <c r="AB995" s="131">
        <v>42399</v>
      </c>
      <c r="AC995" s="134">
        <f t="shared" si="46"/>
        <v>253895.88997772834</v>
      </c>
      <c r="AD995" s="135">
        <v>67.349999999999994</v>
      </c>
      <c r="AE995" s="136">
        <f t="shared" si="47"/>
        <v>17166168</v>
      </c>
      <c r="AF995" s="137">
        <v>17099888.190000001</v>
      </c>
      <c r="AG995" s="138">
        <v>67.349999999999994</v>
      </c>
      <c r="AH995" s="136" t="s">
        <v>7456</v>
      </c>
      <c r="AI995" s="133">
        <v>254490</v>
      </c>
      <c r="AJ995" s="132">
        <v>42432</v>
      </c>
      <c r="AK995" s="136" t="s">
        <v>7457</v>
      </c>
      <c r="AL995" s="132">
        <v>42433</v>
      </c>
      <c r="AM995" s="131" t="s">
        <v>49</v>
      </c>
      <c r="AN995" s="136" t="s">
        <v>4440</v>
      </c>
    </row>
    <row r="996" spans="1:40" s="129" customFormat="1" ht="15.95" customHeight="1" x14ac:dyDescent="0.25">
      <c r="A996" s="130">
        <v>995</v>
      </c>
      <c r="B996" s="130" t="s">
        <v>4428</v>
      </c>
      <c r="C996" s="130" t="s">
        <v>38</v>
      </c>
      <c r="D996" s="162" t="s">
        <v>7458</v>
      </c>
      <c r="E996" s="132">
        <v>42406</v>
      </c>
      <c r="F996" s="132" t="s">
        <v>7427</v>
      </c>
      <c r="G996" s="132" t="s">
        <v>7459</v>
      </c>
      <c r="H996" s="130" t="s">
        <v>4446</v>
      </c>
      <c r="I996" s="132" t="s">
        <v>40</v>
      </c>
      <c r="J996" s="131" t="s">
        <v>4432</v>
      </c>
      <c r="K996" s="132" t="s">
        <v>4433</v>
      </c>
      <c r="L996" s="136">
        <v>5525246</v>
      </c>
      <c r="M996" s="132">
        <v>42397</v>
      </c>
      <c r="N996" s="136" t="s">
        <v>5073</v>
      </c>
      <c r="O996" s="130" t="s">
        <v>4436</v>
      </c>
      <c r="P996" s="136" t="s">
        <v>59</v>
      </c>
      <c r="Q996" s="130">
        <v>29157010</v>
      </c>
      <c r="R996" s="136">
        <v>98.47</v>
      </c>
      <c r="S996" s="130" t="s">
        <v>70</v>
      </c>
      <c r="T996" s="136" t="s">
        <v>44</v>
      </c>
      <c r="U996" s="136" t="s">
        <v>53</v>
      </c>
      <c r="V996" s="156">
        <v>568</v>
      </c>
      <c r="W996" s="133">
        <f t="shared" si="45"/>
        <v>55930.96</v>
      </c>
      <c r="X996" s="136">
        <v>18.46</v>
      </c>
      <c r="Y996" s="136">
        <v>1750</v>
      </c>
      <c r="Z996" s="136">
        <v>0</v>
      </c>
      <c r="AA996" s="136">
        <v>0</v>
      </c>
      <c r="AB996" s="131"/>
      <c r="AC996" s="134">
        <f t="shared" si="46"/>
        <v>54162.500074239055</v>
      </c>
      <c r="AD996" s="135">
        <v>67.349999999999994</v>
      </c>
      <c r="AE996" s="136">
        <f t="shared" si="47"/>
        <v>3766950.1559999995</v>
      </c>
      <c r="AF996" s="137">
        <v>3647844.38</v>
      </c>
      <c r="AG996" s="138">
        <v>67.349999999999994</v>
      </c>
      <c r="AH996" s="136" t="s">
        <v>7460</v>
      </c>
      <c r="AI996" s="136">
        <v>55930.96</v>
      </c>
      <c r="AJ996" s="132">
        <v>42439</v>
      </c>
      <c r="AK996" s="136" t="s">
        <v>7461</v>
      </c>
      <c r="AL996" s="132">
        <v>42440</v>
      </c>
      <c r="AM996" s="131" t="s">
        <v>49</v>
      </c>
      <c r="AN996" s="130" t="s">
        <v>4440</v>
      </c>
    </row>
    <row r="997" spans="1:40" s="129" customFormat="1" ht="15.95" customHeight="1" x14ac:dyDescent="0.25">
      <c r="A997" s="136">
        <v>996</v>
      </c>
      <c r="B997" s="130" t="s">
        <v>4428</v>
      </c>
      <c r="C997" s="130" t="s">
        <v>38</v>
      </c>
      <c r="D997" s="162" t="s">
        <v>7458</v>
      </c>
      <c r="E997" s="132">
        <v>42406</v>
      </c>
      <c r="F997" s="132" t="s">
        <v>7427</v>
      </c>
      <c r="G997" s="132" t="s">
        <v>7462</v>
      </c>
      <c r="H997" s="130" t="s">
        <v>4446</v>
      </c>
      <c r="I997" s="132" t="s">
        <v>40</v>
      </c>
      <c r="J997" s="131" t="s">
        <v>4432</v>
      </c>
      <c r="K997" s="132" t="s">
        <v>4433</v>
      </c>
      <c r="L997" s="136">
        <v>5539139</v>
      </c>
      <c r="M997" s="132">
        <v>42398</v>
      </c>
      <c r="N997" s="136" t="s">
        <v>5073</v>
      </c>
      <c r="O997" s="130" t="s">
        <v>4436</v>
      </c>
      <c r="P997" s="136" t="s">
        <v>59</v>
      </c>
      <c r="Q997" s="130">
        <v>29157010</v>
      </c>
      <c r="R997" s="136">
        <v>39.090000000000003</v>
      </c>
      <c r="S997" s="130" t="s">
        <v>70</v>
      </c>
      <c r="T997" s="136" t="s">
        <v>44</v>
      </c>
      <c r="U997" s="136" t="s">
        <v>53</v>
      </c>
      <c r="V997" s="136">
        <v>568</v>
      </c>
      <c r="W997" s="133">
        <f t="shared" si="45"/>
        <v>22203.120000000003</v>
      </c>
      <c r="X997" s="136">
        <v>7.33</v>
      </c>
      <c r="Y997" s="136">
        <v>700</v>
      </c>
      <c r="Z997" s="136">
        <v>0</v>
      </c>
      <c r="AA997" s="136">
        <v>0</v>
      </c>
      <c r="AB997" s="131"/>
      <c r="AC997" s="134">
        <f t="shared" si="46"/>
        <v>21495.789903489236</v>
      </c>
      <c r="AD997" s="135">
        <v>67.349999999999994</v>
      </c>
      <c r="AE997" s="136">
        <f t="shared" si="47"/>
        <v>1495380.132</v>
      </c>
      <c r="AF997" s="137">
        <v>1447741.45</v>
      </c>
      <c r="AG997" s="138">
        <v>67.349999999999994</v>
      </c>
      <c r="AH997" s="136" t="s">
        <v>7460</v>
      </c>
      <c r="AI997" s="136">
        <v>22203.119999999999</v>
      </c>
      <c r="AJ997" s="132">
        <v>42439</v>
      </c>
      <c r="AK997" s="136" t="s">
        <v>7463</v>
      </c>
      <c r="AL997" s="132">
        <v>42440</v>
      </c>
      <c r="AM997" s="131" t="s">
        <v>49</v>
      </c>
      <c r="AN997" s="136" t="s">
        <v>4440</v>
      </c>
    </row>
    <row r="998" spans="1:40" s="129" customFormat="1" ht="15.95" customHeight="1" x14ac:dyDescent="0.25">
      <c r="A998" s="130">
        <v>997</v>
      </c>
      <c r="B998" s="130" t="s">
        <v>4428</v>
      </c>
      <c r="C998" s="130" t="s">
        <v>38</v>
      </c>
      <c r="D998" s="162" t="s">
        <v>7464</v>
      </c>
      <c r="E998" s="132">
        <v>42401</v>
      </c>
      <c r="F998" s="132" t="s">
        <v>7427</v>
      </c>
      <c r="G998" s="132" t="s">
        <v>7465</v>
      </c>
      <c r="H998" s="130" t="s">
        <v>5712</v>
      </c>
      <c r="I998" s="132" t="s">
        <v>40</v>
      </c>
      <c r="J998" s="131" t="s">
        <v>4432</v>
      </c>
      <c r="K998" s="132" t="s">
        <v>4433</v>
      </c>
      <c r="L998" s="136">
        <v>5539058</v>
      </c>
      <c r="M998" s="132">
        <v>42398</v>
      </c>
      <c r="N998" s="136" t="s">
        <v>4473</v>
      </c>
      <c r="O998" s="130" t="s">
        <v>4436</v>
      </c>
      <c r="P998" s="136" t="s">
        <v>361</v>
      </c>
      <c r="Q998" s="130">
        <v>38237090</v>
      </c>
      <c r="R998" s="136">
        <v>18.78</v>
      </c>
      <c r="S998" s="130" t="s">
        <v>70</v>
      </c>
      <c r="T998" s="136" t="s">
        <v>52</v>
      </c>
      <c r="U998" s="136" t="s">
        <v>1117</v>
      </c>
      <c r="V998" s="136">
        <v>79980</v>
      </c>
      <c r="W998" s="133">
        <f t="shared" si="45"/>
        <v>1502024.4000000001</v>
      </c>
      <c r="X998" s="136">
        <v>0</v>
      </c>
      <c r="Y998" s="136">
        <v>44787.75</v>
      </c>
      <c r="Z998" s="136">
        <v>0</v>
      </c>
      <c r="AA998" s="136">
        <v>0</v>
      </c>
      <c r="AB998" s="131">
        <v>42398</v>
      </c>
      <c r="AC998" s="134">
        <f t="shared" si="46"/>
        <v>1457236.65</v>
      </c>
      <c r="AD998" s="135">
        <v>1</v>
      </c>
      <c r="AE998" s="136">
        <f t="shared" si="47"/>
        <v>1502024.4000000001</v>
      </c>
      <c r="AF998" s="130">
        <v>1457236.65</v>
      </c>
      <c r="AG998" s="138">
        <v>1</v>
      </c>
      <c r="AH998" s="136" t="s">
        <v>7466</v>
      </c>
      <c r="AI998" s="136">
        <v>1502024.4</v>
      </c>
      <c r="AJ998" s="132">
        <v>42578</v>
      </c>
      <c r="AK998" s="136" t="s">
        <v>7467</v>
      </c>
      <c r="AL998" s="132">
        <v>42662</v>
      </c>
      <c r="AM998" s="132" t="s">
        <v>49</v>
      </c>
      <c r="AN998" s="136" t="s">
        <v>5297</v>
      </c>
    </row>
    <row r="999" spans="1:40" s="129" customFormat="1" ht="15.95" customHeight="1" x14ac:dyDescent="0.25">
      <c r="A999" s="136">
        <v>998</v>
      </c>
      <c r="B999" s="130" t="s">
        <v>4428</v>
      </c>
      <c r="C999" s="130" t="s">
        <v>38</v>
      </c>
      <c r="D999" s="162" t="s">
        <v>7464</v>
      </c>
      <c r="E999" s="132">
        <v>42401</v>
      </c>
      <c r="F999" s="132" t="s">
        <v>7427</v>
      </c>
      <c r="G999" s="132" t="s">
        <v>7468</v>
      </c>
      <c r="H999" s="130" t="s">
        <v>5712</v>
      </c>
      <c r="I999" s="132" t="s">
        <v>40</v>
      </c>
      <c r="J999" s="131" t="s">
        <v>4432</v>
      </c>
      <c r="K999" s="132" t="s">
        <v>4433</v>
      </c>
      <c r="L999" s="136">
        <v>5539148</v>
      </c>
      <c r="M999" s="132">
        <v>42398</v>
      </c>
      <c r="N999" s="136" t="s">
        <v>4473</v>
      </c>
      <c r="O999" s="130" t="s">
        <v>4436</v>
      </c>
      <c r="P999" s="136" t="s">
        <v>361</v>
      </c>
      <c r="Q999" s="130">
        <v>38237090</v>
      </c>
      <c r="R999" s="136">
        <v>18.66</v>
      </c>
      <c r="S999" s="130" t="s">
        <v>70</v>
      </c>
      <c r="T999" s="136" t="s">
        <v>6462</v>
      </c>
      <c r="U999" s="136" t="s">
        <v>1117</v>
      </c>
      <c r="V999" s="136">
        <v>79980</v>
      </c>
      <c r="W999" s="133">
        <f t="shared" si="45"/>
        <v>1492426.8</v>
      </c>
      <c r="X999" s="136">
        <v>0</v>
      </c>
      <c r="Y999" s="136">
        <v>44787.75</v>
      </c>
      <c r="Z999" s="136">
        <v>0</v>
      </c>
      <c r="AA999" s="136">
        <v>0</v>
      </c>
      <c r="AB999" s="131">
        <v>42399</v>
      </c>
      <c r="AC999" s="134">
        <f t="shared" si="46"/>
        <v>1447639.05</v>
      </c>
      <c r="AD999" s="135">
        <v>1</v>
      </c>
      <c r="AE999" s="136">
        <f t="shared" si="47"/>
        <v>1492426.8</v>
      </c>
      <c r="AF999" s="130">
        <v>1447639.05</v>
      </c>
      <c r="AG999" s="138">
        <v>1</v>
      </c>
      <c r="AH999" s="136" t="s">
        <v>7466</v>
      </c>
      <c r="AI999" s="136">
        <v>1492426.8</v>
      </c>
      <c r="AJ999" s="132">
        <v>42578</v>
      </c>
      <c r="AK999" s="136" t="s">
        <v>7469</v>
      </c>
      <c r="AL999" s="132">
        <v>42388</v>
      </c>
      <c r="AM999" s="132" t="s">
        <v>49</v>
      </c>
      <c r="AN999" s="136" t="s">
        <v>5297</v>
      </c>
    </row>
    <row r="1000" spans="1:40" s="129" customFormat="1" ht="15.95" customHeight="1" x14ac:dyDescent="0.25">
      <c r="A1000" s="130">
        <v>999</v>
      </c>
      <c r="B1000" s="130" t="s">
        <v>4428</v>
      </c>
      <c r="C1000" s="130" t="s">
        <v>38</v>
      </c>
      <c r="D1000" s="162">
        <v>9103650952</v>
      </c>
      <c r="E1000" s="132">
        <v>42405</v>
      </c>
      <c r="F1000" s="132" t="s">
        <v>7427</v>
      </c>
      <c r="G1000" s="132" t="s">
        <v>7470</v>
      </c>
      <c r="H1000" s="130" t="s">
        <v>4446</v>
      </c>
      <c r="I1000" s="132" t="s">
        <v>40</v>
      </c>
      <c r="J1000" s="131" t="s">
        <v>4432</v>
      </c>
      <c r="K1000" s="132" t="s">
        <v>4433</v>
      </c>
      <c r="L1000" s="163">
        <v>5545894</v>
      </c>
      <c r="M1000" s="132">
        <v>42398</v>
      </c>
      <c r="N1000" s="136" t="s">
        <v>4532</v>
      </c>
      <c r="O1000" s="130" t="s">
        <v>4436</v>
      </c>
      <c r="P1000" s="136" t="s">
        <v>690</v>
      </c>
      <c r="Q1000" s="130">
        <v>38237090</v>
      </c>
      <c r="R1000" s="136">
        <v>32</v>
      </c>
      <c r="S1000" s="130" t="s">
        <v>70</v>
      </c>
      <c r="T1000" s="136" t="s">
        <v>7036</v>
      </c>
      <c r="U1000" s="136" t="s">
        <v>53</v>
      </c>
      <c r="V1000" s="136">
        <v>1200</v>
      </c>
      <c r="W1000" s="133">
        <f t="shared" si="45"/>
        <v>38400</v>
      </c>
      <c r="X1000" s="136">
        <v>12.67</v>
      </c>
      <c r="Y1000" s="136">
        <v>1000</v>
      </c>
      <c r="Z1000" s="136">
        <v>0</v>
      </c>
      <c r="AA1000" s="136">
        <v>0</v>
      </c>
      <c r="AB1000" s="131">
        <v>42399</v>
      </c>
      <c r="AC1000" s="134">
        <f t="shared" si="46"/>
        <v>37387.33006681515</v>
      </c>
      <c r="AD1000" s="135">
        <v>67.349999999999994</v>
      </c>
      <c r="AE1000" s="136">
        <f t="shared" si="47"/>
        <v>2586240</v>
      </c>
      <c r="AF1000" s="137">
        <v>2518036.6800000002</v>
      </c>
      <c r="AG1000" s="138">
        <v>67.349999999999994</v>
      </c>
      <c r="AH1000" s="136" t="s">
        <v>7471</v>
      </c>
      <c r="AI1000" s="136">
        <v>38400</v>
      </c>
      <c r="AJ1000" s="132">
        <v>42570</v>
      </c>
      <c r="AK1000" s="136" t="s">
        <v>7472</v>
      </c>
      <c r="AL1000" s="132">
        <v>42571</v>
      </c>
      <c r="AM1000" s="131" t="s">
        <v>49</v>
      </c>
      <c r="AN1000" s="136" t="s">
        <v>4440</v>
      </c>
    </row>
    <row r="1001" spans="1:40" s="129" customFormat="1" x14ac:dyDescent="0.25">
      <c r="A1001" s="136">
        <v>1000</v>
      </c>
      <c r="B1001" s="130" t="s">
        <v>4428</v>
      </c>
      <c r="C1001" s="130" t="s">
        <v>38</v>
      </c>
      <c r="D1001" s="162">
        <v>9103650953</v>
      </c>
      <c r="E1001" s="132">
        <v>42405</v>
      </c>
      <c r="F1001" s="132" t="s">
        <v>7427</v>
      </c>
      <c r="G1001" s="132" t="s">
        <v>7473</v>
      </c>
      <c r="H1001" s="130" t="s">
        <v>5712</v>
      </c>
      <c r="I1001" s="132" t="s">
        <v>40</v>
      </c>
      <c r="J1001" s="131" t="s">
        <v>4432</v>
      </c>
      <c r="K1001" s="132" t="s">
        <v>4433</v>
      </c>
      <c r="L1001" s="136">
        <v>5551635</v>
      </c>
      <c r="M1001" s="132">
        <v>42398</v>
      </c>
      <c r="N1001" s="136" t="s">
        <v>4622</v>
      </c>
      <c r="O1001" s="130" t="s">
        <v>4436</v>
      </c>
      <c r="P1001" s="147" t="s">
        <v>188</v>
      </c>
      <c r="Q1001" s="130">
        <v>38231900</v>
      </c>
      <c r="R1001" s="136">
        <v>19.89</v>
      </c>
      <c r="S1001" s="130" t="s">
        <v>70</v>
      </c>
      <c r="T1001" s="136" t="s">
        <v>67</v>
      </c>
      <c r="U1001" s="136" t="s">
        <v>53</v>
      </c>
      <c r="V1001" s="156">
        <v>1040</v>
      </c>
      <c r="W1001" s="133">
        <f t="shared" si="45"/>
        <v>20685.600000000002</v>
      </c>
      <c r="X1001" s="136">
        <v>0</v>
      </c>
      <c r="Y1001" s="161">
        <v>0</v>
      </c>
      <c r="Z1001" s="136">
        <v>0</v>
      </c>
      <c r="AA1001" s="136">
        <v>0</v>
      </c>
      <c r="AB1001" s="131">
        <v>42399</v>
      </c>
      <c r="AC1001" s="134">
        <f t="shared" si="46"/>
        <v>20685.600000000002</v>
      </c>
      <c r="AD1001" s="135">
        <v>67.349999999999994</v>
      </c>
      <c r="AE1001" s="136">
        <f t="shared" si="47"/>
        <v>1393175.16</v>
      </c>
      <c r="AF1001" s="137">
        <v>1393175.16</v>
      </c>
      <c r="AG1001" s="138">
        <v>67.349999999999994</v>
      </c>
      <c r="AH1001" s="136" t="s">
        <v>7474</v>
      </c>
      <c r="AI1001" s="133">
        <v>20651.099999999999</v>
      </c>
      <c r="AJ1001" s="132">
        <v>42432</v>
      </c>
      <c r="AK1001" s="136" t="s">
        <v>7475</v>
      </c>
      <c r="AL1001" s="132">
        <v>42433</v>
      </c>
      <c r="AM1001" s="131" t="s">
        <v>49</v>
      </c>
      <c r="AN1001" s="136" t="s">
        <v>4440</v>
      </c>
    </row>
    <row r="1002" spans="1:40" s="129" customFormat="1" x14ac:dyDescent="0.25">
      <c r="A1002" s="130">
        <v>1001</v>
      </c>
      <c r="B1002" s="130" t="s">
        <v>4428</v>
      </c>
      <c r="C1002" s="130" t="s">
        <v>38</v>
      </c>
      <c r="D1002" s="162">
        <v>9103650954</v>
      </c>
      <c r="E1002" s="132">
        <v>42401</v>
      </c>
      <c r="F1002" s="132" t="s">
        <v>7427</v>
      </c>
      <c r="G1002" s="132" t="s">
        <v>7476</v>
      </c>
      <c r="H1002" s="130" t="s">
        <v>5712</v>
      </c>
      <c r="I1002" s="132" t="s">
        <v>40</v>
      </c>
      <c r="J1002" s="131" t="s">
        <v>4432</v>
      </c>
      <c r="K1002" s="132" t="s">
        <v>4433</v>
      </c>
      <c r="L1002" s="136">
        <v>5551636</v>
      </c>
      <c r="M1002" s="132">
        <v>42398</v>
      </c>
      <c r="N1002" s="136" t="s">
        <v>5162</v>
      </c>
      <c r="O1002" s="130" t="s">
        <v>4436</v>
      </c>
      <c r="P1002" s="136" t="s">
        <v>6722</v>
      </c>
      <c r="Q1002" s="130" t="s">
        <v>6194</v>
      </c>
      <c r="R1002" s="136">
        <v>15</v>
      </c>
      <c r="S1002" s="130" t="s">
        <v>70</v>
      </c>
      <c r="T1002" s="136" t="s">
        <v>7036</v>
      </c>
      <c r="U1002" s="136" t="s">
        <v>53</v>
      </c>
      <c r="V1002" s="136">
        <v>0</v>
      </c>
      <c r="W1002" s="133">
        <f>(12*1185+3*1235)</f>
        <v>17925</v>
      </c>
      <c r="X1002" s="136">
        <v>5.92</v>
      </c>
      <c r="Y1002" s="136">
        <v>15</v>
      </c>
      <c r="Z1002" s="136">
        <v>0</v>
      </c>
      <c r="AA1002" s="136">
        <v>0</v>
      </c>
      <c r="AB1002" s="131">
        <v>42399</v>
      </c>
      <c r="AC1002" s="134">
        <f t="shared" si="46"/>
        <v>17904.080029695622</v>
      </c>
      <c r="AD1002" s="135">
        <v>67.349999999999994</v>
      </c>
      <c r="AE1002" s="136">
        <f t="shared" si="47"/>
        <v>1207248.75</v>
      </c>
      <c r="AF1002" s="137">
        <v>1205839.79</v>
      </c>
      <c r="AG1002" s="138">
        <v>67.349999999999994</v>
      </c>
      <c r="AH1002" s="136" t="s">
        <v>7477</v>
      </c>
      <c r="AI1002" s="136">
        <v>17895</v>
      </c>
      <c r="AJ1002" s="132">
        <v>42446</v>
      </c>
      <c r="AK1002" s="136" t="s">
        <v>7478</v>
      </c>
      <c r="AL1002" s="132">
        <v>42447</v>
      </c>
      <c r="AM1002" s="131" t="s">
        <v>49</v>
      </c>
      <c r="AN1002" s="133" t="s">
        <v>4440</v>
      </c>
    </row>
    <row r="1003" spans="1:40" s="129" customFormat="1" x14ac:dyDescent="0.25">
      <c r="A1003" s="136">
        <v>1002</v>
      </c>
      <c r="B1003" s="130" t="s">
        <v>4428</v>
      </c>
      <c r="C1003" s="130" t="s">
        <v>38</v>
      </c>
      <c r="D1003" s="162">
        <v>9103650955</v>
      </c>
      <c r="E1003" s="132">
        <v>42403</v>
      </c>
      <c r="F1003" s="132" t="s">
        <v>7427</v>
      </c>
      <c r="G1003" s="132" t="s">
        <v>7479</v>
      </c>
      <c r="H1003" s="130" t="s">
        <v>5712</v>
      </c>
      <c r="I1003" s="132" t="s">
        <v>40</v>
      </c>
      <c r="J1003" s="131" t="s">
        <v>4432</v>
      </c>
      <c r="K1003" s="132" t="s">
        <v>4433</v>
      </c>
      <c r="L1003" s="136">
        <v>5538429</v>
      </c>
      <c r="M1003" s="132">
        <v>42398</v>
      </c>
      <c r="N1003" s="136" t="s">
        <v>4553</v>
      </c>
      <c r="O1003" s="130" t="s">
        <v>4436</v>
      </c>
      <c r="P1003" s="136" t="s">
        <v>75</v>
      </c>
      <c r="Q1003" s="130">
        <v>38237090</v>
      </c>
      <c r="R1003" s="136">
        <v>1.2</v>
      </c>
      <c r="S1003" s="130" t="s">
        <v>70</v>
      </c>
      <c r="T1003" s="136" t="s">
        <v>7036</v>
      </c>
      <c r="U1003" s="136" t="s">
        <v>53</v>
      </c>
      <c r="V1003" s="136">
        <v>4250</v>
      </c>
      <c r="W1003" s="133">
        <f t="shared" si="45"/>
        <v>5100</v>
      </c>
      <c r="X1003" s="136">
        <v>1.68</v>
      </c>
      <c r="Y1003" s="136">
        <v>50</v>
      </c>
      <c r="Z1003" s="136">
        <v>0</v>
      </c>
      <c r="AA1003" s="136">
        <v>0</v>
      </c>
      <c r="AB1003" s="131">
        <v>42398</v>
      </c>
      <c r="AC1003" s="134">
        <f t="shared" si="46"/>
        <v>5048.3199703043801</v>
      </c>
      <c r="AD1003" s="135">
        <v>67.349999999999994</v>
      </c>
      <c r="AE1003" s="136">
        <f t="shared" si="47"/>
        <v>343485</v>
      </c>
      <c r="AF1003" s="137">
        <v>340004.35</v>
      </c>
      <c r="AG1003" s="138">
        <v>67.349999999999994</v>
      </c>
      <c r="AH1003" s="136" t="s">
        <v>7480</v>
      </c>
      <c r="AI1003" s="136">
        <v>5100</v>
      </c>
      <c r="AJ1003" s="132">
        <v>42418</v>
      </c>
      <c r="AK1003" s="136" t="s">
        <v>7481</v>
      </c>
      <c r="AL1003" s="132">
        <v>42418</v>
      </c>
      <c r="AM1003" s="131" t="s">
        <v>49</v>
      </c>
      <c r="AN1003" s="136" t="s">
        <v>4440</v>
      </c>
    </row>
    <row r="1004" spans="1:40" s="129" customFormat="1" x14ac:dyDescent="0.25">
      <c r="A1004" s="130">
        <v>1003</v>
      </c>
      <c r="B1004" s="130" t="s">
        <v>4428</v>
      </c>
      <c r="C1004" s="130" t="s">
        <v>38</v>
      </c>
      <c r="D1004" s="162">
        <v>9103650956</v>
      </c>
      <c r="E1004" s="132">
        <v>42405</v>
      </c>
      <c r="F1004" s="132" t="s">
        <v>7427</v>
      </c>
      <c r="G1004" s="132" t="s">
        <v>7482</v>
      </c>
      <c r="H1004" s="130" t="s">
        <v>4556</v>
      </c>
      <c r="I1004" s="132" t="s">
        <v>40</v>
      </c>
      <c r="J1004" s="131" t="s">
        <v>4432</v>
      </c>
      <c r="K1004" s="132" t="s">
        <v>4433</v>
      </c>
      <c r="L1004" s="136">
        <v>5539222</v>
      </c>
      <c r="M1004" s="132">
        <v>42398</v>
      </c>
      <c r="N1004" s="136" t="s">
        <v>4557</v>
      </c>
      <c r="O1004" s="130" t="s">
        <v>4436</v>
      </c>
      <c r="P1004" s="147" t="s">
        <v>137</v>
      </c>
      <c r="Q1004" s="130">
        <v>29051700</v>
      </c>
      <c r="R1004" s="136">
        <v>0.75</v>
      </c>
      <c r="S1004" s="130" t="s">
        <v>70</v>
      </c>
      <c r="T1004" s="136" t="s">
        <v>6462</v>
      </c>
      <c r="U1004" s="136" t="s">
        <v>53</v>
      </c>
      <c r="V1004" s="156">
        <v>1490</v>
      </c>
      <c r="W1004" s="133">
        <f t="shared" si="45"/>
        <v>1117.5</v>
      </c>
      <c r="X1004" s="136">
        <v>0</v>
      </c>
      <c r="Y1004" s="161">
        <v>50</v>
      </c>
      <c r="Z1004" s="136">
        <v>0</v>
      </c>
      <c r="AA1004" s="136">
        <v>0</v>
      </c>
      <c r="AB1004" s="131">
        <v>42398</v>
      </c>
      <c r="AC1004" s="134">
        <f t="shared" si="46"/>
        <v>1067.5000742390498</v>
      </c>
      <c r="AD1004" s="135">
        <v>67.349999999999994</v>
      </c>
      <c r="AE1004" s="136">
        <f t="shared" si="47"/>
        <v>75263.625</v>
      </c>
      <c r="AF1004" s="137">
        <v>71896.13</v>
      </c>
      <c r="AG1004" s="138">
        <v>67.349999999999994</v>
      </c>
      <c r="AH1004" s="136" t="s">
        <v>7483</v>
      </c>
      <c r="AI1004" s="136">
        <v>1097.5</v>
      </c>
      <c r="AJ1004" s="132">
        <v>42452</v>
      </c>
      <c r="AK1004" s="136" t="s">
        <v>7484</v>
      </c>
      <c r="AL1004" s="132">
        <v>42457</v>
      </c>
      <c r="AM1004" s="131" t="s">
        <v>49</v>
      </c>
      <c r="AN1004" s="133" t="s">
        <v>4440</v>
      </c>
    </row>
    <row r="1005" spans="1:40" s="129" customFormat="1" x14ac:dyDescent="0.25">
      <c r="A1005" s="136">
        <v>1004</v>
      </c>
      <c r="B1005" s="130" t="s">
        <v>4428</v>
      </c>
      <c r="C1005" s="130" t="s">
        <v>38</v>
      </c>
      <c r="D1005" s="162">
        <v>9103650957</v>
      </c>
      <c r="E1005" s="132">
        <v>42401</v>
      </c>
      <c r="F1005" s="132" t="s">
        <v>7427</v>
      </c>
      <c r="G1005" s="132" t="s">
        <v>7485</v>
      </c>
      <c r="H1005" s="130" t="s">
        <v>4431</v>
      </c>
      <c r="I1005" s="132" t="s">
        <v>40</v>
      </c>
      <c r="J1005" s="131" t="s">
        <v>4432</v>
      </c>
      <c r="K1005" s="132" t="s">
        <v>4433</v>
      </c>
      <c r="L1005" s="136">
        <v>5527373</v>
      </c>
      <c r="M1005" s="132">
        <v>42397</v>
      </c>
      <c r="N1005" s="136" t="s">
        <v>5744</v>
      </c>
      <c r="O1005" s="130" t="s">
        <v>4436</v>
      </c>
      <c r="P1005" s="136" t="s">
        <v>361</v>
      </c>
      <c r="Q1005" s="130">
        <v>38237090</v>
      </c>
      <c r="R1005" s="136">
        <v>32</v>
      </c>
      <c r="S1005" s="130" t="s">
        <v>70</v>
      </c>
      <c r="T1005" s="136" t="s">
        <v>6462</v>
      </c>
      <c r="U1005" s="136" t="s">
        <v>1117</v>
      </c>
      <c r="V1005" s="136">
        <v>92780</v>
      </c>
      <c r="W1005" s="133">
        <f t="shared" si="45"/>
        <v>2968960</v>
      </c>
      <c r="X1005" s="136">
        <v>0</v>
      </c>
      <c r="Y1005" s="136">
        <v>11449.5</v>
      </c>
      <c r="Z1005" s="136">
        <v>0</v>
      </c>
      <c r="AA1005" s="136">
        <v>179028.29</v>
      </c>
      <c r="AB1005" s="131">
        <v>42398</v>
      </c>
      <c r="AC1005" s="134">
        <f t="shared" si="46"/>
        <v>2957510.5</v>
      </c>
      <c r="AD1005" s="135">
        <v>1</v>
      </c>
      <c r="AE1005" s="136">
        <f t="shared" si="47"/>
        <v>2968960</v>
      </c>
      <c r="AF1005" s="130">
        <v>2957510.5</v>
      </c>
      <c r="AG1005" s="138">
        <v>1</v>
      </c>
      <c r="AH1005" s="136" t="s">
        <v>7486</v>
      </c>
      <c r="AI1005" s="136">
        <v>2953678.57</v>
      </c>
      <c r="AJ1005" s="132">
        <v>42434</v>
      </c>
      <c r="AK1005" s="136" t="s">
        <v>7487</v>
      </c>
      <c r="AL1005" s="132">
        <v>42436</v>
      </c>
      <c r="AM1005" s="131" t="s">
        <v>49</v>
      </c>
      <c r="AN1005" s="130" t="s">
        <v>4440</v>
      </c>
    </row>
    <row r="1006" spans="1:40" s="129" customFormat="1" x14ac:dyDescent="0.25">
      <c r="A1006" s="130">
        <v>1005</v>
      </c>
      <c r="B1006" s="130" t="s">
        <v>4428</v>
      </c>
      <c r="C1006" s="130" t="s">
        <v>38</v>
      </c>
      <c r="D1006" s="162">
        <v>9103650958</v>
      </c>
      <c r="E1006" s="132">
        <v>42401</v>
      </c>
      <c r="F1006" s="132" t="s">
        <v>7427</v>
      </c>
      <c r="G1006" s="132" t="s">
        <v>7488</v>
      </c>
      <c r="H1006" s="130" t="s">
        <v>4431</v>
      </c>
      <c r="I1006" s="132" t="s">
        <v>40</v>
      </c>
      <c r="J1006" s="131" t="s">
        <v>4432</v>
      </c>
      <c r="K1006" s="132" t="s">
        <v>4433</v>
      </c>
      <c r="L1006" s="136">
        <v>5551642</v>
      </c>
      <c r="M1006" s="132">
        <v>42398</v>
      </c>
      <c r="N1006" s="136" t="s">
        <v>5744</v>
      </c>
      <c r="O1006" s="130" t="s">
        <v>4436</v>
      </c>
      <c r="P1006" s="136" t="s">
        <v>361</v>
      </c>
      <c r="Q1006" s="130">
        <v>38237090</v>
      </c>
      <c r="R1006" s="136">
        <v>32</v>
      </c>
      <c r="S1006" s="130" t="s">
        <v>70</v>
      </c>
      <c r="T1006" s="136" t="s">
        <v>6462</v>
      </c>
      <c r="U1006" s="136" t="s">
        <v>1117</v>
      </c>
      <c r="V1006" s="136">
        <v>92780</v>
      </c>
      <c r="W1006" s="133">
        <f t="shared" si="45"/>
        <v>2968960</v>
      </c>
      <c r="X1006" s="136">
        <v>0</v>
      </c>
      <c r="Y1006" s="136">
        <v>11449.5</v>
      </c>
      <c r="Z1006" s="136">
        <v>0</v>
      </c>
      <c r="AA1006" s="136">
        <v>179028.29</v>
      </c>
      <c r="AB1006" s="131">
        <v>42399</v>
      </c>
      <c r="AC1006" s="134">
        <f t="shared" si="46"/>
        <v>2957510.5</v>
      </c>
      <c r="AD1006" s="135">
        <v>1</v>
      </c>
      <c r="AE1006" s="136">
        <f t="shared" si="47"/>
        <v>2968960</v>
      </c>
      <c r="AF1006" s="130">
        <v>2957510.5</v>
      </c>
      <c r="AG1006" s="138">
        <v>1</v>
      </c>
      <c r="AH1006" s="136" t="s">
        <v>7486</v>
      </c>
      <c r="AI1006" s="136">
        <v>2968960</v>
      </c>
      <c r="AJ1006" s="132">
        <v>42434</v>
      </c>
      <c r="AK1006" s="136" t="s">
        <v>7489</v>
      </c>
      <c r="AL1006" s="132">
        <v>42436</v>
      </c>
      <c r="AM1006" s="131" t="s">
        <v>49</v>
      </c>
      <c r="AN1006" s="136" t="s">
        <v>4440</v>
      </c>
    </row>
    <row r="1007" spans="1:40" s="129" customFormat="1" x14ac:dyDescent="0.25">
      <c r="A1007" s="136">
        <v>1006</v>
      </c>
      <c r="B1007" s="130" t="s">
        <v>4428</v>
      </c>
      <c r="C1007" s="130" t="s">
        <v>38</v>
      </c>
      <c r="D1007" s="162">
        <v>9103650959</v>
      </c>
      <c r="E1007" s="132">
        <v>42401</v>
      </c>
      <c r="F1007" s="132" t="s">
        <v>7427</v>
      </c>
      <c r="G1007" s="132" t="s">
        <v>7490</v>
      </c>
      <c r="H1007" s="130" t="s">
        <v>4431</v>
      </c>
      <c r="I1007" s="132" t="s">
        <v>40</v>
      </c>
      <c r="J1007" s="131" t="s">
        <v>4432</v>
      </c>
      <c r="K1007" s="132" t="s">
        <v>4433</v>
      </c>
      <c r="L1007" s="136">
        <v>5572072</v>
      </c>
      <c r="M1007" s="132">
        <v>42399</v>
      </c>
      <c r="N1007" s="136" t="s">
        <v>5744</v>
      </c>
      <c r="O1007" s="130" t="s">
        <v>4436</v>
      </c>
      <c r="P1007" s="136" t="s">
        <v>361</v>
      </c>
      <c r="Q1007" s="130">
        <v>38237090</v>
      </c>
      <c r="R1007" s="136">
        <v>64</v>
      </c>
      <c r="S1007" s="130" t="s">
        <v>70</v>
      </c>
      <c r="T1007" s="136" t="s">
        <v>6462</v>
      </c>
      <c r="U1007" s="136" t="s">
        <v>1117</v>
      </c>
      <c r="V1007" s="136">
        <v>92780</v>
      </c>
      <c r="W1007" s="133">
        <f t="shared" si="45"/>
        <v>5937920</v>
      </c>
      <c r="X1007" s="136">
        <v>0</v>
      </c>
      <c r="Y1007" s="136">
        <v>22899</v>
      </c>
      <c r="Z1007" s="136">
        <v>0</v>
      </c>
      <c r="AA1007" s="136">
        <v>357997.2</v>
      </c>
      <c r="AB1007" s="131">
        <v>42400</v>
      </c>
      <c r="AC1007" s="134">
        <f t="shared" si="46"/>
        <v>5915021</v>
      </c>
      <c r="AD1007" s="135">
        <v>1</v>
      </c>
      <c r="AE1007" s="136">
        <f t="shared" si="47"/>
        <v>5937920</v>
      </c>
      <c r="AF1007" s="130">
        <v>5915021</v>
      </c>
      <c r="AG1007" s="138">
        <v>1</v>
      </c>
      <c r="AH1007" s="136" t="s">
        <v>7486</v>
      </c>
      <c r="AI1007" s="136">
        <v>5937920</v>
      </c>
      <c r="AJ1007" s="132">
        <v>42434</v>
      </c>
      <c r="AK1007" s="136" t="s">
        <v>7491</v>
      </c>
      <c r="AL1007" s="132">
        <v>42436</v>
      </c>
      <c r="AM1007" s="131" t="s">
        <v>49</v>
      </c>
      <c r="AN1007" s="136" t="s">
        <v>4440</v>
      </c>
    </row>
    <row r="1008" spans="1:40" s="129" customFormat="1" x14ac:dyDescent="0.25">
      <c r="A1008" s="130">
        <v>1007</v>
      </c>
      <c r="B1008" s="130" t="s">
        <v>4428</v>
      </c>
      <c r="C1008" s="130" t="s">
        <v>38</v>
      </c>
      <c r="D1008" s="162">
        <v>9103650961</v>
      </c>
      <c r="E1008" s="132">
        <v>42406</v>
      </c>
      <c r="F1008" s="132" t="s">
        <v>7427</v>
      </c>
      <c r="G1008" s="132" t="s">
        <v>7492</v>
      </c>
      <c r="H1008" s="130" t="s">
        <v>4446</v>
      </c>
      <c r="I1008" s="132" t="s">
        <v>40</v>
      </c>
      <c r="J1008" s="131" t="s">
        <v>4432</v>
      </c>
      <c r="K1008" s="132" t="s">
        <v>4433</v>
      </c>
      <c r="L1008" s="139">
        <v>5588901</v>
      </c>
      <c r="M1008" s="132">
        <v>42401</v>
      </c>
      <c r="N1008" s="136" t="s">
        <v>5073</v>
      </c>
      <c r="O1008" s="130" t="s">
        <v>4436</v>
      </c>
      <c r="P1008" s="136" t="s">
        <v>59</v>
      </c>
      <c r="Q1008" s="130">
        <v>29157010</v>
      </c>
      <c r="R1008" s="136">
        <v>157.04</v>
      </c>
      <c r="S1008" s="130" t="s">
        <v>70</v>
      </c>
      <c r="T1008" s="136" t="s">
        <v>44</v>
      </c>
      <c r="U1008" s="136" t="s">
        <v>53</v>
      </c>
      <c r="V1008" s="136">
        <v>568</v>
      </c>
      <c r="W1008" s="133">
        <f t="shared" si="45"/>
        <v>89198.720000000001</v>
      </c>
      <c r="X1008" s="136">
        <v>29.44</v>
      </c>
      <c r="Y1008" s="136">
        <v>2600</v>
      </c>
      <c r="Z1008" s="136">
        <v>0</v>
      </c>
      <c r="AA1008" s="136">
        <v>0</v>
      </c>
      <c r="AB1008" s="131"/>
      <c r="AC1008" s="134">
        <f t="shared" si="46"/>
        <v>86569.280029695627</v>
      </c>
      <c r="AD1008" s="135">
        <v>67.349999999999994</v>
      </c>
      <c r="AE1008" s="136">
        <f t="shared" si="47"/>
        <v>6007533.7919999994</v>
      </c>
      <c r="AF1008" s="137">
        <v>5830441.0099999998</v>
      </c>
      <c r="AG1008" s="138">
        <v>67.349999999999994</v>
      </c>
      <c r="AH1008" s="136" t="s">
        <v>7493</v>
      </c>
      <c r="AI1008" s="136">
        <v>89198.720000000001</v>
      </c>
      <c r="AJ1008" s="132">
        <v>42440</v>
      </c>
      <c r="AK1008" s="139" t="s">
        <v>7494</v>
      </c>
      <c r="AL1008" s="132">
        <v>42443</v>
      </c>
      <c r="AM1008" s="131" t="s">
        <v>49</v>
      </c>
      <c r="AN1008" s="136" t="s">
        <v>4440</v>
      </c>
    </row>
    <row r="1009" spans="1:40" s="129" customFormat="1" x14ac:dyDescent="0.25">
      <c r="A1009" s="136">
        <v>1008</v>
      </c>
      <c r="B1009" s="130" t="s">
        <v>4428</v>
      </c>
      <c r="C1009" s="130" t="s">
        <v>38</v>
      </c>
      <c r="D1009" s="162">
        <v>9103650961</v>
      </c>
      <c r="E1009" s="132">
        <v>42406</v>
      </c>
      <c r="F1009" s="132" t="s">
        <v>7427</v>
      </c>
      <c r="G1009" s="132" t="s">
        <v>7495</v>
      </c>
      <c r="H1009" s="130" t="s">
        <v>4446</v>
      </c>
      <c r="I1009" s="132" t="s">
        <v>40</v>
      </c>
      <c r="J1009" s="131" t="s">
        <v>4432</v>
      </c>
      <c r="K1009" s="132" t="s">
        <v>4433</v>
      </c>
      <c r="L1009" s="139">
        <v>5601036</v>
      </c>
      <c r="M1009" s="132">
        <v>42401</v>
      </c>
      <c r="N1009" s="136" t="s">
        <v>5073</v>
      </c>
      <c r="O1009" s="130" t="s">
        <v>4436</v>
      </c>
      <c r="P1009" s="136" t="s">
        <v>59</v>
      </c>
      <c r="Q1009" s="130">
        <v>29157010</v>
      </c>
      <c r="R1009" s="136">
        <v>78.36</v>
      </c>
      <c r="S1009" s="130" t="s">
        <v>70</v>
      </c>
      <c r="T1009" s="136" t="s">
        <v>44</v>
      </c>
      <c r="U1009" s="136" t="s">
        <v>53</v>
      </c>
      <c r="V1009" s="136">
        <v>568</v>
      </c>
      <c r="W1009" s="133">
        <f t="shared" si="45"/>
        <v>44508.480000000003</v>
      </c>
      <c r="X1009" s="136">
        <v>14.69</v>
      </c>
      <c r="Y1009" s="136">
        <v>1100</v>
      </c>
      <c r="Z1009" s="136">
        <v>0</v>
      </c>
      <c r="AA1009" s="136">
        <v>0</v>
      </c>
      <c r="AB1009" s="131"/>
      <c r="AC1009" s="134">
        <f t="shared" si="46"/>
        <v>43193.790051967335</v>
      </c>
      <c r="AD1009" s="135">
        <v>67.349999999999994</v>
      </c>
      <c r="AE1009" s="136">
        <f t="shared" si="47"/>
        <v>2997646.128</v>
      </c>
      <c r="AF1009" s="137">
        <v>2909101.76</v>
      </c>
      <c r="AG1009" s="138">
        <v>67.349999999999994</v>
      </c>
      <c r="AH1009" s="136" t="s">
        <v>7493</v>
      </c>
      <c r="AI1009" s="136">
        <v>44508.480000000003</v>
      </c>
      <c r="AJ1009" s="132">
        <v>42440</v>
      </c>
      <c r="AK1009" s="139" t="s">
        <v>7496</v>
      </c>
      <c r="AL1009" s="132">
        <v>42443</v>
      </c>
      <c r="AM1009" s="131" t="s">
        <v>49</v>
      </c>
      <c r="AN1009" s="136" t="s">
        <v>4440</v>
      </c>
    </row>
    <row r="1010" spans="1:40" s="129" customFormat="1" x14ac:dyDescent="0.25">
      <c r="A1010" s="130">
        <v>1009</v>
      </c>
      <c r="B1010" s="130" t="s">
        <v>4428</v>
      </c>
      <c r="C1010" s="130" t="s">
        <v>38</v>
      </c>
      <c r="D1010" s="162">
        <v>9103650962</v>
      </c>
      <c r="E1010" s="132">
        <v>42407</v>
      </c>
      <c r="F1010" s="132" t="s">
        <v>7427</v>
      </c>
      <c r="G1010" s="132" t="s">
        <v>7497</v>
      </c>
      <c r="H1010" s="130" t="s">
        <v>5712</v>
      </c>
      <c r="I1010" s="132" t="s">
        <v>40</v>
      </c>
      <c r="J1010" s="131" t="s">
        <v>4432</v>
      </c>
      <c r="K1010" s="132" t="s">
        <v>4433</v>
      </c>
      <c r="L1010" s="136">
        <v>5623185</v>
      </c>
      <c r="M1010" s="132" t="s">
        <v>7498</v>
      </c>
      <c r="N1010" s="136" t="s">
        <v>6894</v>
      </c>
      <c r="O1010" s="130" t="s">
        <v>4436</v>
      </c>
      <c r="P1010" s="136" t="s">
        <v>5761</v>
      </c>
      <c r="Q1010" s="130" t="s">
        <v>4645</v>
      </c>
      <c r="R1010" s="136">
        <v>12</v>
      </c>
      <c r="S1010" s="130" t="s">
        <v>70</v>
      </c>
      <c r="T1010" s="136" t="s">
        <v>44</v>
      </c>
      <c r="U1010" s="136" t="s">
        <v>53</v>
      </c>
      <c r="V1010" s="136">
        <v>0</v>
      </c>
      <c r="W1010" s="133">
        <f>(3*1280+9*1245)</f>
        <v>15045</v>
      </c>
      <c r="X1010" s="136">
        <v>4.96</v>
      </c>
      <c r="Y1010" s="136">
        <v>300</v>
      </c>
      <c r="Z1010" s="136">
        <v>0</v>
      </c>
      <c r="AA1010" s="136">
        <v>0</v>
      </c>
      <c r="AB1010" s="131">
        <v>42403</v>
      </c>
      <c r="AC1010" s="134">
        <f t="shared" si="46"/>
        <v>14740.03994060876</v>
      </c>
      <c r="AD1010" s="135">
        <v>67.349999999999994</v>
      </c>
      <c r="AE1010" s="136">
        <f t="shared" si="47"/>
        <v>1013280.7499999999</v>
      </c>
      <c r="AF1010" s="137">
        <v>992741.69</v>
      </c>
      <c r="AG1010" s="138">
        <v>67.349999999999994</v>
      </c>
      <c r="AH1010" s="136" t="s">
        <v>7499</v>
      </c>
      <c r="AI1010" s="136">
        <v>15040.74</v>
      </c>
      <c r="AJ1010" s="132" t="s">
        <v>7500</v>
      </c>
      <c r="AK1010" s="136" t="s">
        <v>7501</v>
      </c>
      <c r="AL1010" s="132" t="s">
        <v>7502</v>
      </c>
      <c r="AM1010" s="131" t="s">
        <v>49</v>
      </c>
      <c r="AN1010" s="133" t="s">
        <v>4440</v>
      </c>
    </row>
    <row r="1011" spans="1:40" s="129" customFormat="1" x14ac:dyDescent="0.25">
      <c r="A1011" s="136">
        <v>1010</v>
      </c>
      <c r="B1011" s="130" t="s">
        <v>4428</v>
      </c>
      <c r="C1011" s="130" t="s">
        <v>38</v>
      </c>
      <c r="D1011" s="162">
        <v>9103650963</v>
      </c>
      <c r="E1011" s="132">
        <v>42407</v>
      </c>
      <c r="F1011" s="132" t="s">
        <v>7427</v>
      </c>
      <c r="G1011" s="132" t="s">
        <v>7503</v>
      </c>
      <c r="H1011" s="130" t="s">
        <v>4446</v>
      </c>
      <c r="I1011" s="132" t="s">
        <v>40</v>
      </c>
      <c r="J1011" s="131" t="s">
        <v>4432</v>
      </c>
      <c r="K1011" s="132" t="s">
        <v>4433</v>
      </c>
      <c r="L1011" s="136">
        <v>5616589</v>
      </c>
      <c r="M1011" s="132">
        <v>42402</v>
      </c>
      <c r="N1011" s="136" t="s">
        <v>5975</v>
      </c>
      <c r="O1011" s="130" t="s">
        <v>4436</v>
      </c>
      <c r="P1011" s="136" t="s">
        <v>62</v>
      </c>
      <c r="Q1011" s="130">
        <v>29157010</v>
      </c>
      <c r="R1011" s="136">
        <v>12</v>
      </c>
      <c r="S1011" s="130" t="s">
        <v>70</v>
      </c>
      <c r="T1011" s="136" t="s">
        <v>44</v>
      </c>
      <c r="U1011" s="136" t="s">
        <v>53</v>
      </c>
      <c r="V1011" s="136">
        <v>712</v>
      </c>
      <c r="W1011" s="133">
        <f>V1011*R1011</f>
        <v>8544</v>
      </c>
      <c r="X1011" s="136">
        <v>2.82</v>
      </c>
      <c r="Y1011" s="136">
        <v>400</v>
      </c>
      <c r="Z1011" s="136">
        <v>0</v>
      </c>
      <c r="AA1011" s="136">
        <v>144</v>
      </c>
      <c r="AB1011" s="131"/>
      <c r="AC1011" s="134">
        <f t="shared" si="46"/>
        <v>8141.1799554565705</v>
      </c>
      <c r="AD1011" s="135">
        <v>67.349999999999994</v>
      </c>
      <c r="AE1011" s="136">
        <f t="shared" si="47"/>
        <v>575438.39999999991</v>
      </c>
      <c r="AF1011" s="137">
        <v>548308.47</v>
      </c>
      <c r="AG1011" s="138">
        <v>67.349999999999994</v>
      </c>
      <c r="AH1011" s="136" t="s">
        <v>7504</v>
      </c>
      <c r="AI1011" s="136">
        <v>8499</v>
      </c>
      <c r="AJ1011" s="132" t="s">
        <v>7505</v>
      </c>
      <c r="AK1011" s="136" t="s">
        <v>7506</v>
      </c>
      <c r="AL1011" s="132" t="s">
        <v>7507</v>
      </c>
      <c r="AM1011" s="131" t="s">
        <v>49</v>
      </c>
      <c r="AN1011" s="136" t="s">
        <v>4440</v>
      </c>
    </row>
    <row r="1012" spans="1:40" s="129" customFormat="1" x14ac:dyDescent="0.25">
      <c r="A1012" s="130">
        <v>1011</v>
      </c>
      <c r="B1012" s="130" t="s">
        <v>4428</v>
      </c>
      <c r="C1012" s="130" t="s">
        <v>38</v>
      </c>
      <c r="D1012" s="162">
        <v>9103650964</v>
      </c>
      <c r="E1012" s="132">
        <v>42405</v>
      </c>
      <c r="F1012" s="132" t="s">
        <v>7427</v>
      </c>
      <c r="G1012" s="132" t="s">
        <v>7508</v>
      </c>
      <c r="H1012" s="130" t="s">
        <v>5712</v>
      </c>
      <c r="I1012" s="132" t="s">
        <v>40</v>
      </c>
      <c r="J1012" s="131" t="s">
        <v>4432</v>
      </c>
      <c r="K1012" s="132" t="s">
        <v>4433</v>
      </c>
      <c r="L1012" s="136">
        <v>5623187</v>
      </c>
      <c r="M1012" s="132">
        <v>42402</v>
      </c>
      <c r="N1012" s="136" t="s">
        <v>4473</v>
      </c>
      <c r="O1012" s="130" t="s">
        <v>4436</v>
      </c>
      <c r="P1012" s="136" t="s">
        <v>361</v>
      </c>
      <c r="Q1012" s="130">
        <v>38237090</v>
      </c>
      <c r="R1012" s="136">
        <v>56.4</v>
      </c>
      <c r="S1012" s="130" t="s">
        <v>70</v>
      </c>
      <c r="T1012" s="136" t="s">
        <v>52</v>
      </c>
      <c r="U1012" s="136" t="s">
        <v>1117</v>
      </c>
      <c r="V1012" s="136">
        <v>79980</v>
      </c>
      <c r="W1012" s="133">
        <f t="shared" si="45"/>
        <v>4510872</v>
      </c>
      <c r="X1012" s="136">
        <v>0</v>
      </c>
      <c r="Y1012" s="136">
        <v>134363.25</v>
      </c>
      <c r="Z1012" s="136">
        <v>0</v>
      </c>
      <c r="AA1012" s="136">
        <v>0</v>
      </c>
      <c r="AB1012" s="131">
        <v>42403</v>
      </c>
      <c r="AC1012" s="134">
        <f t="shared" si="46"/>
        <v>4376508.75</v>
      </c>
      <c r="AD1012" s="135">
        <v>1</v>
      </c>
      <c r="AE1012" s="136">
        <f t="shared" si="47"/>
        <v>4510872</v>
      </c>
      <c r="AF1012" s="130">
        <v>4376508.75</v>
      </c>
      <c r="AG1012" s="138">
        <v>1</v>
      </c>
      <c r="AH1012" s="136" t="s">
        <v>7509</v>
      </c>
      <c r="AI1012" s="136">
        <v>4510872</v>
      </c>
      <c r="AJ1012" s="132">
        <v>42578</v>
      </c>
      <c r="AK1012" s="136" t="s">
        <v>7510</v>
      </c>
      <c r="AL1012" s="132">
        <v>42662</v>
      </c>
      <c r="AM1012" s="132" t="s">
        <v>49</v>
      </c>
      <c r="AN1012" s="136" t="s">
        <v>7511</v>
      </c>
    </row>
    <row r="1013" spans="1:40" s="129" customFormat="1" x14ac:dyDescent="0.25">
      <c r="A1013" s="136">
        <v>1012</v>
      </c>
      <c r="B1013" s="130" t="s">
        <v>4428</v>
      </c>
      <c r="C1013" s="130" t="s">
        <v>38</v>
      </c>
      <c r="D1013" s="162">
        <v>9103650965</v>
      </c>
      <c r="E1013" s="132">
        <v>42405</v>
      </c>
      <c r="F1013" s="132" t="s">
        <v>7427</v>
      </c>
      <c r="G1013" s="132" t="s">
        <v>7512</v>
      </c>
      <c r="H1013" s="130" t="s">
        <v>5712</v>
      </c>
      <c r="I1013" s="132" t="s">
        <v>40</v>
      </c>
      <c r="J1013" s="131" t="s">
        <v>4432</v>
      </c>
      <c r="K1013" s="132" t="s">
        <v>4433</v>
      </c>
      <c r="L1013" s="136">
        <v>5623184</v>
      </c>
      <c r="M1013" s="132">
        <v>42402</v>
      </c>
      <c r="N1013" s="136" t="s">
        <v>4565</v>
      </c>
      <c r="O1013" s="130" t="s">
        <v>4436</v>
      </c>
      <c r="P1013" s="136" t="s">
        <v>6722</v>
      </c>
      <c r="Q1013" s="130" t="s">
        <v>4645</v>
      </c>
      <c r="R1013" s="136">
        <v>14.5</v>
      </c>
      <c r="S1013" s="130" t="s">
        <v>70</v>
      </c>
      <c r="T1013" s="136" t="s">
        <v>44</v>
      </c>
      <c r="U1013" s="136" t="s">
        <v>53</v>
      </c>
      <c r="V1013" s="136">
        <v>0</v>
      </c>
      <c r="W1013" s="133">
        <f>(12.5*1170+2*1180)</f>
        <v>16985</v>
      </c>
      <c r="X1013" s="136">
        <v>5.61</v>
      </c>
      <c r="Y1013" s="136">
        <v>56</v>
      </c>
      <c r="Z1013" s="136">
        <v>0</v>
      </c>
      <c r="AA1013" s="136">
        <v>0</v>
      </c>
      <c r="AB1013" s="131">
        <v>42403</v>
      </c>
      <c r="AC1013" s="134">
        <f t="shared" si="46"/>
        <v>16923.390051967337</v>
      </c>
      <c r="AD1013" s="135">
        <v>67.349999999999994</v>
      </c>
      <c r="AE1013" s="136">
        <f t="shared" si="47"/>
        <v>1143939.75</v>
      </c>
      <c r="AF1013" s="137">
        <v>1139790.32</v>
      </c>
      <c r="AG1013" s="138">
        <v>67.349999999999994</v>
      </c>
      <c r="AH1013" s="136" t="s">
        <v>7513</v>
      </c>
      <c r="AI1013" s="136">
        <v>16945</v>
      </c>
      <c r="AJ1013" s="132">
        <v>42429</v>
      </c>
      <c r="AK1013" s="136" t="s">
        <v>7514</v>
      </c>
      <c r="AL1013" s="132">
        <v>42430</v>
      </c>
      <c r="AM1013" s="131" t="s">
        <v>49</v>
      </c>
      <c r="AN1013" s="133" t="s">
        <v>4440</v>
      </c>
    </row>
    <row r="1014" spans="1:40" s="129" customFormat="1" x14ac:dyDescent="0.25">
      <c r="A1014" s="130">
        <v>1013</v>
      </c>
      <c r="B1014" s="130" t="s">
        <v>4428</v>
      </c>
      <c r="C1014" s="130" t="s">
        <v>38</v>
      </c>
      <c r="D1014" s="162">
        <v>9103650966</v>
      </c>
      <c r="E1014" s="132">
        <v>42406</v>
      </c>
      <c r="F1014" s="132" t="s">
        <v>7427</v>
      </c>
      <c r="G1014" s="132" t="s">
        <v>7515</v>
      </c>
      <c r="H1014" s="130" t="s">
        <v>5712</v>
      </c>
      <c r="I1014" s="132" t="s">
        <v>40</v>
      </c>
      <c r="J1014" s="131" t="s">
        <v>4432</v>
      </c>
      <c r="K1014" s="132" t="s">
        <v>4433</v>
      </c>
      <c r="L1014" s="136">
        <v>5643430</v>
      </c>
      <c r="M1014" s="132">
        <v>42403</v>
      </c>
      <c r="N1014" s="136" t="s">
        <v>5360</v>
      </c>
      <c r="O1014" s="130" t="s">
        <v>4436</v>
      </c>
      <c r="P1014" s="136" t="s">
        <v>294</v>
      </c>
      <c r="Q1014" s="130" t="s">
        <v>4645</v>
      </c>
      <c r="R1014" s="136">
        <v>12</v>
      </c>
      <c r="S1014" s="130" t="s">
        <v>70</v>
      </c>
      <c r="T1014" s="136" t="s">
        <v>52</v>
      </c>
      <c r="U1014" s="136" t="s">
        <v>53</v>
      </c>
      <c r="V1014" s="136">
        <v>0</v>
      </c>
      <c r="W1014" s="133">
        <f>(7.8*1340+1.2*1320+3*1420)</f>
        <v>16296</v>
      </c>
      <c r="X1014" s="136">
        <v>0</v>
      </c>
      <c r="Y1014" s="136">
        <v>350</v>
      </c>
      <c r="Z1014" s="136">
        <v>0</v>
      </c>
      <c r="AA1014" s="136">
        <v>0</v>
      </c>
      <c r="AB1014" s="131">
        <v>42404</v>
      </c>
      <c r="AC1014" s="134">
        <f t="shared" si="46"/>
        <v>15946.000000000004</v>
      </c>
      <c r="AD1014" s="135">
        <v>67.349999999999994</v>
      </c>
      <c r="AE1014" s="136">
        <f t="shared" si="47"/>
        <v>1097535.5999999999</v>
      </c>
      <c r="AF1014" s="137">
        <v>1073963.1000000001</v>
      </c>
      <c r="AG1014" s="138">
        <v>67.349999999999994</v>
      </c>
      <c r="AH1014" s="136" t="s">
        <v>7516</v>
      </c>
      <c r="AI1014" s="136">
        <v>16183.99</v>
      </c>
      <c r="AJ1014" s="132">
        <v>42452</v>
      </c>
      <c r="AK1014" s="136" t="s">
        <v>7517</v>
      </c>
      <c r="AL1014" s="132">
        <v>42457</v>
      </c>
      <c r="AM1014" s="131" t="s">
        <v>49</v>
      </c>
      <c r="AN1014" s="133" t="s">
        <v>4440</v>
      </c>
    </row>
    <row r="1015" spans="1:40" s="129" customFormat="1" x14ac:dyDescent="0.25">
      <c r="A1015" s="136">
        <v>1014</v>
      </c>
      <c r="B1015" s="130" t="s">
        <v>4428</v>
      </c>
      <c r="C1015" s="130" t="s">
        <v>38</v>
      </c>
      <c r="D1015" s="162">
        <v>9103650967</v>
      </c>
      <c r="E1015" s="132">
        <v>42408</v>
      </c>
      <c r="F1015" s="132" t="s">
        <v>7427</v>
      </c>
      <c r="G1015" s="132" t="s">
        <v>7518</v>
      </c>
      <c r="H1015" s="130" t="s">
        <v>4456</v>
      </c>
      <c r="I1015" s="132" t="s">
        <v>40</v>
      </c>
      <c r="J1015" s="131" t="s">
        <v>4432</v>
      </c>
      <c r="K1015" s="132" t="s">
        <v>4433</v>
      </c>
      <c r="L1015" s="136">
        <v>5643428</v>
      </c>
      <c r="M1015" s="132" t="s">
        <v>7519</v>
      </c>
      <c r="N1015" s="136" t="s">
        <v>4950</v>
      </c>
      <c r="O1015" s="130" t="s">
        <v>4436</v>
      </c>
      <c r="P1015" s="136" t="s">
        <v>143</v>
      </c>
      <c r="Q1015" s="130">
        <v>38237090</v>
      </c>
      <c r="R1015" s="136">
        <v>12</v>
      </c>
      <c r="S1015" s="130" t="s">
        <v>70</v>
      </c>
      <c r="T1015" s="136" t="s">
        <v>52</v>
      </c>
      <c r="U1015" s="136" t="s">
        <v>53</v>
      </c>
      <c r="V1015" s="136">
        <v>1360</v>
      </c>
      <c r="W1015" s="133">
        <f t="shared" si="45"/>
        <v>16320</v>
      </c>
      <c r="X1015" s="136">
        <v>0</v>
      </c>
      <c r="Y1015" s="136">
        <v>400</v>
      </c>
      <c r="Z1015" s="136">
        <v>0</v>
      </c>
      <c r="AA1015" s="136">
        <v>0</v>
      </c>
      <c r="AB1015" s="131">
        <v>42404</v>
      </c>
      <c r="AC1015" s="134">
        <f t="shared" si="46"/>
        <v>15920.000000000002</v>
      </c>
      <c r="AD1015" s="135">
        <v>67.349999999999994</v>
      </c>
      <c r="AE1015" s="136">
        <f t="shared" si="47"/>
        <v>1099152</v>
      </c>
      <c r="AF1015" s="137">
        <v>1072212</v>
      </c>
      <c r="AG1015" s="138">
        <v>67.349999999999994</v>
      </c>
      <c r="AH1015" s="136" t="s">
        <v>7520</v>
      </c>
      <c r="AI1015" s="136">
        <v>16300</v>
      </c>
      <c r="AJ1015" s="132" t="s">
        <v>7521</v>
      </c>
      <c r="AK1015" s="136" t="s">
        <v>7522</v>
      </c>
      <c r="AL1015" s="132" t="s">
        <v>7523</v>
      </c>
      <c r="AM1015" s="131" t="s">
        <v>49</v>
      </c>
      <c r="AN1015" s="133" t="s">
        <v>4440</v>
      </c>
    </row>
    <row r="1016" spans="1:40" s="129" customFormat="1" x14ac:dyDescent="0.25">
      <c r="A1016" s="130">
        <v>1015</v>
      </c>
      <c r="B1016" s="130" t="s">
        <v>4428</v>
      </c>
      <c r="C1016" s="130" t="s">
        <v>38</v>
      </c>
      <c r="D1016" s="162">
        <v>9103650968</v>
      </c>
      <c r="E1016" s="132">
        <v>42410</v>
      </c>
      <c r="F1016" s="132" t="s">
        <v>7427</v>
      </c>
      <c r="G1016" s="132" t="s">
        <v>7524</v>
      </c>
      <c r="H1016" s="130" t="s">
        <v>4491</v>
      </c>
      <c r="I1016" s="132" t="s">
        <v>40</v>
      </c>
      <c r="J1016" s="131" t="s">
        <v>4432</v>
      </c>
      <c r="K1016" s="132" t="s">
        <v>4433</v>
      </c>
      <c r="L1016" s="136">
        <v>5650191</v>
      </c>
      <c r="M1016" s="132" t="s">
        <v>7519</v>
      </c>
      <c r="N1016" s="136" t="s">
        <v>3741</v>
      </c>
      <c r="O1016" s="130" t="s">
        <v>4436</v>
      </c>
      <c r="P1016" s="136" t="s">
        <v>4492</v>
      </c>
      <c r="Q1016" s="130" t="s">
        <v>4645</v>
      </c>
      <c r="R1016" s="136">
        <v>19.829999999999998</v>
      </c>
      <c r="S1016" s="130" t="s">
        <v>70</v>
      </c>
      <c r="T1016" s="136" t="s">
        <v>44</v>
      </c>
      <c r="U1016" s="136" t="s">
        <v>53</v>
      </c>
      <c r="V1016" s="136">
        <v>0</v>
      </c>
      <c r="W1016" s="133">
        <f>(2.267*1552+17.576*1393)</f>
        <v>28001.752</v>
      </c>
      <c r="X1016" s="136">
        <v>9.24</v>
      </c>
      <c r="Y1016" s="136">
        <v>2180</v>
      </c>
      <c r="Z1016" s="136">
        <v>0</v>
      </c>
      <c r="AA1016" s="136">
        <v>0</v>
      </c>
      <c r="AB1016" s="131">
        <v>42404</v>
      </c>
      <c r="AC1016" s="134">
        <f t="shared" si="46"/>
        <v>25812.510022271719</v>
      </c>
      <c r="AD1016" s="135">
        <v>67.349999999999994</v>
      </c>
      <c r="AE1016" s="136">
        <f t="shared" si="47"/>
        <v>1885917.9971999999</v>
      </c>
      <c r="AF1016" s="137">
        <v>1738472.55</v>
      </c>
      <c r="AG1016" s="138">
        <v>67.349999999999994</v>
      </c>
      <c r="AH1016" s="136" t="s">
        <v>7525</v>
      </c>
      <c r="AI1016" s="136">
        <v>28001.75</v>
      </c>
      <c r="AJ1016" s="132" t="s">
        <v>7507</v>
      </c>
      <c r="AK1016" s="136" t="s">
        <v>7526</v>
      </c>
      <c r="AL1016" s="132" t="s">
        <v>7500</v>
      </c>
      <c r="AM1016" s="131" t="s">
        <v>49</v>
      </c>
      <c r="AN1016" s="136" t="s">
        <v>4440</v>
      </c>
    </row>
    <row r="1017" spans="1:40" s="129" customFormat="1" x14ac:dyDescent="0.25">
      <c r="A1017" s="136">
        <v>1016</v>
      </c>
      <c r="B1017" s="130" t="s">
        <v>4428</v>
      </c>
      <c r="C1017" s="130" t="s">
        <v>38</v>
      </c>
      <c r="D1017" s="162">
        <v>9103650969</v>
      </c>
      <c r="E1017" s="132">
        <v>42408</v>
      </c>
      <c r="F1017" s="132" t="s">
        <v>7427</v>
      </c>
      <c r="G1017" s="132" t="s">
        <v>7527</v>
      </c>
      <c r="H1017" s="130" t="s">
        <v>5712</v>
      </c>
      <c r="I1017" s="132" t="s">
        <v>40</v>
      </c>
      <c r="J1017" s="131" t="s">
        <v>4432</v>
      </c>
      <c r="K1017" s="132" t="s">
        <v>4433</v>
      </c>
      <c r="L1017" s="136">
        <v>5645819</v>
      </c>
      <c r="M1017" s="132" t="s">
        <v>7519</v>
      </c>
      <c r="N1017" s="136" t="s">
        <v>4570</v>
      </c>
      <c r="O1017" s="130" t="s">
        <v>4436</v>
      </c>
      <c r="P1017" s="136" t="s">
        <v>143</v>
      </c>
      <c r="Q1017" s="130" t="s">
        <v>4645</v>
      </c>
      <c r="R1017" s="136">
        <v>15</v>
      </c>
      <c r="S1017" s="130" t="s">
        <v>70</v>
      </c>
      <c r="T1017" s="136" t="s">
        <v>44</v>
      </c>
      <c r="U1017" s="136" t="s">
        <v>53</v>
      </c>
      <c r="V1017" s="136">
        <v>0</v>
      </c>
      <c r="W1017" s="133">
        <f>(5*1320+10*1250)</f>
        <v>19100</v>
      </c>
      <c r="X1017" s="136">
        <v>5.3</v>
      </c>
      <c r="Y1017" s="136">
        <v>400</v>
      </c>
      <c r="Z1017" s="136">
        <v>0</v>
      </c>
      <c r="AA1017" s="136">
        <v>0</v>
      </c>
      <c r="AB1017" s="131">
        <v>42404</v>
      </c>
      <c r="AC1017" s="134">
        <f t="shared" si="46"/>
        <v>18693.700074239052</v>
      </c>
      <c r="AD1017" s="135">
        <v>67.349999999999994</v>
      </c>
      <c r="AE1017" s="136">
        <f t="shared" si="47"/>
        <v>1286385</v>
      </c>
      <c r="AF1017" s="137">
        <v>1259020.7</v>
      </c>
      <c r="AG1017" s="138">
        <v>67.349999999999994</v>
      </c>
      <c r="AH1017" s="136" t="s">
        <v>7528</v>
      </c>
      <c r="AI1017" s="136">
        <v>19100</v>
      </c>
      <c r="AJ1017" s="132" t="s">
        <v>7500</v>
      </c>
      <c r="AK1017" s="136" t="s">
        <v>7529</v>
      </c>
      <c r="AL1017" s="132" t="s">
        <v>7502</v>
      </c>
      <c r="AM1017" s="131" t="s">
        <v>49</v>
      </c>
      <c r="AN1017" s="136" t="s">
        <v>4440</v>
      </c>
    </row>
    <row r="1018" spans="1:40" s="129" customFormat="1" x14ac:dyDescent="0.25">
      <c r="A1018" s="130">
        <v>1017</v>
      </c>
      <c r="B1018" s="130" t="s">
        <v>4428</v>
      </c>
      <c r="C1018" s="130" t="s">
        <v>38</v>
      </c>
      <c r="D1018" s="162">
        <v>9103650970</v>
      </c>
      <c r="E1018" s="132">
        <v>42408</v>
      </c>
      <c r="F1018" s="132" t="s">
        <v>7427</v>
      </c>
      <c r="G1018" s="132" t="s">
        <v>7530</v>
      </c>
      <c r="H1018" s="130" t="s">
        <v>4491</v>
      </c>
      <c r="I1018" s="132" t="s">
        <v>40</v>
      </c>
      <c r="J1018" s="131" t="s">
        <v>4432</v>
      </c>
      <c r="K1018" s="132" t="s">
        <v>4433</v>
      </c>
      <c r="L1018" s="136">
        <v>5645082</v>
      </c>
      <c r="M1018" s="132" t="s">
        <v>7519</v>
      </c>
      <c r="N1018" s="136" t="s">
        <v>3741</v>
      </c>
      <c r="O1018" s="130" t="s">
        <v>4436</v>
      </c>
      <c r="P1018" s="136" t="s">
        <v>4492</v>
      </c>
      <c r="Q1018" s="130">
        <v>38237090</v>
      </c>
      <c r="R1018" s="136">
        <v>18.45</v>
      </c>
      <c r="S1018" s="130" t="s">
        <v>70</v>
      </c>
      <c r="T1018" s="136" t="s">
        <v>44</v>
      </c>
      <c r="U1018" s="136" t="s">
        <v>53</v>
      </c>
      <c r="V1018" s="136">
        <v>1275</v>
      </c>
      <c r="W1018" s="133">
        <f t="shared" si="45"/>
        <v>23523.75</v>
      </c>
      <c r="X1018" s="136">
        <v>7.76</v>
      </c>
      <c r="Y1018" s="136">
        <v>2100</v>
      </c>
      <c r="Z1018" s="136">
        <v>0</v>
      </c>
      <c r="AA1018" s="136">
        <v>0</v>
      </c>
      <c r="AB1018" s="131">
        <v>42404</v>
      </c>
      <c r="AC1018" s="134">
        <f t="shared" si="46"/>
        <v>21415.989903489237</v>
      </c>
      <c r="AD1018" s="135">
        <v>67.349999999999994</v>
      </c>
      <c r="AE1018" s="136">
        <f t="shared" si="47"/>
        <v>1584324.5624999998</v>
      </c>
      <c r="AF1018" s="137">
        <v>1442366.92</v>
      </c>
      <c r="AG1018" s="138">
        <v>67.349999999999994</v>
      </c>
      <c r="AH1018" s="136" t="s">
        <v>7531</v>
      </c>
      <c r="AI1018" s="136">
        <v>23523.75</v>
      </c>
      <c r="AJ1018" s="132" t="s">
        <v>7507</v>
      </c>
      <c r="AK1018" s="136" t="s">
        <v>7532</v>
      </c>
      <c r="AL1018" s="132" t="s">
        <v>7500</v>
      </c>
      <c r="AM1018" s="131" t="s">
        <v>49</v>
      </c>
      <c r="AN1018" s="136" t="s">
        <v>4440</v>
      </c>
    </row>
    <row r="1019" spans="1:40" s="129" customFormat="1" x14ac:dyDescent="0.25">
      <c r="A1019" s="136">
        <v>1018</v>
      </c>
      <c r="B1019" s="130" t="s">
        <v>4428</v>
      </c>
      <c r="C1019" s="130" t="s">
        <v>38</v>
      </c>
      <c r="D1019" s="162">
        <v>9103650971</v>
      </c>
      <c r="E1019" s="132">
        <v>42409</v>
      </c>
      <c r="F1019" s="132" t="s">
        <v>7427</v>
      </c>
      <c r="G1019" s="132" t="s">
        <v>7533</v>
      </c>
      <c r="H1019" s="130" t="s">
        <v>4456</v>
      </c>
      <c r="I1019" s="132" t="s">
        <v>40</v>
      </c>
      <c r="J1019" s="131" t="s">
        <v>4432</v>
      </c>
      <c r="K1019" s="132" t="s">
        <v>4433</v>
      </c>
      <c r="L1019" s="136">
        <v>5643416</v>
      </c>
      <c r="M1019" s="132" t="s">
        <v>7519</v>
      </c>
      <c r="N1019" s="136" t="s">
        <v>4527</v>
      </c>
      <c r="O1019" s="130" t="s">
        <v>4436</v>
      </c>
      <c r="P1019" s="136" t="s">
        <v>59</v>
      </c>
      <c r="Q1019" s="130">
        <v>29051700</v>
      </c>
      <c r="R1019" s="136">
        <v>16</v>
      </c>
      <c r="S1019" s="130" t="s">
        <v>70</v>
      </c>
      <c r="T1019" s="136" t="s">
        <v>52</v>
      </c>
      <c r="U1019" s="136" t="s">
        <v>53</v>
      </c>
      <c r="V1019" s="136">
        <v>1278</v>
      </c>
      <c r="W1019" s="133">
        <f t="shared" si="45"/>
        <v>20448</v>
      </c>
      <c r="X1019" s="136">
        <v>0</v>
      </c>
      <c r="Y1019" s="136">
        <v>150</v>
      </c>
      <c r="Z1019" s="136">
        <v>0</v>
      </c>
      <c r="AA1019" s="136">
        <v>0</v>
      </c>
      <c r="AB1019" s="131">
        <v>42404</v>
      </c>
      <c r="AC1019" s="134">
        <f t="shared" si="46"/>
        <v>20298.000000000004</v>
      </c>
      <c r="AD1019" s="135">
        <v>67.349999999999994</v>
      </c>
      <c r="AE1019" s="136">
        <f t="shared" si="47"/>
        <v>1377172.7999999998</v>
      </c>
      <c r="AF1019" s="137">
        <v>1367070.3</v>
      </c>
      <c r="AG1019" s="138">
        <v>67.349999999999994</v>
      </c>
      <c r="AH1019" s="136" t="s">
        <v>7534</v>
      </c>
      <c r="AI1019" s="136">
        <v>20448</v>
      </c>
      <c r="AJ1019" s="132">
        <v>42480</v>
      </c>
      <c r="AK1019" s="136" t="s">
        <v>7535</v>
      </c>
      <c r="AL1019" s="132">
        <v>42480</v>
      </c>
      <c r="AM1019" s="131" t="s">
        <v>49</v>
      </c>
      <c r="AN1019" s="136" t="s">
        <v>4440</v>
      </c>
    </row>
    <row r="1020" spans="1:40" s="129" customFormat="1" x14ac:dyDescent="0.25">
      <c r="A1020" s="130">
        <v>1019</v>
      </c>
      <c r="B1020" s="130" t="s">
        <v>4428</v>
      </c>
      <c r="C1020" s="130" t="s">
        <v>38</v>
      </c>
      <c r="D1020" s="162">
        <v>9103650972</v>
      </c>
      <c r="E1020" s="132">
        <v>42410</v>
      </c>
      <c r="F1020" s="132" t="s">
        <v>7427</v>
      </c>
      <c r="G1020" s="132" t="s">
        <v>7536</v>
      </c>
      <c r="H1020" s="130" t="s">
        <v>5712</v>
      </c>
      <c r="I1020" s="132" t="s">
        <v>40</v>
      </c>
      <c r="J1020" s="131" t="s">
        <v>4432</v>
      </c>
      <c r="K1020" s="132" t="s">
        <v>4433</v>
      </c>
      <c r="L1020" s="136">
        <v>5665644</v>
      </c>
      <c r="M1020" s="132">
        <v>42404</v>
      </c>
      <c r="N1020" s="136" t="s">
        <v>7537</v>
      </c>
      <c r="O1020" s="130" t="s">
        <v>4436</v>
      </c>
      <c r="P1020" s="136" t="s">
        <v>7538</v>
      </c>
      <c r="Q1020" s="130">
        <v>38237090</v>
      </c>
      <c r="R1020" s="136">
        <v>15</v>
      </c>
      <c r="S1020" s="130" t="s">
        <v>70</v>
      </c>
      <c r="T1020" s="136" t="s">
        <v>44</v>
      </c>
      <c r="U1020" s="136" t="s">
        <v>4528</v>
      </c>
      <c r="V1020" s="136">
        <v>1173</v>
      </c>
      <c r="W1020" s="133">
        <f t="shared" si="45"/>
        <v>17595</v>
      </c>
      <c r="X1020" s="136">
        <v>5.81</v>
      </c>
      <c r="Y1020" s="136">
        <v>461.93</v>
      </c>
      <c r="Z1020" s="136">
        <v>0</v>
      </c>
      <c r="AA1020" s="136">
        <v>0</v>
      </c>
      <c r="AB1020" s="131">
        <v>42405</v>
      </c>
      <c r="AC1020" s="134">
        <f t="shared" si="46"/>
        <v>17127.259945130314</v>
      </c>
      <c r="AD1020" s="135">
        <v>72.900000000000006</v>
      </c>
      <c r="AE1020" s="136">
        <f t="shared" si="47"/>
        <v>1282675.5</v>
      </c>
      <c r="AF1020" s="130">
        <v>1248577.25</v>
      </c>
      <c r="AG1020" s="138">
        <v>74.3</v>
      </c>
      <c r="AH1020" s="136" t="s">
        <v>7539</v>
      </c>
      <c r="AI1020" s="136">
        <v>17595</v>
      </c>
      <c r="AJ1020" s="132">
        <v>42493</v>
      </c>
      <c r="AK1020" s="136" t="s">
        <v>7540</v>
      </c>
      <c r="AL1020" s="132">
        <v>42494</v>
      </c>
      <c r="AM1020" s="131" t="s">
        <v>49</v>
      </c>
      <c r="AN1020" s="136" t="s">
        <v>4440</v>
      </c>
    </row>
    <row r="1021" spans="1:40" s="129" customFormat="1" x14ac:dyDescent="0.25">
      <c r="A1021" s="136">
        <v>1020</v>
      </c>
      <c r="B1021" s="130" t="s">
        <v>4428</v>
      </c>
      <c r="C1021" s="130" t="s">
        <v>38</v>
      </c>
      <c r="D1021" s="162">
        <v>9103650973</v>
      </c>
      <c r="E1021" s="132">
        <v>42411</v>
      </c>
      <c r="F1021" s="132" t="s">
        <v>7427</v>
      </c>
      <c r="G1021" s="132" t="s">
        <v>7541</v>
      </c>
      <c r="H1021" s="130" t="s">
        <v>5712</v>
      </c>
      <c r="I1021" s="132" t="s">
        <v>40</v>
      </c>
      <c r="J1021" s="131" t="s">
        <v>4432</v>
      </c>
      <c r="K1021" s="132" t="s">
        <v>4433</v>
      </c>
      <c r="L1021" s="136">
        <v>5665663</v>
      </c>
      <c r="M1021" s="132" t="s">
        <v>7542</v>
      </c>
      <c r="N1021" s="136" t="s">
        <v>5824</v>
      </c>
      <c r="O1021" s="130" t="s">
        <v>4436</v>
      </c>
      <c r="P1021" s="136" t="s">
        <v>205</v>
      </c>
      <c r="Q1021" s="130">
        <v>38237090</v>
      </c>
      <c r="R1021" s="136">
        <v>10</v>
      </c>
      <c r="S1021" s="130" t="s">
        <v>70</v>
      </c>
      <c r="T1021" s="136" t="s">
        <v>67</v>
      </c>
      <c r="U1021" s="136" t="s">
        <v>53</v>
      </c>
      <c r="V1021" s="136">
        <v>1310</v>
      </c>
      <c r="W1021" s="133">
        <f t="shared" si="45"/>
        <v>13100</v>
      </c>
      <c r="X1021" s="136">
        <v>0</v>
      </c>
      <c r="Y1021" s="136">
        <v>0</v>
      </c>
      <c r="Z1021" s="136">
        <v>0</v>
      </c>
      <c r="AA1021" s="136">
        <v>0</v>
      </c>
      <c r="AB1021" s="131">
        <v>42405</v>
      </c>
      <c r="AC1021" s="134">
        <f t="shared" si="46"/>
        <v>13100.000000000002</v>
      </c>
      <c r="AD1021" s="135">
        <v>67.349999999999994</v>
      </c>
      <c r="AE1021" s="136">
        <f t="shared" si="47"/>
        <v>882284.99999999988</v>
      </c>
      <c r="AF1021" s="137">
        <v>882285</v>
      </c>
      <c r="AG1021" s="138">
        <v>67.400000000000006</v>
      </c>
      <c r="AH1021" s="136" t="s">
        <v>7543</v>
      </c>
      <c r="AI1021" s="136">
        <v>13043</v>
      </c>
      <c r="AJ1021" s="132" t="s">
        <v>7544</v>
      </c>
      <c r="AK1021" s="136" t="s">
        <v>7545</v>
      </c>
      <c r="AL1021" s="132" t="s">
        <v>7546</v>
      </c>
      <c r="AM1021" s="131" t="s">
        <v>49</v>
      </c>
      <c r="AN1021" s="136" t="s">
        <v>4440</v>
      </c>
    </row>
    <row r="1022" spans="1:40" s="129" customFormat="1" x14ac:dyDescent="0.25">
      <c r="A1022" s="130">
        <v>1021</v>
      </c>
      <c r="B1022" s="130" t="s">
        <v>4428</v>
      </c>
      <c r="C1022" s="130" t="s">
        <v>38</v>
      </c>
      <c r="D1022" s="162">
        <v>9103650974</v>
      </c>
      <c r="E1022" s="132">
        <v>42410</v>
      </c>
      <c r="F1022" s="132" t="s">
        <v>7427</v>
      </c>
      <c r="G1022" s="132" t="s">
        <v>7547</v>
      </c>
      <c r="H1022" s="130" t="s">
        <v>5712</v>
      </c>
      <c r="I1022" s="132" t="s">
        <v>40</v>
      </c>
      <c r="J1022" s="131" t="s">
        <v>4432</v>
      </c>
      <c r="K1022" s="132" t="s">
        <v>4433</v>
      </c>
      <c r="L1022" s="136">
        <v>5667738</v>
      </c>
      <c r="M1022" s="132" t="s">
        <v>7542</v>
      </c>
      <c r="N1022" s="136" t="s">
        <v>6642</v>
      </c>
      <c r="O1022" s="130" t="s">
        <v>4436</v>
      </c>
      <c r="P1022" s="136" t="s">
        <v>2958</v>
      </c>
      <c r="Q1022" s="130">
        <v>29051700</v>
      </c>
      <c r="R1022" s="136">
        <v>16</v>
      </c>
      <c r="S1022" s="130" t="s">
        <v>70</v>
      </c>
      <c r="T1022" s="136" t="s">
        <v>67</v>
      </c>
      <c r="U1022" s="136" t="s">
        <v>53</v>
      </c>
      <c r="V1022" s="136">
        <v>0</v>
      </c>
      <c r="W1022" s="133">
        <f>(13*1260+3*1300)</f>
        <v>20280</v>
      </c>
      <c r="X1022" s="136">
        <v>0</v>
      </c>
      <c r="Y1022" s="136">
        <v>0</v>
      </c>
      <c r="Z1022" s="136">
        <v>0</v>
      </c>
      <c r="AA1022" s="136">
        <v>0</v>
      </c>
      <c r="AB1022" s="131">
        <v>42405</v>
      </c>
      <c r="AC1022" s="134">
        <f t="shared" si="46"/>
        <v>20280</v>
      </c>
      <c r="AD1022" s="135">
        <v>67.349999999999994</v>
      </c>
      <c r="AE1022" s="136">
        <f t="shared" si="47"/>
        <v>1365858</v>
      </c>
      <c r="AF1022" s="137">
        <v>1365858</v>
      </c>
      <c r="AG1022" s="138">
        <v>67.400000000000006</v>
      </c>
      <c r="AH1022" s="136" t="s">
        <v>7548</v>
      </c>
      <c r="AI1022" s="136">
        <v>20213</v>
      </c>
      <c r="AJ1022" s="132" t="s">
        <v>7549</v>
      </c>
      <c r="AK1022" s="136" t="s">
        <v>7550</v>
      </c>
      <c r="AL1022" s="132" t="s">
        <v>7551</v>
      </c>
      <c r="AM1022" s="131" t="s">
        <v>49</v>
      </c>
      <c r="AN1022" s="136" t="s">
        <v>4440</v>
      </c>
    </row>
    <row r="1023" spans="1:40" s="129" customFormat="1" x14ac:dyDescent="0.25">
      <c r="A1023" s="136">
        <v>1022</v>
      </c>
      <c r="B1023" s="130" t="s">
        <v>4428</v>
      </c>
      <c r="C1023" s="130" t="s">
        <v>38</v>
      </c>
      <c r="D1023" s="162">
        <v>9103650975</v>
      </c>
      <c r="E1023" s="132">
        <v>42411</v>
      </c>
      <c r="F1023" s="132" t="s">
        <v>7427</v>
      </c>
      <c r="G1023" s="132" t="s">
        <v>7552</v>
      </c>
      <c r="H1023" s="130" t="s">
        <v>4431</v>
      </c>
      <c r="I1023" s="132" t="s">
        <v>40</v>
      </c>
      <c r="J1023" s="131" t="s">
        <v>4432</v>
      </c>
      <c r="K1023" s="132" t="s">
        <v>4433</v>
      </c>
      <c r="L1023" s="136">
        <v>5667691</v>
      </c>
      <c r="M1023" s="132" t="s">
        <v>7542</v>
      </c>
      <c r="N1023" s="136" t="s">
        <v>5963</v>
      </c>
      <c r="O1023" s="130" t="s">
        <v>4436</v>
      </c>
      <c r="P1023" s="136" t="s">
        <v>4465</v>
      </c>
      <c r="Q1023" s="130">
        <v>38231200</v>
      </c>
      <c r="R1023" s="136">
        <v>19.350000000000001</v>
      </c>
      <c r="S1023" s="130" t="s">
        <v>70</v>
      </c>
      <c r="T1023" s="136" t="s">
        <v>44</v>
      </c>
      <c r="U1023" s="136" t="s">
        <v>53</v>
      </c>
      <c r="V1023" s="136">
        <v>695</v>
      </c>
      <c r="W1023" s="133">
        <f t="shared" si="45"/>
        <v>13448.250000000002</v>
      </c>
      <c r="X1023" s="136">
        <v>4.4400000000000004</v>
      </c>
      <c r="Y1023" s="136">
        <v>600</v>
      </c>
      <c r="Z1023" s="136">
        <v>0</v>
      </c>
      <c r="AA1023" s="136">
        <v>154.80000000000001</v>
      </c>
      <c r="AB1023" s="131">
        <v>42405</v>
      </c>
      <c r="AC1023" s="134">
        <f t="shared" si="46"/>
        <v>12843.810096510766</v>
      </c>
      <c r="AD1023" s="135">
        <v>67.349999999999994</v>
      </c>
      <c r="AE1023" s="136">
        <f t="shared" si="47"/>
        <v>905739.63750000007</v>
      </c>
      <c r="AF1023" s="137">
        <v>865030.61</v>
      </c>
      <c r="AG1023" s="138">
        <v>67.400000000000006</v>
      </c>
      <c r="AH1023" s="136" t="s">
        <v>7553</v>
      </c>
      <c r="AI1023" s="136">
        <v>13208.25</v>
      </c>
      <c r="AJ1023" s="132" t="s">
        <v>7505</v>
      </c>
      <c r="AK1023" s="136" t="s">
        <v>7554</v>
      </c>
      <c r="AL1023" s="132" t="s">
        <v>7507</v>
      </c>
      <c r="AM1023" s="131" t="s">
        <v>49</v>
      </c>
      <c r="AN1023" s="133" t="s">
        <v>4440</v>
      </c>
    </row>
    <row r="1024" spans="1:40" s="129" customFormat="1" x14ac:dyDescent="0.25">
      <c r="A1024" s="130">
        <v>1023</v>
      </c>
      <c r="B1024" s="130" t="s">
        <v>4428</v>
      </c>
      <c r="C1024" s="130" t="s">
        <v>38</v>
      </c>
      <c r="D1024" s="162">
        <v>9103650976</v>
      </c>
      <c r="E1024" s="132">
        <v>42409</v>
      </c>
      <c r="F1024" s="132" t="s">
        <v>7427</v>
      </c>
      <c r="G1024" s="132" t="s">
        <v>7555</v>
      </c>
      <c r="H1024" s="130" t="s">
        <v>4456</v>
      </c>
      <c r="I1024" s="132" t="s">
        <v>40</v>
      </c>
      <c r="J1024" s="131" t="s">
        <v>4432</v>
      </c>
      <c r="K1024" s="132" t="s">
        <v>4433</v>
      </c>
      <c r="L1024" s="136">
        <v>5687091</v>
      </c>
      <c r="M1024" s="132">
        <v>42405</v>
      </c>
      <c r="N1024" s="136" t="s">
        <v>4527</v>
      </c>
      <c r="O1024" s="130" t="s">
        <v>4436</v>
      </c>
      <c r="P1024" s="136" t="s">
        <v>59</v>
      </c>
      <c r="Q1024" s="130" t="s">
        <v>4645</v>
      </c>
      <c r="R1024" s="136">
        <v>11.600000000000001</v>
      </c>
      <c r="S1024" s="130" t="s">
        <v>70</v>
      </c>
      <c r="T1024" s="136" t="s">
        <v>44</v>
      </c>
      <c r="U1024" s="136" t="s">
        <v>53</v>
      </c>
      <c r="V1024" s="136">
        <v>0</v>
      </c>
      <c r="W1024" s="133">
        <f>(5.4*1335+4.2*1295+2*1295)</f>
        <v>15238</v>
      </c>
      <c r="X1024" s="136">
        <v>5.03</v>
      </c>
      <c r="Y1024" s="136">
        <v>400</v>
      </c>
      <c r="Z1024" s="136">
        <v>0</v>
      </c>
      <c r="AA1024" s="136">
        <v>0</v>
      </c>
      <c r="AB1024" s="131">
        <v>42406</v>
      </c>
      <c r="AC1024" s="134">
        <f t="shared" si="46"/>
        <v>14832.97002967359</v>
      </c>
      <c r="AD1024" s="135">
        <v>67.400000000000006</v>
      </c>
      <c r="AE1024" s="136">
        <f t="shared" si="47"/>
        <v>1027041.2000000001</v>
      </c>
      <c r="AF1024" s="137">
        <v>999742.18</v>
      </c>
      <c r="AG1024" s="138">
        <v>67.400000000000006</v>
      </c>
      <c r="AH1024" s="136" t="s">
        <v>7556</v>
      </c>
      <c r="AI1024" s="136">
        <v>15228</v>
      </c>
      <c r="AJ1024" s="132">
        <v>42480</v>
      </c>
      <c r="AK1024" s="136" t="s">
        <v>7557</v>
      </c>
      <c r="AL1024" s="132">
        <v>42480</v>
      </c>
      <c r="AM1024" s="131" t="s">
        <v>49</v>
      </c>
      <c r="AN1024" s="133" t="s">
        <v>4440</v>
      </c>
    </row>
    <row r="1025" spans="1:40" s="129" customFormat="1" x14ac:dyDescent="0.25">
      <c r="A1025" s="136">
        <v>1024</v>
      </c>
      <c r="B1025" s="130" t="s">
        <v>4428</v>
      </c>
      <c r="C1025" s="130" t="s">
        <v>38</v>
      </c>
      <c r="D1025" s="162">
        <v>9103650977</v>
      </c>
      <c r="E1025" s="132">
        <v>42411</v>
      </c>
      <c r="F1025" s="132" t="s">
        <v>7427</v>
      </c>
      <c r="G1025" s="132" t="s">
        <v>7558</v>
      </c>
      <c r="H1025" s="130" t="s">
        <v>5712</v>
      </c>
      <c r="I1025" s="132" t="s">
        <v>40</v>
      </c>
      <c r="J1025" s="131" t="s">
        <v>4432</v>
      </c>
      <c r="K1025" s="132" t="s">
        <v>4433</v>
      </c>
      <c r="L1025" s="136">
        <v>5665640</v>
      </c>
      <c r="M1025" s="132">
        <v>42404</v>
      </c>
      <c r="N1025" s="136" t="s">
        <v>2944</v>
      </c>
      <c r="O1025" s="130" t="s">
        <v>4436</v>
      </c>
      <c r="P1025" s="136" t="s">
        <v>4492</v>
      </c>
      <c r="Q1025" s="130">
        <v>38237090</v>
      </c>
      <c r="R1025" s="136">
        <v>26</v>
      </c>
      <c r="S1025" s="130" t="s">
        <v>70</v>
      </c>
      <c r="T1025" s="136" t="s">
        <v>67</v>
      </c>
      <c r="U1025" s="136" t="s">
        <v>53</v>
      </c>
      <c r="V1025" s="136">
        <v>1150</v>
      </c>
      <c r="W1025" s="133">
        <f t="shared" si="45"/>
        <v>29900</v>
      </c>
      <c r="X1025" s="136">
        <v>0</v>
      </c>
      <c r="Y1025" s="136">
        <v>0</v>
      </c>
      <c r="Z1025" s="136">
        <v>0</v>
      </c>
      <c r="AA1025" s="136">
        <v>260</v>
      </c>
      <c r="AB1025" s="131">
        <v>42405</v>
      </c>
      <c r="AC1025" s="134">
        <f t="shared" si="46"/>
        <v>29900.000000000004</v>
      </c>
      <c r="AD1025" s="135">
        <v>67.349999999999994</v>
      </c>
      <c r="AE1025" s="136">
        <f t="shared" si="47"/>
        <v>2013764.9999999998</v>
      </c>
      <c r="AF1025" s="137">
        <v>2013765</v>
      </c>
      <c r="AG1025" s="138">
        <v>67.400000000000006</v>
      </c>
      <c r="AH1025" s="136" t="s">
        <v>7559</v>
      </c>
      <c r="AI1025" s="136">
        <v>29900</v>
      </c>
      <c r="AJ1025" s="132">
        <v>42458</v>
      </c>
      <c r="AK1025" s="136" t="s">
        <v>7560</v>
      </c>
      <c r="AL1025" s="132">
        <v>42459</v>
      </c>
      <c r="AM1025" s="131" t="s">
        <v>49</v>
      </c>
      <c r="AN1025" s="136" t="s">
        <v>4440</v>
      </c>
    </row>
    <row r="1026" spans="1:40" s="129" customFormat="1" x14ac:dyDescent="0.25">
      <c r="A1026" s="130">
        <v>1025</v>
      </c>
      <c r="B1026" s="130" t="s">
        <v>4428</v>
      </c>
      <c r="C1026" s="130" t="s">
        <v>38</v>
      </c>
      <c r="D1026" s="162">
        <v>9103650978</v>
      </c>
      <c r="E1026" s="132">
        <v>42411</v>
      </c>
      <c r="F1026" s="132" t="s">
        <v>7427</v>
      </c>
      <c r="G1026" s="132" t="s">
        <v>7561</v>
      </c>
      <c r="H1026" s="130" t="s">
        <v>5712</v>
      </c>
      <c r="I1026" s="132" t="s">
        <v>40</v>
      </c>
      <c r="J1026" s="131" t="s">
        <v>4432</v>
      </c>
      <c r="K1026" s="132" t="s">
        <v>4433</v>
      </c>
      <c r="L1026" s="136">
        <v>5693389</v>
      </c>
      <c r="M1026" s="132">
        <v>42405</v>
      </c>
      <c r="N1026" s="136" t="s">
        <v>2944</v>
      </c>
      <c r="O1026" s="130" t="s">
        <v>4436</v>
      </c>
      <c r="P1026" s="136" t="s">
        <v>4492</v>
      </c>
      <c r="Q1026" s="130">
        <v>29051700</v>
      </c>
      <c r="R1026" s="136">
        <v>26</v>
      </c>
      <c r="S1026" s="130" t="s">
        <v>70</v>
      </c>
      <c r="T1026" s="136" t="s">
        <v>67</v>
      </c>
      <c r="U1026" s="136" t="s">
        <v>53</v>
      </c>
      <c r="V1026" s="136">
        <v>1250</v>
      </c>
      <c r="W1026" s="133">
        <f t="shared" ref="W1026:W1085" si="48">V1026*R1026</f>
        <v>32500</v>
      </c>
      <c r="X1026" s="136">
        <v>0</v>
      </c>
      <c r="Y1026" s="136">
        <v>0</v>
      </c>
      <c r="Z1026" s="136">
        <v>0</v>
      </c>
      <c r="AA1026" s="136">
        <v>390</v>
      </c>
      <c r="AB1026" s="131">
        <v>42406</v>
      </c>
      <c r="AC1026" s="134">
        <f t="shared" si="46"/>
        <v>32499.999999999996</v>
      </c>
      <c r="AD1026" s="135">
        <v>67.400000000000006</v>
      </c>
      <c r="AE1026" s="136">
        <f t="shared" si="47"/>
        <v>2190500</v>
      </c>
      <c r="AF1026" s="137">
        <v>2190500</v>
      </c>
      <c r="AG1026" s="138">
        <v>67.400000000000006</v>
      </c>
      <c r="AH1026" s="136" t="s">
        <v>7559</v>
      </c>
      <c r="AI1026" s="136">
        <v>32500</v>
      </c>
      <c r="AJ1026" s="132" t="s">
        <v>7562</v>
      </c>
      <c r="AK1026" s="136" t="s">
        <v>7563</v>
      </c>
      <c r="AL1026" s="132" t="s">
        <v>7564</v>
      </c>
      <c r="AM1026" s="131" t="s">
        <v>49</v>
      </c>
      <c r="AN1026" s="136" t="s">
        <v>4440</v>
      </c>
    </row>
    <row r="1027" spans="1:40" s="129" customFormat="1" x14ac:dyDescent="0.25">
      <c r="A1027" s="136">
        <v>1026</v>
      </c>
      <c r="B1027" s="130" t="s">
        <v>4428</v>
      </c>
      <c r="C1027" s="130" t="s">
        <v>38</v>
      </c>
      <c r="D1027" s="162">
        <v>9103650979</v>
      </c>
      <c r="E1027" s="132">
        <v>42411</v>
      </c>
      <c r="F1027" s="132" t="s">
        <v>7427</v>
      </c>
      <c r="G1027" s="132" t="s">
        <v>7565</v>
      </c>
      <c r="H1027" s="130" t="s">
        <v>4446</v>
      </c>
      <c r="I1027" s="132" t="s">
        <v>40</v>
      </c>
      <c r="J1027" s="131" t="s">
        <v>4432</v>
      </c>
      <c r="K1027" s="132" t="s">
        <v>4433</v>
      </c>
      <c r="L1027" s="136">
        <v>5693397</v>
      </c>
      <c r="M1027" s="132">
        <v>42405</v>
      </c>
      <c r="N1027" s="136" t="s">
        <v>4670</v>
      </c>
      <c r="O1027" s="130" t="s">
        <v>4436</v>
      </c>
      <c r="P1027" s="136" t="s">
        <v>243</v>
      </c>
      <c r="Q1027" s="130">
        <v>38237090</v>
      </c>
      <c r="R1027" s="136">
        <v>78</v>
      </c>
      <c r="S1027" s="130" t="s">
        <v>70</v>
      </c>
      <c r="T1027" s="136" t="s">
        <v>52</v>
      </c>
      <c r="U1027" s="136" t="s">
        <v>53</v>
      </c>
      <c r="V1027" s="136">
        <v>1250</v>
      </c>
      <c r="W1027" s="133">
        <f t="shared" si="48"/>
        <v>97500</v>
      </c>
      <c r="X1027" s="136">
        <v>0</v>
      </c>
      <c r="Y1027" s="136">
        <v>1200</v>
      </c>
      <c r="Z1027" s="136">
        <v>0</v>
      </c>
      <c r="AA1027" s="136">
        <v>0</v>
      </c>
      <c r="AB1027" s="131">
        <v>42406</v>
      </c>
      <c r="AC1027" s="134">
        <f t="shared" si="46"/>
        <v>96299.999999999985</v>
      </c>
      <c r="AD1027" s="135">
        <v>67.400000000000006</v>
      </c>
      <c r="AE1027" s="136">
        <f t="shared" si="47"/>
        <v>6571500.0000000009</v>
      </c>
      <c r="AF1027" s="137">
        <v>6490620</v>
      </c>
      <c r="AG1027" s="138">
        <v>67.400000000000006</v>
      </c>
      <c r="AH1027" s="136" t="s">
        <v>7566</v>
      </c>
      <c r="AI1027" s="136">
        <v>97360</v>
      </c>
      <c r="AJ1027" s="132" t="s">
        <v>7567</v>
      </c>
      <c r="AK1027" s="136" t="s">
        <v>7568</v>
      </c>
      <c r="AL1027" s="132" t="s">
        <v>7569</v>
      </c>
      <c r="AM1027" s="131" t="s">
        <v>49</v>
      </c>
      <c r="AN1027" s="133" t="s">
        <v>4440</v>
      </c>
    </row>
    <row r="1028" spans="1:40" s="129" customFormat="1" x14ac:dyDescent="0.25">
      <c r="A1028" s="130">
        <v>1027</v>
      </c>
      <c r="B1028" s="130" t="s">
        <v>4428</v>
      </c>
      <c r="C1028" s="130" t="s">
        <v>38</v>
      </c>
      <c r="D1028" s="162">
        <v>9103650980</v>
      </c>
      <c r="E1028" s="132">
        <v>42412</v>
      </c>
      <c r="F1028" s="132" t="s">
        <v>7427</v>
      </c>
      <c r="G1028" s="132" t="s">
        <v>7570</v>
      </c>
      <c r="H1028" s="130" t="s">
        <v>4446</v>
      </c>
      <c r="I1028" s="132" t="s">
        <v>40</v>
      </c>
      <c r="J1028" s="131" t="s">
        <v>4432</v>
      </c>
      <c r="K1028" s="132" t="s">
        <v>4433</v>
      </c>
      <c r="L1028" s="136">
        <v>5710059</v>
      </c>
      <c r="M1028" s="132" t="s">
        <v>7571</v>
      </c>
      <c r="N1028" s="136" t="s">
        <v>4452</v>
      </c>
      <c r="O1028" s="130" t="s">
        <v>4436</v>
      </c>
      <c r="P1028" s="136" t="s">
        <v>75</v>
      </c>
      <c r="Q1028" s="130">
        <v>29161990</v>
      </c>
      <c r="R1028" s="136">
        <v>19.809999999999999</v>
      </c>
      <c r="S1028" s="130" t="s">
        <v>70</v>
      </c>
      <c r="T1028" s="136" t="s">
        <v>52</v>
      </c>
      <c r="U1028" s="136" t="s">
        <v>53</v>
      </c>
      <c r="V1028" s="136">
        <v>3000</v>
      </c>
      <c r="W1028" s="133">
        <f t="shared" si="48"/>
        <v>59429.999999999993</v>
      </c>
      <c r="X1028" s="136">
        <v>0</v>
      </c>
      <c r="Y1028" s="136">
        <v>600</v>
      </c>
      <c r="Z1028" s="136">
        <v>0</v>
      </c>
      <c r="AA1028" s="136">
        <v>0</v>
      </c>
      <c r="AB1028" s="131">
        <v>42408</v>
      </c>
      <c r="AC1028" s="134">
        <f t="shared" si="46"/>
        <v>58829.999999999993</v>
      </c>
      <c r="AD1028" s="135">
        <v>67.400000000000006</v>
      </c>
      <c r="AE1028" s="136">
        <f t="shared" si="47"/>
        <v>4005582</v>
      </c>
      <c r="AF1028" s="137">
        <v>3965142</v>
      </c>
      <c r="AG1028" s="138">
        <v>67.400000000000006</v>
      </c>
      <c r="AH1028" s="136" t="s">
        <v>7572</v>
      </c>
      <c r="AI1028" s="136">
        <v>59430</v>
      </c>
      <c r="AJ1028" s="132" t="s">
        <v>7507</v>
      </c>
      <c r="AK1028" s="136" t="s">
        <v>7573</v>
      </c>
      <c r="AL1028" s="132" t="s">
        <v>7500</v>
      </c>
      <c r="AM1028" s="131" t="s">
        <v>49</v>
      </c>
      <c r="AN1028" s="136" t="s">
        <v>4440</v>
      </c>
    </row>
    <row r="1029" spans="1:40" s="129" customFormat="1" x14ac:dyDescent="0.25">
      <c r="A1029" s="136">
        <v>1028</v>
      </c>
      <c r="B1029" s="130" t="s">
        <v>4428</v>
      </c>
      <c r="C1029" s="130" t="s">
        <v>38</v>
      </c>
      <c r="D1029" s="162">
        <v>9103650981</v>
      </c>
      <c r="E1029" s="132">
        <v>42412</v>
      </c>
      <c r="F1029" s="132" t="s">
        <v>7427</v>
      </c>
      <c r="G1029" s="132" t="s">
        <v>7574</v>
      </c>
      <c r="H1029" s="130" t="s">
        <v>4556</v>
      </c>
      <c r="I1029" s="132" t="s">
        <v>40</v>
      </c>
      <c r="J1029" s="131" t="s">
        <v>4432</v>
      </c>
      <c r="K1029" s="132" t="s">
        <v>4433</v>
      </c>
      <c r="L1029" s="136">
        <v>5710061</v>
      </c>
      <c r="M1029" s="132">
        <v>42406</v>
      </c>
      <c r="N1029" s="136" t="s">
        <v>4557</v>
      </c>
      <c r="O1029" s="130" t="s">
        <v>4436</v>
      </c>
      <c r="P1029" s="136" t="s">
        <v>137</v>
      </c>
      <c r="Q1029" s="130" t="s">
        <v>6194</v>
      </c>
      <c r="R1029" s="136">
        <v>36</v>
      </c>
      <c r="S1029" s="130" t="s">
        <v>70</v>
      </c>
      <c r="T1029" s="136" t="s">
        <v>52</v>
      </c>
      <c r="U1029" s="136" t="s">
        <v>53</v>
      </c>
      <c r="V1029" s="136">
        <v>0</v>
      </c>
      <c r="W1029" s="133">
        <f>(28.5*1365+7.5*1415)</f>
        <v>49515</v>
      </c>
      <c r="X1029" s="136">
        <v>0</v>
      </c>
      <c r="Y1029" s="136">
        <v>800</v>
      </c>
      <c r="Z1029" s="136">
        <v>0</v>
      </c>
      <c r="AA1029" s="136">
        <v>0</v>
      </c>
      <c r="AB1029" s="131">
        <v>42408</v>
      </c>
      <c r="AC1029" s="134">
        <f t="shared" si="46"/>
        <v>48714.999999999993</v>
      </c>
      <c r="AD1029" s="135">
        <v>67.400000000000006</v>
      </c>
      <c r="AE1029" s="136">
        <f t="shared" si="47"/>
        <v>3337311.0000000005</v>
      </c>
      <c r="AF1029" s="137">
        <v>3283391</v>
      </c>
      <c r="AG1029" s="138">
        <v>67.400000000000006</v>
      </c>
      <c r="AH1029" s="136" t="s">
        <v>7575</v>
      </c>
      <c r="AI1029" s="136">
        <v>49480</v>
      </c>
      <c r="AJ1029" s="132">
        <v>42482</v>
      </c>
      <c r="AK1029" s="136" t="s">
        <v>7576</v>
      </c>
      <c r="AL1029" s="132">
        <v>42485</v>
      </c>
      <c r="AM1029" s="131" t="s">
        <v>49</v>
      </c>
      <c r="AN1029" s="133" t="s">
        <v>4440</v>
      </c>
    </row>
    <row r="1030" spans="1:40" s="129" customFormat="1" x14ac:dyDescent="0.25">
      <c r="A1030" s="130">
        <v>1029</v>
      </c>
      <c r="B1030" s="130" t="s">
        <v>4428</v>
      </c>
      <c r="C1030" s="130" t="s">
        <v>38</v>
      </c>
      <c r="D1030" s="162">
        <v>9103650982</v>
      </c>
      <c r="E1030" s="132">
        <v>42414</v>
      </c>
      <c r="F1030" s="132" t="s">
        <v>7427</v>
      </c>
      <c r="G1030" s="132" t="s">
        <v>7577</v>
      </c>
      <c r="H1030" s="130" t="s">
        <v>4456</v>
      </c>
      <c r="I1030" s="132" t="s">
        <v>40</v>
      </c>
      <c r="J1030" s="131" t="s">
        <v>4432</v>
      </c>
      <c r="K1030" s="132" t="s">
        <v>4433</v>
      </c>
      <c r="L1030" s="136">
        <v>5724367</v>
      </c>
      <c r="M1030" s="132">
        <v>42408</v>
      </c>
      <c r="N1030" s="136" t="s">
        <v>4527</v>
      </c>
      <c r="O1030" s="130" t="s">
        <v>4436</v>
      </c>
      <c r="P1030" s="136" t="s">
        <v>59</v>
      </c>
      <c r="Q1030" s="130">
        <v>38237090</v>
      </c>
      <c r="R1030" s="136">
        <v>75.61</v>
      </c>
      <c r="S1030" s="130" t="s">
        <v>70</v>
      </c>
      <c r="T1030" s="136" t="s">
        <v>44</v>
      </c>
      <c r="U1030" s="136" t="s">
        <v>4528</v>
      </c>
      <c r="V1030" s="136">
        <v>845</v>
      </c>
      <c r="W1030" s="133">
        <f t="shared" si="48"/>
        <v>63890.45</v>
      </c>
      <c r="X1030" s="136">
        <v>21.08</v>
      </c>
      <c r="Y1030" s="136">
        <v>1179.27</v>
      </c>
      <c r="Z1030" s="136">
        <v>0</v>
      </c>
      <c r="AA1030" s="136">
        <v>0</v>
      </c>
      <c r="AB1030" s="131">
        <v>42409</v>
      </c>
      <c r="AC1030" s="134">
        <f t="shared" si="46"/>
        <v>62690.100134589513</v>
      </c>
      <c r="AD1030" s="135">
        <v>74.3</v>
      </c>
      <c r="AE1030" s="136">
        <f t="shared" si="47"/>
        <v>4747060.4349999996</v>
      </c>
      <c r="AF1030" s="130">
        <v>4657874.4400000004</v>
      </c>
      <c r="AG1030" s="138">
        <v>74.3</v>
      </c>
      <c r="AH1030" s="136" t="s">
        <v>7578</v>
      </c>
      <c r="AI1030" s="136">
        <v>63890.45</v>
      </c>
      <c r="AJ1030" s="132">
        <v>42485</v>
      </c>
      <c r="AK1030" s="136" t="s">
        <v>7579</v>
      </c>
      <c r="AL1030" s="132">
        <v>42486</v>
      </c>
      <c r="AM1030" s="131" t="s">
        <v>49</v>
      </c>
      <c r="AN1030" s="136" t="s">
        <v>4440</v>
      </c>
    </row>
    <row r="1031" spans="1:40" s="129" customFormat="1" x14ac:dyDescent="0.25">
      <c r="A1031" s="136">
        <v>1030</v>
      </c>
      <c r="B1031" s="130" t="s">
        <v>4428</v>
      </c>
      <c r="C1031" s="130" t="s">
        <v>38</v>
      </c>
      <c r="D1031" s="162">
        <v>9103650983</v>
      </c>
      <c r="E1031" s="132">
        <v>42414</v>
      </c>
      <c r="F1031" s="132" t="s">
        <v>7427</v>
      </c>
      <c r="G1031" s="132" t="s">
        <v>7580</v>
      </c>
      <c r="H1031" s="130" t="s">
        <v>4446</v>
      </c>
      <c r="I1031" s="132" t="s">
        <v>40</v>
      </c>
      <c r="J1031" s="131" t="s">
        <v>4432</v>
      </c>
      <c r="K1031" s="132" t="s">
        <v>4433</v>
      </c>
      <c r="L1031" s="163">
        <v>5730723</v>
      </c>
      <c r="M1031" s="132">
        <v>42408</v>
      </c>
      <c r="N1031" s="136" t="s">
        <v>4532</v>
      </c>
      <c r="O1031" s="130" t="s">
        <v>4436</v>
      </c>
      <c r="P1031" s="136" t="s">
        <v>690</v>
      </c>
      <c r="Q1031" s="130">
        <v>38237090</v>
      </c>
      <c r="R1031" s="136">
        <v>16</v>
      </c>
      <c r="S1031" s="130" t="s">
        <v>70</v>
      </c>
      <c r="T1031" s="136" t="s">
        <v>44</v>
      </c>
      <c r="U1031" s="136" t="s">
        <v>53</v>
      </c>
      <c r="V1031" s="136">
        <v>1215</v>
      </c>
      <c r="W1031" s="133">
        <f t="shared" si="48"/>
        <v>19440</v>
      </c>
      <c r="X1031" s="136">
        <v>6.42</v>
      </c>
      <c r="Y1031" s="136">
        <v>450</v>
      </c>
      <c r="Z1031" s="136">
        <v>0</v>
      </c>
      <c r="AA1031" s="136">
        <v>0</v>
      </c>
      <c r="AB1031" s="131">
        <v>42409</v>
      </c>
      <c r="AC1031" s="134">
        <f t="shared" si="46"/>
        <v>18983.579970326409</v>
      </c>
      <c r="AD1031" s="135">
        <v>67.400000000000006</v>
      </c>
      <c r="AE1031" s="136">
        <f t="shared" si="47"/>
        <v>1310256</v>
      </c>
      <c r="AF1031" s="137">
        <v>1279493.29</v>
      </c>
      <c r="AG1031" s="138">
        <v>67.400000000000006</v>
      </c>
      <c r="AH1031" s="136" t="s">
        <v>7581</v>
      </c>
      <c r="AI1031" s="136">
        <v>19425</v>
      </c>
      <c r="AJ1031" s="132">
        <v>42570</v>
      </c>
      <c r="AK1031" s="136" t="s">
        <v>7582</v>
      </c>
      <c r="AL1031" s="132">
        <v>42571</v>
      </c>
      <c r="AM1031" s="131" t="s">
        <v>49</v>
      </c>
      <c r="AN1031" s="136" t="s">
        <v>4440</v>
      </c>
    </row>
    <row r="1032" spans="1:40" s="129" customFormat="1" x14ac:dyDescent="0.25">
      <c r="A1032" s="130">
        <v>1031</v>
      </c>
      <c r="B1032" s="130" t="s">
        <v>4428</v>
      </c>
      <c r="C1032" s="130" t="s">
        <v>38</v>
      </c>
      <c r="D1032" s="162">
        <v>9103650984</v>
      </c>
      <c r="E1032" s="132">
        <v>42412</v>
      </c>
      <c r="F1032" s="132" t="s">
        <v>7427</v>
      </c>
      <c r="G1032" s="132" t="s">
        <v>7583</v>
      </c>
      <c r="H1032" s="130" t="s">
        <v>5712</v>
      </c>
      <c r="I1032" s="132" t="s">
        <v>40</v>
      </c>
      <c r="J1032" s="131" t="s">
        <v>4432</v>
      </c>
      <c r="K1032" s="132" t="s">
        <v>4433</v>
      </c>
      <c r="L1032" s="136">
        <v>5730698</v>
      </c>
      <c r="M1032" s="132">
        <v>42408</v>
      </c>
      <c r="N1032" s="136" t="s">
        <v>4579</v>
      </c>
      <c r="O1032" s="130" t="s">
        <v>4436</v>
      </c>
      <c r="P1032" s="136" t="s">
        <v>241</v>
      </c>
      <c r="Q1032" s="130">
        <v>38231200</v>
      </c>
      <c r="R1032" s="136">
        <v>19.89</v>
      </c>
      <c r="S1032" s="130" t="s">
        <v>70</v>
      </c>
      <c r="T1032" s="136" t="s">
        <v>44</v>
      </c>
      <c r="U1032" s="136" t="s">
        <v>53</v>
      </c>
      <c r="V1032" s="136">
        <v>1133</v>
      </c>
      <c r="W1032" s="133">
        <f t="shared" si="48"/>
        <v>22535.37</v>
      </c>
      <c r="X1032" s="136">
        <v>7.44</v>
      </c>
      <c r="Y1032" s="136">
        <v>400</v>
      </c>
      <c r="Z1032" s="136">
        <v>0</v>
      </c>
      <c r="AA1032" s="136">
        <v>0</v>
      </c>
      <c r="AB1032" s="131">
        <v>42409</v>
      </c>
      <c r="AC1032" s="134">
        <f t="shared" ref="AC1032:AC1091" si="49">AF1032/AD1032</f>
        <v>22127.929970326408</v>
      </c>
      <c r="AD1032" s="135">
        <v>67.400000000000006</v>
      </c>
      <c r="AE1032" s="136">
        <f t="shared" ref="AE1032:AE1091" si="50">AD1032*W1032</f>
        <v>1518883.9380000001</v>
      </c>
      <c r="AF1032" s="137">
        <v>1491422.48</v>
      </c>
      <c r="AG1032" s="138">
        <v>67.400000000000006</v>
      </c>
      <c r="AH1032" s="136" t="s">
        <v>7584</v>
      </c>
      <c r="AI1032" s="136">
        <v>22442.880000000001</v>
      </c>
      <c r="AJ1032" s="132">
        <v>42445</v>
      </c>
      <c r="AK1032" s="136" t="s">
        <v>7585</v>
      </c>
      <c r="AL1032" s="132">
        <v>42446</v>
      </c>
      <c r="AM1032" s="131" t="s">
        <v>49</v>
      </c>
      <c r="AN1032" s="133" t="s">
        <v>4440</v>
      </c>
    </row>
    <row r="1033" spans="1:40" s="129" customFormat="1" x14ac:dyDescent="0.25">
      <c r="A1033" s="136">
        <v>1032</v>
      </c>
      <c r="B1033" s="130" t="s">
        <v>4428</v>
      </c>
      <c r="C1033" s="130" t="s">
        <v>38</v>
      </c>
      <c r="D1033" s="162">
        <v>9103650985</v>
      </c>
      <c r="E1033" s="132">
        <v>42414</v>
      </c>
      <c r="F1033" s="132" t="s">
        <v>7427</v>
      </c>
      <c r="G1033" s="132" t="s">
        <v>7586</v>
      </c>
      <c r="H1033" s="130" t="s">
        <v>5712</v>
      </c>
      <c r="I1033" s="132" t="s">
        <v>40</v>
      </c>
      <c r="J1033" s="131" t="s">
        <v>4432</v>
      </c>
      <c r="K1033" s="132" t="s">
        <v>4433</v>
      </c>
      <c r="L1033" s="136">
        <v>5734920</v>
      </c>
      <c r="M1033" s="132">
        <v>42408</v>
      </c>
      <c r="N1033" s="136" t="s">
        <v>5337</v>
      </c>
      <c r="O1033" s="130" t="s">
        <v>4436</v>
      </c>
      <c r="P1033" s="136" t="s">
        <v>143</v>
      </c>
      <c r="Q1033" s="130">
        <v>38237090</v>
      </c>
      <c r="R1033" s="136">
        <v>108</v>
      </c>
      <c r="S1033" s="130" t="s">
        <v>70</v>
      </c>
      <c r="T1033" s="136" t="s">
        <v>52</v>
      </c>
      <c r="U1033" s="136" t="s">
        <v>53</v>
      </c>
      <c r="V1033" s="136">
        <v>1250</v>
      </c>
      <c r="W1033" s="133">
        <f t="shared" si="48"/>
        <v>135000</v>
      </c>
      <c r="X1033" s="136">
        <v>0</v>
      </c>
      <c r="Y1033" s="136">
        <v>3600</v>
      </c>
      <c r="Z1033" s="136">
        <v>0</v>
      </c>
      <c r="AA1033" s="136">
        <v>1620</v>
      </c>
      <c r="AB1033" s="131">
        <v>42409</v>
      </c>
      <c r="AC1033" s="134">
        <f t="shared" si="49"/>
        <v>131400</v>
      </c>
      <c r="AD1033" s="135">
        <v>67.400000000000006</v>
      </c>
      <c r="AE1033" s="136">
        <f t="shared" si="50"/>
        <v>9099000</v>
      </c>
      <c r="AF1033" s="137">
        <v>8856360</v>
      </c>
      <c r="AG1033" s="138">
        <v>67.400000000000006</v>
      </c>
      <c r="AH1033" s="136" t="s">
        <v>7587</v>
      </c>
      <c r="AI1033" s="136">
        <v>134988</v>
      </c>
      <c r="AJ1033" s="132">
        <v>42432</v>
      </c>
      <c r="AK1033" s="136" t="s">
        <v>7588</v>
      </c>
      <c r="AL1033" s="132">
        <v>42432</v>
      </c>
      <c r="AM1033" s="131" t="s">
        <v>49</v>
      </c>
      <c r="AN1033" s="133" t="s">
        <v>4440</v>
      </c>
    </row>
    <row r="1034" spans="1:40" s="129" customFormat="1" x14ac:dyDescent="0.25">
      <c r="A1034" s="130">
        <v>1033</v>
      </c>
      <c r="B1034" s="130" t="s">
        <v>4428</v>
      </c>
      <c r="C1034" s="130" t="s">
        <v>38</v>
      </c>
      <c r="D1034" s="162">
        <v>9103650986</v>
      </c>
      <c r="E1034" s="132">
        <v>42412</v>
      </c>
      <c r="F1034" s="132" t="s">
        <v>7427</v>
      </c>
      <c r="G1034" s="132" t="s">
        <v>7589</v>
      </c>
      <c r="H1034" s="130" t="s">
        <v>4564</v>
      </c>
      <c r="I1034" s="132" t="s">
        <v>40</v>
      </c>
      <c r="J1034" s="131" t="s">
        <v>4432</v>
      </c>
      <c r="K1034" s="132" t="s">
        <v>4433</v>
      </c>
      <c r="L1034" s="136">
        <v>5754263</v>
      </c>
      <c r="M1034" s="132" t="s">
        <v>7590</v>
      </c>
      <c r="N1034" s="136" t="s">
        <v>5215</v>
      </c>
      <c r="O1034" s="130" t="s">
        <v>4436</v>
      </c>
      <c r="P1034" s="136" t="s">
        <v>205</v>
      </c>
      <c r="Q1034" s="130" t="s">
        <v>4645</v>
      </c>
      <c r="R1034" s="136">
        <v>16</v>
      </c>
      <c r="S1034" s="130" t="s">
        <v>70</v>
      </c>
      <c r="T1034" s="136" t="s">
        <v>44</v>
      </c>
      <c r="U1034" s="136" t="s">
        <v>53</v>
      </c>
      <c r="V1034" s="136">
        <v>0</v>
      </c>
      <c r="W1034" s="133">
        <f>(10*1360+6*1225)</f>
        <v>20950</v>
      </c>
      <c r="X1034" s="136">
        <v>6.91</v>
      </c>
      <c r="Y1034" s="136">
        <v>200</v>
      </c>
      <c r="Z1034" s="136">
        <v>0</v>
      </c>
      <c r="AA1034" s="136">
        <v>0</v>
      </c>
      <c r="AB1034" s="131">
        <v>42410</v>
      </c>
      <c r="AC1034" s="134">
        <f t="shared" si="49"/>
        <v>20743.090059347178</v>
      </c>
      <c r="AD1034" s="135">
        <v>67.400000000000006</v>
      </c>
      <c r="AE1034" s="136">
        <f t="shared" si="50"/>
        <v>1412030.0000000002</v>
      </c>
      <c r="AF1034" s="137">
        <v>1398084.27</v>
      </c>
      <c r="AG1034" s="138">
        <v>67.400000000000006</v>
      </c>
      <c r="AH1034" s="136" t="s">
        <v>7591</v>
      </c>
      <c r="AI1034" s="136">
        <v>20935</v>
      </c>
      <c r="AJ1034" s="132" t="s">
        <v>7505</v>
      </c>
      <c r="AK1034" s="136" t="s">
        <v>7592</v>
      </c>
      <c r="AL1034" s="132" t="s">
        <v>7507</v>
      </c>
      <c r="AM1034" s="131" t="s">
        <v>49</v>
      </c>
      <c r="AN1034" s="133" t="s">
        <v>4440</v>
      </c>
    </row>
    <row r="1035" spans="1:40" s="129" customFormat="1" x14ac:dyDescent="0.25">
      <c r="A1035" s="136">
        <v>1034</v>
      </c>
      <c r="B1035" s="130" t="s">
        <v>4428</v>
      </c>
      <c r="C1035" s="130" t="s">
        <v>38</v>
      </c>
      <c r="D1035" s="162">
        <v>9103650987</v>
      </c>
      <c r="E1035" s="132">
        <v>42412</v>
      </c>
      <c r="F1035" s="132" t="s">
        <v>7427</v>
      </c>
      <c r="G1035" s="132" t="s">
        <v>7593</v>
      </c>
      <c r="H1035" s="130" t="s">
        <v>4456</v>
      </c>
      <c r="I1035" s="132" t="s">
        <v>40</v>
      </c>
      <c r="J1035" s="131" t="s">
        <v>4432</v>
      </c>
      <c r="K1035" s="132" t="s">
        <v>4433</v>
      </c>
      <c r="L1035" s="136">
        <v>5760991</v>
      </c>
      <c r="M1035" s="132" t="s">
        <v>7590</v>
      </c>
      <c r="N1035" s="136" t="s">
        <v>4945</v>
      </c>
      <c r="O1035" s="130" t="s">
        <v>4436</v>
      </c>
      <c r="P1035" s="136" t="s">
        <v>90</v>
      </c>
      <c r="Q1035" s="130">
        <v>38237090</v>
      </c>
      <c r="R1035" s="136">
        <v>24</v>
      </c>
      <c r="S1035" s="130" t="s">
        <v>70</v>
      </c>
      <c r="T1035" s="136" t="s">
        <v>44</v>
      </c>
      <c r="U1035" s="136" t="s">
        <v>53</v>
      </c>
      <c r="V1035" s="136">
        <v>1385</v>
      </c>
      <c r="W1035" s="133">
        <f t="shared" si="48"/>
        <v>33240</v>
      </c>
      <c r="X1035" s="136">
        <v>10.97</v>
      </c>
      <c r="Y1035" s="136">
        <v>565</v>
      </c>
      <c r="Z1035" s="136">
        <v>0</v>
      </c>
      <c r="AA1035" s="136">
        <v>607.20000000000005</v>
      </c>
      <c r="AB1035" s="131">
        <v>42410</v>
      </c>
      <c r="AC1035" s="134">
        <f t="shared" si="49"/>
        <v>32664.02997032641</v>
      </c>
      <c r="AD1035" s="135">
        <v>67.400000000000006</v>
      </c>
      <c r="AE1035" s="136">
        <f t="shared" si="50"/>
        <v>2240376</v>
      </c>
      <c r="AF1035" s="137">
        <v>2201555.62</v>
      </c>
      <c r="AG1035" s="138">
        <v>67.400000000000006</v>
      </c>
      <c r="AH1035" s="136" t="s">
        <v>7594</v>
      </c>
      <c r="AI1035" s="136">
        <v>33100</v>
      </c>
      <c r="AJ1035" s="132">
        <v>42473</v>
      </c>
      <c r="AK1035" s="136" t="s">
        <v>7595</v>
      </c>
      <c r="AL1035" s="132">
        <v>42482</v>
      </c>
      <c r="AM1035" s="131" t="s">
        <v>49</v>
      </c>
      <c r="AN1035" s="133" t="s">
        <v>4440</v>
      </c>
    </row>
    <row r="1036" spans="1:40" s="129" customFormat="1" x14ac:dyDescent="0.25">
      <c r="A1036" s="130">
        <v>1035</v>
      </c>
      <c r="B1036" s="130" t="s">
        <v>4428</v>
      </c>
      <c r="C1036" s="130" t="s">
        <v>38</v>
      </c>
      <c r="D1036" s="162">
        <v>9103650988</v>
      </c>
      <c r="E1036" s="132">
        <v>42415</v>
      </c>
      <c r="F1036" s="132" t="s">
        <v>7427</v>
      </c>
      <c r="G1036" s="132" t="s">
        <v>7596</v>
      </c>
      <c r="H1036" s="130" t="s">
        <v>4456</v>
      </c>
      <c r="I1036" s="132" t="s">
        <v>40</v>
      </c>
      <c r="J1036" s="131" t="s">
        <v>4432</v>
      </c>
      <c r="K1036" s="132" t="s">
        <v>4433</v>
      </c>
      <c r="L1036" s="136">
        <v>5761054</v>
      </c>
      <c r="M1036" s="132">
        <v>42409</v>
      </c>
      <c r="N1036" s="136" t="s">
        <v>4527</v>
      </c>
      <c r="O1036" s="130" t="s">
        <v>4436</v>
      </c>
      <c r="P1036" s="136" t="s">
        <v>59</v>
      </c>
      <c r="Q1036" s="130">
        <v>38237090</v>
      </c>
      <c r="R1036" s="136">
        <v>56.51</v>
      </c>
      <c r="S1036" s="130" t="s">
        <v>70</v>
      </c>
      <c r="T1036" s="136" t="s">
        <v>44</v>
      </c>
      <c r="U1036" s="136" t="s">
        <v>4528</v>
      </c>
      <c r="V1036" s="136">
        <v>1086</v>
      </c>
      <c r="W1036" s="133">
        <f t="shared" si="48"/>
        <v>61369.86</v>
      </c>
      <c r="X1036" s="136">
        <v>20.25</v>
      </c>
      <c r="Y1036" s="136">
        <v>1020.52</v>
      </c>
      <c r="Z1036" s="136">
        <v>0</v>
      </c>
      <c r="AA1036" s="136">
        <v>0</v>
      </c>
      <c r="AB1036" s="131">
        <v>42410</v>
      </c>
      <c r="AC1036" s="134">
        <f t="shared" si="49"/>
        <v>60329.090040376846</v>
      </c>
      <c r="AD1036" s="135">
        <v>74.3</v>
      </c>
      <c r="AE1036" s="136">
        <f t="shared" si="50"/>
        <v>4559780.5980000002</v>
      </c>
      <c r="AF1036" s="130">
        <v>4482451.3899999997</v>
      </c>
      <c r="AG1036" s="138">
        <v>74.3</v>
      </c>
      <c r="AH1036" s="136" t="s">
        <v>7597</v>
      </c>
      <c r="AI1036" s="136">
        <v>61369.86</v>
      </c>
      <c r="AJ1036" s="132">
        <v>42485</v>
      </c>
      <c r="AK1036" s="136" t="s">
        <v>7598</v>
      </c>
      <c r="AL1036" s="132">
        <v>42486</v>
      </c>
      <c r="AM1036" s="131" t="s">
        <v>49</v>
      </c>
      <c r="AN1036" s="136" t="s">
        <v>4440</v>
      </c>
    </row>
    <row r="1037" spans="1:40" s="129" customFormat="1" x14ac:dyDescent="0.25">
      <c r="A1037" s="136">
        <v>1036</v>
      </c>
      <c r="B1037" s="130" t="s">
        <v>4428</v>
      </c>
      <c r="C1037" s="130" t="s">
        <v>38</v>
      </c>
      <c r="D1037" s="162">
        <v>9103650989</v>
      </c>
      <c r="E1037" s="132">
        <v>42414</v>
      </c>
      <c r="F1037" s="132" t="s">
        <v>7427</v>
      </c>
      <c r="G1037" s="132" t="s">
        <v>7599</v>
      </c>
      <c r="H1037" s="130" t="s">
        <v>4446</v>
      </c>
      <c r="I1037" s="132" t="s">
        <v>40</v>
      </c>
      <c r="J1037" s="131" t="s">
        <v>4432</v>
      </c>
      <c r="K1037" s="132" t="s">
        <v>4433</v>
      </c>
      <c r="L1037" s="136">
        <v>5761013</v>
      </c>
      <c r="M1037" s="132" t="s">
        <v>7590</v>
      </c>
      <c r="N1037" s="136" t="s">
        <v>4452</v>
      </c>
      <c r="O1037" s="130" t="s">
        <v>4436</v>
      </c>
      <c r="P1037" s="136" t="s">
        <v>75</v>
      </c>
      <c r="Q1037" s="130">
        <v>29159090</v>
      </c>
      <c r="R1037" s="136">
        <v>38</v>
      </c>
      <c r="S1037" s="130" t="s">
        <v>70</v>
      </c>
      <c r="T1037" s="136" t="s">
        <v>52</v>
      </c>
      <c r="U1037" s="136" t="s">
        <v>53</v>
      </c>
      <c r="V1037" s="136">
        <v>3500</v>
      </c>
      <c r="W1037" s="133">
        <f t="shared" si="48"/>
        <v>133000</v>
      </c>
      <c r="X1037" s="136">
        <v>0</v>
      </c>
      <c r="Y1037" s="136">
        <v>200</v>
      </c>
      <c r="Z1037" s="136">
        <v>0</v>
      </c>
      <c r="AA1037" s="136">
        <v>0</v>
      </c>
      <c r="AB1037" s="131">
        <v>42410</v>
      </c>
      <c r="AC1037" s="134">
        <f t="shared" si="49"/>
        <v>132800</v>
      </c>
      <c r="AD1037" s="135">
        <v>67.400000000000006</v>
      </c>
      <c r="AE1037" s="136">
        <f t="shared" si="50"/>
        <v>8964200</v>
      </c>
      <c r="AF1037" s="137">
        <v>8950720</v>
      </c>
      <c r="AG1037" s="138">
        <v>67.400000000000006</v>
      </c>
      <c r="AH1037" s="136" t="s">
        <v>7600</v>
      </c>
      <c r="AI1037" s="136">
        <v>133000</v>
      </c>
      <c r="AJ1037" s="132" t="s">
        <v>7507</v>
      </c>
      <c r="AK1037" s="136" t="s">
        <v>7601</v>
      </c>
      <c r="AL1037" s="132" t="s">
        <v>7500</v>
      </c>
      <c r="AM1037" s="131" t="s">
        <v>49</v>
      </c>
      <c r="AN1037" s="136" t="s">
        <v>4440</v>
      </c>
    </row>
    <row r="1038" spans="1:40" s="129" customFormat="1" x14ac:dyDescent="0.25">
      <c r="A1038" s="130">
        <v>1037</v>
      </c>
      <c r="B1038" s="130" t="s">
        <v>4428</v>
      </c>
      <c r="C1038" s="130" t="s">
        <v>38</v>
      </c>
      <c r="D1038" s="162">
        <v>9103650990</v>
      </c>
      <c r="E1038" s="132">
        <v>42415</v>
      </c>
      <c r="F1038" s="132" t="s">
        <v>7427</v>
      </c>
      <c r="G1038" s="132" t="s">
        <v>7602</v>
      </c>
      <c r="H1038" s="130" t="s">
        <v>4491</v>
      </c>
      <c r="I1038" s="132" t="s">
        <v>40</v>
      </c>
      <c r="J1038" s="131" t="s">
        <v>4432</v>
      </c>
      <c r="K1038" s="132" t="s">
        <v>4433</v>
      </c>
      <c r="L1038" s="136">
        <v>5776690</v>
      </c>
      <c r="M1038" s="132" t="s">
        <v>7603</v>
      </c>
      <c r="N1038" s="136" t="s">
        <v>3741</v>
      </c>
      <c r="O1038" s="130" t="s">
        <v>4436</v>
      </c>
      <c r="P1038" s="136" t="s">
        <v>4492</v>
      </c>
      <c r="Q1038" s="130">
        <v>38237090</v>
      </c>
      <c r="R1038" s="136">
        <v>18.32</v>
      </c>
      <c r="S1038" s="130" t="s">
        <v>70</v>
      </c>
      <c r="T1038" s="136" t="s">
        <v>44</v>
      </c>
      <c r="U1038" s="136" t="s">
        <v>53</v>
      </c>
      <c r="V1038" s="136">
        <v>1275</v>
      </c>
      <c r="W1038" s="133">
        <f t="shared" si="48"/>
        <v>23358</v>
      </c>
      <c r="X1038" s="136">
        <v>7.71</v>
      </c>
      <c r="Y1038" s="136">
        <v>2100</v>
      </c>
      <c r="Z1038" s="136">
        <v>0</v>
      </c>
      <c r="AA1038" s="136">
        <v>0</v>
      </c>
      <c r="AB1038" s="131">
        <v>42411</v>
      </c>
      <c r="AC1038" s="134">
        <f t="shared" si="49"/>
        <v>21250.290059347179</v>
      </c>
      <c r="AD1038" s="135">
        <v>67.400000000000006</v>
      </c>
      <c r="AE1038" s="136">
        <f t="shared" si="50"/>
        <v>1574329.2000000002</v>
      </c>
      <c r="AF1038" s="137">
        <v>1432269.55</v>
      </c>
      <c r="AG1038" s="138">
        <v>67.400000000000006</v>
      </c>
      <c r="AH1038" s="136" t="s">
        <v>7604</v>
      </c>
      <c r="AI1038" s="136">
        <v>23358</v>
      </c>
      <c r="AJ1038" s="132" t="s">
        <v>7507</v>
      </c>
      <c r="AK1038" s="136" t="s">
        <v>7605</v>
      </c>
      <c r="AL1038" s="132" t="s">
        <v>7500</v>
      </c>
      <c r="AM1038" s="131" t="s">
        <v>49</v>
      </c>
      <c r="AN1038" s="136" t="s">
        <v>4440</v>
      </c>
    </row>
    <row r="1039" spans="1:40" s="129" customFormat="1" x14ac:dyDescent="0.25">
      <c r="A1039" s="136">
        <v>1038</v>
      </c>
      <c r="B1039" s="130" t="s">
        <v>4428</v>
      </c>
      <c r="C1039" s="130" t="s">
        <v>38</v>
      </c>
      <c r="D1039" s="162">
        <v>9103650991</v>
      </c>
      <c r="E1039" s="132">
        <v>42417</v>
      </c>
      <c r="F1039" s="132" t="s">
        <v>7427</v>
      </c>
      <c r="G1039" s="132" t="s">
        <v>7606</v>
      </c>
      <c r="H1039" s="130" t="s">
        <v>4491</v>
      </c>
      <c r="I1039" s="132" t="s">
        <v>40</v>
      </c>
      <c r="J1039" s="131" t="s">
        <v>4432</v>
      </c>
      <c r="K1039" s="132" t="s">
        <v>4433</v>
      </c>
      <c r="L1039" s="136">
        <v>5784915</v>
      </c>
      <c r="M1039" s="132" t="s">
        <v>7603</v>
      </c>
      <c r="N1039" s="136" t="s">
        <v>3741</v>
      </c>
      <c r="O1039" s="130" t="s">
        <v>4436</v>
      </c>
      <c r="P1039" s="136" t="s">
        <v>4492</v>
      </c>
      <c r="Q1039" s="130">
        <v>29051700</v>
      </c>
      <c r="R1039" s="136">
        <v>19.84</v>
      </c>
      <c r="S1039" s="130" t="s">
        <v>70</v>
      </c>
      <c r="T1039" s="136" t="s">
        <v>44</v>
      </c>
      <c r="U1039" s="136" t="s">
        <v>53</v>
      </c>
      <c r="V1039" s="136">
        <v>1502</v>
      </c>
      <c r="W1039" s="133">
        <f t="shared" si="48"/>
        <v>29799.68</v>
      </c>
      <c r="X1039" s="136">
        <v>9.83</v>
      </c>
      <c r="Y1039" s="136">
        <v>2050</v>
      </c>
      <c r="Z1039" s="136">
        <v>0</v>
      </c>
      <c r="AA1039" s="136">
        <v>0</v>
      </c>
      <c r="AB1039" s="131">
        <v>42411</v>
      </c>
      <c r="AC1039" s="134">
        <f t="shared" si="49"/>
        <v>27739.849999999995</v>
      </c>
      <c r="AD1039" s="135">
        <v>67.400000000000006</v>
      </c>
      <c r="AE1039" s="136">
        <f t="shared" si="50"/>
        <v>2008498.4320000003</v>
      </c>
      <c r="AF1039" s="137">
        <v>1869665.89</v>
      </c>
      <c r="AG1039" s="138">
        <v>67.400000000000006</v>
      </c>
      <c r="AH1039" s="136" t="s">
        <v>7607</v>
      </c>
      <c r="AI1039" s="136">
        <v>29799.68</v>
      </c>
      <c r="AJ1039" s="132" t="s">
        <v>7507</v>
      </c>
      <c r="AK1039" s="136" t="s">
        <v>7608</v>
      </c>
      <c r="AL1039" s="132" t="s">
        <v>7500</v>
      </c>
      <c r="AM1039" s="131" t="s">
        <v>49</v>
      </c>
      <c r="AN1039" s="136" t="s">
        <v>4440</v>
      </c>
    </row>
    <row r="1040" spans="1:40" s="129" customFormat="1" x14ac:dyDescent="0.25">
      <c r="A1040" s="130">
        <v>1039</v>
      </c>
      <c r="B1040" s="130" t="s">
        <v>4428</v>
      </c>
      <c r="C1040" s="130" t="s">
        <v>38</v>
      </c>
      <c r="D1040" s="162">
        <v>9103650992</v>
      </c>
      <c r="E1040" s="132">
        <v>42415</v>
      </c>
      <c r="F1040" s="132" t="s">
        <v>7427</v>
      </c>
      <c r="G1040" s="132" t="s">
        <v>1094</v>
      </c>
      <c r="H1040" s="130" t="s">
        <v>4446</v>
      </c>
      <c r="I1040" s="132" t="s">
        <v>40</v>
      </c>
      <c r="J1040" s="131" t="s">
        <v>4432</v>
      </c>
      <c r="K1040" s="132" t="s">
        <v>4433</v>
      </c>
      <c r="L1040" s="136">
        <v>5803899</v>
      </c>
      <c r="M1040" s="132" t="s">
        <v>7609</v>
      </c>
      <c r="N1040" s="136" t="s">
        <v>5073</v>
      </c>
      <c r="O1040" s="130" t="s">
        <v>4436</v>
      </c>
      <c r="P1040" s="136" t="s">
        <v>59</v>
      </c>
      <c r="Q1040" s="130">
        <v>29157010</v>
      </c>
      <c r="R1040" s="136">
        <v>57.86</v>
      </c>
      <c r="S1040" s="130" t="s">
        <v>70</v>
      </c>
      <c r="T1040" s="136" t="s">
        <v>7036</v>
      </c>
      <c r="U1040" s="136" t="s">
        <v>53</v>
      </c>
      <c r="V1040" s="136">
        <v>568</v>
      </c>
      <c r="W1040" s="133">
        <f t="shared" si="48"/>
        <v>32864.480000000003</v>
      </c>
      <c r="X1040" s="136">
        <v>10.85</v>
      </c>
      <c r="Y1040" s="136">
        <v>975</v>
      </c>
      <c r="Z1040" s="136">
        <v>0</v>
      </c>
      <c r="AA1040" s="136">
        <v>0</v>
      </c>
      <c r="AB1040" s="131"/>
      <c r="AC1040" s="134">
        <f t="shared" si="49"/>
        <v>31878.629970326409</v>
      </c>
      <c r="AD1040" s="135">
        <v>67.400000000000006</v>
      </c>
      <c r="AE1040" s="136">
        <f t="shared" si="50"/>
        <v>2215065.9520000005</v>
      </c>
      <c r="AF1040" s="137">
        <v>2148619.66</v>
      </c>
      <c r="AG1040" s="138">
        <v>67.400000000000006</v>
      </c>
      <c r="AH1040" s="136" t="s">
        <v>7610</v>
      </c>
      <c r="AI1040" s="136">
        <v>32843.480000000003</v>
      </c>
      <c r="AJ1040" s="132" t="s">
        <v>7521</v>
      </c>
      <c r="AK1040" s="136" t="s">
        <v>7611</v>
      </c>
      <c r="AL1040" s="132" t="s">
        <v>7523</v>
      </c>
      <c r="AM1040" s="131" t="s">
        <v>49</v>
      </c>
      <c r="AN1040" s="136" t="s">
        <v>4440</v>
      </c>
    </row>
    <row r="1041" spans="1:40" s="129" customFormat="1" x14ac:dyDescent="0.25">
      <c r="A1041" s="136">
        <v>1040</v>
      </c>
      <c r="B1041" s="130" t="s">
        <v>4428</v>
      </c>
      <c r="C1041" s="130" t="s">
        <v>38</v>
      </c>
      <c r="D1041" s="162">
        <v>9103650993</v>
      </c>
      <c r="E1041" s="132">
        <v>42417</v>
      </c>
      <c r="F1041" s="132" t="s">
        <v>7427</v>
      </c>
      <c r="G1041" s="132" t="s">
        <v>1095</v>
      </c>
      <c r="H1041" s="130" t="s">
        <v>5718</v>
      </c>
      <c r="I1041" s="132" t="s">
        <v>40</v>
      </c>
      <c r="J1041" s="131" t="s">
        <v>4432</v>
      </c>
      <c r="K1041" s="132" t="s">
        <v>4433</v>
      </c>
      <c r="L1041" s="136">
        <v>5820083</v>
      </c>
      <c r="M1041" s="132">
        <v>42412</v>
      </c>
      <c r="N1041" s="136" t="s">
        <v>4650</v>
      </c>
      <c r="O1041" s="130" t="s">
        <v>4436</v>
      </c>
      <c r="P1041" s="136" t="s">
        <v>308</v>
      </c>
      <c r="Q1041" s="130">
        <v>38237090</v>
      </c>
      <c r="R1041" s="136">
        <v>16.8</v>
      </c>
      <c r="S1041" s="130" t="s">
        <v>70</v>
      </c>
      <c r="T1041" s="136" t="s">
        <v>52</v>
      </c>
      <c r="U1041" s="136" t="s">
        <v>53</v>
      </c>
      <c r="V1041" s="136">
        <v>3669</v>
      </c>
      <c r="W1041" s="133">
        <f t="shared" si="48"/>
        <v>61639.200000000004</v>
      </c>
      <c r="X1041" s="136">
        <v>0</v>
      </c>
      <c r="Y1041" s="136">
        <v>450</v>
      </c>
      <c r="Z1041" s="136">
        <v>0</v>
      </c>
      <c r="AA1041" s="136">
        <v>0</v>
      </c>
      <c r="AB1041" s="131">
        <v>42415</v>
      </c>
      <c r="AC1041" s="134">
        <f t="shared" si="49"/>
        <v>61189.2</v>
      </c>
      <c r="AD1041" s="135">
        <v>67.400000000000006</v>
      </c>
      <c r="AE1041" s="136">
        <f t="shared" si="50"/>
        <v>4154482.0800000005</v>
      </c>
      <c r="AF1041" s="137">
        <v>4124152.08</v>
      </c>
      <c r="AG1041" s="138">
        <v>67.400000000000006</v>
      </c>
      <c r="AH1041" s="136" t="s">
        <v>7612</v>
      </c>
      <c r="AI1041" s="136">
        <v>61551.83</v>
      </c>
      <c r="AJ1041" s="132">
        <v>42521</v>
      </c>
      <c r="AK1041" s="136" t="s">
        <v>7613</v>
      </c>
      <c r="AL1041" s="132">
        <v>42522</v>
      </c>
      <c r="AM1041" s="131" t="s">
        <v>49</v>
      </c>
      <c r="AN1041" s="133" t="s">
        <v>4440</v>
      </c>
    </row>
    <row r="1042" spans="1:40" s="129" customFormat="1" x14ac:dyDescent="0.25">
      <c r="A1042" s="130">
        <v>1041</v>
      </c>
      <c r="B1042" s="130" t="s">
        <v>4428</v>
      </c>
      <c r="C1042" s="130" t="s">
        <v>38</v>
      </c>
      <c r="D1042" s="162">
        <v>9103650994</v>
      </c>
      <c r="E1042" s="132">
        <v>42417</v>
      </c>
      <c r="F1042" s="132" t="s">
        <v>7427</v>
      </c>
      <c r="G1042" s="132" t="s">
        <v>1103</v>
      </c>
      <c r="H1042" s="130" t="s">
        <v>4446</v>
      </c>
      <c r="I1042" s="132" t="s">
        <v>40</v>
      </c>
      <c r="J1042" s="131" t="s">
        <v>4432</v>
      </c>
      <c r="K1042" s="132" t="s">
        <v>4433</v>
      </c>
      <c r="L1042" s="163">
        <v>5840117</v>
      </c>
      <c r="M1042" s="132">
        <v>42413</v>
      </c>
      <c r="N1042" s="136" t="s">
        <v>4532</v>
      </c>
      <c r="O1042" s="130" t="s">
        <v>4436</v>
      </c>
      <c r="P1042" s="136" t="s">
        <v>690</v>
      </c>
      <c r="Q1042" s="130">
        <v>38237090</v>
      </c>
      <c r="R1042" s="136">
        <v>32</v>
      </c>
      <c r="S1042" s="130" t="s">
        <v>70</v>
      </c>
      <c r="T1042" s="136" t="s">
        <v>44</v>
      </c>
      <c r="U1042" s="136" t="s">
        <v>53</v>
      </c>
      <c r="V1042" s="136">
        <v>1215</v>
      </c>
      <c r="W1042" s="133">
        <f t="shared" si="48"/>
        <v>38880</v>
      </c>
      <c r="X1042" s="136">
        <v>12.83</v>
      </c>
      <c r="Y1042" s="136">
        <v>960</v>
      </c>
      <c r="Z1042" s="136">
        <v>0</v>
      </c>
      <c r="AA1042" s="136">
        <v>0</v>
      </c>
      <c r="AB1042" s="131">
        <v>42415</v>
      </c>
      <c r="AC1042" s="134">
        <f t="shared" si="49"/>
        <v>37907.170029673587</v>
      </c>
      <c r="AD1042" s="135">
        <v>67.400000000000006</v>
      </c>
      <c r="AE1042" s="136">
        <f t="shared" si="50"/>
        <v>2620512</v>
      </c>
      <c r="AF1042" s="137">
        <v>2554943.2599999998</v>
      </c>
      <c r="AG1042" s="138">
        <v>67.400000000000006</v>
      </c>
      <c r="AH1042" s="129" t="s">
        <v>7614</v>
      </c>
      <c r="AI1042" s="136">
        <v>38865</v>
      </c>
      <c r="AJ1042" s="132">
        <v>42601</v>
      </c>
      <c r="AK1042" s="136" t="s">
        <v>7615</v>
      </c>
      <c r="AL1042" s="132">
        <v>42602</v>
      </c>
      <c r="AM1042" s="131" t="s">
        <v>49</v>
      </c>
      <c r="AN1042" s="136" t="s">
        <v>4440</v>
      </c>
    </row>
    <row r="1043" spans="1:40" s="129" customFormat="1" x14ac:dyDescent="0.25">
      <c r="A1043" s="136">
        <v>1042</v>
      </c>
      <c r="B1043" s="130" t="s">
        <v>4428</v>
      </c>
      <c r="C1043" s="130" t="s">
        <v>38</v>
      </c>
      <c r="D1043" s="162">
        <v>9103650995</v>
      </c>
      <c r="E1043" s="132">
        <v>42420</v>
      </c>
      <c r="F1043" s="132" t="s">
        <v>7427</v>
      </c>
      <c r="G1043" s="132" t="s">
        <v>1102</v>
      </c>
      <c r="H1043" s="130" t="s">
        <v>4431</v>
      </c>
      <c r="I1043" s="132" t="s">
        <v>40</v>
      </c>
      <c r="J1043" s="131" t="s">
        <v>4432</v>
      </c>
      <c r="K1043" s="132" t="s">
        <v>4433</v>
      </c>
      <c r="L1043" s="136">
        <v>5840123</v>
      </c>
      <c r="M1043" s="132" t="s">
        <v>7616</v>
      </c>
      <c r="N1043" s="136" t="s">
        <v>7617</v>
      </c>
      <c r="O1043" s="130" t="s">
        <v>4436</v>
      </c>
      <c r="P1043" s="136" t="s">
        <v>54</v>
      </c>
      <c r="Q1043" s="130">
        <v>38231900</v>
      </c>
      <c r="R1043" s="136">
        <v>57.6</v>
      </c>
      <c r="S1043" s="130" t="s">
        <v>70</v>
      </c>
      <c r="T1043" s="136" t="s">
        <v>44</v>
      </c>
      <c r="U1043" s="136" t="s">
        <v>53</v>
      </c>
      <c r="V1043" s="136">
        <v>700</v>
      </c>
      <c r="W1043" s="133">
        <f t="shared" si="48"/>
        <v>40320</v>
      </c>
      <c r="X1043" s="136">
        <v>13.31</v>
      </c>
      <c r="Y1043" s="136">
        <v>140</v>
      </c>
      <c r="Z1043" s="136">
        <v>0</v>
      </c>
      <c r="AA1043" s="136">
        <v>0</v>
      </c>
      <c r="AB1043" s="131">
        <v>42415</v>
      </c>
      <c r="AC1043" s="134">
        <f t="shared" si="49"/>
        <v>40166.69005934718</v>
      </c>
      <c r="AD1043" s="135">
        <v>67.400000000000006</v>
      </c>
      <c r="AE1043" s="136">
        <f t="shared" si="50"/>
        <v>2717568</v>
      </c>
      <c r="AF1043" s="137">
        <v>2707234.91</v>
      </c>
      <c r="AG1043" s="138">
        <v>67.400000000000006</v>
      </c>
      <c r="AH1043" s="136" t="s">
        <v>7618</v>
      </c>
      <c r="AI1043" s="136">
        <v>40118.199999999997</v>
      </c>
      <c r="AJ1043" s="132" t="s">
        <v>7619</v>
      </c>
      <c r="AK1043" s="136" t="s">
        <v>7620</v>
      </c>
      <c r="AL1043" s="132" t="s">
        <v>7505</v>
      </c>
      <c r="AM1043" s="131" t="s">
        <v>49</v>
      </c>
      <c r="AN1043" s="136" t="s">
        <v>4440</v>
      </c>
    </row>
    <row r="1044" spans="1:40" s="129" customFormat="1" x14ac:dyDescent="0.25">
      <c r="A1044" s="130">
        <v>1043</v>
      </c>
      <c r="B1044" s="130" t="s">
        <v>4428</v>
      </c>
      <c r="C1044" s="130" t="s">
        <v>38</v>
      </c>
      <c r="D1044" s="162">
        <v>9103650996</v>
      </c>
      <c r="E1044" s="132">
        <v>42419</v>
      </c>
      <c r="F1044" s="132" t="s">
        <v>7427</v>
      </c>
      <c r="G1044" s="132" t="s">
        <v>1107</v>
      </c>
      <c r="H1044" s="130" t="s">
        <v>5712</v>
      </c>
      <c r="I1044" s="132" t="s">
        <v>40</v>
      </c>
      <c r="J1044" s="131" t="s">
        <v>4432</v>
      </c>
      <c r="K1044" s="132" t="s">
        <v>4433</v>
      </c>
      <c r="L1044" s="136">
        <v>5857376</v>
      </c>
      <c r="M1044" s="132" t="s">
        <v>5199</v>
      </c>
      <c r="N1044" s="136" t="s">
        <v>4443</v>
      </c>
      <c r="O1044" s="130" t="s">
        <v>4436</v>
      </c>
      <c r="P1044" s="136" t="s">
        <v>3287</v>
      </c>
      <c r="Q1044" s="130">
        <v>38237090</v>
      </c>
      <c r="R1044" s="136">
        <v>15</v>
      </c>
      <c r="S1044" s="130" t="s">
        <v>70</v>
      </c>
      <c r="T1044" s="136" t="s">
        <v>44</v>
      </c>
      <c r="U1044" s="136" t="s">
        <v>53</v>
      </c>
      <c r="V1044" s="136">
        <v>1400</v>
      </c>
      <c r="W1044" s="133">
        <f t="shared" si="48"/>
        <v>21000</v>
      </c>
      <c r="X1044" s="136">
        <v>6.93</v>
      </c>
      <c r="Y1044" s="136">
        <v>325</v>
      </c>
      <c r="Z1044" s="136">
        <v>0</v>
      </c>
      <c r="AA1044" s="136">
        <v>0</v>
      </c>
      <c r="AB1044" s="131">
        <v>42416</v>
      </c>
      <c r="AC1044" s="134">
        <f t="shared" si="49"/>
        <v>20668.070029673589</v>
      </c>
      <c r="AD1044" s="135">
        <v>67.400000000000006</v>
      </c>
      <c r="AE1044" s="136">
        <f t="shared" si="50"/>
        <v>1415400.0000000002</v>
      </c>
      <c r="AF1044" s="137">
        <v>1393027.92</v>
      </c>
      <c r="AG1044" s="138">
        <v>67.400000000000006</v>
      </c>
      <c r="AH1044" s="136" t="s">
        <v>7621</v>
      </c>
      <c r="AI1044" s="136">
        <v>21000</v>
      </c>
      <c r="AJ1044" s="132" t="s">
        <v>7549</v>
      </c>
      <c r="AK1044" s="136" t="s">
        <v>7622</v>
      </c>
      <c r="AL1044" s="132" t="s">
        <v>7551</v>
      </c>
      <c r="AM1044" s="131" t="s">
        <v>49</v>
      </c>
      <c r="AN1044" s="136" t="s">
        <v>4440</v>
      </c>
    </row>
    <row r="1045" spans="1:40" s="129" customFormat="1" x14ac:dyDescent="0.25">
      <c r="A1045" s="136">
        <v>1044</v>
      </c>
      <c r="B1045" s="130" t="s">
        <v>4428</v>
      </c>
      <c r="C1045" s="130" t="s">
        <v>38</v>
      </c>
      <c r="D1045" s="162">
        <v>9103650997</v>
      </c>
      <c r="E1045" s="132">
        <v>42421</v>
      </c>
      <c r="F1045" s="132" t="s">
        <v>7427</v>
      </c>
      <c r="G1045" s="132" t="s">
        <v>1097</v>
      </c>
      <c r="H1045" s="130" t="s">
        <v>4564</v>
      </c>
      <c r="I1045" s="132" t="s">
        <v>40</v>
      </c>
      <c r="J1045" s="131" t="s">
        <v>4432</v>
      </c>
      <c r="K1045" s="132" t="s">
        <v>4433</v>
      </c>
      <c r="L1045" s="136">
        <v>5866045</v>
      </c>
      <c r="M1045" s="132" t="s">
        <v>5199</v>
      </c>
      <c r="N1045" s="136" t="s">
        <v>7623</v>
      </c>
      <c r="O1045" s="130" t="s">
        <v>4436</v>
      </c>
      <c r="P1045" s="136" t="s">
        <v>4492</v>
      </c>
      <c r="Q1045" s="130" t="s">
        <v>7624</v>
      </c>
      <c r="R1045" s="136">
        <v>9</v>
      </c>
      <c r="S1045" s="130" t="s">
        <v>70</v>
      </c>
      <c r="T1045" s="136" t="s">
        <v>44</v>
      </c>
      <c r="U1045" s="136" t="s">
        <v>53</v>
      </c>
      <c r="V1045" s="136">
        <v>0</v>
      </c>
      <c r="W1045" s="133">
        <f>(3*1460+3*910+3*1410)</f>
        <v>11340</v>
      </c>
      <c r="X1045" s="136">
        <v>3.74</v>
      </c>
      <c r="Y1045" s="136">
        <v>1150</v>
      </c>
      <c r="Z1045" s="136">
        <v>0</v>
      </c>
      <c r="AA1045" s="136">
        <v>0</v>
      </c>
      <c r="AB1045" s="131">
        <v>42416</v>
      </c>
      <c r="AC1045" s="134">
        <f t="shared" si="49"/>
        <v>10186.259940652819</v>
      </c>
      <c r="AD1045" s="135">
        <v>67.400000000000006</v>
      </c>
      <c r="AE1045" s="136">
        <f t="shared" si="50"/>
        <v>764316.00000000012</v>
      </c>
      <c r="AF1045" s="137">
        <v>686553.92</v>
      </c>
      <c r="AG1045" s="138">
        <v>67.400000000000006</v>
      </c>
      <c r="AH1045" s="136" t="s">
        <v>7625</v>
      </c>
      <c r="AI1045" s="136">
        <v>11330</v>
      </c>
      <c r="AJ1045" s="132" t="s">
        <v>7549</v>
      </c>
      <c r="AK1045" s="136" t="s">
        <v>7626</v>
      </c>
      <c r="AL1045" s="132" t="s">
        <v>7551</v>
      </c>
      <c r="AM1045" s="131" t="s">
        <v>49</v>
      </c>
      <c r="AN1045" s="136" t="s">
        <v>4440</v>
      </c>
    </row>
    <row r="1046" spans="1:40" s="129" customFormat="1" x14ac:dyDescent="0.25">
      <c r="A1046" s="130">
        <v>1045</v>
      </c>
      <c r="B1046" s="130" t="s">
        <v>4428</v>
      </c>
      <c r="C1046" s="130" t="s">
        <v>38</v>
      </c>
      <c r="D1046" s="162">
        <v>9103650998</v>
      </c>
      <c r="E1046" s="132">
        <v>42422</v>
      </c>
      <c r="F1046" s="132" t="s">
        <v>7427</v>
      </c>
      <c r="G1046" s="132" t="s">
        <v>2826</v>
      </c>
      <c r="H1046" s="130" t="s">
        <v>4491</v>
      </c>
      <c r="I1046" s="132" t="s">
        <v>40</v>
      </c>
      <c r="J1046" s="131" t="s">
        <v>4432</v>
      </c>
      <c r="K1046" s="132" t="s">
        <v>4433</v>
      </c>
      <c r="L1046" s="136">
        <v>5866022</v>
      </c>
      <c r="M1046" s="132" t="s">
        <v>5199</v>
      </c>
      <c r="N1046" s="136" t="s">
        <v>3741</v>
      </c>
      <c r="O1046" s="130" t="s">
        <v>4436</v>
      </c>
      <c r="P1046" s="136" t="s">
        <v>4492</v>
      </c>
      <c r="Q1046" s="130">
        <v>38237090</v>
      </c>
      <c r="R1046" s="136">
        <v>18.02</v>
      </c>
      <c r="S1046" s="130" t="s">
        <v>70</v>
      </c>
      <c r="T1046" s="136" t="s">
        <v>44</v>
      </c>
      <c r="U1046" s="136" t="s">
        <v>53</v>
      </c>
      <c r="V1046" s="136">
        <v>1275</v>
      </c>
      <c r="W1046" s="133">
        <f>V1046*R1046</f>
        <v>22975.5</v>
      </c>
      <c r="X1046" s="136">
        <v>7.58</v>
      </c>
      <c r="Y1046" s="136">
        <v>2050</v>
      </c>
      <c r="Z1046" s="136">
        <v>0</v>
      </c>
      <c r="AA1046" s="136">
        <v>0</v>
      </c>
      <c r="AB1046" s="131">
        <v>42416</v>
      </c>
      <c r="AC1046" s="134">
        <f t="shared" si="49"/>
        <v>20917.920029673591</v>
      </c>
      <c r="AD1046" s="135">
        <v>67.400000000000006</v>
      </c>
      <c r="AE1046" s="136">
        <f t="shared" si="50"/>
        <v>1548548.7000000002</v>
      </c>
      <c r="AF1046" s="137">
        <v>1409867.81</v>
      </c>
      <c r="AG1046" s="138">
        <v>67.400000000000006</v>
      </c>
      <c r="AH1046" s="136" t="s">
        <v>7627</v>
      </c>
      <c r="AI1046" s="136">
        <v>22975.5</v>
      </c>
      <c r="AJ1046" s="132" t="s">
        <v>7507</v>
      </c>
      <c r="AK1046" s="136" t="s">
        <v>7628</v>
      </c>
      <c r="AL1046" s="132" t="s">
        <v>7500</v>
      </c>
      <c r="AM1046" s="131" t="s">
        <v>49</v>
      </c>
      <c r="AN1046" s="136" t="s">
        <v>4440</v>
      </c>
    </row>
    <row r="1047" spans="1:40" s="129" customFormat="1" x14ac:dyDescent="0.25">
      <c r="A1047" s="136">
        <v>1046</v>
      </c>
      <c r="B1047" s="130" t="s">
        <v>4428</v>
      </c>
      <c r="C1047" s="130" t="s">
        <v>38</v>
      </c>
      <c r="D1047" s="162">
        <v>9103650998</v>
      </c>
      <c r="E1047" s="132">
        <v>42422</v>
      </c>
      <c r="F1047" s="132" t="s">
        <v>7427</v>
      </c>
      <c r="G1047" s="132" t="s">
        <v>1105</v>
      </c>
      <c r="H1047" s="130" t="s">
        <v>4491</v>
      </c>
      <c r="I1047" s="132" t="s">
        <v>40</v>
      </c>
      <c r="J1047" s="131" t="s">
        <v>4432</v>
      </c>
      <c r="K1047" s="132" t="s">
        <v>4433</v>
      </c>
      <c r="L1047" s="136">
        <v>5871139</v>
      </c>
      <c r="M1047" s="132" t="s">
        <v>5199</v>
      </c>
      <c r="N1047" s="136" t="s">
        <v>3741</v>
      </c>
      <c r="O1047" s="130" t="s">
        <v>4436</v>
      </c>
      <c r="P1047" s="136" t="s">
        <v>4492</v>
      </c>
      <c r="Q1047" s="130">
        <v>38237090</v>
      </c>
      <c r="R1047" s="136">
        <v>18.2</v>
      </c>
      <c r="S1047" s="130" t="s">
        <v>70</v>
      </c>
      <c r="T1047" s="136" t="s">
        <v>44</v>
      </c>
      <c r="U1047" s="136" t="s">
        <v>53</v>
      </c>
      <c r="V1047" s="136">
        <v>1275</v>
      </c>
      <c r="W1047" s="133">
        <f t="shared" ref="W1047" si="51">V1047*R1047</f>
        <v>23205</v>
      </c>
      <c r="X1047" s="136">
        <v>7.66</v>
      </c>
      <c r="Y1047" s="136">
        <v>2050</v>
      </c>
      <c r="Z1047" s="136">
        <v>0</v>
      </c>
      <c r="AA1047" s="136">
        <v>0</v>
      </c>
      <c r="AB1047" s="131">
        <v>42416</v>
      </c>
      <c r="AC1047" s="134">
        <f t="shared" si="49"/>
        <v>20917.920029673591</v>
      </c>
      <c r="AD1047" s="135">
        <v>67.400000000000006</v>
      </c>
      <c r="AE1047" s="136">
        <f t="shared" si="50"/>
        <v>1564017.0000000002</v>
      </c>
      <c r="AF1047" s="137">
        <v>1409867.81</v>
      </c>
      <c r="AG1047" s="138">
        <v>67.400000000000006</v>
      </c>
      <c r="AH1047" s="136" t="s">
        <v>7627</v>
      </c>
      <c r="AI1047" s="136">
        <v>23205</v>
      </c>
      <c r="AJ1047" s="132" t="s">
        <v>7507</v>
      </c>
      <c r="AK1047" s="136" t="s">
        <v>7629</v>
      </c>
      <c r="AL1047" s="132" t="s">
        <v>7500</v>
      </c>
      <c r="AM1047" s="131" t="s">
        <v>49</v>
      </c>
      <c r="AN1047" s="136" t="s">
        <v>4440</v>
      </c>
    </row>
    <row r="1048" spans="1:40" s="129" customFormat="1" x14ac:dyDescent="0.25">
      <c r="A1048" s="130">
        <v>1047</v>
      </c>
      <c r="B1048" s="130" t="s">
        <v>4428</v>
      </c>
      <c r="C1048" s="130" t="s">
        <v>38</v>
      </c>
      <c r="D1048" s="162">
        <v>9103650999</v>
      </c>
      <c r="E1048" s="132">
        <v>42420</v>
      </c>
      <c r="F1048" s="132" t="s">
        <v>7427</v>
      </c>
      <c r="G1048" s="132" t="s">
        <v>1111</v>
      </c>
      <c r="H1048" s="130" t="s">
        <v>4456</v>
      </c>
      <c r="I1048" s="132" t="s">
        <v>40</v>
      </c>
      <c r="J1048" s="131" t="s">
        <v>4432</v>
      </c>
      <c r="K1048" s="132" t="s">
        <v>4433</v>
      </c>
      <c r="L1048" s="163">
        <v>5882228</v>
      </c>
      <c r="M1048" s="132">
        <v>42416</v>
      </c>
      <c r="N1048" s="136" t="s">
        <v>5109</v>
      </c>
      <c r="O1048" s="130" t="s">
        <v>4436</v>
      </c>
      <c r="P1048" s="136" t="s">
        <v>236</v>
      </c>
      <c r="Q1048" s="130">
        <v>38237090</v>
      </c>
      <c r="R1048" s="136">
        <v>2</v>
      </c>
      <c r="S1048" s="130" t="s">
        <v>70</v>
      </c>
      <c r="T1048" s="136" t="s">
        <v>44</v>
      </c>
      <c r="U1048" s="136" t="s">
        <v>53</v>
      </c>
      <c r="V1048" s="136">
        <v>3596</v>
      </c>
      <c r="W1048" s="133">
        <f t="shared" si="48"/>
        <v>7192</v>
      </c>
      <c r="X1048" s="136">
        <v>2.37</v>
      </c>
      <c r="Y1048" s="136">
        <v>50</v>
      </c>
      <c r="Z1048" s="136">
        <v>0</v>
      </c>
      <c r="AA1048" s="136">
        <v>0</v>
      </c>
      <c r="AB1048" s="131">
        <v>42417</v>
      </c>
      <c r="AC1048" s="134">
        <f t="shared" si="49"/>
        <v>7139.6299703264085</v>
      </c>
      <c r="AD1048" s="135">
        <v>67.400000000000006</v>
      </c>
      <c r="AE1048" s="136">
        <f t="shared" si="50"/>
        <v>484740.80000000005</v>
      </c>
      <c r="AF1048" s="137">
        <v>481211.06</v>
      </c>
      <c r="AG1048" s="138">
        <v>67.400000000000006</v>
      </c>
      <c r="AH1048" s="136" t="s">
        <v>7630</v>
      </c>
      <c r="AI1048" s="136">
        <v>7160</v>
      </c>
      <c r="AJ1048" s="132">
        <v>42488</v>
      </c>
      <c r="AK1048" s="136" t="s">
        <v>7631</v>
      </c>
      <c r="AL1048" s="132">
        <v>42489</v>
      </c>
      <c r="AM1048" s="131" t="s">
        <v>49</v>
      </c>
      <c r="AN1048" s="136" t="s">
        <v>4440</v>
      </c>
    </row>
    <row r="1049" spans="1:40" s="129" customFormat="1" x14ac:dyDescent="0.25">
      <c r="A1049" s="136">
        <v>1048</v>
      </c>
      <c r="B1049" s="130" t="s">
        <v>4428</v>
      </c>
      <c r="C1049" s="130" t="s">
        <v>38</v>
      </c>
      <c r="D1049" s="162">
        <v>9103651000</v>
      </c>
      <c r="E1049" s="132">
        <v>42421</v>
      </c>
      <c r="F1049" s="132" t="s">
        <v>7427</v>
      </c>
      <c r="G1049" s="132" t="s">
        <v>1104</v>
      </c>
      <c r="H1049" s="130" t="s">
        <v>4564</v>
      </c>
      <c r="I1049" s="132" t="s">
        <v>40</v>
      </c>
      <c r="J1049" s="131" t="s">
        <v>4432</v>
      </c>
      <c r="K1049" s="132" t="s">
        <v>4433</v>
      </c>
      <c r="L1049" s="136">
        <v>5887688</v>
      </c>
      <c r="M1049" s="132" t="s">
        <v>4915</v>
      </c>
      <c r="N1049" s="136" t="s">
        <v>4570</v>
      </c>
      <c r="O1049" s="130" t="s">
        <v>4436</v>
      </c>
      <c r="P1049" s="136" t="s">
        <v>143</v>
      </c>
      <c r="Q1049" s="130">
        <v>38237090</v>
      </c>
      <c r="R1049" s="136">
        <v>15</v>
      </c>
      <c r="S1049" s="130" t="s">
        <v>70</v>
      </c>
      <c r="T1049" s="136" t="s">
        <v>44</v>
      </c>
      <c r="U1049" s="136" t="s">
        <v>53</v>
      </c>
      <c r="V1049" s="136">
        <v>1250</v>
      </c>
      <c r="W1049" s="133">
        <f t="shared" si="48"/>
        <v>18750</v>
      </c>
      <c r="X1049" s="136">
        <v>6.19</v>
      </c>
      <c r="Y1049" s="136">
        <v>400</v>
      </c>
      <c r="Z1049" s="136">
        <v>0</v>
      </c>
      <c r="AA1049" s="136">
        <v>0</v>
      </c>
      <c r="AB1049" s="131">
        <v>42417</v>
      </c>
      <c r="AC1049" s="134">
        <f t="shared" si="49"/>
        <v>18343.809940652816</v>
      </c>
      <c r="AD1049" s="135">
        <v>67.400000000000006</v>
      </c>
      <c r="AE1049" s="136">
        <f t="shared" si="50"/>
        <v>1263750</v>
      </c>
      <c r="AF1049" s="137">
        <v>1236372.79</v>
      </c>
      <c r="AG1049" s="138">
        <v>67.400000000000006</v>
      </c>
      <c r="AH1049" s="136" t="s">
        <v>7632</v>
      </c>
      <c r="AI1049" s="136">
        <v>18750</v>
      </c>
      <c r="AJ1049" s="132" t="s">
        <v>7549</v>
      </c>
      <c r="AK1049" s="136" t="s">
        <v>7633</v>
      </c>
      <c r="AL1049" s="132" t="s">
        <v>7551</v>
      </c>
      <c r="AM1049" s="131" t="s">
        <v>49</v>
      </c>
      <c r="AN1049" s="136" t="s">
        <v>4440</v>
      </c>
    </row>
    <row r="1050" spans="1:40" s="129" customFormat="1" x14ac:dyDescent="0.25">
      <c r="A1050" s="130">
        <v>1049</v>
      </c>
      <c r="B1050" s="130" t="s">
        <v>4428</v>
      </c>
      <c r="C1050" s="130" t="s">
        <v>38</v>
      </c>
      <c r="D1050" s="162">
        <v>9103651001</v>
      </c>
      <c r="E1050" s="132">
        <v>42420</v>
      </c>
      <c r="F1050" s="132" t="s">
        <v>7427</v>
      </c>
      <c r="G1050" s="132" t="s">
        <v>2811</v>
      </c>
      <c r="H1050" s="130" t="s">
        <v>4564</v>
      </c>
      <c r="I1050" s="132" t="s">
        <v>40</v>
      </c>
      <c r="J1050" s="131" t="s">
        <v>4432</v>
      </c>
      <c r="K1050" s="132" t="s">
        <v>4433</v>
      </c>
      <c r="L1050" s="136">
        <v>5889403</v>
      </c>
      <c r="M1050" s="132" t="s">
        <v>4915</v>
      </c>
      <c r="N1050" s="136" t="s">
        <v>7634</v>
      </c>
      <c r="O1050" s="130" t="s">
        <v>4436</v>
      </c>
      <c r="P1050" s="136" t="s">
        <v>75</v>
      </c>
      <c r="Q1050" s="130">
        <v>29051700</v>
      </c>
      <c r="R1050" s="136">
        <v>18.61</v>
      </c>
      <c r="S1050" s="130" t="s">
        <v>70</v>
      </c>
      <c r="T1050" s="136" t="s">
        <v>52</v>
      </c>
      <c r="U1050" s="136" t="s">
        <v>53</v>
      </c>
      <c r="V1050" s="136">
        <v>1270</v>
      </c>
      <c r="W1050" s="133">
        <f t="shared" si="48"/>
        <v>23634.7</v>
      </c>
      <c r="X1050" s="136">
        <v>0</v>
      </c>
      <c r="Y1050" s="136">
        <v>625</v>
      </c>
      <c r="Z1050" s="136">
        <v>0</v>
      </c>
      <c r="AA1050" s="136">
        <v>0</v>
      </c>
      <c r="AB1050" s="131">
        <v>42417</v>
      </c>
      <c r="AC1050" s="134">
        <f t="shared" si="49"/>
        <v>23009.699999999997</v>
      </c>
      <c r="AD1050" s="135">
        <v>67.400000000000006</v>
      </c>
      <c r="AE1050" s="136">
        <f t="shared" si="50"/>
        <v>1592978.7800000003</v>
      </c>
      <c r="AF1050" s="137">
        <v>1550853.78</v>
      </c>
      <c r="AG1050" s="138">
        <v>67.400000000000006</v>
      </c>
      <c r="AH1050" s="136" t="s">
        <v>7635</v>
      </c>
      <c r="AI1050" s="136">
        <v>23634.7</v>
      </c>
      <c r="AJ1050" s="132" t="s">
        <v>7549</v>
      </c>
      <c r="AK1050" s="136" t="s">
        <v>7636</v>
      </c>
      <c r="AL1050" s="132" t="s">
        <v>7551</v>
      </c>
      <c r="AM1050" s="131" t="s">
        <v>49</v>
      </c>
      <c r="AN1050" s="136" t="s">
        <v>4440</v>
      </c>
    </row>
    <row r="1051" spans="1:40" s="129" customFormat="1" x14ac:dyDescent="0.25">
      <c r="A1051" s="136">
        <v>1050</v>
      </c>
      <c r="B1051" s="130" t="s">
        <v>4428</v>
      </c>
      <c r="C1051" s="130" t="s">
        <v>38</v>
      </c>
      <c r="D1051" s="162" t="s">
        <v>7637</v>
      </c>
      <c r="E1051" s="132">
        <v>42424</v>
      </c>
      <c r="F1051" s="132" t="s">
        <v>7427</v>
      </c>
      <c r="G1051" s="132" t="s">
        <v>1106</v>
      </c>
      <c r="H1051" s="130" t="s">
        <v>4431</v>
      </c>
      <c r="I1051" s="132" t="s">
        <v>40</v>
      </c>
      <c r="J1051" s="131" t="s">
        <v>4432</v>
      </c>
      <c r="K1051" s="132" t="s">
        <v>4433</v>
      </c>
      <c r="L1051" s="163">
        <v>5914502</v>
      </c>
      <c r="M1051" s="132">
        <v>42417</v>
      </c>
      <c r="N1051" s="136" t="s">
        <v>5963</v>
      </c>
      <c r="O1051" s="130" t="s">
        <v>4436</v>
      </c>
      <c r="P1051" s="136" t="s">
        <v>4465</v>
      </c>
      <c r="Q1051" s="130">
        <v>38231200</v>
      </c>
      <c r="R1051" s="136">
        <v>19.649999999999999</v>
      </c>
      <c r="S1051" s="130" t="s">
        <v>70</v>
      </c>
      <c r="T1051" s="136" t="s">
        <v>44</v>
      </c>
      <c r="U1051" s="136" t="s">
        <v>53</v>
      </c>
      <c r="V1051" s="136">
        <v>710</v>
      </c>
      <c r="W1051" s="133">
        <f t="shared" si="48"/>
        <v>13951.499999999998</v>
      </c>
      <c r="X1051" s="136">
        <v>4.5999999999999996</v>
      </c>
      <c r="Y1051" s="136">
        <v>650</v>
      </c>
      <c r="Z1051" s="136">
        <v>0</v>
      </c>
      <c r="AA1051" s="136">
        <v>157.19999999999999</v>
      </c>
      <c r="AB1051" s="131">
        <v>42420</v>
      </c>
      <c r="AC1051" s="134">
        <f t="shared" si="49"/>
        <v>13296.9</v>
      </c>
      <c r="AD1051" s="135">
        <v>67.400000000000006</v>
      </c>
      <c r="AE1051" s="136">
        <f t="shared" si="50"/>
        <v>940331.1</v>
      </c>
      <c r="AF1051" s="130">
        <v>896211.06</v>
      </c>
      <c r="AG1051" s="138">
        <v>67.400000000000006</v>
      </c>
      <c r="AH1051" s="136" t="s">
        <v>7638</v>
      </c>
      <c r="AI1051" s="136">
        <v>27476.5</v>
      </c>
      <c r="AJ1051" s="132">
        <v>42447</v>
      </c>
      <c r="AK1051" s="136" t="s">
        <v>7639</v>
      </c>
      <c r="AL1051" s="132">
        <v>42448</v>
      </c>
      <c r="AM1051" s="131" t="s">
        <v>49</v>
      </c>
      <c r="AN1051" s="136" t="s">
        <v>7640</v>
      </c>
    </row>
    <row r="1052" spans="1:40" s="129" customFormat="1" x14ac:dyDescent="0.25">
      <c r="A1052" s="130">
        <v>1051</v>
      </c>
      <c r="B1052" s="130" t="s">
        <v>4428</v>
      </c>
      <c r="C1052" s="130" t="s">
        <v>38</v>
      </c>
      <c r="D1052" s="162" t="s">
        <v>7637</v>
      </c>
      <c r="E1052" s="132">
        <v>42424</v>
      </c>
      <c r="F1052" s="132" t="s">
        <v>7427</v>
      </c>
      <c r="G1052" s="132" t="s">
        <v>1110</v>
      </c>
      <c r="H1052" s="130" t="s">
        <v>4431</v>
      </c>
      <c r="I1052" s="132" t="s">
        <v>40</v>
      </c>
      <c r="J1052" s="131" t="s">
        <v>4432</v>
      </c>
      <c r="K1052" s="132" t="s">
        <v>4433</v>
      </c>
      <c r="L1052" s="163">
        <v>5919613</v>
      </c>
      <c r="M1052" s="132">
        <v>42417</v>
      </c>
      <c r="N1052" s="136" t="s">
        <v>5963</v>
      </c>
      <c r="O1052" s="130" t="s">
        <v>4436</v>
      </c>
      <c r="P1052" s="136" t="s">
        <v>4465</v>
      </c>
      <c r="Q1052" s="130">
        <v>38231200</v>
      </c>
      <c r="R1052" s="136">
        <v>19.5</v>
      </c>
      <c r="S1052" s="130" t="s">
        <v>70</v>
      </c>
      <c r="T1052" s="136" t="s">
        <v>44</v>
      </c>
      <c r="U1052" s="136" t="s">
        <v>53</v>
      </c>
      <c r="V1052" s="136">
        <v>710</v>
      </c>
      <c r="W1052" s="133">
        <f t="shared" si="48"/>
        <v>13845</v>
      </c>
      <c r="X1052" s="136">
        <v>4.57</v>
      </c>
      <c r="Y1052" s="136">
        <v>650</v>
      </c>
      <c r="Z1052" s="136">
        <v>0</v>
      </c>
      <c r="AA1052" s="136">
        <v>156</v>
      </c>
      <c r="AB1052" s="131">
        <v>42419</v>
      </c>
      <c r="AC1052" s="134">
        <f t="shared" si="49"/>
        <v>13190.429970326408</v>
      </c>
      <c r="AD1052" s="135">
        <v>67.400000000000006</v>
      </c>
      <c r="AE1052" s="136">
        <f t="shared" si="50"/>
        <v>933153.00000000012</v>
      </c>
      <c r="AF1052" s="130">
        <v>889034.98</v>
      </c>
      <c r="AG1052" s="138">
        <v>67.400000000000006</v>
      </c>
      <c r="AH1052" s="136"/>
      <c r="AI1052" s="136"/>
      <c r="AJ1052" s="132"/>
      <c r="AK1052" s="136"/>
      <c r="AL1052" s="132"/>
      <c r="AM1052" s="131" t="s">
        <v>49</v>
      </c>
      <c r="AN1052" s="136" t="s">
        <v>7640</v>
      </c>
    </row>
    <row r="1053" spans="1:40" s="129" customFormat="1" x14ac:dyDescent="0.25">
      <c r="A1053" s="136">
        <v>1052</v>
      </c>
      <c r="B1053" s="130" t="s">
        <v>4428</v>
      </c>
      <c r="C1053" s="130" t="s">
        <v>38</v>
      </c>
      <c r="D1053" s="162">
        <v>9103651004</v>
      </c>
      <c r="E1053" s="132">
        <v>42421</v>
      </c>
      <c r="F1053" s="132" t="s">
        <v>7427</v>
      </c>
      <c r="G1053" s="132" t="s">
        <v>1113</v>
      </c>
      <c r="H1053" s="130" t="s">
        <v>4491</v>
      </c>
      <c r="I1053" s="132" t="s">
        <v>40</v>
      </c>
      <c r="J1053" s="131" t="s">
        <v>4432</v>
      </c>
      <c r="K1053" s="132" t="s">
        <v>4433</v>
      </c>
      <c r="L1053" s="136">
        <v>5939662</v>
      </c>
      <c r="M1053" s="132">
        <v>42418</v>
      </c>
      <c r="N1053" s="136" t="s">
        <v>3741</v>
      </c>
      <c r="O1053" s="130" t="s">
        <v>4436</v>
      </c>
      <c r="P1053" s="136" t="s">
        <v>4492</v>
      </c>
      <c r="Q1053" s="130">
        <v>29051700</v>
      </c>
      <c r="R1053" s="136">
        <v>18.143999999999998</v>
      </c>
      <c r="S1053" s="130" t="s">
        <v>70</v>
      </c>
      <c r="T1053" s="136" t="s">
        <v>44</v>
      </c>
      <c r="U1053" s="136" t="s">
        <v>53</v>
      </c>
      <c r="V1053" s="136">
        <v>1262</v>
      </c>
      <c r="W1053" s="133">
        <f t="shared" si="48"/>
        <v>22897.727999999999</v>
      </c>
      <c r="X1053" s="136">
        <v>7.56</v>
      </c>
      <c r="Y1053" s="136">
        <v>1450</v>
      </c>
      <c r="Z1053" s="136">
        <v>0</v>
      </c>
      <c r="AA1053" s="136">
        <v>0</v>
      </c>
      <c r="AB1053" s="131"/>
      <c r="AC1053" s="134">
        <f t="shared" si="49"/>
        <v>21440.170029673587</v>
      </c>
      <c r="AD1053" s="135">
        <v>67.400000000000006</v>
      </c>
      <c r="AE1053" s="136">
        <f t="shared" si="50"/>
        <v>1543306.8672</v>
      </c>
      <c r="AF1053" s="137">
        <v>1445067.46</v>
      </c>
      <c r="AG1053" s="138">
        <v>67.400000000000006</v>
      </c>
      <c r="AH1053" s="136" t="s">
        <v>7641</v>
      </c>
      <c r="AI1053" s="136">
        <v>22897.73</v>
      </c>
      <c r="AJ1053" s="132" t="s">
        <v>7507</v>
      </c>
      <c r="AK1053" s="136" t="s">
        <v>7642</v>
      </c>
      <c r="AL1053" s="132" t="s">
        <v>7500</v>
      </c>
      <c r="AM1053" s="131" t="s">
        <v>49</v>
      </c>
      <c r="AN1053" s="136" t="s">
        <v>4440</v>
      </c>
    </row>
    <row r="1054" spans="1:40" s="129" customFormat="1" x14ac:dyDescent="0.25">
      <c r="A1054" s="130">
        <v>1053</v>
      </c>
      <c r="B1054" s="130" t="s">
        <v>4428</v>
      </c>
      <c r="C1054" s="130" t="s">
        <v>38</v>
      </c>
      <c r="D1054" s="162">
        <v>9103651005</v>
      </c>
      <c r="E1054" s="132">
        <v>42424</v>
      </c>
      <c r="F1054" s="132" t="s">
        <v>7427</v>
      </c>
      <c r="G1054" s="132" t="s">
        <v>1114</v>
      </c>
      <c r="H1054" s="130" t="s">
        <v>4491</v>
      </c>
      <c r="I1054" s="132" t="s">
        <v>40</v>
      </c>
      <c r="J1054" s="131" t="s">
        <v>4432</v>
      </c>
      <c r="K1054" s="132" t="s">
        <v>4433</v>
      </c>
      <c r="L1054" s="136">
        <v>5939665</v>
      </c>
      <c r="M1054" s="132">
        <v>42418</v>
      </c>
      <c r="N1054" s="136" t="s">
        <v>3741</v>
      </c>
      <c r="O1054" s="130" t="s">
        <v>4436</v>
      </c>
      <c r="P1054" s="136" t="s">
        <v>4492</v>
      </c>
      <c r="Q1054" s="130">
        <v>29051700</v>
      </c>
      <c r="R1054" s="136">
        <v>19.844999999999999</v>
      </c>
      <c r="S1054" s="130" t="s">
        <v>70</v>
      </c>
      <c r="T1054" s="136" t="s">
        <v>44</v>
      </c>
      <c r="U1054" s="136" t="s">
        <v>53</v>
      </c>
      <c r="V1054" s="136">
        <v>1439</v>
      </c>
      <c r="W1054" s="133">
        <f t="shared" si="48"/>
        <v>28556.954999999998</v>
      </c>
      <c r="X1054" s="136">
        <v>9.42</v>
      </c>
      <c r="Y1054" s="136">
        <v>1256</v>
      </c>
      <c r="Z1054" s="136">
        <v>0</v>
      </c>
      <c r="AA1054" s="136">
        <v>0</v>
      </c>
      <c r="AB1054" s="131">
        <v>42420</v>
      </c>
      <c r="AC1054" s="134">
        <f t="shared" si="49"/>
        <v>27291.539910979227</v>
      </c>
      <c r="AD1054" s="135">
        <v>67.400000000000006</v>
      </c>
      <c r="AE1054" s="136">
        <f t="shared" si="50"/>
        <v>1924738.767</v>
      </c>
      <c r="AF1054" s="137">
        <v>1839449.79</v>
      </c>
      <c r="AG1054" s="138">
        <v>67.900000000000006</v>
      </c>
      <c r="AH1054" s="136" t="s">
        <v>7643</v>
      </c>
      <c r="AI1054" s="136">
        <v>28521.66</v>
      </c>
      <c r="AJ1054" s="132" t="s">
        <v>7507</v>
      </c>
      <c r="AK1054" s="136" t="s">
        <v>7644</v>
      </c>
      <c r="AL1054" s="132" t="s">
        <v>7500</v>
      </c>
      <c r="AM1054" s="131" t="s">
        <v>49</v>
      </c>
      <c r="AN1054" s="133" t="s">
        <v>4440</v>
      </c>
    </row>
    <row r="1055" spans="1:40" s="129" customFormat="1" x14ac:dyDescent="0.25">
      <c r="A1055" s="136">
        <v>1054</v>
      </c>
      <c r="B1055" s="130" t="s">
        <v>4428</v>
      </c>
      <c r="C1055" s="130" t="s">
        <v>38</v>
      </c>
      <c r="D1055" s="162">
        <v>9103651006</v>
      </c>
      <c r="E1055" s="132">
        <v>42422</v>
      </c>
      <c r="F1055" s="132" t="s">
        <v>7427</v>
      </c>
      <c r="G1055" s="132" t="s">
        <v>2813</v>
      </c>
      <c r="H1055" s="130" t="s">
        <v>4431</v>
      </c>
      <c r="I1055" s="132" t="s">
        <v>40</v>
      </c>
      <c r="J1055" s="131" t="s">
        <v>4432</v>
      </c>
      <c r="K1055" s="132" t="s">
        <v>4433</v>
      </c>
      <c r="L1055" s="136">
        <v>5943118</v>
      </c>
      <c r="M1055" s="132">
        <v>42418</v>
      </c>
      <c r="N1055" s="136" t="s">
        <v>6676</v>
      </c>
      <c r="O1055" s="130" t="s">
        <v>4436</v>
      </c>
      <c r="P1055" s="136" t="s">
        <v>4465</v>
      </c>
      <c r="Q1055" s="130">
        <v>38237090</v>
      </c>
      <c r="R1055" s="136">
        <v>12</v>
      </c>
      <c r="S1055" s="130" t="s">
        <v>70</v>
      </c>
      <c r="T1055" s="136" t="s">
        <v>44</v>
      </c>
      <c r="U1055" s="136" t="s">
        <v>53</v>
      </c>
      <c r="V1055" s="136"/>
      <c r="W1055" s="133">
        <f t="shared" si="48"/>
        <v>0</v>
      </c>
      <c r="X1055" s="136"/>
      <c r="Y1055" s="136"/>
      <c r="Z1055" s="136"/>
      <c r="AA1055" s="136"/>
      <c r="AB1055" s="131"/>
      <c r="AC1055" s="134">
        <f t="shared" si="49"/>
        <v>46759.559940652813</v>
      </c>
      <c r="AD1055" s="135">
        <v>67.400000000000006</v>
      </c>
      <c r="AE1055" s="136">
        <f t="shared" si="50"/>
        <v>0</v>
      </c>
      <c r="AF1055" s="137">
        <v>3151594.34</v>
      </c>
      <c r="AG1055" s="138">
        <v>67.400000000000006</v>
      </c>
      <c r="AH1055" s="136" t="s">
        <v>7645</v>
      </c>
      <c r="AI1055" s="136">
        <v>46605</v>
      </c>
      <c r="AJ1055" s="132" t="s">
        <v>7646</v>
      </c>
      <c r="AK1055" s="136" t="s">
        <v>7647</v>
      </c>
      <c r="AL1055" s="132" t="s">
        <v>7648</v>
      </c>
      <c r="AM1055" s="131" t="s">
        <v>49</v>
      </c>
      <c r="AN1055" s="136" t="s">
        <v>4440</v>
      </c>
    </row>
    <row r="1056" spans="1:40" s="129" customFormat="1" x14ac:dyDescent="0.25">
      <c r="A1056" s="130">
        <v>1055</v>
      </c>
      <c r="B1056" s="130" t="s">
        <v>4428</v>
      </c>
      <c r="C1056" s="130" t="s">
        <v>38</v>
      </c>
      <c r="D1056" s="162">
        <v>9103651007</v>
      </c>
      <c r="E1056" s="132">
        <v>42424</v>
      </c>
      <c r="F1056" s="132" t="s">
        <v>7427</v>
      </c>
      <c r="G1056" s="132" t="s">
        <v>2814</v>
      </c>
      <c r="H1056" s="130" t="s">
        <v>4456</v>
      </c>
      <c r="I1056" s="132" t="s">
        <v>40</v>
      </c>
      <c r="J1056" s="131" t="s">
        <v>4432</v>
      </c>
      <c r="K1056" s="132" t="s">
        <v>4433</v>
      </c>
      <c r="L1056" s="136">
        <v>5943207</v>
      </c>
      <c r="M1056" s="132">
        <v>42418</v>
      </c>
      <c r="N1056" s="136" t="s">
        <v>4796</v>
      </c>
      <c r="O1056" s="130" t="s">
        <v>4436</v>
      </c>
      <c r="P1056" s="136" t="s">
        <v>243</v>
      </c>
      <c r="Q1056" s="130">
        <v>38237090</v>
      </c>
      <c r="R1056" s="136">
        <v>12</v>
      </c>
      <c r="S1056" s="130" t="s">
        <v>70</v>
      </c>
      <c r="T1056" s="136" t="s">
        <v>52</v>
      </c>
      <c r="U1056" s="136" t="s">
        <v>53</v>
      </c>
      <c r="V1056" s="136">
        <v>3815</v>
      </c>
      <c r="W1056" s="133">
        <f t="shared" si="48"/>
        <v>45780</v>
      </c>
      <c r="X1056" s="136">
        <v>0</v>
      </c>
      <c r="Y1056" s="136">
        <v>300</v>
      </c>
      <c r="Z1056" s="136">
        <v>0</v>
      </c>
      <c r="AA1056" s="136">
        <v>0</v>
      </c>
      <c r="AB1056" s="131">
        <v>42420</v>
      </c>
      <c r="AC1056" s="134">
        <f t="shared" si="49"/>
        <v>45479.999999999993</v>
      </c>
      <c r="AD1056" s="135">
        <v>67.400000000000006</v>
      </c>
      <c r="AE1056" s="136">
        <f t="shared" si="50"/>
        <v>3085572.0000000005</v>
      </c>
      <c r="AF1056" s="137">
        <v>3065352</v>
      </c>
      <c r="AG1056" s="138">
        <v>67.900000000000006</v>
      </c>
      <c r="AH1056" s="136" t="s">
        <v>7649</v>
      </c>
      <c r="AI1056" s="136">
        <v>45760</v>
      </c>
      <c r="AJ1056" s="132">
        <v>42496</v>
      </c>
      <c r="AK1056" s="136" t="s">
        <v>7650</v>
      </c>
      <c r="AL1056" s="132">
        <v>42497</v>
      </c>
      <c r="AM1056" s="131" t="s">
        <v>49</v>
      </c>
      <c r="AN1056" s="133" t="s">
        <v>4440</v>
      </c>
    </row>
    <row r="1057" spans="1:40" s="129" customFormat="1" x14ac:dyDescent="0.25">
      <c r="A1057" s="136">
        <v>1056</v>
      </c>
      <c r="B1057" s="130" t="s">
        <v>4428</v>
      </c>
      <c r="C1057" s="130" t="s">
        <v>38</v>
      </c>
      <c r="D1057" s="162">
        <v>9103651008</v>
      </c>
      <c r="E1057" s="132">
        <v>42423</v>
      </c>
      <c r="F1057" s="132" t="s">
        <v>7427</v>
      </c>
      <c r="G1057" s="132" t="s">
        <v>2816</v>
      </c>
      <c r="H1057" s="130" t="s">
        <v>5712</v>
      </c>
      <c r="I1057" s="132" t="s">
        <v>40</v>
      </c>
      <c r="J1057" s="131" t="s">
        <v>4432</v>
      </c>
      <c r="K1057" s="132" t="s">
        <v>4433</v>
      </c>
      <c r="L1057" s="136">
        <v>5953487</v>
      </c>
      <c r="M1057" s="132">
        <v>42419</v>
      </c>
      <c r="N1057" s="136" t="s">
        <v>6642</v>
      </c>
      <c r="O1057" s="130" t="s">
        <v>4436</v>
      </c>
      <c r="P1057" s="136" t="s">
        <v>2958</v>
      </c>
      <c r="Q1057" s="130">
        <v>38237090</v>
      </c>
      <c r="R1057" s="136">
        <v>16</v>
      </c>
      <c r="S1057" s="130" t="s">
        <v>70</v>
      </c>
      <c r="T1057" s="136" t="s">
        <v>67</v>
      </c>
      <c r="U1057" s="136" t="s">
        <v>53</v>
      </c>
      <c r="V1057" s="136">
        <v>1200</v>
      </c>
      <c r="W1057" s="133">
        <f t="shared" si="48"/>
        <v>19200</v>
      </c>
      <c r="X1057" s="136">
        <v>0</v>
      </c>
      <c r="Y1057" s="136">
        <v>0</v>
      </c>
      <c r="Z1057" s="136">
        <v>0</v>
      </c>
      <c r="AA1057" s="136">
        <v>0</v>
      </c>
      <c r="AB1057" s="131">
        <v>42420</v>
      </c>
      <c r="AC1057" s="134">
        <f t="shared" si="49"/>
        <v>19200</v>
      </c>
      <c r="AD1057" s="135">
        <v>67.900000000000006</v>
      </c>
      <c r="AE1057" s="136">
        <f t="shared" si="50"/>
        <v>1303680</v>
      </c>
      <c r="AF1057" s="137">
        <v>1303680</v>
      </c>
      <c r="AG1057" s="138">
        <v>67.900000000000006</v>
      </c>
      <c r="AH1057" s="136" t="s">
        <v>7651</v>
      </c>
      <c r="AI1057" s="136">
        <v>19136</v>
      </c>
      <c r="AJ1057" s="132">
        <v>42490</v>
      </c>
      <c r="AK1057" s="136" t="s">
        <v>7652</v>
      </c>
      <c r="AL1057" s="132">
        <v>42492</v>
      </c>
      <c r="AM1057" s="131" t="s">
        <v>49</v>
      </c>
      <c r="AN1057" s="133" t="s">
        <v>4440</v>
      </c>
    </row>
    <row r="1058" spans="1:40" s="129" customFormat="1" x14ac:dyDescent="0.25">
      <c r="A1058" s="130">
        <v>1057</v>
      </c>
      <c r="B1058" s="130" t="s">
        <v>4428</v>
      </c>
      <c r="C1058" s="130" t="s">
        <v>38</v>
      </c>
      <c r="D1058" s="162">
        <v>9103651009</v>
      </c>
      <c r="E1058" s="132">
        <v>42422</v>
      </c>
      <c r="F1058" s="132" t="s">
        <v>7427</v>
      </c>
      <c r="G1058" s="132" t="s">
        <v>1109</v>
      </c>
      <c r="H1058" s="130" t="s">
        <v>4431</v>
      </c>
      <c r="I1058" s="132" t="s">
        <v>40</v>
      </c>
      <c r="J1058" s="131" t="s">
        <v>4432</v>
      </c>
      <c r="K1058" s="132" t="s">
        <v>4433</v>
      </c>
      <c r="L1058" s="136">
        <v>5919654</v>
      </c>
      <c r="M1058" s="132">
        <v>42417</v>
      </c>
      <c r="N1058" s="136" t="s">
        <v>5666</v>
      </c>
      <c r="O1058" s="130" t="s">
        <v>4436</v>
      </c>
      <c r="P1058" s="136" t="s">
        <v>361</v>
      </c>
      <c r="Q1058" s="130">
        <v>38237090</v>
      </c>
      <c r="R1058" s="136">
        <v>168.28</v>
      </c>
      <c r="S1058" s="130" t="s">
        <v>70</v>
      </c>
      <c r="T1058" s="136" t="s">
        <v>52</v>
      </c>
      <c r="U1058" s="136" t="s">
        <v>1117</v>
      </c>
      <c r="V1058" s="136">
        <v>83388</v>
      </c>
      <c r="W1058" s="133">
        <f t="shared" si="48"/>
        <v>14032532.640000001</v>
      </c>
      <c r="X1058" s="136">
        <v>0</v>
      </c>
      <c r="Y1058" s="136">
        <v>403389</v>
      </c>
      <c r="Z1058" s="136">
        <v>0</v>
      </c>
      <c r="AA1058" s="136">
        <v>573498.24</v>
      </c>
      <c r="AB1058" s="131">
        <v>42418</v>
      </c>
      <c r="AC1058" s="134">
        <f t="shared" si="49"/>
        <v>13629143.640000001</v>
      </c>
      <c r="AD1058" s="135">
        <v>1</v>
      </c>
      <c r="AE1058" s="136">
        <f t="shared" si="50"/>
        <v>14032532.640000001</v>
      </c>
      <c r="AF1058" s="130">
        <v>13629143.640000001</v>
      </c>
      <c r="AG1058" s="138">
        <v>1</v>
      </c>
      <c r="AH1058" s="136" t="s">
        <v>7653</v>
      </c>
      <c r="AI1058" s="136">
        <v>14032532.640000001</v>
      </c>
      <c r="AJ1058" s="132">
        <v>42440</v>
      </c>
      <c r="AK1058" s="136" t="s">
        <v>7654</v>
      </c>
      <c r="AL1058" s="132">
        <v>42443</v>
      </c>
      <c r="AM1058" s="131" t="s">
        <v>49</v>
      </c>
      <c r="AN1058" s="133" t="s">
        <v>4440</v>
      </c>
    </row>
    <row r="1059" spans="1:40" s="129" customFormat="1" x14ac:dyDescent="0.25">
      <c r="A1059" s="136">
        <v>1058</v>
      </c>
      <c r="B1059" s="130" t="s">
        <v>4428</v>
      </c>
      <c r="C1059" s="130" t="s">
        <v>38</v>
      </c>
      <c r="D1059" s="162">
        <v>9103651010</v>
      </c>
      <c r="E1059" s="132">
        <v>42422</v>
      </c>
      <c r="F1059" s="132" t="s">
        <v>7427</v>
      </c>
      <c r="G1059" s="132" t="s">
        <v>1112</v>
      </c>
      <c r="H1059" s="130" t="s">
        <v>4431</v>
      </c>
      <c r="I1059" s="132" t="s">
        <v>40</v>
      </c>
      <c r="J1059" s="131" t="s">
        <v>4432</v>
      </c>
      <c r="K1059" s="132" t="s">
        <v>4433</v>
      </c>
      <c r="L1059" s="136">
        <v>5936687</v>
      </c>
      <c r="M1059" s="132">
        <v>42418</v>
      </c>
      <c r="N1059" s="136" t="s">
        <v>5666</v>
      </c>
      <c r="O1059" s="130" t="s">
        <v>4436</v>
      </c>
      <c r="P1059" s="136" t="s">
        <v>361</v>
      </c>
      <c r="Q1059" s="130">
        <v>38237090</v>
      </c>
      <c r="R1059" s="136">
        <v>37.729999999999997</v>
      </c>
      <c r="S1059" s="130" t="s">
        <v>70</v>
      </c>
      <c r="T1059" s="136" t="s">
        <v>52</v>
      </c>
      <c r="U1059" s="136" t="s">
        <v>1117</v>
      </c>
      <c r="V1059" s="136">
        <v>83388</v>
      </c>
      <c r="W1059" s="133">
        <f t="shared" si="48"/>
        <v>3146229.2399999998</v>
      </c>
      <c r="X1059" s="136">
        <v>0</v>
      </c>
      <c r="Y1059" s="136">
        <v>89642</v>
      </c>
      <c r="Z1059" s="136">
        <v>0</v>
      </c>
      <c r="AA1059" s="136">
        <v>128583.84</v>
      </c>
      <c r="AB1059" s="131">
        <v>42419</v>
      </c>
      <c r="AC1059" s="134">
        <f t="shared" si="49"/>
        <v>3056587.24</v>
      </c>
      <c r="AD1059" s="135">
        <v>1</v>
      </c>
      <c r="AE1059" s="136">
        <f t="shared" si="50"/>
        <v>3146229.2399999998</v>
      </c>
      <c r="AF1059" s="130">
        <v>3056587.24</v>
      </c>
      <c r="AG1059" s="138">
        <v>1</v>
      </c>
      <c r="AH1059" s="136" t="s">
        <v>7653</v>
      </c>
      <c r="AI1059" s="136">
        <v>3125688.87</v>
      </c>
      <c r="AJ1059" s="132">
        <v>42440</v>
      </c>
      <c r="AK1059" s="136" t="s">
        <v>7655</v>
      </c>
      <c r="AL1059" s="132">
        <v>42443</v>
      </c>
      <c r="AM1059" s="131" t="s">
        <v>49</v>
      </c>
      <c r="AN1059" s="133" t="s">
        <v>4440</v>
      </c>
    </row>
    <row r="1060" spans="1:40" s="129" customFormat="1" x14ac:dyDescent="0.25">
      <c r="A1060" s="130">
        <v>1059</v>
      </c>
      <c r="B1060" s="130" t="s">
        <v>4428</v>
      </c>
      <c r="C1060" s="130" t="s">
        <v>38</v>
      </c>
      <c r="D1060" s="162">
        <v>9103651011</v>
      </c>
      <c r="E1060" s="132">
        <v>42422</v>
      </c>
      <c r="F1060" s="132" t="s">
        <v>7427</v>
      </c>
      <c r="G1060" s="132" t="s">
        <v>2815</v>
      </c>
      <c r="H1060" s="130" t="s">
        <v>4431</v>
      </c>
      <c r="I1060" s="132" t="s">
        <v>40</v>
      </c>
      <c r="J1060" s="131" t="s">
        <v>4432</v>
      </c>
      <c r="K1060" s="132" t="s">
        <v>4433</v>
      </c>
      <c r="L1060" s="136">
        <v>5946047</v>
      </c>
      <c r="M1060" s="132">
        <v>42418</v>
      </c>
      <c r="N1060" s="136" t="s">
        <v>5666</v>
      </c>
      <c r="O1060" s="130" t="s">
        <v>4436</v>
      </c>
      <c r="P1060" s="136" t="s">
        <v>361</v>
      </c>
      <c r="Q1060" s="130">
        <v>38237090</v>
      </c>
      <c r="R1060" s="136">
        <v>204.68</v>
      </c>
      <c r="S1060" s="130" t="s">
        <v>70</v>
      </c>
      <c r="T1060" s="136" t="s">
        <v>52</v>
      </c>
      <c r="U1060" s="136" t="s">
        <v>1117</v>
      </c>
      <c r="V1060" s="136">
        <v>83388</v>
      </c>
      <c r="W1060" s="133">
        <f t="shared" si="48"/>
        <v>17067855.84</v>
      </c>
      <c r="X1060" s="136">
        <v>0</v>
      </c>
      <c r="Y1060" s="136">
        <v>493031</v>
      </c>
      <c r="Z1060" s="136">
        <v>0</v>
      </c>
      <c r="AA1060" s="136">
        <v>697549.44</v>
      </c>
      <c r="AB1060" s="131">
        <v>42419</v>
      </c>
      <c r="AC1060" s="134">
        <f t="shared" si="49"/>
        <v>16574824.84</v>
      </c>
      <c r="AD1060" s="135">
        <v>1</v>
      </c>
      <c r="AE1060" s="136">
        <f t="shared" si="50"/>
        <v>17067855.84</v>
      </c>
      <c r="AF1060" s="130">
        <v>16574824.84</v>
      </c>
      <c r="AG1060" s="138">
        <v>1</v>
      </c>
      <c r="AH1060" s="136" t="s">
        <v>7656</v>
      </c>
      <c r="AI1060" s="136">
        <v>17047426.379999999</v>
      </c>
      <c r="AJ1060" s="132">
        <v>42440</v>
      </c>
      <c r="AK1060" s="136" t="s">
        <v>7657</v>
      </c>
      <c r="AL1060" s="132">
        <v>42443</v>
      </c>
      <c r="AM1060" s="131" t="s">
        <v>49</v>
      </c>
      <c r="AN1060" s="133" t="s">
        <v>4440</v>
      </c>
    </row>
    <row r="1061" spans="1:40" s="129" customFormat="1" x14ac:dyDescent="0.25">
      <c r="A1061" s="136">
        <v>1060</v>
      </c>
      <c r="B1061" s="130" t="s">
        <v>4428</v>
      </c>
      <c r="C1061" s="130" t="s">
        <v>38</v>
      </c>
      <c r="D1061" s="162">
        <v>9103651012</v>
      </c>
      <c r="E1061" s="132">
        <v>42426</v>
      </c>
      <c r="F1061" s="132" t="s">
        <v>7427</v>
      </c>
      <c r="G1061" s="132" t="s">
        <v>2817</v>
      </c>
      <c r="H1061" s="130" t="s">
        <v>7658</v>
      </c>
      <c r="I1061" s="132" t="s">
        <v>40</v>
      </c>
      <c r="J1061" s="131" t="s">
        <v>4432</v>
      </c>
      <c r="K1061" s="132" t="s">
        <v>4433</v>
      </c>
      <c r="L1061" s="136">
        <v>5953431</v>
      </c>
      <c r="M1061" s="164" t="s">
        <v>7659</v>
      </c>
      <c r="N1061" s="136" t="s">
        <v>5162</v>
      </c>
      <c r="O1061" s="130" t="s">
        <v>4436</v>
      </c>
      <c r="P1061" s="136" t="s">
        <v>6722</v>
      </c>
      <c r="Q1061" s="130">
        <v>38237090</v>
      </c>
      <c r="R1061" s="136">
        <v>16</v>
      </c>
      <c r="S1061" s="130" t="s">
        <v>70</v>
      </c>
      <c r="T1061" s="136" t="s">
        <v>44</v>
      </c>
      <c r="U1061" s="136" t="s">
        <v>53</v>
      </c>
      <c r="V1061" s="136">
        <v>1185</v>
      </c>
      <c r="W1061" s="133">
        <f t="shared" si="48"/>
        <v>18960</v>
      </c>
      <c r="X1061" s="136">
        <v>6.26</v>
      </c>
      <c r="Y1061" s="136">
        <v>56</v>
      </c>
      <c r="Z1061" s="136">
        <v>0</v>
      </c>
      <c r="AA1061" s="136">
        <v>0</v>
      </c>
      <c r="AB1061" s="131">
        <v>42055</v>
      </c>
      <c r="AC1061" s="134">
        <f t="shared" si="49"/>
        <v>18897.74005891016</v>
      </c>
      <c r="AD1061" s="135">
        <v>67.900000000000006</v>
      </c>
      <c r="AE1061" s="136">
        <f t="shared" si="50"/>
        <v>1287384</v>
      </c>
      <c r="AF1061" s="137">
        <v>1283156.55</v>
      </c>
      <c r="AG1061" s="138">
        <v>67.900000000000006</v>
      </c>
      <c r="AH1061" s="136" t="s">
        <v>7660</v>
      </c>
      <c r="AI1061" s="136">
        <v>18899.5</v>
      </c>
      <c r="AJ1061" s="132" t="s">
        <v>7549</v>
      </c>
      <c r="AK1061" s="136" t="s">
        <v>7661</v>
      </c>
      <c r="AL1061" s="132" t="s">
        <v>7551</v>
      </c>
      <c r="AM1061" s="131" t="s">
        <v>49</v>
      </c>
      <c r="AN1061" s="133" t="s">
        <v>4440</v>
      </c>
    </row>
    <row r="1062" spans="1:40" s="129" customFormat="1" x14ac:dyDescent="0.25">
      <c r="A1062" s="130">
        <v>1061</v>
      </c>
      <c r="B1062" s="130" t="s">
        <v>4428</v>
      </c>
      <c r="C1062" s="130" t="s">
        <v>38</v>
      </c>
      <c r="D1062" s="162">
        <v>9103651013</v>
      </c>
      <c r="E1062" s="132">
        <v>42426</v>
      </c>
      <c r="F1062" s="132" t="s">
        <v>7427</v>
      </c>
      <c r="G1062" s="132" t="s">
        <v>2820</v>
      </c>
      <c r="H1062" s="130" t="s">
        <v>7658</v>
      </c>
      <c r="I1062" s="132" t="s">
        <v>40</v>
      </c>
      <c r="J1062" s="131" t="s">
        <v>4432</v>
      </c>
      <c r="K1062" s="132" t="s">
        <v>4433</v>
      </c>
      <c r="L1062" s="163">
        <v>5964149</v>
      </c>
      <c r="M1062" s="132">
        <v>42419</v>
      </c>
      <c r="N1062" s="136" t="s">
        <v>4622</v>
      </c>
      <c r="O1062" s="130" t="s">
        <v>4436</v>
      </c>
      <c r="P1062" s="136" t="s">
        <v>188</v>
      </c>
      <c r="Q1062" s="130">
        <v>29159090</v>
      </c>
      <c r="R1062" s="136">
        <v>12</v>
      </c>
      <c r="S1062" s="130" t="s">
        <v>70</v>
      </c>
      <c r="T1062" s="136" t="s">
        <v>44</v>
      </c>
      <c r="U1062" s="136" t="s">
        <v>53</v>
      </c>
      <c r="V1062" s="136">
        <v>3600</v>
      </c>
      <c r="W1062" s="133">
        <f t="shared" si="48"/>
        <v>43200</v>
      </c>
      <c r="X1062" s="136"/>
      <c r="Y1062" s="136"/>
      <c r="Z1062" s="136"/>
      <c r="AA1062" s="136"/>
      <c r="AB1062" s="131"/>
      <c r="AC1062" s="134">
        <f t="shared" si="49"/>
        <v>41485.74005891016</v>
      </c>
      <c r="AD1062" s="135">
        <v>67.900000000000006</v>
      </c>
      <c r="AE1062" s="136">
        <f t="shared" si="50"/>
        <v>2933280.0000000005</v>
      </c>
      <c r="AF1062" s="137">
        <v>2816881.75</v>
      </c>
      <c r="AG1062" s="138">
        <v>67.900000000000006</v>
      </c>
      <c r="AH1062" s="136" t="s">
        <v>7662</v>
      </c>
      <c r="AI1062" s="136">
        <v>43165.5</v>
      </c>
      <c r="AJ1062" s="132">
        <v>42490</v>
      </c>
      <c r="AK1062" s="136" t="s">
        <v>7663</v>
      </c>
      <c r="AL1062" s="132">
        <v>42492</v>
      </c>
      <c r="AM1062" s="131" t="s">
        <v>49</v>
      </c>
      <c r="AN1062" s="136" t="s">
        <v>4440</v>
      </c>
    </row>
    <row r="1063" spans="1:40" s="129" customFormat="1" x14ac:dyDescent="0.25">
      <c r="A1063" s="136">
        <v>1062</v>
      </c>
      <c r="B1063" s="130" t="s">
        <v>4428</v>
      </c>
      <c r="C1063" s="130" t="s">
        <v>38</v>
      </c>
      <c r="D1063" s="162">
        <v>9103651015</v>
      </c>
      <c r="E1063" s="132">
        <v>42426</v>
      </c>
      <c r="F1063" s="132" t="s">
        <v>7427</v>
      </c>
      <c r="G1063" s="132" t="s">
        <v>2822</v>
      </c>
      <c r="H1063" s="130" t="s">
        <v>5373</v>
      </c>
      <c r="I1063" s="132" t="s">
        <v>40</v>
      </c>
      <c r="J1063" s="131" t="s">
        <v>4432</v>
      </c>
      <c r="K1063" s="132" t="s">
        <v>4433</v>
      </c>
      <c r="L1063" s="163">
        <v>5979032</v>
      </c>
      <c r="M1063" s="132">
        <v>42420</v>
      </c>
      <c r="N1063" s="136" t="s">
        <v>4826</v>
      </c>
      <c r="O1063" s="130" t="s">
        <v>4436</v>
      </c>
      <c r="P1063" s="136" t="s">
        <v>90</v>
      </c>
      <c r="Q1063" s="130">
        <v>38237090</v>
      </c>
      <c r="R1063" s="136">
        <v>24</v>
      </c>
      <c r="S1063" s="130" t="s">
        <v>70</v>
      </c>
      <c r="T1063" s="136" t="s">
        <v>52</v>
      </c>
      <c r="U1063" s="136" t="s">
        <v>53</v>
      </c>
      <c r="V1063" s="136">
        <v>1387</v>
      </c>
      <c r="W1063" s="133">
        <f t="shared" si="48"/>
        <v>33288</v>
      </c>
      <c r="X1063" s="136"/>
      <c r="Y1063" s="136"/>
      <c r="Z1063" s="136"/>
      <c r="AA1063" s="136"/>
      <c r="AB1063" s="131"/>
      <c r="AC1063" s="134">
        <f t="shared" si="49"/>
        <v>32725.999999999996</v>
      </c>
      <c r="AD1063" s="135">
        <v>67.900000000000006</v>
      </c>
      <c r="AE1063" s="136">
        <f t="shared" si="50"/>
        <v>2260255.2000000002</v>
      </c>
      <c r="AF1063" s="137">
        <v>2222095.4</v>
      </c>
      <c r="AG1063" s="138">
        <v>67.900000000000006</v>
      </c>
      <c r="AH1063" s="136" t="s">
        <v>7664</v>
      </c>
      <c r="AI1063" s="136">
        <v>33168</v>
      </c>
      <c r="AJ1063" s="132">
        <v>42487</v>
      </c>
      <c r="AK1063" s="136" t="s">
        <v>7665</v>
      </c>
      <c r="AL1063" s="132">
        <v>42488</v>
      </c>
      <c r="AM1063" s="131" t="s">
        <v>49</v>
      </c>
      <c r="AN1063" s="136" t="s">
        <v>4440</v>
      </c>
    </row>
    <row r="1064" spans="1:40" s="129" customFormat="1" x14ac:dyDescent="0.25">
      <c r="A1064" s="130">
        <v>1063</v>
      </c>
      <c r="B1064" s="130" t="s">
        <v>4428</v>
      </c>
      <c r="C1064" s="130" t="s">
        <v>38</v>
      </c>
      <c r="D1064" s="162">
        <v>9103651016</v>
      </c>
      <c r="E1064" s="132">
        <v>42427</v>
      </c>
      <c r="F1064" s="132" t="s">
        <v>7427</v>
      </c>
      <c r="G1064" s="132" t="s">
        <v>2827</v>
      </c>
      <c r="H1064" s="130" t="s">
        <v>4456</v>
      </c>
      <c r="I1064" s="132" t="s">
        <v>40</v>
      </c>
      <c r="J1064" s="131" t="s">
        <v>4432</v>
      </c>
      <c r="K1064" s="132" t="s">
        <v>4433</v>
      </c>
      <c r="L1064" s="163">
        <v>6012096</v>
      </c>
      <c r="M1064" s="132">
        <v>42422</v>
      </c>
      <c r="N1064" s="136" t="s">
        <v>4527</v>
      </c>
      <c r="O1064" s="130" t="s">
        <v>4436</v>
      </c>
      <c r="P1064" s="136" t="s">
        <v>59</v>
      </c>
      <c r="Q1064" s="130" t="s">
        <v>4645</v>
      </c>
      <c r="R1064" s="136">
        <v>11.600000000000001</v>
      </c>
      <c r="S1064" s="130" t="s">
        <v>70</v>
      </c>
      <c r="T1064" s="136" t="s">
        <v>52</v>
      </c>
      <c r="U1064" s="136" t="s">
        <v>53</v>
      </c>
      <c r="V1064" s="136">
        <v>0</v>
      </c>
      <c r="W1064" s="133">
        <f>(7.8*1320+3.8*1280)</f>
        <v>15160</v>
      </c>
      <c r="X1064" s="136">
        <v>0</v>
      </c>
      <c r="Y1064" s="136">
        <v>150</v>
      </c>
      <c r="Z1064" s="136">
        <v>0</v>
      </c>
      <c r="AA1064" s="136">
        <v>0</v>
      </c>
      <c r="AB1064" s="131"/>
      <c r="AC1064" s="134">
        <f t="shared" si="49"/>
        <v>15009.999999999998</v>
      </c>
      <c r="AD1064" s="135">
        <v>67.900000000000006</v>
      </c>
      <c r="AE1064" s="136">
        <f t="shared" si="50"/>
        <v>1029364.0000000001</v>
      </c>
      <c r="AF1064" s="137">
        <v>1019179</v>
      </c>
      <c r="AG1064" s="138">
        <v>67.900000000000006</v>
      </c>
      <c r="AH1064" s="136" t="s">
        <v>7666</v>
      </c>
      <c r="AI1064" s="136">
        <v>15150</v>
      </c>
      <c r="AJ1064" s="132">
        <v>42487</v>
      </c>
      <c r="AK1064" s="136" t="s">
        <v>7667</v>
      </c>
      <c r="AL1064" s="132">
        <v>42487</v>
      </c>
      <c r="AM1064" s="131" t="s">
        <v>49</v>
      </c>
      <c r="AN1064" s="136" t="s">
        <v>4440</v>
      </c>
    </row>
    <row r="1065" spans="1:40" s="129" customFormat="1" x14ac:dyDescent="0.25">
      <c r="A1065" s="136">
        <v>1064</v>
      </c>
      <c r="B1065" s="130" t="s">
        <v>4428</v>
      </c>
      <c r="C1065" s="130" t="s">
        <v>38</v>
      </c>
      <c r="D1065" s="162">
        <v>9103651017</v>
      </c>
      <c r="E1065" s="132">
        <v>42426</v>
      </c>
      <c r="F1065" s="132" t="s">
        <v>7427</v>
      </c>
      <c r="G1065" s="132" t="s">
        <v>2828</v>
      </c>
      <c r="H1065" s="130" t="s">
        <v>4556</v>
      </c>
      <c r="I1065" s="132" t="s">
        <v>40</v>
      </c>
      <c r="J1065" s="131" t="s">
        <v>4432</v>
      </c>
      <c r="K1065" s="132" t="s">
        <v>4433</v>
      </c>
      <c r="L1065" s="163">
        <v>6012428</v>
      </c>
      <c r="M1065" s="132">
        <v>42422</v>
      </c>
      <c r="N1065" s="136" t="s">
        <v>4557</v>
      </c>
      <c r="O1065" s="130" t="s">
        <v>4436</v>
      </c>
      <c r="P1065" s="136" t="s">
        <v>137</v>
      </c>
      <c r="Q1065" s="130">
        <v>38237090</v>
      </c>
      <c r="R1065" s="136">
        <v>30.12</v>
      </c>
      <c r="S1065" s="130" t="s">
        <v>70</v>
      </c>
      <c r="T1065" s="136" t="s">
        <v>52</v>
      </c>
      <c r="U1065" s="136" t="s">
        <v>53</v>
      </c>
      <c r="V1065" s="136"/>
      <c r="W1065" s="133">
        <f>(28.125*1365+2*1415)</f>
        <v>41220.625</v>
      </c>
      <c r="X1065" s="136"/>
      <c r="Y1065" s="136"/>
      <c r="Z1065" s="136"/>
      <c r="AA1065" s="136"/>
      <c r="AB1065" s="131"/>
      <c r="AC1065" s="134">
        <f t="shared" si="49"/>
        <v>40540.630044182617</v>
      </c>
      <c r="AD1065" s="135">
        <v>67.900000000000006</v>
      </c>
      <c r="AE1065" s="136">
        <f t="shared" si="50"/>
        <v>2798880.4375000005</v>
      </c>
      <c r="AF1065" s="137">
        <v>2752708.78</v>
      </c>
      <c r="AG1065" s="138">
        <v>67.900000000000006</v>
      </c>
      <c r="AH1065" s="136" t="s">
        <v>7668</v>
      </c>
      <c r="AI1065" s="136">
        <v>41185.629999999997</v>
      </c>
      <c r="AJ1065" s="132">
        <v>42489</v>
      </c>
      <c r="AK1065" s="136" t="s">
        <v>7669</v>
      </c>
      <c r="AL1065" s="132">
        <v>42490</v>
      </c>
      <c r="AM1065" s="131" t="s">
        <v>49</v>
      </c>
      <c r="AN1065" s="136" t="s">
        <v>4440</v>
      </c>
    </row>
    <row r="1066" spans="1:40" s="129" customFormat="1" x14ac:dyDescent="0.25">
      <c r="A1066" s="130">
        <v>1065</v>
      </c>
      <c r="B1066" s="130" t="s">
        <v>4428</v>
      </c>
      <c r="C1066" s="130" t="s">
        <v>38</v>
      </c>
      <c r="D1066" s="162">
        <v>9103651020</v>
      </c>
      <c r="E1066" s="132">
        <v>42426</v>
      </c>
      <c r="F1066" s="132" t="s">
        <v>7427</v>
      </c>
      <c r="G1066" s="132" t="s">
        <v>2823</v>
      </c>
      <c r="H1066" s="130" t="s">
        <v>4491</v>
      </c>
      <c r="I1066" s="132" t="s">
        <v>40</v>
      </c>
      <c r="J1066" s="131" t="s">
        <v>4432</v>
      </c>
      <c r="K1066" s="132" t="s">
        <v>4433</v>
      </c>
      <c r="L1066" s="163">
        <v>6008193</v>
      </c>
      <c r="M1066" s="132">
        <v>42422</v>
      </c>
      <c r="N1066" s="136" t="s">
        <v>4858</v>
      </c>
      <c r="O1066" s="130" t="s">
        <v>4436</v>
      </c>
      <c r="P1066" s="136" t="s">
        <v>54</v>
      </c>
      <c r="Q1066" s="130">
        <v>38237090</v>
      </c>
      <c r="R1066" s="136">
        <v>24</v>
      </c>
      <c r="S1066" s="130" t="s">
        <v>70</v>
      </c>
      <c r="T1066" s="136" t="s">
        <v>44</v>
      </c>
      <c r="U1066" s="136" t="s">
        <v>53</v>
      </c>
      <c r="V1066" s="136">
        <v>3700</v>
      </c>
      <c r="W1066" s="133">
        <f t="shared" si="48"/>
        <v>88800</v>
      </c>
      <c r="X1066" s="136"/>
      <c r="Y1066" s="136"/>
      <c r="Z1066" s="136"/>
      <c r="AA1066" s="136"/>
      <c r="AB1066" s="131"/>
      <c r="AC1066" s="134">
        <f t="shared" si="49"/>
        <v>88600.7</v>
      </c>
      <c r="AD1066" s="135">
        <v>67.900000000000006</v>
      </c>
      <c r="AE1066" s="136">
        <f t="shared" si="50"/>
        <v>6029520.0000000009</v>
      </c>
      <c r="AF1066" s="137">
        <v>6015987.5300000003</v>
      </c>
      <c r="AG1066" s="138">
        <v>67.900000000000006</v>
      </c>
      <c r="AH1066" s="136" t="s">
        <v>7670</v>
      </c>
      <c r="AI1066" s="136">
        <v>88800</v>
      </c>
      <c r="AJ1066" s="132">
        <v>42517</v>
      </c>
      <c r="AK1066" s="136" t="s">
        <v>7671</v>
      </c>
      <c r="AL1066" s="132" t="s">
        <v>7672</v>
      </c>
      <c r="AM1066" s="131" t="s">
        <v>49</v>
      </c>
      <c r="AN1066" s="136" t="s">
        <v>4440</v>
      </c>
    </row>
    <row r="1067" spans="1:40" s="129" customFormat="1" x14ac:dyDescent="0.25">
      <c r="A1067" s="136">
        <v>1066</v>
      </c>
      <c r="B1067" s="130" t="s">
        <v>4428</v>
      </c>
      <c r="C1067" s="130" t="s">
        <v>38</v>
      </c>
      <c r="D1067" s="162" t="s">
        <v>7673</v>
      </c>
      <c r="E1067" s="132">
        <v>42427</v>
      </c>
      <c r="F1067" s="132" t="s">
        <v>7427</v>
      </c>
      <c r="G1067" s="132" t="s">
        <v>2830</v>
      </c>
      <c r="H1067" s="130" t="s">
        <v>4564</v>
      </c>
      <c r="I1067" s="132" t="s">
        <v>40</v>
      </c>
      <c r="J1067" s="131" t="s">
        <v>4432</v>
      </c>
      <c r="K1067" s="132" t="s">
        <v>4433</v>
      </c>
      <c r="L1067" s="136">
        <v>6038088</v>
      </c>
      <c r="M1067" s="132">
        <v>42423</v>
      </c>
      <c r="N1067" s="136" t="s">
        <v>5306</v>
      </c>
      <c r="O1067" s="130" t="s">
        <v>4436</v>
      </c>
      <c r="P1067" s="136" t="s">
        <v>690</v>
      </c>
      <c r="Q1067" s="130" t="s">
        <v>6194</v>
      </c>
      <c r="R1067" s="136">
        <v>16</v>
      </c>
      <c r="S1067" s="130" t="s">
        <v>70</v>
      </c>
      <c r="T1067" s="136" t="s">
        <v>52</v>
      </c>
      <c r="U1067" s="136" t="s">
        <v>53</v>
      </c>
      <c r="V1067" s="136">
        <v>0</v>
      </c>
      <c r="W1067" s="133">
        <f>(10*1274+6*1324)</f>
        <v>20684</v>
      </c>
      <c r="X1067" s="136">
        <v>0</v>
      </c>
      <c r="Y1067" s="136">
        <v>675</v>
      </c>
      <c r="Z1067" s="136">
        <v>0</v>
      </c>
      <c r="AA1067" s="136">
        <v>0</v>
      </c>
      <c r="AB1067" s="131">
        <v>42425</v>
      </c>
      <c r="AC1067" s="134">
        <f t="shared" si="49"/>
        <v>20009</v>
      </c>
      <c r="AD1067" s="135">
        <v>67.900000000000006</v>
      </c>
      <c r="AE1067" s="136">
        <f t="shared" si="50"/>
        <v>1404443.6</v>
      </c>
      <c r="AF1067" s="137">
        <v>1358611.1</v>
      </c>
      <c r="AG1067" s="138">
        <v>67.900000000000006</v>
      </c>
      <c r="AH1067" s="136" t="s">
        <v>7674</v>
      </c>
      <c r="AI1067" s="136">
        <v>20637.2</v>
      </c>
      <c r="AJ1067" s="132">
        <v>42473</v>
      </c>
      <c r="AK1067" s="136" t="s">
        <v>7675</v>
      </c>
      <c r="AL1067" s="132">
        <v>42482</v>
      </c>
      <c r="AM1067" s="132" t="s">
        <v>49</v>
      </c>
      <c r="AN1067" s="136" t="s">
        <v>4440</v>
      </c>
    </row>
    <row r="1068" spans="1:40" s="129" customFormat="1" x14ac:dyDescent="0.25">
      <c r="A1068" s="130">
        <v>1067</v>
      </c>
      <c r="B1068" s="130" t="s">
        <v>4428</v>
      </c>
      <c r="C1068" s="130" t="s">
        <v>38</v>
      </c>
      <c r="D1068" s="162">
        <v>9103651024</v>
      </c>
      <c r="E1068" s="132">
        <v>42426</v>
      </c>
      <c r="F1068" s="132" t="s">
        <v>7427</v>
      </c>
      <c r="G1068" s="132" t="s">
        <v>2819</v>
      </c>
      <c r="H1068" s="130" t="s">
        <v>4456</v>
      </c>
      <c r="I1068" s="132" t="s">
        <v>40</v>
      </c>
      <c r="J1068" s="131" t="s">
        <v>4432</v>
      </c>
      <c r="K1068" s="132" t="s">
        <v>4433</v>
      </c>
      <c r="L1068" s="163">
        <v>5959628</v>
      </c>
      <c r="M1068" s="132">
        <v>42419</v>
      </c>
      <c r="N1068" s="136" t="s">
        <v>5009</v>
      </c>
      <c r="O1068" s="130" t="s">
        <v>4436</v>
      </c>
      <c r="P1068" s="136" t="s">
        <v>90</v>
      </c>
      <c r="Q1068" s="130" t="s">
        <v>7676</v>
      </c>
      <c r="R1068" s="136">
        <v>1.6099999999999999</v>
      </c>
      <c r="S1068" s="130" t="s">
        <v>70</v>
      </c>
      <c r="T1068" s="136" t="s">
        <v>44</v>
      </c>
      <c r="U1068" s="136" t="s">
        <v>53</v>
      </c>
      <c r="V1068" s="136"/>
      <c r="W1068" s="133">
        <f>(1.275*1560+0.175*2000+0.175*1700)</f>
        <v>2636.5</v>
      </c>
      <c r="X1068" s="136"/>
      <c r="Y1068" s="136"/>
      <c r="Z1068" s="136"/>
      <c r="AA1068" s="136"/>
      <c r="AB1068" s="131"/>
      <c r="AC1068" s="134">
        <f t="shared" si="49"/>
        <v>2585.6300441826211</v>
      </c>
      <c r="AD1068" s="135">
        <v>67.900000000000006</v>
      </c>
      <c r="AE1068" s="136">
        <f t="shared" si="50"/>
        <v>179018.35</v>
      </c>
      <c r="AF1068" s="137">
        <v>175564.28</v>
      </c>
      <c r="AG1068" s="138">
        <v>67.900000000000006</v>
      </c>
      <c r="AH1068" s="136" t="s">
        <v>7677</v>
      </c>
      <c r="AI1068" s="136">
        <v>2615.5</v>
      </c>
      <c r="AJ1068" s="132">
        <v>42478</v>
      </c>
      <c r="AK1068" s="136" t="s">
        <v>7678</v>
      </c>
      <c r="AL1068" s="132">
        <v>42480</v>
      </c>
      <c r="AM1068" s="131" t="s">
        <v>49</v>
      </c>
      <c r="AN1068" s="136" t="s">
        <v>4440</v>
      </c>
    </row>
    <row r="1069" spans="1:40" s="129" customFormat="1" x14ac:dyDescent="0.25">
      <c r="A1069" s="136">
        <v>1068</v>
      </c>
      <c r="B1069" s="130" t="s">
        <v>4428</v>
      </c>
      <c r="C1069" s="130" t="s">
        <v>38</v>
      </c>
      <c r="D1069" s="162">
        <v>9103651025</v>
      </c>
      <c r="E1069" s="132">
        <v>42429</v>
      </c>
      <c r="F1069" s="132" t="s">
        <v>7427</v>
      </c>
      <c r="G1069" s="132" t="s">
        <v>2832</v>
      </c>
      <c r="H1069" s="130" t="s">
        <v>5712</v>
      </c>
      <c r="I1069" s="132" t="s">
        <v>40</v>
      </c>
      <c r="J1069" s="131" t="s">
        <v>4432</v>
      </c>
      <c r="K1069" s="132" t="s">
        <v>4433</v>
      </c>
      <c r="L1069" s="136">
        <v>6052372</v>
      </c>
      <c r="M1069" s="132" t="s">
        <v>7679</v>
      </c>
      <c r="N1069" s="136" t="s">
        <v>4726</v>
      </c>
      <c r="O1069" s="130" t="s">
        <v>4436</v>
      </c>
      <c r="P1069" s="136" t="s">
        <v>1120</v>
      </c>
      <c r="Q1069" s="130" t="s">
        <v>4559</v>
      </c>
      <c r="R1069" s="136">
        <v>15</v>
      </c>
      <c r="S1069" s="130" t="s">
        <v>70</v>
      </c>
      <c r="T1069" s="136" t="s">
        <v>67</v>
      </c>
      <c r="U1069" s="136" t="s">
        <v>53</v>
      </c>
      <c r="V1069" s="136"/>
      <c r="W1069" s="133">
        <f t="shared" si="48"/>
        <v>0</v>
      </c>
      <c r="X1069" s="136"/>
      <c r="Y1069" s="136"/>
      <c r="Z1069" s="136"/>
      <c r="AA1069" s="136"/>
      <c r="AB1069" s="131"/>
      <c r="AC1069" s="134">
        <f t="shared" si="49"/>
        <v>18930</v>
      </c>
      <c r="AD1069" s="135">
        <v>67.900000000000006</v>
      </c>
      <c r="AE1069" s="136">
        <f t="shared" si="50"/>
        <v>0</v>
      </c>
      <c r="AF1069" s="137">
        <v>1285347</v>
      </c>
      <c r="AG1069" s="138">
        <v>67.900000000000006</v>
      </c>
      <c r="AH1069" s="136" t="s">
        <v>7680</v>
      </c>
      <c r="AI1069" s="136">
        <v>18913</v>
      </c>
      <c r="AJ1069" s="132" t="s">
        <v>7502</v>
      </c>
      <c r="AK1069" s="136" t="s">
        <v>7681</v>
      </c>
      <c r="AL1069" s="132" t="s">
        <v>4990</v>
      </c>
      <c r="AM1069" s="131" t="s">
        <v>49</v>
      </c>
      <c r="AN1069" s="136" t="s">
        <v>4440</v>
      </c>
    </row>
    <row r="1070" spans="1:40" s="129" customFormat="1" x14ac:dyDescent="0.25">
      <c r="A1070" s="130">
        <v>1069</v>
      </c>
      <c r="B1070" s="130" t="s">
        <v>4428</v>
      </c>
      <c r="C1070" s="130" t="s">
        <v>38</v>
      </c>
      <c r="D1070" s="162">
        <v>9103651027</v>
      </c>
      <c r="E1070" s="132">
        <v>42428</v>
      </c>
      <c r="F1070" s="132" t="s">
        <v>7427</v>
      </c>
      <c r="G1070" s="132" t="s">
        <v>2838</v>
      </c>
      <c r="H1070" s="130" t="s">
        <v>7658</v>
      </c>
      <c r="I1070" s="132" t="s">
        <v>40</v>
      </c>
      <c r="J1070" s="131" t="s">
        <v>4432</v>
      </c>
      <c r="K1070" s="132" t="s">
        <v>4433</v>
      </c>
      <c r="L1070" s="163">
        <v>6052293</v>
      </c>
      <c r="M1070" s="132">
        <v>42424</v>
      </c>
      <c r="N1070" s="136" t="s">
        <v>4630</v>
      </c>
      <c r="O1070" s="130" t="s">
        <v>4436</v>
      </c>
      <c r="P1070" s="136" t="s">
        <v>61</v>
      </c>
      <c r="Q1070" s="130">
        <v>38237090</v>
      </c>
      <c r="R1070" s="136">
        <v>15</v>
      </c>
      <c r="S1070" s="130" t="s">
        <v>70</v>
      </c>
      <c r="T1070" s="136" t="s">
        <v>44</v>
      </c>
      <c r="U1070" s="136" t="s">
        <v>53</v>
      </c>
      <c r="V1070" s="136">
        <v>1255</v>
      </c>
      <c r="W1070" s="133">
        <f t="shared" si="48"/>
        <v>18825</v>
      </c>
      <c r="X1070" s="136">
        <v>6.21</v>
      </c>
      <c r="Y1070" s="136">
        <v>50</v>
      </c>
      <c r="Z1070" s="136">
        <v>0</v>
      </c>
      <c r="AA1070" s="136">
        <v>0</v>
      </c>
      <c r="AB1070" s="131">
        <v>42425</v>
      </c>
      <c r="AC1070" s="134">
        <f t="shared" si="49"/>
        <v>18768.789985272459</v>
      </c>
      <c r="AD1070" s="135">
        <v>67.900000000000006</v>
      </c>
      <c r="AE1070" s="136">
        <f t="shared" si="50"/>
        <v>1278217.5</v>
      </c>
      <c r="AF1070" s="137">
        <v>1274400.8400000001</v>
      </c>
      <c r="AG1070" s="138">
        <v>67.900000000000006</v>
      </c>
      <c r="AH1070" s="136" t="s">
        <v>7682</v>
      </c>
      <c r="AI1070" s="136">
        <v>18825</v>
      </c>
      <c r="AJ1070" s="132">
        <v>42452</v>
      </c>
      <c r="AK1070" s="136" t="s">
        <v>7683</v>
      </c>
      <c r="AL1070" s="132">
        <v>42457</v>
      </c>
      <c r="AM1070" s="131" t="s">
        <v>49</v>
      </c>
      <c r="AN1070" s="136" t="s">
        <v>4440</v>
      </c>
    </row>
    <row r="1071" spans="1:40" s="129" customFormat="1" x14ac:dyDescent="0.25">
      <c r="A1071" s="136">
        <v>1070</v>
      </c>
      <c r="B1071" s="130" t="s">
        <v>4428</v>
      </c>
      <c r="C1071" s="130" t="s">
        <v>38</v>
      </c>
      <c r="D1071" s="162">
        <v>9103651029</v>
      </c>
      <c r="E1071" s="132">
        <v>42429</v>
      </c>
      <c r="F1071" s="132" t="s">
        <v>7427</v>
      </c>
      <c r="G1071" s="132" t="s">
        <v>2835</v>
      </c>
      <c r="H1071" s="130" t="s">
        <v>4491</v>
      </c>
      <c r="I1071" s="132" t="s">
        <v>40</v>
      </c>
      <c r="J1071" s="131" t="s">
        <v>4432</v>
      </c>
      <c r="K1071" s="132" t="s">
        <v>4433</v>
      </c>
      <c r="L1071" s="163">
        <v>6062516</v>
      </c>
      <c r="M1071" s="132">
        <v>42424</v>
      </c>
      <c r="N1071" s="136" t="s">
        <v>5018</v>
      </c>
      <c r="O1071" s="130" t="s">
        <v>4436</v>
      </c>
      <c r="P1071" s="136" t="s">
        <v>190</v>
      </c>
      <c r="Q1071" s="130">
        <v>38231190</v>
      </c>
      <c r="R1071" s="136">
        <v>15</v>
      </c>
      <c r="S1071" s="130" t="s">
        <v>70</v>
      </c>
      <c r="T1071" s="136" t="s">
        <v>44</v>
      </c>
      <c r="U1071" s="136" t="s">
        <v>53</v>
      </c>
      <c r="V1071" s="136">
        <v>738</v>
      </c>
      <c r="W1071" s="133">
        <f t="shared" si="48"/>
        <v>11070</v>
      </c>
      <c r="X1071" s="136"/>
      <c r="Y1071" s="136"/>
      <c r="Z1071" s="136"/>
      <c r="AA1071" s="136"/>
      <c r="AB1071" s="131"/>
      <c r="AC1071" s="134">
        <f t="shared" si="49"/>
        <v>10216.350073637703</v>
      </c>
      <c r="AD1071" s="135">
        <v>67.900000000000006</v>
      </c>
      <c r="AE1071" s="136">
        <f t="shared" si="50"/>
        <v>751653.00000000012</v>
      </c>
      <c r="AF1071" s="137">
        <v>693690.17</v>
      </c>
      <c r="AG1071" s="138">
        <v>67.900000000000006</v>
      </c>
      <c r="AH1071" s="136" t="s">
        <v>7684</v>
      </c>
      <c r="AI1071" s="136">
        <v>11055</v>
      </c>
      <c r="AJ1071" s="132">
        <v>42522</v>
      </c>
      <c r="AK1071" s="136" t="s">
        <v>7685</v>
      </c>
      <c r="AL1071" s="132">
        <v>42523</v>
      </c>
      <c r="AM1071" s="131" t="s">
        <v>49</v>
      </c>
      <c r="AN1071" s="136" t="s">
        <v>4440</v>
      </c>
    </row>
    <row r="1072" spans="1:40" s="129" customFormat="1" x14ac:dyDescent="0.25">
      <c r="A1072" s="130">
        <v>1071</v>
      </c>
      <c r="B1072" s="130" t="s">
        <v>4428</v>
      </c>
      <c r="C1072" s="130" t="s">
        <v>38</v>
      </c>
      <c r="D1072" s="162">
        <v>9114650015</v>
      </c>
      <c r="E1072" s="132">
        <v>42409</v>
      </c>
      <c r="F1072" s="132" t="s">
        <v>7427</v>
      </c>
      <c r="G1072" s="132" t="s">
        <v>3805</v>
      </c>
      <c r="H1072" s="130" t="s">
        <v>4491</v>
      </c>
      <c r="I1072" s="132" t="s">
        <v>65</v>
      </c>
      <c r="J1072" s="131" t="s">
        <v>4766</v>
      </c>
      <c r="K1072" s="132" t="s">
        <v>4433</v>
      </c>
      <c r="L1072" s="136">
        <v>5354263</v>
      </c>
      <c r="M1072" s="132">
        <v>42388</v>
      </c>
      <c r="N1072" s="136" t="s">
        <v>5036</v>
      </c>
      <c r="O1072" s="130" t="s">
        <v>4436</v>
      </c>
      <c r="P1072" s="136" t="s">
        <v>143</v>
      </c>
      <c r="Q1072" s="130">
        <v>34011190</v>
      </c>
      <c r="R1072" s="136">
        <v>26784</v>
      </c>
      <c r="S1072" s="130" t="s">
        <v>7686</v>
      </c>
      <c r="T1072" s="136" t="s">
        <v>44</v>
      </c>
      <c r="U1072" s="136" t="s">
        <v>53</v>
      </c>
      <c r="V1072" s="136">
        <v>0.11</v>
      </c>
      <c r="W1072" s="133">
        <f t="shared" si="48"/>
        <v>2946.2400000000002</v>
      </c>
      <c r="X1072" s="136">
        <v>0.97</v>
      </c>
      <c r="Y1072" s="136">
        <v>360</v>
      </c>
      <c r="Z1072" s="136">
        <v>0</v>
      </c>
      <c r="AA1072" s="136">
        <v>0</v>
      </c>
      <c r="AB1072" s="131">
        <v>42394</v>
      </c>
      <c r="AC1072" s="134">
        <f t="shared" si="49"/>
        <v>2946.2499999999995</v>
      </c>
      <c r="AD1072" s="135">
        <v>66.400000000000006</v>
      </c>
      <c r="AE1072" s="136">
        <f t="shared" si="50"/>
        <v>195630.33600000004</v>
      </c>
      <c r="AF1072" s="130">
        <v>195631</v>
      </c>
      <c r="AG1072" s="138">
        <v>66.400000000000006</v>
      </c>
      <c r="AH1072" s="136"/>
      <c r="AI1072" s="136">
        <v>0</v>
      </c>
      <c r="AJ1072" s="132"/>
      <c r="AK1072" s="136">
        <v>0</v>
      </c>
      <c r="AL1072" s="132"/>
      <c r="AM1072" s="131" t="s">
        <v>7687</v>
      </c>
      <c r="AN1072" s="136" t="s">
        <v>7688</v>
      </c>
    </row>
    <row r="1073" spans="1:40" s="129" customFormat="1" x14ac:dyDescent="0.25">
      <c r="A1073" s="136">
        <v>1072</v>
      </c>
      <c r="B1073" s="130" t="s">
        <v>4428</v>
      </c>
      <c r="C1073" s="130" t="s">
        <v>38</v>
      </c>
      <c r="D1073" s="162">
        <v>9103651014</v>
      </c>
      <c r="E1073" s="132">
        <v>42431</v>
      </c>
      <c r="F1073" s="132" t="s">
        <v>7689</v>
      </c>
      <c r="G1073" s="132" t="s">
        <v>2821</v>
      </c>
      <c r="H1073" s="130" t="s">
        <v>4431</v>
      </c>
      <c r="I1073" s="132" t="s">
        <v>40</v>
      </c>
      <c r="J1073" s="131" t="s">
        <v>4432</v>
      </c>
      <c r="K1073" s="132" t="s">
        <v>4433</v>
      </c>
      <c r="L1073" s="136">
        <v>5979041</v>
      </c>
      <c r="M1073" s="132" t="s">
        <v>7690</v>
      </c>
      <c r="N1073" s="136" t="s">
        <v>4832</v>
      </c>
      <c r="O1073" s="130" t="s">
        <v>4436</v>
      </c>
      <c r="P1073" s="136" t="s">
        <v>6826</v>
      </c>
      <c r="Q1073" s="130">
        <v>29161990</v>
      </c>
      <c r="R1073" s="136">
        <v>86.4</v>
      </c>
      <c r="S1073" s="130" t="s">
        <v>70</v>
      </c>
      <c r="T1073" s="136" t="s">
        <v>44</v>
      </c>
      <c r="U1073" s="136" t="s">
        <v>53</v>
      </c>
      <c r="V1073" s="136">
        <v>2950</v>
      </c>
      <c r="W1073" s="133">
        <f t="shared" si="48"/>
        <v>254880.00000000003</v>
      </c>
      <c r="X1073" s="136"/>
      <c r="Y1073" s="136"/>
      <c r="Z1073" s="136"/>
      <c r="AA1073" s="136"/>
      <c r="AB1073" s="131"/>
      <c r="AC1073" s="134">
        <f t="shared" si="49"/>
        <v>253895.88998527243</v>
      </c>
      <c r="AD1073" s="135">
        <v>67.900000000000006</v>
      </c>
      <c r="AE1073" s="136">
        <f t="shared" si="50"/>
        <v>17306352.000000004</v>
      </c>
      <c r="AF1073" s="137">
        <v>17239530.93</v>
      </c>
      <c r="AG1073" s="138">
        <v>67.900000000000006</v>
      </c>
      <c r="AH1073" s="136" t="s">
        <v>7691</v>
      </c>
      <c r="AI1073" s="136">
        <v>254650</v>
      </c>
      <c r="AJ1073" s="132" t="s">
        <v>7551</v>
      </c>
      <c r="AK1073" s="136" t="s">
        <v>7692</v>
      </c>
      <c r="AL1073" s="132" t="s">
        <v>7693</v>
      </c>
      <c r="AM1073" s="131" t="s">
        <v>49</v>
      </c>
      <c r="AN1073" s="136" t="s">
        <v>4440</v>
      </c>
    </row>
    <row r="1074" spans="1:40" s="129" customFormat="1" x14ac:dyDescent="0.25">
      <c r="A1074" s="130">
        <v>1073</v>
      </c>
      <c r="B1074" s="130" t="s">
        <v>4428</v>
      </c>
      <c r="C1074" s="130" t="s">
        <v>38</v>
      </c>
      <c r="D1074" s="162">
        <v>9103651018</v>
      </c>
      <c r="E1074" s="132">
        <v>42431</v>
      </c>
      <c r="F1074" s="132" t="s">
        <v>7689</v>
      </c>
      <c r="G1074" s="132" t="s">
        <v>2825</v>
      </c>
      <c r="H1074" s="130" t="s">
        <v>7658</v>
      </c>
      <c r="I1074" s="132" t="s">
        <v>40</v>
      </c>
      <c r="J1074" s="131" t="s">
        <v>4432</v>
      </c>
      <c r="K1074" s="132" t="s">
        <v>4433</v>
      </c>
      <c r="L1074" s="163">
        <v>6008156</v>
      </c>
      <c r="M1074" s="132">
        <v>42422</v>
      </c>
      <c r="N1074" s="136" t="s">
        <v>4570</v>
      </c>
      <c r="O1074" s="130" t="s">
        <v>4436</v>
      </c>
      <c r="P1074" s="136" t="s">
        <v>143</v>
      </c>
      <c r="Q1074" s="130">
        <v>38237090</v>
      </c>
      <c r="R1074" s="136">
        <v>16</v>
      </c>
      <c r="S1074" s="130" t="s">
        <v>70</v>
      </c>
      <c r="T1074" s="136" t="s">
        <v>44</v>
      </c>
      <c r="U1074" s="136" t="s">
        <v>53</v>
      </c>
      <c r="V1074" s="136">
        <v>1250</v>
      </c>
      <c r="W1074" s="133">
        <f t="shared" si="48"/>
        <v>20000</v>
      </c>
      <c r="X1074" s="136"/>
      <c r="Y1074" s="136"/>
      <c r="Z1074" s="136"/>
      <c r="AA1074" s="136"/>
      <c r="AB1074" s="131"/>
      <c r="AC1074" s="134">
        <f t="shared" si="49"/>
        <v>19578.400000000001</v>
      </c>
      <c r="AD1074" s="135">
        <v>67.900000000000006</v>
      </c>
      <c r="AE1074" s="136">
        <f t="shared" si="50"/>
        <v>1358000</v>
      </c>
      <c r="AF1074" s="137">
        <v>1329373.3600000001</v>
      </c>
      <c r="AG1074" s="138">
        <v>67.900000000000006</v>
      </c>
      <c r="AH1074" s="136" t="s">
        <v>7694</v>
      </c>
      <c r="AI1074" s="136">
        <v>20000</v>
      </c>
      <c r="AJ1074" s="132">
        <v>42489</v>
      </c>
      <c r="AK1074" s="136" t="s">
        <v>7695</v>
      </c>
      <c r="AL1074" s="132">
        <v>42490</v>
      </c>
      <c r="AM1074" s="131" t="s">
        <v>49</v>
      </c>
      <c r="AN1074" s="136" t="s">
        <v>4440</v>
      </c>
    </row>
    <row r="1075" spans="1:40" s="129" customFormat="1" x14ac:dyDescent="0.25">
      <c r="A1075" s="136">
        <v>1074</v>
      </c>
      <c r="B1075" s="130" t="s">
        <v>4428</v>
      </c>
      <c r="C1075" s="130" t="s">
        <v>38</v>
      </c>
      <c r="D1075" s="162">
        <v>9103651019</v>
      </c>
      <c r="E1075" s="132">
        <v>42431</v>
      </c>
      <c r="F1075" s="132" t="s">
        <v>7689</v>
      </c>
      <c r="G1075" s="132" t="s">
        <v>2824</v>
      </c>
      <c r="H1075" s="130" t="s">
        <v>4446</v>
      </c>
      <c r="I1075" s="132" t="s">
        <v>40</v>
      </c>
      <c r="J1075" s="131" t="s">
        <v>4432</v>
      </c>
      <c r="K1075" s="132" t="s">
        <v>4433</v>
      </c>
      <c r="L1075" s="163">
        <v>6008066</v>
      </c>
      <c r="M1075" s="132">
        <v>42422</v>
      </c>
      <c r="N1075" s="136" t="s">
        <v>4532</v>
      </c>
      <c r="O1075" s="130" t="s">
        <v>4436</v>
      </c>
      <c r="P1075" s="136" t="s">
        <v>690</v>
      </c>
      <c r="Q1075" s="130">
        <v>38237090</v>
      </c>
      <c r="R1075" s="136">
        <v>16</v>
      </c>
      <c r="S1075" s="130" t="s">
        <v>70</v>
      </c>
      <c r="T1075" s="136" t="s">
        <v>44</v>
      </c>
      <c r="U1075" s="136" t="s">
        <v>53</v>
      </c>
      <c r="V1075" s="136">
        <v>1200</v>
      </c>
      <c r="W1075" s="133">
        <f>V1075*R1075</f>
        <v>19200</v>
      </c>
      <c r="X1075" s="136"/>
      <c r="Y1075" s="136"/>
      <c r="Z1075" s="136"/>
      <c r="AA1075" s="136"/>
      <c r="AB1075" s="131"/>
      <c r="AC1075" s="134">
        <f t="shared" si="49"/>
        <v>18778.659941089838</v>
      </c>
      <c r="AD1075" s="135">
        <v>67.900000000000006</v>
      </c>
      <c r="AE1075" s="136">
        <f t="shared" si="50"/>
        <v>1303680</v>
      </c>
      <c r="AF1075" s="137">
        <v>1275071.01</v>
      </c>
      <c r="AG1075" s="138">
        <v>67.900000000000006</v>
      </c>
      <c r="AH1075" s="136" t="s">
        <v>7696</v>
      </c>
      <c r="AI1075" s="136">
        <v>19200</v>
      </c>
      <c r="AJ1075" s="132">
        <v>42611</v>
      </c>
      <c r="AK1075" s="136" t="s">
        <v>7697</v>
      </c>
      <c r="AL1075" s="132">
        <v>42612</v>
      </c>
      <c r="AM1075" s="131" t="s">
        <v>49</v>
      </c>
      <c r="AN1075" s="136" t="s">
        <v>4440</v>
      </c>
    </row>
    <row r="1076" spans="1:40" s="129" customFormat="1" x14ac:dyDescent="0.25">
      <c r="A1076" s="130">
        <v>1075</v>
      </c>
      <c r="B1076" s="130" t="s">
        <v>4428</v>
      </c>
      <c r="C1076" s="130" t="s">
        <v>38</v>
      </c>
      <c r="D1076" s="162">
        <v>9103651021</v>
      </c>
      <c r="E1076" s="132">
        <v>42431</v>
      </c>
      <c r="F1076" s="132" t="s">
        <v>7689</v>
      </c>
      <c r="G1076" s="132" t="s">
        <v>2829</v>
      </c>
      <c r="H1076" s="130" t="s">
        <v>4491</v>
      </c>
      <c r="I1076" s="132" t="s">
        <v>40</v>
      </c>
      <c r="J1076" s="131" t="s">
        <v>4432</v>
      </c>
      <c r="K1076" s="132" t="s">
        <v>4433</v>
      </c>
      <c r="L1076" s="163">
        <v>6036329</v>
      </c>
      <c r="M1076" s="132">
        <v>42423</v>
      </c>
      <c r="N1076" s="136" t="s">
        <v>3741</v>
      </c>
      <c r="O1076" s="130" t="s">
        <v>4436</v>
      </c>
      <c r="P1076" s="136" t="s">
        <v>4492</v>
      </c>
      <c r="Q1076" s="130">
        <v>38237090</v>
      </c>
      <c r="R1076" s="136">
        <v>19.286000000000001</v>
      </c>
      <c r="S1076" s="130" t="s">
        <v>70</v>
      </c>
      <c r="T1076" s="136" t="s">
        <v>44</v>
      </c>
      <c r="U1076" s="136" t="s">
        <v>53</v>
      </c>
      <c r="V1076" s="136">
        <v>1285</v>
      </c>
      <c r="W1076" s="133">
        <f t="shared" si="48"/>
        <v>24782.510000000002</v>
      </c>
      <c r="X1076" s="136"/>
      <c r="Y1076" s="136"/>
      <c r="Z1076" s="136"/>
      <c r="AA1076" s="136"/>
      <c r="AB1076" s="131"/>
      <c r="AC1076" s="134">
        <f t="shared" si="49"/>
        <v>22624.330044182621</v>
      </c>
      <c r="AD1076" s="135">
        <v>67.900000000000006</v>
      </c>
      <c r="AE1076" s="136">
        <f t="shared" si="50"/>
        <v>1682732.4290000002</v>
      </c>
      <c r="AF1076" s="137">
        <v>1536192.01</v>
      </c>
      <c r="AG1076" s="138">
        <v>67.900000000000006</v>
      </c>
      <c r="AH1076" s="136" t="s">
        <v>7698</v>
      </c>
      <c r="AI1076" s="136">
        <v>24782.51</v>
      </c>
      <c r="AJ1076" s="132">
        <v>42482</v>
      </c>
      <c r="AK1076" s="136" t="s">
        <v>7699</v>
      </c>
      <c r="AL1076" s="132">
        <v>42485</v>
      </c>
      <c r="AM1076" s="131" t="s">
        <v>49</v>
      </c>
      <c r="AN1076" s="136" t="s">
        <v>4440</v>
      </c>
    </row>
    <row r="1077" spans="1:40" s="129" customFormat="1" x14ac:dyDescent="0.25">
      <c r="A1077" s="136">
        <v>1076</v>
      </c>
      <c r="B1077" s="130" t="s">
        <v>4428</v>
      </c>
      <c r="C1077" s="130" t="s">
        <v>38</v>
      </c>
      <c r="D1077" s="162">
        <v>9103651026</v>
      </c>
      <c r="E1077" s="132">
        <v>42431</v>
      </c>
      <c r="F1077" s="132" t="s">
        <v>7689</v>
      </c>
      <c r="G1077" s="132" t="s">
        <v>2833</v>
      </c>
      <c r="H1077" s="130" t="s">
        <v>4446</v>
      </c>
      <c r="I1077" s="132" t="s">
        <v>40</v>
      </c>
      <c r="J1077" s="131" t="s">
        <v>4432</v>
      </c>
      <c r="K1077" s="132" t="s">
        <v>4433</v>
      </c>
      <c r="L1077" s="163">
        <v>6052291</v>
      </c>
      <c r="M1077" s="132">
        <v>42424</v>
      </c>
      <c r="N1077" s="136" t="s">
        <v>4452</v>
      </c>
      <c r="O1077" s="130" t="s">
        <v>4436</v>
      </c>
      <c r="P1077" s="136" t="s">
        <v>75</v>
      </c>
      <c r="Q1077" s="130">
        <v>29161990</v>
      </c>
      <c r="R1077" s="136">
        <v>14.4</v>
      </c>
      <c r="S1077" s="130" t="s">
        <v>70</v>
      </c>
      <c r="T1077" s="136" t="s">
        <v>52</v>
      </c>
      <c r="U1077" s="136" t="s">
        <v>53</v>
      </c>
      <c r="V1077" s="136">
        <v>2980</v>
      </c>
      <c r="W1077" s="133">
        <f t="shared" si="48"/>
        <v>42912</v>
      </c>
      <c r="X1077" s="136"/>
      <c r="Y1077" s="136"/>
      <c r="Z1077" s="136"/>
      <c r="AA1077" s="136"/>
      <c r="AB1077" s="131"/>
      <c r="AC1077" s="134">
        <f t="shared" si="49"/>
        <v>42811.999999999993</v>
      </c>
      <c r="AD1077" s="135">
        <v>67.900000000000006</v>
      </c>
      <c r="AE1077" s="136">
        <f t="shared" si="50"/>
        <v>2913724.8000000003</v>
      </c>
      <c r="AF1077" s="137">
        <v>2906934.8</v>
      </c>
      <c r="AG1077" s="138">
        <v>67.900000000000006</v>
      </c>
      <c r="AH1077" s="136" t="s">
        <v>7700</v>
      </c>
      <c r="AI1077" s="136">
        <v>42912</v>
      </c>
      <c r="AJ1077" s="132">
        <v>42464</v>
      </c>
      <c r="AK1077" s="136" t="s">
        <v>7701</v>
      </c>
      <c r="AL1077" s="132">
        <v>42465</v>
      </c>
      <c r="AM1077" s="131" t="s">
        <v>49</v>
      </c>
      <c r="AN1077" s="136" t="s">
        <v>4440</v>
      </c>
    </row>
    <row r="1078" spans="1:40" s="129" customFormat="1" x14ac:dyDescent="0.25">
      <c r="A1078" s="130">
        <v>1077</v>
      </c>
      <c r="B1078" s="130" t="s">
        <v>4428</v>
      </c>
      <c r="C1078" s="130" t="s">
        <v>38</v>
      </c>
      <c r="D1078" s="162">
        <v>9103651028</v>
      </c>
      <c r="E1078" s="132">
        <v>42430</v>
      </c>
      <c r="F1078" s="132" t="s">
        <v>7689</v>
      </c>
      <c r="G1078" s="132" t="s">
        <v>2834</v>
      </c>
      <c r="H1078" s="130" t="s">
        <v>4446</v>
      </c>
      <c r="I1078" s="132" t="s">
        <v>40</v>
      </c>
      <c r="J1078" s="131" t="s">
        <v>4432</v>
      </c>
      <c r="K1078" s="132" t="s">
        <v>4433</v>
      </c>
      <c r="L1078" s="163">
        <v>6062542</v>
      </c>
      <c r="M1078" s="132">
        <v>42424</v>
      </c>
      <c r="N1078" s="136" t="s">
        <v>4452</v>
      </c>
      <c r="O1078" s="130" t="s">
        <v>4436</v>
      </c>
      <c r="P1078" s="136" t="s">
        <v>75</v>
      </c>
      <c r="Q1078" s="130">
        <v>29051700</v>
      </c>
      <c r="R1078" s="136">
        <v>22</v>
      </c>
      <c r="S1078" s="130" t="s">
        <v>70</v>
      </c>
      <c r="T1078" s="136" t="s">
        <v>52</v>
      </c>
      <c r="U1078" s="136" t="s">
        <v>53</v>
      </c>
      <c r="V1078" s="136">
        <v>1330</v>
      </c>
      <c r="W1078" s="133">
        <f t="shared" si="48"/>
        <v>29260</v>
      </c>
      <c r="X1078" s="136"/>
      <c r="Y1078" s="136"/>
      <c r="Z1078" s="136"/>
      <c r="AA1078" s="136"/>
      <c r="AB1078" s="131"/>
      <c r="AC1078" s="134">
        <f t="shared" si="49"/>
        <v>28729.999999999996</v>
      </c>
      <c r="AD1078" s="135">
        <v>67.900000000000006</v>
      </c>
      <c r="AE1078" s="136">
        <f t="shared" si="50"/>
        <v>1986754.0000000002</v>
      </c>
      <c r="AF1078" s="137">
        <v>1950767</v>
      </c>
      <c r="AG1078" s="138">
        <v>67.900000000000006</v>
      </c>
      <c r="AH1078" s="136" t="s">
        <v>7702</v>
      </c>
      <c r="AI1078" s="136">
        <v>28930</v>
      </c>
      <c r="AJ1078" s="132">
        <v>42460</v>
      </c>
      <c r="AK1078" s="136" t="s">
        <v>7703</v>
      </c>
      <c r="AL1078" s="132">
        <v>42462</v>
      </c>
      <c r="AM1078" s="131" t="s">
        <v>49</v>
      </c>
      <c r="AN1078" s="136" t="s">
        <v>4440</v>
      </c>
    </row>
    <row r="1079" spans="1:40" s="129" customFormat="1" x14ac:dyDescent="0.25">
      <c r="A1079" s="136">
        <v>1078</v>
      </c>
      <c r="B1079" s="130" t="s">
        <v>4428</v>
      </c>
      <c r="C1079" s="130" t="s">
        <v>38</v>
      </c>
      <c r="D1079" s="162">
        <v>9103651030</v>
      </c>
      <c r="E1079" s="132">
        <v>42431</v>
      </c>
      <c r="F1079" s="132" t="s">
        <v>7689</v>
      </c>
      <c r="G1079" s="132" t="s">
        <v>2836</v>
      </c>
      <c r="H1079" s="130" t="s">
        <v>7658</v>
      </c>
      <c r="I1079" s="132" t="s">
        <v>40</v>
      </c>
      <c r="J1079" s="131" t="s">
        <v>4432</v>
      </c>
      <c r="K1079" s="132" t="s">
        <v>4433</v>
      </c>
      <c r="L1079" s="163">
        <v>6087290</v>
      </c>
      <c r="M1079" s="132">
        <v>42425</v>
      </c>
      <c r="N1079" s="136" t="s">
        <v>4655</v>
      </c>
      <c r="O1079" s="130" t="s">
        <v>4436</v>
      </c>
      <c r="P1079" s="136" t="s">
        <v>143</v>
      </c>
      <c r="Q1079" s="130">
        <v>38237090</v>
      </c>
      <c r="R1079" s="136">
        <v>16</v>
      </c>
      <c r="S1079" s="130" t="s">
        <v>70</v>
      </c>
      <c r="T1079" s="136" t="s">
        <v>52</v>
      </c>
      <c r="U1079" s="136" t="s">
        <v>53</v>
      </c>
      <c r="V1079" s="136">
        <v>1255</v>
      </c>
      <c r="W1079" s="133">
        <f t="shared" si="48"/>
        <v>20080</v>
      </c>
      <c r="X1079" s="136"/>
      <c r="Y1079" s="136"/>
      <c r="Z1079" s="136"/>
      <c r="AA1079" s="136"/>
      <c r="AB1079" s="131"/>
      <c r="AC1079" s="134">
        <f t="shared" si="49"/>
        <v>19665</v>
      </c>
      <c r="AD1079" s="135">
        <v>67.900000000000006</v>
      </c>
      <c r="AE1079" s="136">
        <f t="shared" si="50"/>
        <v>1363432</v>
      </c>
      <c r="AF1079" s="137">
        <v>1335253.5</v>
      </c>
      <c r="AG1079" s="138">
        <v>67.900000000000006</v>
      </c>
      <c r="AH1079" s="136" t="s">
        <v>7704</v>
      </c>
      <c r="AI1079" s="136">
        <v>20032</v>
      </c>
      <c r="AJ1079" s="132">
        <v>42489</v>
      </c>
      <c r="AK1079" s="136" t="s">
        <v>7705</v>
      </c>
      <c r="AL1079" s="132">
        <v>42490</v>
      </c>
      <c r="AM1079" s="131" t="s">
        <v>49</v>
      </c>
      <c r="AN1079" s="136" t="s">
        <v>4440</v>
      </c>
    </row>
    <row r="1080" spans="1:40" s="129" customFormat="1" x14ac:dyDescent="0.25">
      <c r="A1080" s="130">
        <v>1079</v>
      </c>
      <c r="B1080" s="130" t="s">
        <v>4428</v>
      </c>
      <c r="C1080" s="130" t="s">
        <v>38</v>
      </c>
      <c r="D1080" s="162">
        <v>9103651031</v>
      </c>
      <c r="E1080" s="132">
        <v>42431</v>
      </c>
      <c r="F1080" s="132" t="s">
        <v>7689</v>
      </c>
      <c r="G1080" s="132" t="s">
        <v>2841</v>
      </c>
      <c r="H1080" s="130" t="s">
        <v>7658</v>
      </c>
      <c r="I1080" s="132" t="s">
        <v>40</v>
      </c>
      <c r="J1080" s="131" t="s">
        <v>4432</v>
      </c>
      <c r="K1080" s="132" t="s">
        <v>4433</v>
      </c>
      <c r="L1080" s="163">
        <v>6078153</v>
      </c>
      <c r="M1080" s="132">
        <v>42425</v>
      </c>
      <c r="N1080" s="136" t="s">
        <v>4899</v>
      </c>
      <c r="O1080" s="130" t="s">
        <v>4436</v>
      </c>
      <c r="P1080" s="136" t="s">
        <v>257</v>
      </c>
      <c r="Q1080" s="130">
        <v>38237090</v>
      </c>
      <c r="R1080" s="136">
        <v>12</v>
      </c>
      <c r="S1080" s="130" t="s">
        <v>70</v>
      </c>
      <c r="T1080" s="136" t="s">
        <v>67</v>
      </c>
      <c r="U1080" s="136" t="s">
        <v>53</v>
      </c>
      <c r="V1080" s="136">
        <v>2052</v>
      </c>
      <c r="W1080" s="133">
        <f t="shared" si="48"/>
        <v>24624</v>
      </c>
      <c r="X1080" s="136"/>
      <c r="Y1080" s="136"/>
      <c r="Z1080" s="136"/>
      <c r="AA1080" s="136"/>
      <c r="AB1080" s="131"/>
      <c r="AC1080" s="134">
        <f t="shared" si="49"/>
        <v>24599.999999999996</v>
      </c>
      <c r="AD1080" s="135">
        <v>67.900000000000006</v>
      </c>
      <c r="AE1080" s="136">
        <f t="shared" si="50"/>
        <v>1671969.6</v>
      </c>
      <c r="AF1080" s="137">
        <v>1670340</v>
      </c>
      <c r="AG1080" s="138">
        <v>67.900000000000006</v>
      </c>
      <c r="AH1080" s="136" t="s">
        <v>7706</v>
      </c>
      <c r="AI1080" s="136">
        <v>24585</v>
      </c>
      <c r="AJ1080" s="132">
        <v>42488</v>
      </c>
      <c r="AK1080" s="136" t="s">
        <v>7707</v>
      </c>
      <c r="AL1080" s="132">
        <v>42489</v>
      </c>
      <c r="AM1080" s="131" t="s">
        <v>49</v>
      </c>
      <c r="AN1080" s="136" t="s">
        <v>4440</v>
      </c>
    </row>
    <row r="1081" spans="1:40" s="129" customFormat="1" x14ac:dyDescent="0.25">
      <c r="A1081" s="136">
        <v>1080</v>
      </c>
      <c r="B1081" s="130" t="s">
        <v>4428</v>
      </c>
      <c r="C1081" s="130" t="s">
        <v>38</v>
      </c>
      <c r="D1081" s="162">
        <v>9103651032</v>
      </c>
      <c r="E1081" s="132">
        <v>42431</v>
      </c>
      <c r="F1081" s="132" t="s">
        <v>7689</v>
      </c>
      <c r="G1081" s="132" t="s">
        <v>2837</v>
      </c>
      <c r="H1081" s="130" t="s">
        <v>4446</v>
      </c>
      <c r="I1081" s="132" t="s">
        <v>40</v>
      </c>
      <c r="J1081" s="131" t="s">
        <v>4432</v>
      </c>
      <c r="K1081" s="132" t="s">
        <v>4433</v>
      </c>
      <c r="L1081" s="163">
        <v>6080104</v>
      </c>
      <c r="M1081" s="132">
        <v>42425</v>
      </c>
      <c r="N1081" s="136" t="s">
        <v>4452</v>
      </c>
      <c r="O1081" s="130" t="s">
        <v>4436</v>
      </c>
      <c r="P1081" s="136" t="s">
        <v>75</v>
      </c>
      <c r="Q1081" s="130">
        <v>38237090</v>
      </c>
      <c r="R1081" s="136">
        <v>27.2</v>
      </c>
      <c r="S1081" s="130" t="s">
        <v>70</v>
      </c>
      <c r="T1081" s="136" t="s">
        <v>52</v>
      </c>
      <c r="U1081" s="136" t="s">
        <v>53</v>
      </c>
      <c r="V1081" s="136">
        <v>1295</v>
      </c>
      <c r="W1081" s="133">
        <f t="shared" si="48"/>
        <v>35224</v>
      </c>
      <c r="X1081" s="136">
        <v>0</v>
      </c>
      <c r="Y1081" s="136">
        <v>70</v>
      </c>
      <c r="Z1081" s="136">
        <v>0</v>
      </c>
      <c r="AA1081" s="136">
        <v>0</v>
      </c>
      <c r="AB1081" s="131">
        <v>42428</v>
      </c>
      <c r="AC1081" s="134">
        <f t="shared" si="49"/>
        <v>35154</v>
      </c>
      <c r="AD1081" s="135">
        <v>67.900000000000006</v>
      </c>
      <c r="AE1081" s="136">
        <f t="shared" si="50"/>
        <v>2391709.6</v>
      </c>
      <c r="AF1081" s="137">
        <v>2386956.6</v>
      </c>
      <c r="AG1081" s="138">
        <v>67.900000000000006</v>
      </c>
      <c r="AH1081" s="136" t="s">
        <v>7708</v>
      </c>
      <c r="AI1081" s="136">
        <v>35224</v>
      </c>
      <c r="AJ1081" s="132">
        <v>42464</v>
      </c>
      <c r="AK1081" s="136" t="s">
        <v>7709</v>
      </c>
      <c r="AL1081" s="132">
        <v>42465</v>
      </c>
      <c r="AM1081" s="131" t="s">
        <v>49</v>
      </c>
      <c r="AN1081" s="136" t="s">
        <v>4440</v>
      </c>
    </row>
    <row r="1082" spans="1:40" s="129" customFormat="1" x14ac:dyDescent="0.25">
      <c r="A1082" s="130">
        <v>1081</v>
      </c>
      <c r="B1082" s="130" t="s">
        <v>4428</v>
      </c>
      <c r="C1082" s="130" t="s">
        <v>38</v>
      </c>
      <c r="D1082" s="162">
        <v>9103651033</v>
      </c>
      <c r="E1082" s="132">
        <v>42430</v>
      </c>
      <c r="F1082" s="132" t="s">
        <v>7689</v>
      </c>
      <c r="G1082" s="132" t="s">
        <v>2839</v>
      </c>
      <c r="H1082" s="130" t="s">
        <v>7658</v>
      </c>
      <c r="I1082" s="132" t="s">
        <v>40</v>
      </c>
      <c r="J1082" s="131" t="s">
        <v>4432</v>
      </c>
      <c r="K1082" s="132" t="s">
        <v>4433</v>
      </c>
      <c r="L1082" s="163">
        <v>6087122</v>
      </c>
      <c r="M1082" s="132">
        <v>42425</v>
      </c>
      <c r="N1082" s="136" t="s">
        <v>4622</v>
      </c>
      <c r="O1082" s="130" t="s">
        <v>4436</v>
      </c>
      <c r="P1082" s="136" t="s">
        <v>188</v>
      </c>
      <c r="Q1082" s="130">
        <v>29159090</v>
      </c>
      <c r="R1082" s="136">
        <v>12</v>
      </c>
      <c r="S1082" s="130" t="s">
        <v>70</v>
      </c>
      <c r="T1082" s="136" t="s">
        <v>44</v>
      </c>
      <c r="U1082" s="136" t="s">
        <v>53</v>
      </c>
      <c r="V1082" s="136">
        <v>3600</v>
      </c>
      <c r="W1082" s="133">
        <f t="shared" si="48"/>
        <v>43200</v>
      </c>
      <c r="X1082" s="136"/>
      <c r="Y1082" s="136"/>
      <c r="Z1082" s="136"/>
      <c r="AA1082" s="136"/>
      <c r="AB1082" s="131"/>
      <c r="AC1082" s="134">
        <f t="shared" si="49"/>
        <v>41985.74005891016</v>
      </c>
      <c r="AD1082" s="135">
        <v>67.900000000000006</v>
      </c>
      <c r="AE1082" s="136">
        <f t="shared" si="50"/>
        <v>2933280.0000000005</v>
      </c>
      <c r="AF1082" s="137">
        <v>2850831.75</v>
      </c>
      <c r="AG1082" s="138">
        <v>67.900000000000006</v>
      </c>
      <c r="AH1082" s="136" t="s">
        <v>7710</v>
      </c>
      <c r="AI1082" s="136">
        <v>43165.5</v>
      </c>
      <c r="AJ1082" s="132">
        <v>42464</v>
      </c>
      <c r="AK1082" s="136" t="s">
        <v>7711</v>
      </c>
      <c r="AL1082" s="132">
        <v>42465</v>
      </c>
      <c r="AM1082" s="131" t="s">
        <v>49</v>
      </c>
      <c r="AN1082" s="136" t="s">
        <v>4440</v>
      </c>
    </row>
    <row r="1083" spans="1:40" s="129" customFormat="1" x14ac:dyDescent="0.25">
      <c r="A1083" s="136">
        <v>1082</v>
      </c>
      <c r="B1083" s="130" t="s">
        <v>4428</v>
      </c>
      <c r="C1083" s="130" t="s">
        <v>38</v>
      </c>
      <c r="D1083" s="162">
        <v>9103651034</v>
      </c>
      <c r="E1083" s="132">
        <v>42431</v>
      </c>
      <c r="F1083" s="132" t="s">
        <v>7689</v>
      </c>
      <c r="G1083" s="132" t="s">
        <v>2840</v>
      </c>
      <c r="H1083" s="130" t="s">
        <v>7658</v>
      </c>
      <c r="I1083" s="132" t="s">
        <v>40</v>
      </c>
      <c r="J1083" s="131" t="s">
        <v>4432</v>
      </c>
      <c r="K1083" s="132" t="s">
        <v>4433</v>
      </c>
      <c r="L1083" s="163">
        <v>6087132</v>
      </c>
      <c r="M1083" s="132">
        <v>42425</v>
      </c>
      <c r="N1083" s="136" t="s">
        <v>4899</v>
      </c>
      <c r="O1083" s="130" t="s">
        <v>4436</v>
      </c>
      <c r="P1083" s="136" t="s">
        <v>257</v>
      </c>
      <c r="Q1083" s="130">
        <v>38237090</v>
      </c>
      <c r="R1083" s="136">
        <v>12</v>
      </c>
      <c r="S1083" s="130" t="s">
        <v>70</v>
      </c>
      <c r="T1083" s="136" t="s">
        <v>67</v>
      </c>
      <c r="U1083" s="136" t="s">
        <v>53</v>
      </c>
      <c r="V1083" s="136">
        <v>2050</v>
      </c>
      <c r="W1083" s="133">
        <f t="shared" si="48"/>
        <v>24600</v>
      </c>
      <c r="X1083" s="136"/>
      <c r="Y1083" s="136"/>
      <c r="Z1083" s="136"/>
      <c r="AA1083" s="136"/>
      <c r="AB1083" s="131"/>
      <c r="AC1083" s="134">
        <f t="shared" si="49"/>
        <v>24599.999999999996</v>
      </c>
      <c r="AD1083" s="135">
        <v>67.900000000000006</v>
      </c>
      <c r="AE1083" s="136">
        <f t="shared" si="50"/>
        <v>1670340.0000000002</v>
      </c>
      <c r="AF1083" s="137">
        <v>1670340</v>
      </c>
      <c r="AG1083" s="138">
        <v>67.900000000000006</v>
      </c>
      <c r="AH1083" s="136" t="s">
        <v>7712</v>
      </c>
      <c r="AI1083" s="136">
        <v>24585</v>
      </c>
      <c r="AJ1083" s="132">
        <v>42480</v>
      </c>
      <c r="AK1083" s="136" t="s">
        <v>7713</v>
      </c>
      <c r="AL1083" s="132">
        <v>42481</v>
      </c>
      <c r="AM1083" s="131" t="s">
        <v>49</v>
      </c>
      <c r="AN1083" s="136" t="s">
        <v>4440</v>
      </c>
    </row>
    <row r="1084" spans="1:40" s="129" customFormat="1" x14ac:dyDescent="0.25">
      <c r="A1084" s="130">
        <v>1083</v>
      </c>
      <c r="B1084" s="130" t="s">
        <v>4428</v>
      </c>
      <c r="C1084" s="130" t="s">
        <v>38</v>
      </c>
      <c r="D1084" s="162">
        <v>9103651035</v>
      </c>
      <c r="E1084" s="132">
        <v>42431</v>
      </c>
      <c r="F1084" s="132" t="s">
        <v>7689</v>
      </c>
      <c r="G1084" s="132" t="s">
        <v>2842</v>
      </c>
      <c r="H1084" s="130" t="s">
        <v>4431</v>
      </c>
      <c r="I1084" s="132" t="s">
        <v>40</v>
      </c>
      <c r="J1084" s="131" t="s">
        <v>4432</v>
      </c>
      <c r="K1084" s="132" t="s">
        <v>4433</v>
      </c>
      <c r="L1084" s="163">
        <v>6087306</v>
      </c>
      <c r="M1084" s="132">
        <v>42425</v>
      </c>
      <c r="N1084" s="136" t="s">
        <v>5963</v>
      </c>
      <c r="O1084" s="130" t="s">
        <v>4436</v>
      </c>
      <c r="P1084" s="136" t="s">
        <v>4465</v>
      </c>
      <c r="Q1084" s="130">
        <v>38231200</v>
      </c>
      <c r="R1084" s="136">
        <v>39.68</v>
      </c>
      <c r="S1084" s="130" t="s">
        <v>70</v>
      </c>
      <c r="T1084" s="136" t="s">
        <v>44</v>
      </c>
      <c r="U1084" s="136" t="s">
        <v>53</v>
      </c>
      <c r="V1084" s="136">
        <v>710</v>
      </c>
      <c r="W1084" s="133">
        <f t="shared" si="48"/>
        <v>28172.799999999999</v>
      </c>
      <c r="X1084" s="136"/>
      <c r="Y1084" s="136"/>
      <c r="Z1084" s="136"/>
      <c r="AA1084" s="136"/>
      <c r="AB1084" s="131"/>
      <c r="AC1084" s="134">
        <f t="shared" si="49"/>
        <v>26963.499999999996</v>
      </c>
      <c r="AD1084" s="135">
        <v>67.900000000000006</v>
      </c>
      <c r="AE1084" s="136">
        <f t="shared" si="50"/>
        <v>1912933.12</v>
      </c>
      <c r="AF1084" s="137">
        <v>1830821.65</v>
      </c>
      <c r="AG1084" s="138">
        <v>67.900000000000006</v>
      </c>
      <c r="AH1084" s="136" t="s">
        <v>7714</v>
      </c>
      <c r="AI1084" s="136">
        <v>27932.5</v>
      </c>
      <c r="AJ1084" s="132">
        <v>42471</v>
      </c>
      <c r="AK1084" s="136" t="s">
        <v>7715</v>
      </c>
      <c r="AL1084" s="132">
        <v>42472</v>
      </c>
      <c r="AM1084" s="131" t="s">
        <v>49</v>
      </c>
      <c r="AN1084" s="136" t="s">
        <v>4440</v>
      </c>
    </row>
    <row r="1085" spans="1:40" s="129" customFormat="1" x14ac:dyDescent="0.25">
      <c r="A1085" s="136">
        <v>1084</v>
      </c>
      <c r="B1085" s="130" t="s">
        <v>4428</v>
      </c>
      <c r="C1085" s="130" t="s">
        <v>38</v>
      </c>
      <c r="D1085" s="162">
        <v>9103651036</v>
      </c>
      <c r="E1085" s="132">
        <v>42431</v>
      </c>
      <c r="F1085" s="132" t="s">
        <v>7689</v>
      </c>
      <c r="G1085" s="132" t="s">
        <v>2844</v>
      </c>
      <c r="H1085" s="130" t="s">
        <v>4446</v>
      </c>
      <c r="I1085" s="132" t="s">
        <v>40</v>
      </c>
      <c r="J1085" s="131" t="s">
        <v>4432</v>
      </c>
      <c r="K1085" s="132" t="s">
        <v>4433</v>
      </c>
      <c r="L1085" s="163">
        <v>6087302</v>
      </c>
      <c r="M1085" s="132">
        <v>42425</v>
      </c>
      <c r="N1085" s="136" t="s">
        <v>4452</v>
      </c>
      <c r="O1085" s="130" t="s">
        <v>4436</v>
      </c>
      <c r="P1085" s="136" t="s">
        <v>75</v>
      </c>
      <c r="Q1085" s="130">
        <v>29161990</v>
      </c>
      <c r="R1085" s="136">
        <v>39.67</v>
      </c>
      <c r="S1085" s="130" t="s">
        <v>70</v>
      </c>
      <c r="T1085" s="136" t="s">
        <v>52</v>
      </c>
      <c r="U1085" s="136" t="s">
        <v>53</v>
      </c>
      <c r="V1085" s="136">
        <v>2950</v>
      </c>
      <c r="W1085" s="133">
        <f t="shared" si="48"/>
        <v>117026.5</v>
      </c>
      <c r="X1085" s="136">
        <v>0</v>
      </c>
      <c r="Y1085" s="136">
        <v>1250</v>
      </c>
      <c r="Z1085" s="136">
        <v>0</v>
      </c>
      <c r="AA1085" s="136">
        <v>0</v>
      </c>
      <c r="AB1085" s="131">
        <v>42428</v>
      </c>
      <c r="AC1085" s="134">
        <f t="shared" si="49"/>
        <v>115776.49999999999</v>
      </c>
      <c r="AD1085" s="135">
        <v>67.900000000000006</v>
      </c>
      <c r="AE1085" s="136">
        <f t="shared" si="50"/>
        <v>7946099.3500000006</v>
      </c>
      <c r="AF1085" s="137">
        <v>7861224.3499999996</v>
      </c>
      <c r="AG1085" s="138">
        <v>67.900000000000006</v>
      </c>
      <c r="AH1085" s="136" t="s">
        <v>7716</v>
      </c>
      <c r="AI1085" s="136">
        <v>117026.5</v>
      </c>
      <c r="AJ1085" s="132">
        <v>42464</v>
      </c>
      <c r="AK1085" s="136" t="s">
        <v>7717</v>
      </c>
      <c r="AL1085" s="132">
        <v>42465</v>
      </c>
      <c r="AM1085" s="131" t="s">
        <v>49</v>
      </c>
      <c r="AN1085" s="136" t="s">
        <v>4440</v>
      </c>
    </row>
    <row r="1086" spans="1:40" s="129" customFormat="1" x14ac:dyDescent="0.25">
      <c r="A1086" s="130">
        <v>1085</v>
      </c>
      <c r="B1086" s="130" t="s">
        <v>4428</v>
      </c>
      <c r="C1086" s="130" t="s">
        <v>38</v>
      </c>
      <c r="D1086" s="162">
        <v>9103651037</v>
      </c>
      <c r="E1086" s="132">
        <v>42430</v>
      </c>
      <c r="F1086" s="132" t="s">
        <v>7689</v>
      </c>
      <c r="G1086" s="132" t="s">
        <v>2843</v>
      </c>
      <c r="H1086" s="130" t="s">
        <v>4431</v>
      </c>
      <c r="I1086" s="132" t="s">
        <v>40</v>
      </c>
      <c r="J1086" s="131" t="s">
        <v>4432</v>
      </c>
      <c r="K1086" s="132" t="s">
        <v>4433</v>
      </c>
      <c r="L1086" s="136">
        <v>6111488</v>
      </c>
      <c r="M1086" s="132" t="s">
        <v>7718</v>
      </c>
      <c r="N1086" s="136" t="s">
        <v>5259</v>
      </c>
      <c r="O1086" s="130" t="s">
        <v>4436</v>
      </c>
      <c r="P1086" s="136" t="s">
        <v>4465</v>
      </c>
      <c r="Q1086" s="130">
        <v>38237090</v>
      </c>
      <c r="R1086" s="136">
        <v>4</v>
      </c>
      <c r="S1086" s="130" t="s">
        <v>70</v>
      </c>
      <c r="T1086" s="136" t="s">
        <v>44</v>
      </c>
      <c r="U1086" s="136" t="s">
        <v>53</v>
      </c>
      <c r="V1086" s="136">
        <v>4895</v>
      </c>
      <c r="W1086" s="133">
        <f t="shared" ref="W1086:W1149" si="52">V1086*R1086</f>
        <v>19580</v>
      </c>
      <c r="X1086" s="136">
        <v>6.46</v>
      </c>
      <c r="Y1086" s="136">
        <v>75</v>
      </c>
      <c r="Z1086" s="136">
        <v>0</v>
      </c>
      <c r="AA1086" s="136">
        <v>0</v>
      </c>
      <c r="AB1086" s="131">
        <v>42427</v>
      </c>
      <c r="AC1086" s="134">
        <f t="shared" si="49"/>
        <v>19498.540058910163</v>
      </c>
      <c r="AD1086" s="135">
        <v>67.900000000000006</v>
      </c>
      <c r="AE1086" s="136">
        <f t="shared" si="50"/>
        <v>1329482</v>
      </c>
      <c r="AF1086" s="137">
        <v>1323950.8700000001</v>
      </c>
      <c r="AG1086" s="138">
        <v>67.900000000000006</v>
      </c>
      <c r="AH1086" s="136" t="s">
        <v>7719</v>
      </c>
      <c r="AI1086" s="136">
        <v>19485</v>
      </c>
      <c r="AJ1086" s="132" t="s">
        <v>7502</v>
      </c>
      <c r="AK1086" s="136" t="s">
        <v>7720</v>
      </c>
      <c r="AL1086" s="132" t="s">
        <v>4990</v>
      </c>
      <c r="AM1086" s="131" t="s">
        <v>49</v>
      </c>
      <c r="AN1086" s="136" t="s">
        <v>4440</v>
      </c>
    </row>
    <row r="1087" spans="1:40" s="129" customFormat="1" x14ac:dyDescent="0.25">
      <c r="A1087" s="136">
        <v>1086</v>
      </c>
      <c r="B1087" s="130" t="s">
        <v>4428</v>
      </c>
      <c r="C1087" s="130" t="s">
        <v>38</v>
      </c>
      <c r="D1087" s="162">
        <v>9103651038</v>
      </c>
      <c r="E1087" s="132">
        <v>42432</v>
      </c>
      <c r="F1087" s="132" t="s">
        <v>7689</v>
      </c>
      <c r="G1087" s="132" t="s">
        <v>2845</v>
      </c>
      <c r="H1087" s="130" t="s">
        <v>4456</v>
      </c>
      <c r="I1087" s="132" t="s">
        <v>40</v>
      </c>
      <c r="J1087" s="131" t="s">
        <v>4432</v>
      </c>
      <c r="K1087" s="132" t="s">
        <v>4433</v>
      </c>
      <c r="L1087" s="163">
        <v>6112781</v>
      </c>
      <c r="M1087" s="132">
        <v>42426</v>
      </c>
      <c r="N1087" s="136" t="s">
        <v>4457</v>
      </c>
      <c r="O1087" s="130" t="s">
        <v>4436</v>
      </c>
      <c r="P1087" s="136" t="s">
        <v>241</v>
      </c>
      <c r="Q1087" s="130">
        <v>38231190</v>
      </c>
      <c r="R1087" s="136">
        <v>119.16</v>
      </c>
      <c r="S1087" s="130" t="s">
        <v>70</v>
      </c>
      <c r="T1087" s="136" t="s">
        <v>44</v>
      </c>
      <c r="U1087" s="136" t="s">
        <v>53</v>
      </c>
      <c r="V1087" s="136">
        <v>1733.33</v>
      </c>
      <c r="W1087" s="133">
        <f t="shared" si="52"/>
        <v>206543.60279999999</v>
      </c>
      <c r="X1087" s="136"/>
      <c r="Y1087" s="136"/>
      <c r="Z1087" s="136"/>
      <c r="AA1087" s="136"/>
      <c r="AB1087" s="131"/>
      <c r="AC1087" s="134">
        <f t="shared" si="49"/>
        <v>204075.44005891017</v>
      </c>
      <c r="AD1087" s="135">
        <v>67.900000000000006</v>
      </c>
      <c r="AE1087" s="136">
        <f t="shared" si="50"/>
        <v>14024310.63012</v>
      </c>
      <c r="AF1087" s="137">
        <v>13856722.380000001</v>
      </c>
      <c r="AG1087" s="138">
        <v>67.900000000000006</v>
      </c>
      <c r="AH1087" s="136" t="s">
        <v>7721</v>
      </c>
      <c r="AI1087" s="136">
        <v>206543.6</v>
      </c>
      <c r="AJ1087" s="132">
        <v>42500</v>
      </c>
      <c r="AK1087" s="136" t="s">
        <v>7722</v>
      </c>
      <c r="AL1087" s="132">
        <v>42501</v>
      </c>
      <c r="AM1087" s="131" t="s">
        <v>49</v>
      </c>
      <c r="AN1087" s="136" t="s">
        <v>4440</v>
      </c>
    </row>
    <row r="1088" spans="1:40" s="129" customFormat="1" x14ac:dyDescent="0.25">
      <c r="A1088" s="130">
        <v>1087</v>
      </c>
      <c r="B1088" s="130" t="s">
        <v>4428</v>
      </c>
      <c r="C1088" s="130" t="s">
        <v>38</v>
      </c>
      <c r="D1088" s="162">
        <v>9103651040</v>
      </c>
      <c r="E1088" s="132">
        <v>42431</v>
      </c>
      <c r="F1088" s="132" t="s">
        <v>7689</v>
      </c>
      <c r="G1088" s="132" t="s">
        <v>2853</v>
      </c>
      <c r="H1088" s="130" t="s">
        <v>4456</v>
      </c>
      <c r="I1088" s="132" t="s">
        <v>40</v>
      </c>
      <c r="J1088" s="131" t="s">
        <v>4432</v>
      </c>
      <c r="K1088" s="132" t="s">
        <v>4433</v>
      </c>
      <c r="L1088" s="163">
        <v>6132214</v>
      </c>
      <c r="M1088" s="132">
        <v>42427</v>
      </c>
      <c r="N1088" s="136" t="s">
        <v>6401</v>
      </c>
      <c r="O1088" s="130" t="s">
        <v>4436</v>
      </c>
      <c r="P1088" s="136" t="s">
        <v>205</v>
      </c>
      <c r="Q1088" s="130">
        <v>38237090</v>
      </c>
      <c r="R1088" s="136">
        <v>5</v>
      </c>
      <c r="S1088" s="130" t="s">
        <v>70</v>
      </c>
      <c r="T1088" s="136" t="s">
        <v>44</v>
      </c>
      <c r="U1088" s="136" t="s">
        <v>53</v>
      </c>
      <c r="V1088" s="136">
        <v>1900</v>
      </c>
      <c r="W1088" s="133">
        <f t="shared" si="52"/>
        <v>9500</v>
      </c>
      <c r="X1088" s="136"/>
      <c r="Y1088" s="136"/>
      <c r="Z1088" s="136"/>
      <c r="AA1088" s="136"/>
      <c r="AB1088" s="131"/>
      <c r="AC1088" s="134">
        <f t="shared" si="49"/>
        <v>8996.8599410898387</v>
      </c>
      <c r="AD1088" s="135">
        <v>67.900000000000006</v>
      </c>
      <c r="AE1088" s="136">
        <f t="shared" si="50"/>
        <v>645050</v>
      </c>
      <c r="AF1088" s="137">
        <v>610886.79</v>
      </c>
      <c r="AG1088" s="138">
        <v>67.900000000000006</v>
      </c>
      <c r="AH1088" s="136" t="s">
        <v>7723</v>
      </c>
      <c r="AI1088" s="136">
        <v>9485</v>
      </c>
      <c r="AJ1088" s="132">
        <v>42494</v>
      </c>
      <c r="AK1088" s="136" t="s">
        <v>7724</v>
      </c>
      <c r="AL1088" s="132">
        <v>42495</v>
      </c>
      <c r="AM1088" s="131" t="s">
        <v>49</v>
      </c>
      <c r="AN1088" s="136" t="s">
        <v>4440</v>
      </c>
    </row>
    <row r="1089" spans="1:40" s="129" customFormat="1" x14ac:dyDescent="0.25">
      <c r="A1089" s="136">
        <v>1088</v>
      </c>
      <c r="B1089" s="130" t="s">
        <v>4428</v>
      </c>
      <c r="C1089" s="130" t="s">
        <v>38</v>
      </c>
      <c r="D1089" s="162">
        <v>9103651041</v>
      </c>
      <c r="E1089" s="132">
        <v>42433</v>
      </c>
      <c r="F1089" s="132" t="s">
        <v>7689</v>
      </c>
      <c r="G1089" s="132" t="s">
        <v>2848</v>
      </c>
      <c r="H1089" s="130" t="s">
        <v>7658</v>
      </c>
      <c r="I1089" s="132" t="s">
        <v>40</v>
      </c>
      <c r="J1089" s="131" t="s">
        <v>4432</v>
      </c>
      <c r="K1089" s="132" t="s">
        <v>4433</v>
      </c>
      <c r="L1089" s="136">
        <v>6156046</v>
      </c>
      <c r="M1089" s="132">
        <v>42429</v>
      </c>
      <c r="N1089" s="136" t="s">
        <v>4655</v>
      </c>
      <c r="O1089" s="130" t="s">
        <v>4436</v>
      </c>
      <c r="P1089" s="136" t="s">
        <v>143</v>
      </c>
      <c r="Q1089" s="130">
        <v>38237090</v>
      </c>
      <c r="R1089" s="136">
        <v>48</v>
      </c>
      <c r="S1089" s="130" t="s">
        <v>70</v>
      </c>
      <c r="T1089" s="136" t="s">
        <v>52</v>
      </c>
      <c r="U1089" s="136" t="s">
        <v>53</v>
      </c>
      <c r="V1089" s="136">
        <v>1255</v>
      </c>
      <c r="W1089" s="133">
        <f t="shared" si="52"/>
        <v>60240</v>
      </c>
      <c r="X1089" s="136">
        <v>0</v>
      </c>
      <c r="Y1089" s="136">
        <v>1800</v>
      </c>
      <c r="Z1089" s="136">
        <v>0</v>
      </c>
      <c r="AA1089" s="136">
        <v>0</v>
      </c>
      <c r="AB1089" s="131">
        <v>42430</v>
      </c>
      <c r="AC1089" s="134">
        <f t="shared" si="49"/>
        <v>58439.999999999993</v>
      </c>
      <c r="AD1089" s="135">
        <v>67.900000000000006</v>
      </c>
      <c r="AE1089" s="136">
        <f t="shared" si="50"/>
        <v>4090296.0000000005</v>
      </c>
      <c r="AF1089" s="137">
        <v>3968076</v>
      </c>
      <c r="AG1089" s="138">
        <v>67.900000000000006</v>
      </c>
      <c r="AH1089" s="136" t="s">
        <v>7725</v>
      </c>
      <c r="AI1089" s="136">
        <v>60190</v>
      </c>
      <c r="AJ1089" s="132">
        <v>42489</v>
      </c>
      <c r="AK1089" s="136" t="s">
        <v>7726</v>
      </c>
      <c r="AL1089" s="132">
        <v>42490</v>
      </c>
      <c r="AM1089" s="131" t="s">
        <v>49</v>
      </c>
      <c r="AN1089" s="136" t="s">
        <v>4440</v>
      </c>
    </row>
    <row r="1090" spans="1:40" s="129" customFormat="1" x14ac:dyDescent="0.25">
      <c r="A1090" s="130">
        <v>1089</v>
      </c>
      <c r="B1090" s="130" t="s">
        <v>4428</v>
      </c>
      <c r="C1090" s="130" t="s">
        <v>38</v>
      </c>
      <c r="D1090" s="162">
        <v>9103651042</v>
      </c>
      <c r="E1090" s="132">
        <v>42436</v>
      </c>
      <c r="F1090" s="132" t="s">
        <v>7689</v>
      </c>
      <c r="G1090" s="132" t="s">
        <v>2847</v>
      </c>
      <c r="H1090" s="130" t="s">
        <v>5712</v>
      </c>
      <c r="I1090" s="132" t="s">
        <v>40</v>
      </c>
      <c r="J1090" s="131" t="s">
        <v>4432</v>
      </c>
      <c r="K1090" s="132" t="s">
        <v>4433</v>
      </c>
      <c r="L1090" s="136">
        <v>6156007</v>
      </c>
      <c r="M1090" s="132">
        <v>42429</v>
      </c>
      <c r="N1090" s="136" t="s">
        <v>4443</v>
      </c>
      <c r="O1090" s="130" t="s">
        <v>4436</v>
      </c>
      <c r="P1090" s="136" t="s">
        <v>3287</v>
      </c>
      <c r="Q1090" s="130">
        <v>38237090</v>
      </c>
      <c r="R1090" s="136">
        <v>15</v>
      </c>
      <c r="S1090" s="130" t="s">
        <v>70</v>
      </c>
      <c r="T1090" s="136" t="s">
        <v>67</v>
      </c>
      <c r="U1090" s="136" t="s">
        <v>53</v>
      </c>
      <c r="V1090" s="136">
        <v>1235</v>
      </c>
      <c r="W1090" s="133">
        <f t="shared" si="52"/>
        <v>18525</v>
      </c>
      <c r="X1090" s="136">
        <v>0</v>
      </c>
      <c r="Y1090" s="136">
        <v>0</v>
      </c>
      <c r="Z1090" s="136">
        <v>0</v>
      </c>
      <c r="AA1090" s="136">
        <v>0</v>
      </c>
      <c r="AB1090" s="131">
        <v>42431</v>
      </c>
      <c r="AC1090" s="134">
        <f t="shared" si="49"/>
        <v>18525</v>
      </c>
      <c r="AD1090" s="135">
        <v>67.900000000000006</v>
      </c>
      <c r="AE1090" s="136">
        <f t="shared" si="50"/>
        <v>1257847.5</v>
      </c>
      <c r="AF1090" s="137">
        <v>1257847.5</v>
      </c>
      <c r="AG1090" s="138">
        <v>67.900000000000006</v>
      </c>
      <c r="AH1090" s="136" t="s">
        <v>7727</v>
      </c>
      <c r="AI1090" s="136">
        <v>18525</v>
      </c>
      <c r="AJ1090" s="132">
        <v>42448</v>
      </c>
      <c r="AK1090" s="136" t="s">
        <v>7728</v>
      </c>
      <c r="AL1090" s="132">
        <v>42448</v>
      </c>
      <c r="AM1090" s="131" t="s">
        <v>49</v>
      </c>
      <c r="AN1090" s="136" t="s">
        <v>4440</v>
      </c>
    </row>
    <row r="1091" spans="1:40" s="129" customFormat="1" x14ac:dyDescent="0.25">
      <c r="A1091" s="136">
        <v>1090</v>
      </c>
      <c r="B1091" s="130" t="s">
        <v>4428</v>
      </c>
      <c r="C1091" s="130" t="s">
        <v>38</v>
      </c>
      <c r="D1091" s="162">
        <v>9103651047</v>
      </c>
      <c r="E1091" s="132">
        <v>42440</v>
      </c>
      <c r="F1091" s="132" t="s">
        <v>7689</v>
      </c>
      <c r="G1091" s="132" t="s">
        <v>2856</v>
      </c>
      <c r="H1091" s="130" t="s">
        <v>5373</v>
      </c>
      <c r="I1091" s="132" t="s">
        <v>40</v>
      </c>
      <c r="J1091" s="131" t="s">
        <v>4432</v>
      </c>
      <c r="K1091" s="132" t="s">
        <v>4433</v>
      </c>
      <c r="L1091" s="163">
        <v>6186918</v>
      </c>
      <c r="M1091" s="132">
        <v>42430</v>
      </c>
      <c r="N1091" s="136" t="s">
        <v>4945</v>
      </c>
      <c r="O1091" s="130" t="s">
        <v>4436</v>
      </c>
      <c r="P1091" s="136" t="s">
        <v>90</v>
      </c>
      <c r="Q1091" s="130">
        <v>38237090</v>
      </c>
      <c r="R1091" s="136">
        <v>24</v>
      </c>
      <c r="S1091" s="130" t="s">
        <v>70</v>
      </c>
      <c r="T1091" s="136" t="s">
        <v>44</v>
      </c>
      <c r="U1091" s="136" t="s">
        <v>53</v>
      </c>
      <c r="V1091" s="136">
        <v>1385</v>
      </c>
      <c r="W1091" s="133">
        <f t="shared" si="52"/>
        <v>33240</v>
      </c>
      <c r="X1091" s="136"/>
      <c r="Y1091" s="136"/>
      <c r="Z1091" s="136"/>
      <c r="AA1091" s="136"/>
      <c r="AB1091" s="131"/>
      <c r="AC1091" s="134">
        <f t="shared" si="49"/>
        <v>32629.030044182622</v>
      </c>
      <c r="AD1091" s="135">
        <v>67.900000000000006</v>
      </c>
      <c r="AE1091" s="136">
        <f t="shared" si="50"/>
        <v>2256996</v>
      </c>
      <c r="AF1091" s="137">
        <v>2215511.14</v>
      </c>
      <c r="AG1091" s="138">
        <v>67.900000000000006</v>
      </c>
      <c r="AH1091" s="136" t="s">
        <v>7729</v>
      </c>
      <c r="AI1091" s="136">
        <v>33240</v>
      </c>
      <c r="AJ1091" s="132">
        <v>42501</v>
      </c>
      <c r="AK1091" s="136" t="s">
        <v>7730</v>
      </c>
      <c r="AL1091" s="132">
        <v>42502</v>
      </c>
      <c r="AM1091" s="131" t="s">
        <v>49</v>
      </c>
      <c r="AN1091" s="136" t="s">
        <v>4440</v>
      </c>
    </row>
    <row r="1092" spans="1:40" s="129" customFormat="1" x14ac:dyDescent="0.25">
      <c r="A1092" s="130">
        <v>1091</v>
      </c>
      <c r="B1092" s="130" t="s">
        <v>4428</v>
      </c>
      <c r="C1092" s="130" t="s">
        <v>38</v>
      </c>
      <c r="D1092" s="162">
        <v>9103651048</v>
      </c>
      <c r="E1092" s="132">
        <v>42446</v>
      </c>
      <c r="F1092" s="132" t="s">
        <v>7689</v>
      </c>
      <c r="G1092" s="132" t="s">
        <v>2857</v>
      </c>
      <c r="H1092" s="130" t="s">
        <v>4446</v>
      </c>
      <c r="I1092" s="132" t="s">
        <v>40</v>
      </c>
      <c r="J1092" s="131" t="s">
        <v>4432</v>
      </c>
      <c r="K1092" s="132" t="s">
        <v>4433</v>
      </c>
      <c r="L1092" s="163">
        <v>6193482</v>
      </c>
      <c r="M1092" s="132">
        <v>42430</v>
      </c>
      <c r="N1092" s="136" t="s">
        <v>4670</v>
      </c>
      <c r="O1092" s="130" t="s">
        <v>4436</v>
      </c>
      <c r="P1092" s="136" t="s">
        <v>243</v>
      </c>
      <c r="Q1092" s="130">
        <v>29051700</v>
      </c>
      <c r="R1092" s="136">
        <v>26</v>
      </c>
      <c r="S1092" s="130" t="s">
        <v>70</v>
      </c>
      <c r="T1092" s="136" t="s">
        <v>52</v>
      </c>
      <c r="U1092" s="136" t="s">
        <v>53</v>
      </c>
      <c r="V1092" s="136">
        <v>1260</v>
      </c>
      <c r="W1092" s="133">
        <f t="shared" si="52"/>
        <v>32760</v>
      </c>
      <c r="X1092" s="136"/>
      <c r="Y1092" s="136"/>
      <c r="Z1092" s="136"/>
      <c r="AA1092" s="136"/>
      <c r="AB1092" s="131"/>
      <c r="AC1092" s="134">
        <f t="shared" ref="AC1092:AC1155" si="53">AF1092/AD1092</f>
        <v>32309.999999999996</v>
      </c>
      <c r="AD1092" s="135">
        <v>67.900000000000006</v>
      </c>
      <c r="AE1092" s="136">
        <f t="shared" ref="AE1092:AE1155" si="54">AD1092*W1092</f>
        <v>2224404</v>
      </c>
      <c r="AF1092" s="137">
        <v>2193849</v>
      </c>
      <c r="AG1092" s="138">
        <v>67.900000000000006</v>
      </c>
      <c r="AH1092" s="136" t="s">
        <v>7731</v>
      </c>
      <c r="AI1092" s="136">
        <v>32610</v>
      </c>
      <c r="AJ1092" s="132" t="s">
        <v>7732</v>
      </c>
      <c r="AK1092" s="136" t="s">
        <v>7733</v>
      </c>
      <c r="AL1092" s="132" t="s">
        <v>7734</v>
      </c>
      <c r="AM1092" s="131" t="s">
        <v>49</v>
      </c>
      <c r="AN1092" s="136" t="s">
        <v>4440</v>
      </c>
    </row>
    <row r="1093" spans="1:40" s="129" customFormat="1" x14ac:dyDescent="0.25">
      <c r="A1093" s="136">
        <v>1092</v>
      </c>
      <c r="B1093" s="130" t="s">
        <v>4428</v>
      </c>
      <c r="C1093" s="130" t="s">
        <v>38</v>
      </c>
      <c r="D1093" s="162">
        <v>9103651049</v>
      </c>
      <c r="E1093" s="132">
        <v>42446</v>
      </c>
      <c r="F1093" s="132" t="s">
        <v>7689</v>
      </c>
      <c r="G1093" s="132" t="s">
        <v>2852</v>
      </c>
      <c r="H1093" s="130" t="s">
        <v>4456</v>
      </c>
      <c r="I1093" s="132" t="s">
        <v>40</v>
      </c>
      <c r="J1093" s="131" t="s">
        <v>4432</v>
      </c>
      <c r="K1093" s="132" t="s">
        <v>4433</v>
      </c>
      <c r="L1093" s="163">
        <v>6193479</v>
      </c>
      <c r="M1093" s="132">
        <v>42430</v>
      </c>
      <c r="N1093" s="136" t="s">
        <v>7009</v>
      </c>
      <c r="O1093" s="130" t="s">
        <v>4436</v>
      </c>
      <c r="P1093" s="136" t="s">
        <v>329</v>
      </c>
      <c r="Q1093" s="130">
        <v>29051700</v>
      </c>
      <c r="R1093" s="136">
        <v>48</v>
      </c>
      <c r="S1093" s="130" t="s">
        <v>70</v>
      </c>
      <c r="T1093" s="136" t="s">
        <v>52</v>
      </c>
      <c r="U1093" s="136" t="s">
        <v>53</v>
      </c>
      <c r="V1093" s="136">
        <v>1340</v>
      </c>
      <c r="W1093" s="133">
        <f t="shared" si="52"/>
        <v>64320</v>
      </c>
      <c r="X1093" s="136"/>
      <c r="Y1093" s="136"/>
      <c r="Z1093" s="136"/>
      <c r="AA1093" s="136"/>
      <c r="AB1093" s="131"/>
      <c r="AC1093" s="134">
        <f t="shared" si="53"/>
        <v>62919.999999999993</v>
      </c>
      <c r="AD1093" s="135">
        <v>67.900000000000006</v>
      </c>
      <c r="AE1093" s="136">
        <f t="shared" si="54"/>
        <v>4367328</v>
      </c>
      <c r="AF1093" s="137">
        <v>4272268</v>
      </c>
      <c r="AG1093" s="138">
        <v>67.900000000000006</v>
      </c>
      <c r="AH1093" s="136" t="s">
        <v>7735</v>
      </c>
      <c r="AI1093" s="136">
        <v>64110</v>
      </c>
      <c r="AJ1093" s="132">
        <v>42542</v>
      </c>
      <c r="AK1093" s="136" t="s">
        <v>7736</v>
      </c>
      <c r="AL1093" s="132">
        <v>42543</v>
      </c>
      <c r="AM1093" s="131" t="s">
        <v>49</v>
      </c>
      <c r="AN1093" s="136" t="s">
        <v>4440</v>
      </c>
    </row>
    <row r="1094" spans="1:40" s="129" customFormat="1" x14ac:dyDescent="0.25">
      <c r="A1094" s="130">
        <v>1093</v>
      </c>
      <c r="B1094" s="130" t="s">
        <v>4428</v>
      </c>
      <c r="C1094" s="130" t="s">
        <v>38</v>
      </c>
      <c r="D1094" s="162">
        <v>9103651050</v>
      </c>
      <c r="E1094" s="132">
        <v>42435</v>
      </c>
      <c r="F1094" s="132" t="s">
        <v>7689</v>
      </c>
      <c r="G1094" s="132" t="s">
        <v>2858</v>
      </c>
      <c r="H1094" s="130" t="s">
        <v>4491</v>
      </c>
      <c r="I1094" s="132" t="s">
        <v>40</v>
      </c>
      <c r="J1094" s="131" t="s">
        <v>4432</v>
      </c>
      <c r="K1094" s="132" t="s">
        <v>4433</v>
      </c>
      <c r="L1094" s="136">
        <v>6193471</v>
      </c>
      <c r="M1094" s="132">
        <v>42430</v>
      </c>
      <c r="N1094" s="136" t="s">
        <v>3741</v>
      </c>
      <c r="O1094" s="130" t="s">
        <v>4436</v>
      </c>
      <c r="P1094" s="136" t="s">
        <v>4492</v>
      </c>
      <c r="Q1094" s="130">
        <v>29051700</v>
      </c>
      <c r="R1094" s="136">
        <v>36.287999999999997</v>
      </c>
      <c r="S1094" s="130" t="s">
        <v>70</v>
      </c>
      <c r="T1094" s="136" t="s">
        <v>44</v>
      </c>
      <c r="U1094" s="136" t="s">
        <v>53</v>
      </c>
      <c r="V1094" s="136">
        <v>1262</v>
      </c>
      <c r="W1094" s="133">
        <f t="shared" si="52"/>
        <v>45795.455999999998</v>
      </c>
      <c r="X1094" s="136">
        <v>15.11</v>
      </c>
      <c r="Y1094" s="136">
        <v>2800</v>
      </c>
      <c r="Z1094" s="136">
        <v>0</v>
      </c>
      <c r="AA1094" s="136">
        <v>0</v>
      </c>
      <c r="AB1094" s="131">
        <v>42431</v>
      </c>
      <c r="AC1094" s="134">
        <f t="shared" si="53"/>
        <v>42980.349926362287</v>
      </c>
      <c r="AD1094" s="135">
        <v>67.900000000000006</v>
      </c>
      <c r="AE1094" s="136">
        <f t="shared" si="54"/>
        <v>3109511.4624000001</v>
      </c>
      <c r="AF1094" s="137">
        <v>2918365.76</v>
      </c>
      <c r="AG1094" s="138">
        <v>67.900000000000006</v>
      </c>
      <c r="AH1094" s="136" t="s">
        <v>7737</v>
      </c>
      <c r="AI1094" s="136">
        <v>45795.46</v>
      </c>
      <c r="AJ1094" s="132">
        <v>42482</v>
      </c>
      <c r="AK1094" s="136" t="s">
        <v>7738</v>
      </c>
      <c r="AL1094" s="132">
        <v>42485</v>
      </c>
      <c r="AM1094" s="131" t="s">
        <v>49</v>
      </c>
      <c r="AN1094" s="136" t="s">
        <v>4440</v>
      </c>
    </row>
    <row r="1095" spans="1:40" s="129" customFormat="1" x14ac:dyDescent="0.25">
      <c r="A1095" s="136">
        <v>1094</v>
      </c>
      <c r="B1095" s="130" t="s">
        <v>4428</v>
      </c>
      <c r="C1095" s="130" t="s">
        <v>38</v>
      </c>
      <c r="D1095" s="162">
        <v>9103651051</v>
      </c>
      <c r="E1095" s="132">
        <v>42437</v>
      </c>
      <c r="F1095" s="132" t="s">
        <v>7689</v>
      </c>
      <c r="G1095" s="132" t="s">
        <v>2859</v>
      </c>
      <c r="H1095" s="130" t="s">
        <v>4456</v>
      </c>
      <c r="I1095" s="132" t="s">
        <v>40</v>
      </c>
      <c r="J1095" s="131" t="s">
        <v>4432</v>
      </c>
      <c r="K1095" s="132" t="s">
        <v>4433</v>
      </c>
      <c r="L1095" s="163">
        <v>6216965</v>
      </c>
      <c r="M1095" s="132">
        <v>42431</v>
      </c>
      <c r="N1095" s="136" t="s">
        <v>4457</v>
      </c>
      <c r="O1095" s="130" t="s">
        <v>4436</v>
      </c>
      <c r="P1095" s="136" t="s">
        <v>241</v>
      </c>
      <c r="Q1095" s="130">
        <v>38231190</v>
      </c>
      <c r="R1095" s="136">
        <v>78.41</v>
      </c>
      <c r="S1095" s="130" t="s">
        <v>70</v>
      </c>
      <c r="T1095" s="136" t="s">
        <v>44</v>
      </c>
      <c r="U1095" s="136" t="s">
        <v>53</v>
      </c>
      <c r="V1095" s="136">
        <v>1733.33</v>
      </c>
      <c r="W1095" s="133">
        <f t="shared" si="52"/>
        <v>135910.40529999998</v>
      </c>
      <c r="X1095" s="136"/>
      <c r="Y1095" s="136"/>
      <c r="Z1095" s="136"/>
      <c r="AA1095" s="136"/>
      <c r="AB1095" s="131"/>
      <c r="AC1095" s="134">
        <f t="shared" si="53"/>
        <v>134245.18998527245</v>
      </c>
      <c r="AD1095" s="135">
        <v>67.900000000000006</v>
      </c>
      <c r="AE1095" s="136">
        <f t="shared" si="54"/>
        <v>9228316.51987</v>
      </c>
      <c r="AF1095" s="137">
        <v>9115248.4000000004</v>
      </c>
      <c r="AG1095" s="138">
        <v>66.95</v>
      </c>
      <c r="AH1095" s="136" t="s">
        <v>7739</v>
      </c>
      <c r="AI1095" s="136">
        <v>135889.41</v>
      </c>
      <c r="AJ1095" s="132">
        <v>42500</v>
      </c>
      <c r="AK1095" s="136" t="s">
        <v>7740</v>
      </c>
      <c r="AL1095" s="132">
        <v>42501</v>
      </c>
      <c r="AM1095" s="131" t="s">
        <v>49</v>
      </c>
      <c r="AN1095" s="136" t="s">
        <v>4440</v>
      </c>
    </row>
    <row r="1096" spans="1:40" s="129" customFormat="1" x14ac:dyDescent="0.25">
      <c r="A1096" s="130">
        <v>1095</v>
      </c>
      <c r="B1096" s="130" t="s">
        <v>4428</v>
      </c>
      <c r="C1096" s="130" t="s">
        <v>38</v>
      </c>
      <c r="D1096" s="162">
        <v>9103651052</v>
      </c>
      <c r="E1096" s="132">
        <v>42436</v>
      </c>
      <c r="F1096" s="132" t="s">
        <v>7689</v>
      </c>
      <c r="G1096" s="132" t="s">
        <v>2863</v>
      </c>
      <c r="H1096" s="130" t="s">
        <v>4456</v>
      </c>
      <c r="I1096" s="132" t="s">
        <v>40</v>
      </c>
      <c r="J1096" s="131" t="s">
        <v>4432</v>
      </c>
      <c r="K1096" s="132" t="s">
        <v>4433</v>
      </c>
      <c r="L1096" s="136">
        <v>6208912</v>
      </c>
      <c r="M1096" s="132">
        <v>42431</v>
      </c>
      <c r="N1096" s="136" t="s">
        <v>4527</v>
      </c>
      <c r="O1096" s="130" t="s">
        <v>4436</v>
      </c>
      <c r="P1096" s="136" t="s">
        <v>59</v>
      </c>
      <c r="Q1096" s="130">
        <v>29051700</v>
      </c>
      <c r="R1096" s="136">
        <v>12</v>
      </c>
      <c r="S1096" s="130" t="s">
        <v>70</v>
      </c>
      <c r="T1096" s="136" t="s">
        <v>52</v>
      </c>
      <c r="U1096" s="136" t="s">
        <v>53</v>
      </c>
      <c r="V1096" s="136">
        <v>0</v>
      </c>
      <c r="W1096" s="133">
        <f>(7.8*1320+4.2*1385)</f>
        <v>16113</v>
      </c>
      <c r="X1096" s="136">
        <v>0</v>
      </c>
      <c r="Y1096" s="136">
        <v>450</v>
      </c>
      <c r="Z1096" s="136">
        <v>0</v>
      </c>
      <c r="AA1096" s="136">
        <v>0</v>
      </c>
      <c r="AB1096" s="131">
        <v>42433</v>
      </c>
      <c r="AC1096" s="134">
        <f t="shared" si="53"/>
        <v>15662.999999999998</v>
      </c>
      <c r="AD1096" s="135">
        <v>67.900000000000006</v>
      </c>
      <c r="AE1096" s="136">
        <f t="shared" si="54"/>
        <v>1094072.7000000002</v>
      </c>
      <c r="AF1096" s="137">
        <v>1063517.7</v>
      </c>
      <c r="AG1096" s="138">
        <v>66.95</v>
      </c>
      <c r="AH1096" s="136" t="s">
        <v>7741</v>
      </c>
      <c r="AI1096" s="136">
        <v>16113</v>
      </c>
      <c r="AJ1096" s="132">
        <v>42499</v>
      </c>
      <c r="AK1096" s="136" t="s">
        <v>7742</v>
      </c>
      <c r="AL1096" s="132">
        <v>42499</v>
      </c>
      <c r="AM1096" s="131" t="s">
        <v>49</v>
      </c>
      <c r="AN1096" s="136" t="s">
        <v>4440</v>
      </c>
    </row>
    <row r="1097" spans="1:40" s="129" customFormat="1" x14ac:dyDescent="0.25">
      <c r="A1097" s="136">
        <v>1096</v>
      </c>
      <c r="B1097" s="130" t="s">
        <v>4428</v>
      </c>
      <c r="C1097" s="130" t="s">
        <v>38</v>
      </c>
      <c r="D1097" s="162">
        <v>9103651053</v>
      </c>
      <c r="E1097" s="132">
        <v>42432</v>
      </c>
      <c r="F1097" s="132" t="s">
        <v>7689</v>
      </c>
      <c r="G1097" s="132" t="s">
        <v>2860</v>
      </c>
      <c r="H1097" s="130" t="s">
        <v>4456</v>
      </c>
      <c r="I1097" s="132" t="s">
        <v>40</v>
      </c>
      <c r="J1097" s="131" t="s">
        <v>4432</v>
      </c>
      <c r="K1097" s="132" t="s">
        <v>4433</v>
      </c>
      <c r="L1097" s="163">
        <v>6233143</v>
      </c>
      <c r="M1097" s="132">
        <v>42432</v>
      </c>
      <c r="N1097" s="136" t="s">
        <v>5106</v>
      </c>
      <c r="O1097" s="130" t="s">
        <v>4436</v>
      </c>
      <c r="P1097" s="136" t="s">
        <v>127</v>
      </c>
      <c r="Q1097" s="130">
        <v>38237090</v>
      </c>
      <c r="R1097" s="136">
        <v>4</v>
      </c>
      <c r="S1097" s="130" t="s">
        <v>70</v>
      </c>
      <c r="T1097" s="136" t="s">
        <v>52</v>
      </c>
      <c r="U1097" s="136" t="s">
        <v>53</v>
      </c>
      <c r="V1097" s="136">
        <v>5030</v>
      </c>
      <c r="W1097" s="133">
        <f t="shared" si="52"/>
        <v>20120</v>
      </c>
      <c r="X1097" s="136"/>
      <c r="Y1097" s="136"/>
      <c r="Z1097" s="136"/>
      <c r="AA1097" s="136"/>
      <c r="AB1097" s="131"/>
      <c r="AC1097" s="134">
        <f t="shared" si="53"/>
        <v>17041.210014727538</v>
      </c>
      <c r="AD1097" s="135">
        <v>67.900000000000006</v>
      </c>
      <c r="AE1097" s="136">
        <f t="shared" si="54"/>
        <v>1366148</v>
      </c>
      <c r="AF1097" s="137">
        <v>1157098.1599999999</v>
      </c>
      <c r="AG1097" s="138">
        <v>67.900000000000006</v>
      </c>
      <c r="AH1097" s="136" t="s">
        <v>7743</v>
      </c>
      <c r="AI1097" s="136">
        <v>20073</v>
      </c>
      <c r="AJ1097" s="132">
        <v>42502</v>
      </c>
      <c r="AK1097" s="136" t="s">
        <v>7744</v>
      </c>
      <c r="AL1097" s="132">
        <v>42503</v>
      </c>
      <c r="AM1097" s="131" t="s">
        <v>49</v>
      </c>
      <c r="AN1097" s="136" t="s">
        <v>4440</v>
      </c>
    </row>
    <row r="1098" spans="1:40" s="129" customFormat="1" x14ac:dyDescent="0.25">
      <c r="A1098" s="130">
        <v>1097</v>
      </c>
      <c r="B1098" s="130" t="s">
        <v>4428</v>
      </c>
      <c r="C1098" s="130" t="s">
        <v>38</v>
      </c>
      <c r="D1098" s="162">
        <v>9103651054</v>
      </c>
      <c r="E1098" s="132">
        <v>42431</v>
      </c>
      <c r="F1098" s="132" t="s">
        <v>7689</v>
      </c>
      <c r="G1098" s="132" t="s">
        <v>2851</v>
      </c>
      <c r="H1098" s="130" t="s">
        <v>4446</v>
      </c>
      <c r="I1098" s="132" t="s">
        <v>40</v>
      </c>
      <c r="J1098" s="131" t="s">
        <v>4432</v>
      </c>
      <c r="K1098" s="132" t="s">
        <v>4433</v>
      </c>
      <c r="L1098" s="163">
        <v>6203663</v>
      </c>
      <c r="M1098" s="132">
        <v>42431</v>
      </c>
      <c r="N1098" s="136" t="s">
        <v>7745</v>
      </c>
      <c r="O1098" s="130" t="s">
        <v>4436</v>
      </c>
      <c r="P1098" s="136" t="s">
        <v>1120</v>
      </c>
      <c r="Q1098" s="130" t="s">
        <v>6194</v>
      </c>
      <c r="R1098" s="136">
        <v>2.2000000000000002</v>
      </c>
      <c r="S1098" s="130" t="s">
        <v>70</v>
      </c>
      <c r="T1098" s="136" t="s">
        <v>52</v>
      </c>
      <c r="U1098" s="136" t="s">
        <v>53</v>
      </c>
      <c r="V1098" s="136">
        <v>0</v>
      </c>
      <c r="W1098" s="133">
        <f>(0.6*6710+1.6*4610)</f>
        <v>11402</v>
      </c>
      <c r="X1098" s="136">
        <v>0</v>
      </c>
      <c r="Y1098" s="136">
        <v>5872.83</v>
      </c>
      <c r="Z1098" s="136">
        <v>0</v>
      </c>
      <c r="AA1098" s="136">
        <v>0</v>
      </c>
      <c r="AB1098" s="131">
        <v>42431</v>
      </c>
      <c r="AC1098" s="134">
        <f t="shared" si="53"/>
        <v>5529.1701030927834</v>
      </c>
      <c r="AD1098" s="135">
        <v>67.900000000000006</v>
      </c>
      <c r="AE1098" s="136">
        <f t="shared" si="54"/>
        <v>774195.8</v>
      </c>
      <c r="AF1098" s="137">
        <v>375430.65</v>
      </c>
      <c r="AG1098" s="138">
        <v>67.900000000000006</v>
      </c>
      <c r="AH1098" s="136" t="s">
        <v>7746</v>
      </c>
      <c r="AI1098" s="136">
        <v>11350</v>
      </c>
      <c r="AJ1098" s="132">
        <v>42452</v>
      </c>
      <c r="AK1098" s="136" t="s">
        <v>7747</v>
      </c>
      <c r="AL1098" s="132">
        <v>42457</v>
      </c>
      <c r="AM1098" s="131" t="s">
        <v>49</v>
      </c>
      <c r="AN1098" s="136" t="s">
        <v>4440</v>
      </c>
    </row>
    <row r="1099" spans="1:40" s="129" customFormat="1" x14ac:dyDescent="0.25">
      <c r="A1099" s="136">
        <v>1098</v>
      </c>
      <c r="B1099" s="130" t="s">
        <v>4428</v>
      </c>
      <c r="C1099" s="130" t="s">
        <v>38</v>
      </c>
      <c r="D1099" s="162">
        <v>9103651055</v>
      </c>
      <c r="E1099" s="132">
        <v>42438</v>
      </c>
      <c r="F1099" s="132" t="s">
        <v>7689</v>
      </c>
      <c r="G1099" s="132" t="s">
        <v>2861</v>
      </c>
      <c r="H1099" s="130" t="s">
        <v>4491</v>
      </c>
      <c r="I1099" s="132" t="s">
        <v>40</v>
      </c>
      <c r="J1099" s="131" t="s">
        <v>4432</v>
      </c>
      <c r="K1099" s="132" t="s">
        <v>4433</v>
      </c>
      <c r="L1099" s="163">
        <v>6216879</v>
      </c>
      <c r="M1099" s="132">
        <v>42431</v>
      </c>
      <c r="N1099" s="136" t="s">
        <v>3741</v>
      </c>
      <c r="O1099" s="130" t="s">
        <v>4436</v>
      </c>
      <c r="P1099" s="136" t="s">
        <v>4492</v>
      </c>
      <c r="Q1099" s="130">
        <v>29051700</v>
      </c>
      <c r="R1099" s="136">
        <v>36.287999999999997</v>
      </c>
      <c r="S1099" s="130" t="s">
        <v>70</v>
      </c>
      <c r="T1099" s="136" t="s">
        <v>44</v>
      </c>
      <c r="U1099" s="136" t="s">
        <v>53</v>
      </c>
      <c r="V1099" s="136">
        <v>1222</v>
      </c>
      <c r="W1099" s="133">
        <f t="shared" si="52"/>
        <v>44343.935999999994</v>
      </c>
      <c r="X1099" s="136"/>
      <c r="Y1099" s="136"/>
      <c r="Z1099" s="136"/>
      <c r="AA1099" s="136"/>
      <c r="AB1099" s="131"/>
      <c r="AC1099" s="134">
        <f t="shared" si="53"/>
        <v>41929.310014727533</v>
      </c>
      <c r="AD1099" s="135">
        <v>67.900000000000006</v>
      </c>
      <c r="AE1099" s="136">
        <f t="shared" si="54"/>
        <v>3010953.2544</v>
      </c>
      <c r="AF1099" s="137">
        <v>2847000.15</v>
      </c>
      <c r="AG1099" s="138">
        <v>67.900000000000006</v>
      </c>
      <c r="AH1099" s="136" t="s">
        <v>7748</v>
      </c>
      <c r="AI1099" s="136">
        <v>44343.94</v>
      </c>
      <c r="AJ1099" s="132">
        <v>42482</v>
      </c>
      <c r="AK1099" s="136" t="s">
        <v>7749</v>
      </c>
      <c r="AL1099" s="132">
        <v>42485</v>
      </c>
      <c r="AM1099" s="131" t="s">
        <v>49</v>
      </c>
      <c r="AN1099" s="136" t="s">
        <v>4440</v>
      </c>
    </row>
    <row r="1100" spans="1:40" s="129" customFormat="1" x14ac:dyDescent="0.25">
      <c r="A1100" s="130">
        <v>1099</v>
      </c>
      <c r="B1100" s="130" t="s">
        <v>4428</v>
      </c>
      <c r="C1100" s="130" t="s">
        <v>38</v>
      </c>
      <c r="D1100" s="162">
        <v>9103651056</v>
      </c>
      <c r="E1100" s="132">
        <v>42438</v>
      </c>
      <c r="F1100" s="132" t="s">
        <v>7689</v>
      </c>
      <c r="G1100" s="132" t="s">
        <v>2862</v>
      </c>
      <c r="H1100" s="130" t="s">
        <v>4491</v>
      </c>
      <c r="I1100" s="132" t="s">
        <v>40</v>
      </c>
      <c r="J1100" s="131" t="s">
        <v>4432</v>
      </c>
      <c r="K1100" s="132" t="s">
        <v>4433</v>
      </c>
      <c r="L1100" s="163">
        <v>6217338</v>
      </c>
      <c r="M1100" s="132">
        <v>42431</v>
      </c>
      <c r="N1100" s="136" t="s">
        <v>3741</v>
      </c>
      <c r="O1100" s="130" t="s">
        <v>4436</v>
      </c>
      <c r="P1100" s="136" t="s">
        <v>4492</v>
      </c>
      <c r="Q1100" s="130">
        <v>29051700</v>
      </c>
      <c r="R1100" s="136">
        <v>19.844000000000001</v>
      </c>
      <c r="S1100" s="130" t="s">
        <v>70</v>
      </c>
      <c r="T1100" s="136" t="s">
        <v>44</v>
      </c>
      <c r="U1100" s="136" t="s">
        <v>53</v>
      </c>
      <c r="V1100" s="136">
        <v>1439</v>
      </c>
      <c r="W1100" s="133">
        <f t="shared" si="52"/>
        <v>28555.516000000003</v>
      </c>
      <c r="X1100" s="136"/>
      <c r="Y1100" s="136"/>
      <c r="Z1100" s="136"/>
      <c r="AA1100" s="136"/>
      <c r="AB1100" s="131"/>
      <c r="AC1100" s="134">
        <f t="shared" si="53"/>
        <v>27346.1</v>
      </c>
      <c r="AD1100" s="135">
        <v>67.900000000000006</v>
      </c>
      <c r="AE1100" s="136">
        <f t="shared" si="54"/>
        <v>1938919.5364000003</v>
      </c>
      <c r="AF1100" s="137">
        <v>1856800.19</v>
      </c>
      <c r="AG1100" s="138">
        <v>67.900000000000006</v>
      </c>
      <c r="AH1100" s="136" t="s">
        <v>7750</v>
      </c>
      <c r="AI1100" s="136">
        <v>28555.52</v>
      </c>
      <c r="AJ1100" s="132">
        <v>42482</v>
      </c>
      <c r="AK1100" s="136" t="s">
        <v>7751</v>
      </c>
      <c r="AL1100" s="132">
        <v>42485</v>
      </c>
      <c r="AM1100" s="131" t="s">
        <v>49</v>
      </c>
      <c r="AN1100" s="136" t="s">
        <v>4440</v>
      </c>
    </row>
    <row r="1101" spans="1:40" s="129" customFormat="1" x14ac:dyDescent="0.25">
      <c r="A1101" s="136">
        <v>1100</v>
      </c>
      <c r="B1101" s="130" t="s">
        <v>4428</v>
      </c>
      <c r="C1101" s="130" t="s">
        <v>38</v>
      </c>
      <c r="D1101" s="162">
        <v>9103651057</v>
      </c>
      <c r="E1101" s="132">
        <v>42437</v>
      </c>
      <c r="F1101" s="132" t="s">
        <v>7689</v>
      </c>
      <c r="G1101" s="132" t="s">
        <v>2864</v>
      </c>
      <c r="H1101" s="130" t="s">
        <v>4491</v>
      </c>
      <c r="I1101" s="132" t="s">
        <v>40</v>
      </c>
      <c r="J1101" s="131" t="s">
        <v>4432</v>
      </c>
      <c r="K1101" s="132" t="s">
        <v>4433</v>
      </c>
      <c r="L1101" s="136">
        <v>6230870</v>
      </c>
      <c r="M1101" s="132">
        <v>42432</v>
      </c>
      <c r="N1101" s="136" t="s">
        <v>3741</v>
      </c>
      <c r="O1101" s="130" t="s">
        <v>4436</v>
      </c>
      <c r="P1101" s="136" t="s">
        <v>4492</v>
      </c>
      <c r="Q1101" s="130">
        <v>29051700</v>
      </c>
      <c r="R1101" s="136">
        <v>59.192999999999998</v>
      </c>
      <c r="S1101" s="130" t="s">
        <v>70</v>
      </c>
      <c r="T1101" s="136" t="s">
        <v>44</v>
      </c>
      <c r="U1101" s="136" t="s">
        <v>53</v>
      </c>
      <c r="V1101" s="136">
        <v>1285</v>
      </c>
      <c r="W1101" s="133">
        <f t="shared" si="52"/>
        <v>76063.00499999999</v>
      </c>
      <c r="X1101" s="136">
        <v>25.1</v>
      </c>
      <c r="Y1101" s="136">
        <v>6450</v>
      </c>
      <c r="Z1101" s="136">
        <v>0</v>
      </c>
      <c r="AA1101" s="136">
        <v>0</v>
      </c>
      <c r="AB1101" s="131">
        <v>42433</v>
      </c>
      <c r="AC1101" s="134">
        <f t="shared" si="53"/>
        <v>69587.910014727531</v>
      </c>
      <c r="AD1101" s="135">
        <v>67.900000000000006</v>
      </c>
      <c r="AE1101" s="136">
        <f t="shared" si="54"/>
        <v>5164678.0395</v>
      </c>
      <c r="AF1101" s="137">
        <v>4725019.09</v>
      </c>
      <c r="AG1101" s="138">
        <v>66.95</v>
      </c>
      <c r="AH1101" s="136" t="s">
        <v>7752</v>
      </c>
      <c r="AI1101" s="136">
        <v>76063.009999999995</v>
      </c>
      <c r="AJ1101" s="132">
        <v>42482</v>
      </c>
      <c r="AK1101" s="136" t="s">
        <v>7753</v>
      </c>
      <c r="AL1101" s="132">
        <v>42485</v>
      </c>
      <c r="AM1101" s="131" t="s">
        <v>49</v>
      </c>
      <c r="AN1101" s="136" t="s">
        <v>4440</v>
      </c>
    </row>
    <row r="1102" spans="1:40" s="129" customFormat="1" x14ac:dyDescent="0.25">
      <c r="A1102" s="130">
        <v>1101</v>
      </c>
      <c r="B1102" s="130" t="s">
        <v>4428</v>
      </c>
      <c r="C1102" s="130" t="s">
        <v>38</v>
      </c>
      <c r="D1102" s="162">
        <v>9103651058</v>
      </c>
      <c r="E1102" s="132">
        <v>42435</v>
      </c>
      <c r="F1102" s="132" t="s">
        <v>7689</v>
      </c>
      <c r="G1102" s="132" t="s">
        <v>2865</v>
      </c>
      <c r="H1102" s="130" t="s">
        <v>7658</v>
      </c>
      <c r="I1102" s="132" t="s">
        <v>40</v>
      </c>
      <c r="J1102" s="131" t="s">
        <v>4432</v>
      </c>
      <c r="K1102" s="132" t="s">
        <v>4433</v>
      </c>
      <c r="L1102" s="136">
        <v>6236163</v>
      </c>
      <c r="M1102" s="132">
        <v>42432</v>
      </c>
      <c r="N1102" s="136" t="s">
        <v>4630</v>
      </c>
      <c r="O1102" s="130" t="s">
        <v>4436</v>
      </c>
      <c r="P1102" s="136" t="s">
        <v>61</v>
      </c>
      <c r="Q1102" s="130">
        <v>29051700</v>
      </c>
      <c r="R1102" s="136">
        <v>16</v>
      </c>
      <c r="S1102" s="130" t="s">
        <v>70</v>
      </c>
      <c r="T1102" s="136" t="s">
        <v>52</v>
      </c>
      <c r="U1102" s="136" t="s">
        <v>53</v>
      </c>
      <c r="V1102" s="136">
        <v>1344</v>
      </c>
      <c r="W1102" s="133">
        <f t="shared" si="52"/>
        <v>21504</v>
      </c>
      <c r="X1102" s="136">
        <v>0</v>
      </c>
      <c r="Y1102" s="136">
        <v>1175</v>
      </c>
      <c r="Z1102" s="136">
        <v>0</v>
      </c>
      <c r="AA1102" s="136">
        <v>0</v>
      </c>
      <c r="AB1102" s="131">
        <v>42433</v>
      </c>
      <c r="AC1102" s="134">
        <f t="shared" si="53"/>
        <v>20329</v>
      </c>
      <c r="AD1102" s="135">
        <v>67.900000000000006</v>
      </c>
      <c r="AE1102" s="136">
        <f t="shared" si="54"/>
        <v>1460121.6000000001</v>
      </c>
      <c r="AF1102" s="137">
        <v>1380339.1</v>
      </c>
      <c r="AG1102" s="138">
        <v>66.95</v>
      </c>
      <c r="AH1102" s="136" t="s">
        <v>7754</v>
      </c>
      <c r="AI1102" s="136">
        <v>21504</v>
      </c>
      <c r="AJ1102" s="132">
        <v>42490</v>
      </c>
      <c r="AK1102" s="136" t="s">
        <v>7755</v>
      </c>
      <c r="AL1102" s="132">
        <v>42492</v>
      </c>
      <c r="AM1102" s="131" t="s">
        <v>49</v>
      </c>
      <c r="AN1102" s="136" t="s">
        <v>4440</v>
      </c>
    </row>
    <row r="1103" spans="1:40" s="129" customFormat="1" x14ac:dyDescent="0.25">
      <c r="A1103" s="136">
        <v>1102</v>
      </c>
      <c r="B1103" s="130" t="s">
        <v>4428</v>
      </c>
      <c r="C1103" s="130" t="s">
        <v>38</v>
      </c>
      <c r="D1103" s="162">
        <v>9103651059</v>
      </c>
      <c r="E1103" s="132">
        <v>42440</v>
      </c>
      <c r="F1103" s="132" t="s">
        <v>7689</v>
      </c>
      <c r="G1103" s="132" t="s">
        <v>2866</v>
      </c>
      <c r="H1103" s="130" t="s">
        <v>4446</v>
      </c>
      <c r="I1103" s="132" t="s">
        <v>40</v>
      </c>
      <c r="J1103" s="131" t="s">
        <v>4432</v>
      </c>
      <c r="K1103" s="132" t="s">
        <v>4433</v>
      </c>
      <c r="L1103" s="163">
        <v>6236795</v>
      </c>
      <c r="M1103" s="132">
        <v>42432</v>
      </c>
      <c r="N1103" s="136" t="s">
        <v>4616</v>
      </c>
      <c r="O1103" s="130" t="s">
        <v>4436</v>
      </c>
      <c r="P1103" s="136" t="s">
        <v>137</v>
      </c>
      <c r="Q1103" s="130" t="s">
        <v>6194</v>
      </c>
      <c r="R1103" s="136">
        <v>14.5</v>
      </c>
      <c r="S1103" s="130" t="s">
        <v>70</v>
      </c>
      <c r="T1103" s="136" t="s">
        <v>44</v>
      </c>
      <c r="U1103" s="136" t="s">
        <v>53</v>
      </c>
      <c r="V1103" s="136">
        <v>1200</v>
      </c>
      <c r="W1103" s="133">
        <f t="shared" si="52"/>
        <v>17400</v>
      </c>
      <c r="X1103" s="136"/>
      <c r="Y1103" s="136"/>
      <c r="Z1103" s="136"/>
      <c r="AA1103" s="136"/>
      <c r="AB1103" s="131"/>
      <c r="AC1103" s="134">
        <f t="shared" si="53"/>
        <v>16999.250073637701</v>
      </c>
      <c r="AD1103" s="135">
        <v>67.900000000000006</v>
      </c>
      <c r="AE1103" s="136">
        <f t="shared" si="54"/>
        <v>1181460</v>
      </c>
      <c r="AF1103" s="137">
        <v>1154249.08</v>
      </c>
      <c r="AG1103" s="138">
        <v>67.900000000000006</v>
      </c>
      <c r="AH1103" s="136" t="s">
        <v>7756</v>
      </c>
      <c r="AI1103" s="136">
        <v>17355</v>
      </c>
      <c r="AJ1103" s="132">
        <v>42500</v>
      </c>
      <c r="AK1103" s="136" t="s">
        <v>7757</v>
      </c>
      <c r="AL1103" s="132">
        <v>42501</v>
      </c>
      <c r="AM1103" s="131" t="s">
        <v>49</v>
      </c>
      <c r="AN1103" s="136" t="s">
        <v>4440</v>
      </c>
    </row>
    <row r="1104" spans="1:40" s="129" customFormat="1" x14ac:dyDescent="0.25">
      <c r="A1104" s="130">
        <v>1103</v>
      </c>
      <c r="B1104" s="130" t="s">
        <v>4428</v>
      </c>
      <c r="C1104" s="130" t="s">
        <v>38</v>
      </c>
      <c r="D1104" s="162">
        <v>9103651060</v>
      </c>
      <c r="E1104" s="132">
        <v>42440</v>
      </c>
      <c r="F1104" s="132" t="s">
        <v>7689</v>
      </c>
      <c r="G1104" s="132" t="s">
        <v>2874</v>
      </c>
      <c r="H1104" s="130" t="s">
        <v>5712</v>
      </c>
      <c r="I1104" s="132" t="s">
        <v>40</v>
      </c>
      <c r="J1104" s="131" t="s">
        <v>4432</v>
      </c>
      <c r="K1104" s="132" t="s">
        <v>4433</v>
      </c>
      <c r="L1104" s="136">
        <v>6256022</v>
      </c>
      <c r="M1104" s="132">
        <v>42433</v>
      </c>
      <c r="N1104" s="136" t="s">
        <v>7758</v>
      </c>
      <c r="O1104" s="130" t="s">
        <v>4436</v>
      </c>
      <c r="P1104" s="136" t="s">
        <v>361</v>
      </c>
      <c r="Q1104" s="130">
        <v>38237090</v>
      </c>
      <c r="R1104" s="136">
        <v>37.4</v>
      </c>
      <c r="S1104" s="130" t="s">
        <v>70</v>
      </c>
      <c r="T1104" s="136" t="s">
        <v>52</v>
      </c>
      <c r="U1104" s="136" t="s">
        <v>1117</v>
      </c>
      <c r="V1104" s="136">
        <v>83996</v>
      </c>
      <c r="W1104" s="133">
        <f t="shared" si="52"/>
        <v>3141450.4</v>
      </c>
      <c r="X1104" s="136">
        <v>0</v>
      </c>
      <c r="Y1104" s="136">
        <v>62263.5</v>
      </c>
      <c r="Z1104" s="136">
        <v>0</v>
      </c>
      <c r="AA1104" s="136">
        <v>150199.03</v>
      </c>
      <c r="AB1104" s="131">
        <v>42435</v>
      </c>
      <c r="AC1104" s="134">
        <f t="shared" si="53"/>
        <v>3079186.9</v>
      </c>
      <c r="AD1104" s="135">
        <v>1</v>
      </c>
      <c r="AE1104" s="136">
        <f t="shared" si="54"/>
        <v>3141450.4</v>
      </c>
      <c r="AF1104" s="130">
        <v>3079186.9</v>
      </c>
      <c r="AG1104" s="138">
        <v>1</v>
      </c>
      <c r="AH1104" s="136" t="s">
        <v>7759</v>
      </c>
      <c r="AI1104" s="136">
        <v>3141450.4</v>
      </c>
      <c r="AJ1104" s="132">
        <v>42480</v>
      </c>
      <c r="AK1104" s="136" t="s">
        <v>7760</v>
      </c>
      <c r="AL1104" s="132">
        <v>42481</v>
      </c>
      <c r="AM1104" s="131" t="s">
        <v>49</v>
      </c>
      <c r="AN1104" s="136" t="s">
        <v>4440</v>
      </c>
    </row>
    <row r="1105" spans="1:40" s="129" customFormat="1" x14ac:dyDescent="0.25">
      <c r="A1105" s="136">
        <v>1104</v>
      </c>
      <c r="B1105" s="130" t="s">
        <v>4428</v>
      </c>
      <c r="C1105" s="130" t="s">
        <v>38</v>
      </c>
      <c r="D1105" s="162">
        <v>9103651061</v>
      </c>
      <c r="E1105" s="132">
        <v>42439</v>
      </c>
      <c r="F1105" s="132" t="s">
        <v>7689</v>
      </c>
      <c r="G1105" s="132" t="s">
        <v>2873</v>
      </c>
      <c r="H1105" s="130" t="s">
        <v>7658</v>
      </c>
      <c r="I1105" s="132" t="s">
        <v>40</v>
      </c>
      <c r="J1105" s="131" t="s">
        <v>4432</v>
      </c>
      <c r="K1105" s="132" t="s">
        <v>4433</v>
      </c>
      <c r="L1105" s="163">
        <v>6260432</v>
      </c>
      <c r="M1105" s="132">
        <v>42433</v>
      </c>
      <c r="N1105" s="136" t="s">
        <v>7745</v>
      </c>
      <c r="O1105" s="130" t="s">
        <v>4436</v>
      </c>
      <c r="P1105" s="136" t="s">
        <v>1120</v>
      </c>
      <c r="Q1105" s="130" t="s">
        <v>6194</v>
      </c>
      <c r="R1105" s="136">
        <v>25</v>
      </c>
      <c r="S1105" s="130" t="s">
        <v>70</v>
      </c>
      <c r="T1105" s="136" t="s">
        <v>52</v>
      </c>
      <c r="U1105" s="136" t="s">
        <v>53</v>
      </c>
      <c r="V1105" s="136"/>
      <c r="W1105" s="133">
        <f>(2*3468+20*1270+3*1370)</f>
        <v>36446</v>
      </c>
      <c r="X1105" s="136"/>
      <c r="Y1105" s="136"/>
      <c r="Z1105" s="136"/>
      <c r="AA1105" s="136"/>
      <c r="AB1105" s="131"/>
      <c r="AC1105" s="134">
        <f t="shared" si="53"/>
        <v>35446</v>
      </c>
      <c r="AD1105" s="135">
        <v>66.95</v>
      </c>
      <c r="AE1105" s="136">
        <f t="shared" si="54"/>
        <v>2440059.7000000002</v>
      </c>
      <c r="AF1105" s="137">
        <v>2373109.7000000002</v>
      </c>
      <c r="AG1105" s="138">
        <v>66.95</v>
      </c>
      <c r="AH1105" s="136" t="s">
        <v>7761</v>
      </c>
      <c r="AI1105" s="136">
        <v>36394</v>
      </c>
      <c r="AJ1105" s="132">
        <v>42490</v>
      </c>
      <c r="AK1105" s="136" t="s">
        <v>7762</v>
      </c>
      <c r="AL1105" s="132">
        <v>42492</v>
      </c>
      <c r="AM1105" s="131" t="s">
        <v>49</v>
      </c>
      <c r="AN1105" s="136" t="s">
        <v>4440</v>
      </c>
    </row>
    <row r="1106" spans="1:40" s="129" customFormat="1" x14ac:dyDescent="0.25">
      <c r="A1106" s="130">
        <v>1105</v>
      </c>
      <c r="B1106" s="130" t="s">
        <v>4428</v>
      </c>
      <c r="C1106" s="130" t="s">
        <v>38</v>
      </c>
      <c r="D1106" s="162">
        <v>9103651062</v>
      </c>
      <c r="E1106" s="132">
        <v>42437</v>
      </c>
      <c r="F1106" s="132" t="s">
        <v>7689</v>
      </c>
      <c r="G1106" s="132" t="s">
        <v>2867</v>
      </c>
      <c r="H1106" s="130" t="s">
        <v>4431</v>
      </c>
      <c r="I1106" s="132" t="s">
        <v>40</v>
      </c>
      <c r="J1106" s="131" t="s">
        <v>4432</v>
      </c>
      <c r="K1106" s="132" t="s">
        <v>4433</v>
      </c>
      <c r="L1106" s="163">
        <v>6242648</v>
      </c>
      <c r="M1106" s="132">
        <v>42432</v>
      </c>
      <c r="N1106" s="136" t="s">
        <v>6542</v>
      </c>
      <c r="O1106" s="130" t="s">
        <v>4436</v>
      </c>
      <c r="P1106" s="136" t="s">
        <v>745</v>
      </c>
      <c r="Q1106" s="130">
        <v>38237090</v>
      </c>
      <c r="R1106" s="136">
        <v>48</v>
      </c>
      <c r="S1106" s="130" t="s">
        <v>70</v>
      </c>
      <c r="T1106" s="136" t="s">
        <v>52</v>
      </c>
      <c r="U1106" s="136" t="s">
        <v>53</v>
      </c>
      <c r="V1106" s="136">
        <v>1477</v>
      </c>
      <c r="W1106" s="133">
        <f t="shared" si="52"/>
        <v>70896</v>
      </c>
      <c r="X1106" s="136"/>
      <c r="Y1106" s="136"/>
      <c r="Z1106" s="136"/>
      <c r="AA1106" s="136"/>
      <c r="AB1106" s="131"/>
      <c r="AC1106" s="134">
        <f t="shared" si="53"/>
        <v>68796</v>
      </c>
      <c r="AD1106" s="135">
        <v>67.900000000000006</v>
      </c>
      <c r="AE1106" s="136">
        <f t="shared" si="54"/>
        <v>4813838.4000000004</v>
      </c>
      <c r="AF1106" s="137">
        <v>4671248.4000000004</v>
      </c>
      <c r="AG1106" s="138">
        <v>66.95</v>
      </c>
      <c r="AH1106" s="136" t="s">
        <v>7763</v>
      </c>
      <c r="AI1106" s="136">
        <v>70896</v>
      </c>
      <c r="AJ1106" s="132">
        <v>42480</v>
      </c>
      <c r="AK1106" s="136" t="s">
        <v>7764</v>
      </c>
      <c r="AL1106" s="132">
        <v>42481</v>
      </c>
      <c r="AM1106" s="131" t="s">
        <v>49</v>
      </c>
      <c r="AN1106" s="136" t="s">
        <v>4440</v>
      </c>
    </row>
    <row r="1107" spans="1:40" s="129" customFormat="1" x14ac:dyDescent="0.25">
      <c r="A1107" s="136">
        <v>1106</v>
      </c>
      <c r="B1107" s="130" t="s">
        <v>4428</v>
      </c>
      <c r="C1107" s="130" t="s">
        <v>38</v>
      </c>
      <c r="D1107" s="162">
        <v>9103651063</v>
      </c>
      <c r="E1107" s="132">
        <v>42437</v>
      </c>
      <c r="F1107" s="132" t="s">
        <v>7689</v>
      </c>
      <c r="G1107" s="132" t="s">
        <v>2870</v>
      </c>
      <c r="H1107" s="130" t="s">
        <v>4431</v>
      </c>
      <c r="I1107" s="132" t="s">
        <v>40</v>
      </c>
      <c r="J1107" s="131" t="s">
        <v>4432</v>
      </c>
      <c r="K1107" s="132" t="s">
        <v>4433</v>
      </c>
      <c r="L1107" s="163">
        <v>6264742</v>
      </c>
      <c r="M1107" s="132">
        <v>42433</v>
      </c>
      <c r="N1107" s="136" t="s">
        <v>6542</v>
      </c>
      <c r="O1107" s="130" t="s">
        <v>4436</v>
      </c>
      <c r="P1107" s="136" t="s">
        <v>745</v>
      </c>
      <c r="Q1107" s="130">
        <v>38237090</v>
      </c>
      <c r="R1107" s="136">
        <v>48</v>
      </c>
      <c r="S1107" s="130" t="s">
        <v>70</v>
      </c>
      <c r="T1107" s="136" t="s">
        <v>52</v>
      </c>
      <c r="U1107" s="136" t="s">
        <v>53</v>
      </c>
      <c r="V1107" s="136">
        <v>1477</v>
      </c>
      <c r="W1107" s="133">
        <f t="shared" si="52"/>
        <v>70896</v>
      </c>
      <c r="X1107" s="136"/>
      <c r="Y1107" s="136"/>
      <c r="Z1107" s="136"/>
      <c r="AA1107" s="136"/>
      <c r="AB1107" s="131"/>
      <c r="AC1107" s="134">
        <f t="shared" si="53"/>
        <v>68796</v>
      </c>
      <c r="AD1107" s="135">
        <v>66.95</v>
      </c>
      <c r="AE1107" s="136">
        <f t="shared" si="54"/>
        <v>4746487.2</v>
      </c>
      <c r="AF1107" s="137">
        <v>4605892.2</v>
      </c>
      <c r="AG1107" s="138">
        <v>66.95</v>
      </c>
      <c r="AH1107" s="136" t="s">
        <v>7763</v>
      </c>
      <c r="AI1107" s="136">
        <v>70896</v>
      </c>
      <c r="AJ1107" s="132">
        <v>42480</v>
      </c>
      <c r="AK1107" s="136" t="s">
        <v>7765</v>
      </c>
      <c r="AL1107" s="132">
        <v>42481</v>
      </c>
      <c r="AM1107" s="131" t="s">
        <v>49</v>
      </c>
      <c r="AN1107" s="136" t="s">
        <v>4440</v>
      </c>
    </row>
    <row r="1108" spans="1:40" s="129" customFormat="1" x14ac:dyDescent="0.25">
      <c r="A1108" s="130">
        <v>1107</v>
      </c>
      <c r="B1108" s="130" t="s">
        <v>4428</v>
      </c>
      <c r="C1108" s="130" t="s">
        <v>38</v>
      </c>
      <c r="D1108" s="162">
        <v>9103651064</v>
      </c>
      <c r="E1108" s="132">
        <v>42441</v>
      </c>
      <c r="F1108" s="132" t="s">
        <v>7689</v>
      </c>
      <c r="G1108" s="132" t="s">
        <v>2869</v>
      </c>
      <c r="H1108" s="130" t="s">
        <v>4456</v>
      </c>
      <c r="I1108" s="132" t="s">
        <v>40</v>
      </c>
      <c r="J1108" s="131" t="s">
        <v>4432</v>
      </c>
      <c r="K1108" s="132" t="s">
        <v>4433</v>
      </c>
      <c r="L1108" s="163">
        <v>6280756</v>
      </c>
      <c r="M1108" s="132">
        <v>42434</v>
      </c>
      <c r="N1108" s="136" t="s">
        <v>4527</v>
      </c>
      <c r="O1108" s="130" t="s">
        <v>4436</v>
      </c>
      <c r="P1108" s="136" t="s">
        <v>59</v>
      </c>
      <c r="Q1108" s="130">
        <v>29051700</v>
      </c>
      <c r="R1108" s="136">
        <v>12</v>
      </c>
      <c r="S1108" s="130" t="s">
        <v>70</v>
      </c>
      <c r="T1108" s="136" t="s">
        <v>52</v>
      </c>
      <c r="U1108" s="136" t="s">
        <v>53</v>
      </c>
      <c r="V1108" s="136">
        <v>1320</v>
      </c>
      <c r="W1108" s="133">
        <f t="shared" si="52"/>
        <v>15840</v>
      </c>
      <c r="X1108" s="136"/>
      <c r="Y1108" s="136"/>
      <c r="Z1108" s="136"/>
      <c r="AA1108" s="136"/>
      <c r="AB1108" s="131"/>
      <c r="AC1108" s="134">
        <f t="shared" si="53"/>
        <v>15390</v>
      </c>
      <c r="AD1108" s="135">
        <v>66.95</v>
      </c>
      <c r="AE1108" s="136">
        <f t="shared" si="54"/>
        <v>1060488</v>
      </c>
      <c r="AF1108" s="137">
        <v>1030360.5</v>
      </c>
      <c r="AG1108" s="138">
        <v>66.95</v>
      </c>
      <c r="AH1108" s="136" t="s">
        <v>7766</v>
      </c>
      <c r="AI1108" s="136">
        <v>15830</v>
      </c>
      <c r="AJ1108" s="132">
        <v>42499</v>
      </c>
      <c r="AK1108" s="136" t="s">
        <v>7767</v>
      </c>
      <c r="AL1108" s="132">
        <v>42499</v>
      </c>
      <c r="AM1108" s="131" t="s">
        <v>49</v>
      </c>
      <c r="AN1108" s="136" t="s">
        <v>4440</v>
      </c>
    </row>
    <row r="1109" spans="1:40" s="129" customFormat="1" x14ac:dyDescent="0.25">
      <c r="A1109" s="136">
        <v>1108</v>
      </c>
      <c r="B1109" s="130" t="s">
        <v>4428</v>
      </c>
      <c r="C1109" s="130" t="s">
        <v>38</v>
      </c>
      <c r="D1109" s="162">
        <v>9103651065</v>
      </c>
      <c r="E1109" s="132">
        <v>42446</v>
      </c>
      <c r="F1109" s="132" t="s">
        <v>7689</v>
      </c>
      <c r="G1109" s="132" t="s">
        <v>2872</v>
      </c>
      <c r="H1109" s="130" t="s">
        <v>5712</v>
      </c>
      <c r="I1109" s="132" t="s">
        <v>40</v>
      </c>
      <c r="J1109" s="131" t="s">
        <v>4432</v>
      </c>
      <c r="K1109" s="132" t="s">
        <v>4433</v>
      </c>
      <c r="L1109" s="163">
        <v>6280763</v>
      </c>
      <c r="M1109" s="132">
        <v>42434</v>
      </c>
      <c r="N1109" s="136" t="s">
        <v>7768</v>
      </c>
      <c r="O1109" s="130" t="s">
        <v>4436</v>
      </c>
      <c r="P1109" s="136" t="s">
        <v>7769</v>
      </c>
      <c r="Q1109" s="130" t="s">
        <v>6194</v>
      </c>
      <c r="R1109" s="136">
        <v>48</v>
      </c>
      <c r="S1109" s="130" t="s">
        <v>70</v>
      </c>
      <c r="T1109" s="136" t="s">
        <v>52</v>
      </c>
      <c r="U1109" s="136" t="s">
        <v>53</v>
      </c>
      <c r="V1109" s="136"/>
      <c r="W1109" s="133">
        <f>(38*1300+12*1350)</f>
        <v>65600</v>
      </c>
      <c r="X1109" s="136"/>
      <c r="Y1109" s="136"/>
      <c r="Z1109" s="136"/>
      <c r="AA1109" s="136"/>
      <c r="AB1109" s="131"/>
      <c r="AC1109" s="134">
        <f t="shared" si="53"/>
        <v>61300</v>
      </c>
      <c r="AD1109" s="135">
        <v>66.95</v>
      </c>
      <c r="AE1109" s="136">
        <f t="shared" si="54"/>
        <v>4391920</v>
      </c>
      <c r="AF1109" s="137">
        <v>4104035</v>
      </c>
      <c r="AG1109" s="138">
        <v>66.95</v>
      </c>
      <c r="AH1109" s="136" t="s">
        <v>7770</v>
      </c>
      <c r="AI1109" s="136">
        <v>62948</v>
      </c>
      <c r="AJ1109" s="132">
        <v>42476</v>
      </c>
      <c r="AK1109" s="136" t="s">
        <v>7771</v>
      </c>
      <c r="AL1109" s="132">
        <v>42476</v>
      </c>
      <c r="AM1109" s="131" t="s">
        <v>49</v>
      </c>
      <c r="AN1109" s="136" t="s">
        <v>4440</v>
      </c>
    </row>
    <row r="1110" spans="1:40" s="129" customFormat="1" x14ac:dyDescent="0.25">
      <c r="A1110" s="130">
        <v>1109</v>
      </c>
      <c r="B1110" s="130" t="s">
        <v>4428</v>
      </c>
      <c r="C1110" s="130" t="s">
        <v>38</v>
      </c>
      <c r="D1110" s="162">
        <v>9103651066</v>
      </c>
      <c r="E1110" s="132">
        <v>42439</v>
      </c>
      <c r="F1110" s="132" t="s">
        <v>7689</v>
      </c>
      <c r="G1110" s="132" t="s">
        <v>2868</v>
      </c>
      <c r="H1110" s="130" t="s">
        <v>4431</v>
      </c>
      <c r="I1110" s="132" t="s">
        <v>40</v>
      </c>
      <c r="J1110" s="131" t="s">
        <v>4432</v>
      </c>
      <c r="K1110" s="132" t="s">
        <v>4433</v>
      </c>
      <c r="L1110" s="136">
        <v>6251009</v>
      </c>
      <c r="M1110" s="132">
        <v>42433</v>
      </c>
      <c r="N1110" s="136" t="s">
        <v>7772</v>
      </c>
      <c r="O1110" s="130" t="s">
        <v>4436</v>
      </c>
      <c r="P1110" s="136" t="s">
        <v>7773</v>
      </c>
      <c r="Q1110" s="130"/>
      <c r="R1110" s="136">
        <v>5</v>
      </c>
      <c r="S1110" s="130" t="s">
        <v>70</v>
      </c>
      <c r="T1110" s="136" t="s">
        <v>52</v>
      </c>
      <c r="U1110" s="136" t="s">
        <v>53</v>
      </c>
      <c r="V1110" s="136">
        <v>1300</v>
      </c>
      <c r="W1110" s="133">
        <f t="shared" si="52"/>
        <v>6500</v>
      </c>
      <c r="X1110" s="136">
        <v>0</v>
      </c>
      <c r="Y1110" s="136">
        <v>50</v>
      </c>
      <c r="Z1110" s="136">
        <v>0</v>
      </c>
      <c r="AA1110" s="136">
        <v>0</v>
      </c>
      <c r="AB1110" s="131"/>
      <c r="AC1110" s="134">
        <f t="shared" si="53"/>
        <v>6450</v>
      </c>
      <c r="AD1110" s="135">
        <v>66.95</v>
      </c>
      <c r="AE1110" s="136">
        <f t="shared" si="54"/>
        <v>435175</v>
      </c>
      <c r="AF1110" s="137">
        <v>431827.5</v>
      </c>
      <c r="AG1110" s="138">
        <v>66.95</v>
      </c>
      <c r="AH1110" s="136" t="s">
        <v>7774</v>
      </c>
      <c r="AI1110" s="136">
        <v>6350.5</v>
      </c>
      <c r="AJ1110" s="132">
        <v>42459</v>
      </c>
      <c r="AK1110" s="136" t="s">
        <v>7775</v>
      </c>
      <c r="AL1110" s="132">
        <v>42460</v>
      </c>
      <c r="AM1110" s="131" t="s">
        <v>49</v>
      </c>
      <c r="AN1110" s="136" t="s">
        <v>4440</v>
      </c>
    </row>
    <row r="1111" spans="1:40" s="129" customFormat="1" x14ac:dyDescent="0.25">
      <c r="A1111" s="136">
        <v>1110</v>
      </c>
      <c r="B1111" s="130" t="s">
        <v>4428</v>
      </c>
      <c r="C1111" s="130" t="s">
        <v>38</v>
      </c>
      <c r="D1111" s="162">
        <v>9103651067</v>
      </c>
      <c r="E1111" s="132">
        <v>42441</v>
      </c>
      <c r="F1111" s="132" t="s">
        <v>7689</v>
      </c>
      <c r="G1111" s="132" t="s">
        <v>2871</v>
      </c>
      <c r="H1111" s="130" t="s">
        <v>5718</v>
      </c>
      <c r="I1111" s="132" t="s">
        <v>40</v>
      </c>
      <c r="J1111" s="131" t="s">
        <v>4432</v>
      </c>
      <c r="K1111" s="132" t="s">
        <v>4433</v>
      </c>
      <c r="L1111" s="163">
        <v>6300234</v>
      </c>
      <c r="M1111" s="132">
        <v>42436</v>
      </c>
      <c r="N1111" s="136" t="s">
        <v>3741</v>
      </c>
      <c r="O1111" s="130" t="s">
        <v>4436</v>
      </c>
      <c r="P1111" s="136" t="s">
        <v>4492</v>
      </c>
      <c r="Q1111" s="130">
        <v>29051700</v>
      </c>
      <c r="R1111" s="136">
        <v>61.23</v>
      </c>
      <c r="S1111" s="130" t="s">
        <v>70</v>
      </c>
      <c r="T1111" s="136" t="s">
        <v>44</v>
      </c>
      <c r="U1111" s="136" t="s">
        <v>53</v>
      </c>
      <c r="V1111" s="136">
        <v>1262</v>
      </c>
      <c r="W1111" s="133">
        <f t="shared" si="52"/>
        <v>77272.259999999995</v>
      </c>
      <c r="X1111" s="136"/>
      <c r="Y1111" s="136"/>
      <c r="Z1111" s="136"/>
      <c r="AA1111" s="136"/>
      <c r="AB1111" s="131"/>
      <c r="AC1111" s="134">
        <f t="shared" si="53"/>
        <v>73204.330097087382</v>
      </c>
      <c r="AD1111" s="135">
        <v>66.95</v>
      </c>
      <c r="AE1111" s="136">
        <f t="shared" si="54"/>
        <v>5173377.807</v>
      </c>
      <c r="AF1111" s="137">
        <v>4901029.9000000004</v>
      </c>
      <c r="AG1111" s="138">
        <v>66.95</v>
      </c>
      <c r="AH1111" s="136" t="s">
        <v>7776</v>
      </c>
      <c r="AI1111" s="136">
        <v>77279.83</v>
      </c>
      <c r="AJ1111" s="132">
        <v>42482</v>
      </c>
      <c r="AK1111" s="136" t="s">
        <v>7777</v>
      </c>
      <c r="AL1111" s="132">
        <v>42485</v>
      </c>
      <c r="AM1111" s="131" t="s">
        <v>49</v>
      </c>
      <c r="AN1111" s="136" t="s">
        <v>4440</v>
      </c>
    </row>
    <row r="1112" spans="1:40" s="129" customFormat="1" x14ac:dyDescent="0.25">
      <c r="A1112" s="130">
        <v>1111</v>
      </c>
      <c r="B1112" s="130" t="s">
        <v>4428</v>
      </c>
      <c r="C1112" s="130" t="s">
        <v>38</v>
      </c>
      <c r="D1112" s="162">
        <v>9103651068</v>
      </c>
      <c r="E1112" s="132">
        <v>42440</v>
      </c>
      <c r="F1112" s="132" t="s">
        <v>7689</v>
      </c>
      <c r="G1112" s="132" t="s">
        <v>2875</v>
      </c>
      <c r="H1112" s="130" t="s">
        <v>5712</v>
      </c>
      <c r="I1112" s="132" t="s">
        <v>40</v>
      </c>
      <c r="J1112" s="131" t="s">
        <v>4432</v>
      </c>
      <c r="K1112" s="132" t="s">
        <v>4433</v>
      </c>
      <c r="L1112" s="163">
        <v>6323784</v>
      </c>
      <c r="M1112" s="132">
        <v>42437</v>
      </c>
      <c r="N1112" s="136" t="s">
        <v>4565</v>
      </c>
      <c r="O1112" s="130" t="s">
        <v>4436</v>
      </c>
      <c r="P1112" s="136" t="s">
        <v>6722</v>
      </c>
      <c r="Q1112" s="130" t="s">
        <v>6194</v>
      </c>
      <c r="R1112" s="136">
        <v>16</v>
      </c>
      <c r="S1112" s="130" t="s">
        <v>70</v>
      </c>
      <c r="T1112" s="136" t="s">
        <v>44</v>
      </c>
      <c r="U1112" s="136" t="s">
        <v>53</v>
      </c>
      <c r="V1112" s="136">
        <v>0</v>
      </c>
      <c r="W1112" s="133">
        <f>(4*1170+12*1150)</f>
        <v>18480</v>
      </c>
      <c r="X1112" s="136"/>
      <c r="Y1112" s="136"/>
      <c r="Z1112" s="136"/>
      <c r="AA1112" s="136"/>
      <c r="AB1112" s="131"/>
      <c r="AC1112" s="134">
        <f t="shared" si="53"/>
        <v>18438.900074682599</v>
      </c>
      <c r="AD1112" s="135">
        <v>66.95</v>
      </c>
      <c r="AE1112" s="136">
        <f t="shared" si="54"/>
        <v>1237236</v>
      </c>
      <c r="AF1112" s="137">
        <v>1234484.3600000001</v>
      </c>
      <c r="AG1112" s="138">
        <v>66.95</v>
      </c>
      <c r="AH1112" s="136" t="s">
        <v>7778</v>
      </c>
      <c r="AI1112" s="136">
        <v>18430</v>
      </c>
      <c r="AJ1112" s="132">
        <v>42467</v>
      </c>
      <c r="AK1112" s="136" t="s">
        <v>7779</v>
      </c>
      <c r="AL1112" s="132">
        <v>42471</v>
      </c>
      <c r="AM1112" s="131" t="s">
        <v>49</v>
      </c>
      <c r="AN1112" s="136" t="s">
        <v>4440</v>
      </c>
    </row>
    <row r="1113" spans="1:40" s="129" customFormat="1" x14ac:dyDescent="0.25">
      <c r="A1113" s="136">
        <v>1112</v>
      </c>
      <c r="B1113" s="130" t="s">
        <v>4428</v>
      </c>
      <c r="C1113" s="130" t="s">
        <v>38</v>
      </c>
      <c r="D1113" s="162">
        <v>9103651069</v>
      </c>
      <c r="E1113" s="132">
        <v>42444</v>
      </c>
      <c r="F1113" s="132" t="s">
        <v>7689</v>
      </c>
      <c r="G1113" s="132" t="s">
        <v>2876</v>
      </c>
      <c r="H1113" s="130" t="s">
        <v>5718</v>
      </c>
      <c r="I1113" s="132" t="s">
        <v>40</v>
      </c>
      <c r="J1113" s="131" t="s">
        <v>4432</v>
      </c>
      <c r="K1113" s="132" t="s">
        <v>4433</v>
      </c>
      <c r="L1113" s="163">
        <v>6327167</v>
      </c>
      <c r="M1113" s="132">
        <v>42437</v>
      </c>
      <c r="N1113" s="136" t="s">
        <v>3741</v>
      </c>
      <c r="O1113" s="130" t="s">
        <v>4436</v>
      </c>
      <c r="P1113" s="136" t="s">
        <v>4492</v>
      </c>
      <c r="Q1113" s="130">
        <v>38237090</v>
      </c>
      <c r="R1113" s="136">
        <v>18.14</v>
      </c>
      <c r="S1113" s="130" t="s">
        <v>70</v>
      </c>
      <c r="T1113" s="136" t="s">
        <v>44</v>
      </c>
      <c r="U1113" s="136" t="s">
        <v>53</v>
      </c>
      <c r="V1113" s="136">
        <v>1285</v>
      </c>
      <c r="W1113" s="133">
        <f t="shared" si="52"/>
        <v>23309.9</v>
      </c>
      <c r="X1113" s="136"/>
      <c r="Y1113" s="136"/>
      <c r="Z1113" s="136"/>
      <c r="AA1113" s="136"/>
      <c r="AB1113" s="131"/>
      <c r="AC1113" s="134">
        <f t="shared" si="53"/>
        <v>21157.3499626587</v>
      </c>
      <c r="AD1113" s="135">
        <v>66.95</v>
      </c>
      <c r="AE1113" s="136">
        <f t="shared" si="54"/>
        <v>1560597.8050000002</v>
      </c>
      <c r="AF1113" s="137">
        <v>1416484.58</v>
      </c>
      <c r="AG1113" s="138">
        <v>66.95</v>
      </c>
      <c r="AH1113" s="136" t="s">
        <v>7780</v>
      </c>
      <c r="AI1113" s="136">
        <v>23315.040000000001</v>
      </c>
      <c r="AJ1113" s="132">
        <v>42482</v>
      </c>
      <c r="AK1113" s="136" t="s">
        <v>7781</v>
      </c>
      <c r="AL1113" s="132">
        <v>42485</v>
      </c>
      <c r="AM1113" s="131" t="s">
        <v>49</v>
      </c>
      <c r="AN1113" s="136" t="s">
        <v>4440</v>
      </c>
    </row>
    <row r="1114" spans="1:40" s="129" customFormat="1" x14ac:dyDescent="0.25">
      <c r="A1114" s="130">
        <v>1113</v>
      </c>
      <c r="B1114" s="130" t="s">
        <v>4428</v>
      </c>
      <c r="C1114" s="130" t="s">
        <v>38</v>
      </c>
      <c r="D1114" s="162">
        <v>9103651070</v>
      </c>
      <c r="E1114" s="132">
        <v>42442</v>
      </c>
      <c r="F1114" s="132" t="s">
        <v>7689</v>
      </c>
      <c r="G1114" s="132" t="s">
        <v>2877</v>
      </c>
      <c r="H1114" s="130" t="s">
        <v>4456</v>
      </c>
      <c r="I1114" s="132" t="s">
        <v>40</v>
      </c>
      <c r="J1114" s="131" t="s">
        <v>4432</v>
      </c>
      <c r="K1114" s="132" t="s">
        <v>4433</v>
      </c>
      <c r="L1114" s="163">
        <v>6327171</v>
      </c>
      <c r="M1114" s="132">
        <v>42437</v>
      </c>
      <c r="N1114" s="136" t="s">
        <v>4527</v>
      </c>
      <c r="O1114" s="130" t="s">
        <v>4436</v>
      </c>
      <c r="P1114" s="136" t="s">
        <v>59</v>
      </c>
      <c r="Q1114" s="130">
        <v>38237090</v>
      </c>
      <c r="R1114" s="136">
        <v>10</v>
      </c>
      <c r="S1114" s="130" t="s">
        <v>70</v>
      </c>
      <c r="T1114" s="136" t="s">
        <v>52</v>
      </c>
      <c r="U1114" s="136" t="s">
        <v>53</v>
      </c>
      <c r="V1114" s="136">
        <v>1310</v>
      </c>
      <c r="W1114" s="133">
        <f t="shared" si="52"/>
        <v>13100</v>
      </c>
      <c r="X1114" s="136"/>
      <c r="Y1114" s="136"/>
      <c r="Z1114" s="136"/>
      <c r="AA1114" s="136"/>
      <c r="AB1114" s="131"/>
      <c r="AC1114" s="134">
        <f t="shared" si="53"/>
        <v>12375</v>
      </c>
      <c r="AD1114" s="135">
        <v>66.95</v>
      </c>
      <c r="AE1114" s="136">
        <f t="shared" si="54"/>
        <v>877045</v>
      </c>
      <c r="AF1114" s="137">
        <v>828506.25</v>
      </c>
      <c r="AG1114" s="138">
        <v>66.95</v>
      </c>
      <c r="AH1114" s="136" t="s">
        <v>7782</v>
      </c>
      <c r="AI1114" s="136">
        <v>13090</v>
      </c>
      <c r="AJ1114" s="132">
        <v>42507</v>
      </c>
      <c r="AK1114" s="136" t="s">
        <v>7783</v>
      </c>
      <c r="AL1114" s="132">
        <v>42507</v>
      </c>
      <c r="AM1114" s="131" t="s">
        <v>49</v>
      </c>
      <c r="AN1114" s="136" t="s">
        <v>4440</v>
      </c>
    </row>
    <row r="1115" spans="1:40" s="129" customFormat="1" x14ac:dyDescent="0.25">
      <c r="A1115" s="136">
        <v>1114</v>
      </c>
      <c r="B1115" s="130" t="s">
        <v>4428</v>
      </c>
      <c r="C1115" s="130" t="s">
        <v>38</v>
      </c>
      <c r="D1115" s="162">
        <v>9103651071</v>
      </c>
      <c r="E1115" s="132">
        <v>42443</v>
      </c>
      <c r="F1115" s="132" t="s">
        <v>7689</v>
      </c>
      <c r="G1115" s="132" t="s">
        <v>2879</v>
      </c>
      <c r="H1115" s="130" t="s">
        <v>5718</v>
      </c>
      <c r="I1115" s="132" t="s">
        <v>40</v>
      </c>
      <c r="J1115" s="131" t="s">
        <v>4432</v>
      </c>
      <c r="K1115" s="132" t="s">
        <v>4433</v>
      </c>
      <c r="L1115" s="163">
        <v>6327220</v>
      </c>
      <c r="M1115" s="132">
        <v>42437</v>
      </c>
      <c r="N1115" s="136" t="s">
        <v>3741</v>
      </c>
      <c r="O1115" s="130" t="s">
        <v>4436</v>
      </c>
      <c r="P1115" s="136" t="s">
        <v>4492</v>
      </c>
      <c r="Q1115" s="130">
        <v>29051700</v>
      </c>
      <c r="R1115" s="136">
        <v>45</v>
      </c>
      <c r="S1115" s="130" t="s">
        <v>70</v>
      </c>
      <c r="T1115" s="136" t="s">
        <v>44</v>
      </c>
      <c r="U1115" s="136" t="s">
        <v>53</v>
      </c>
      <c r="V1115" s="136">
        <v>1308</v>
      </c>
      <c r="W1115" s="133">
        <f t="shared" si="52"/>
        <v>58860</v>
      </c>
      <c r="X1115" s="136"/>
      <c r="Y1115" s="136"/>
      <c r="Z1115" s="136"/>
      <c r="AA1115" s="136"/>
      <c r="AB1115" s="131"/>
      <c r="AC1115" s="134">
        <f t="shared" si="53"/>
        <v>53850.610007468254</v>
      </c>
      <c r="AD1115" s="135">
        <v>66.95</v>
      </c>
      <c r="AE1115" s="136">
        <f t="shared" si="54"/>
        <v>3940677</v>
      </c>
      <c r="AF1115" s="137">
        <v>3605298.34</v>
      </c>
      <c r="AG1115" s="138">
        <v>66.95</v>
      </c>
      <c r="AH1115" s="136" t="s">
        <v>7784</v>
      </c>
      <c r="AI1115" s="136">
        <v>58770</v>
      </c>
      <c r="AJ1115" s="132">
        <v>42482</v>
      </c>
      <c r="AK1115" s="136" t="s">
        <v>7785</v>
      </c>
      <c r="AL1115" s="132">
        <v>42485</v>
      </c>
      <c r="AM1115" s="131" t="s">
        <v>49</v>
      </c>
      <c r="AN1115" s="136" t="s">
        <v>4440</v>
      </c>
    </row>
    <row r="1116" spans="1:40" s="129" customFormat="1" x14ac:dyDescent="0.25">
      <c r="A1116" s="130">
        <v>1115</v>
      </c>
      <c r="B1116" s="130" t="s">
        <v>4428</v>
      </c>
      <c r="C1116" s="130" t="s">
        <v>38</v>
      </c>
      <c r="D1116" s="162">
        <v>9103651072</v>
      </c>
      <c r="E1116" s="132">
        <v>42441</v>
      </c>
      <c r="F1116" s="132" t="s">
        <v>7689</v>
      </c>
      <c r="G1116" s="132" t="s">
        <v>2878</v>
      </c>
      <c r="H1116" s="130" t="s">
        <v>5718</v>
      </c>
      <c r="I1116" s="132" t="s">
        <v>40</v>
      </c>
      <c r="J1116" s="131" t="s">
        <v>4432</v>
      </c>
      <c r="K1116" s="132" t="s">
        <v>4433</v>
      </c>
      <c r="L1116" s="163">
        <v>6352594</v>
      </c>
      <c r="M1116" s="132">
        <v>42438</v>
      </c>
      <c r="N1116" s="136" t="s">
        <v>3741</v>
      </c>
      <c r="O1116" s="130" t="s">
        <v>4436</v>
      </c>
      <c r="P1116" s="136" t="s">
        <v>4492</v>
      </c>
      <c r="Q1116" s="130">
        <v>29051700</v>
      </c>
      <c r="R1116" s="136">
        <v>72.569999999999993</v>
      </c>
      <c r="S1116" s="130" t="s">
        <v>70</v>
      </c>
      <c r="T1116" s="136" t="s">
        <v>44</v>
      </c>
      <c r="U1116" s="136" t="s">
        <v>53</v>
      </c>
      <c r="V1116" s="136">
        <v>1262</v>
      </c>
      <c r="W1116" s="133">
        <f t="shared" si="52"/>
        <v>91583.34</v>
      </c>
      <c r="X1116" s="136"/>
      <c r="Y1116" s="136"/>
      <c r="Z1116" s="136"/>
      <c r="AA1116" s="136"/>
      <c r="AB1116" s="131"/>
      <c r="AC1116" s="134">
        <f t="shared" si="53"/>
        <v>86140.679910380873</v>
      </c>
      <c r="AD1116" s="135">
        <v>66.95</v>
      </c>
      <c r="AE1116" s="136">
        <f t="shared" si="54"/>
        <v>6131504.6129999999</v>
      </c>
      <c r="AF1116" s="137">
        <v>5767118.5199999996</v>
      </c>
      <c r="AG1116" s="138">
        <v>66.95</v>
      </c>
      <c r="AH1116" s="136" t="s">
        <v>7786</v>
      </c>
      <c r="AI1116" s="136">
        <v>91590.91</v>
      </c>
      <c r="AJ1116" s="132">
        <v>42482</v>
      </c>
      <c r="AK1116" s="136" t="s">
        <v>7787</v>
      </c>
      <c r="AL1116" s="132">
        <v>42485</v>
      </c>
      <c r="AM1116" s="131" t="s">
        <v>49</v>
      </c>
      <c r="AN1116" s="136" t="s">
        <v>4440</v>
      </c>
    </row>
    <row r="1117" spans="1:40" s="129" customFormat="1" x14ac:dyDescent="0.25">
      <c r="A1117" s="136">
        <v>1116</v>
      </c>
      <c r="B1117" s="130" t="s">
        <v>4428</v>
      </c>
      <c r="C1117" s="130" t="s">
        <v>38</v>
      </c>
      <c r="D1117" s="162">
        <v>9103651073</v>
      </c>
      <c r="E1117" s="132">
        <v>42443</v>
      </c>
      <c r="F1117" s="132" t="s">
        <v>7689</v>
      </c>
      <c r="G1117" s="132" t="s">
        <v>2881</v>
      </c>
      <c r="H1117" s="130" t="s">
        <v>5718</v>
      </c>
      <c r="I1117" s="132" t="s">
        <v>40</v>
      </c>
      <c r="J1117" s="131" t="s">
        <v>4432</v>
      </c>
      <c r="K1117" s="132" t="s">
        <v>4433</v>
      </c>
      <c r="L1117" s="163">
        <v>6363401</v>
      </c>
      <c r="M1117" s="132">
        <v>42439</v>
      </c>
      <c r="N1117" s="136" t="s">
        <v>3741</v>
      </c>
      <c r="O1117" s="130" t="s">
        <v>4436</v>
      </c>
      <c r="P1117" s="136" t="s">
        <v>4492</v>
      </c>
      <c r="Q1117" s="130">
        <v>29051700</v>
      </c>
      <c r="R1117" s="136">
        <v>18.5</v>
      </c>
      <c r="S1117" s="130" t="s">
        <v>70</v>
      </c>
      <c r="T1117" s="136" t="s">
        <v>44</v>
      </c>
      <c r="U1117" s="136" t="s">
        <v>53</v>
      </c>
      <c r="V1117" s="136">
        <v>1820</v>
      </c>
      <c r="W1117" s="133">
        <f t="shared" si="52"/>
        <v>33670</v>
      </c>
      <c r="X1117" s="136"/>
      <c r="Y1117" s="136"/>
      <c r="Z1117" s="136"/>
      <c r="AA1117" s="136"/>
      <c r="AB1117" s="131"/>
      <c r="AC1117" s="134">
        <f t="shared" si="53"/>
        <v>30258.890067214335</v>
      </c>
      <c r="AD1117" s="135">
        <v>66.95</v>
      </c>
      <c r="AE1117" s="136">
        <f t="shared" si="54"/>
        <v>2254206.5</v>
      </c>
      <c r="AF1117" s="137">
        <v>2025832.69</v>
      </c>
      <c r="AG1117" s="138">
        <v>66.95</v>
      </c>
      <c r="AH1117" s="136" t="s">
        <v>7788</v>
      </c>
      <c r="AI1117" s="136">
        <v>33640</v>
      </c>
      <c r="AJ1117" s="132">
        <v>42482</v>
      </c>
      <c r="AK1117" s="136" t="s">
        <v>7789</v>
      </c>
      <c r="AL1117" s="132">
        <v>42485</v>
      </c>
      <c r="AM1117" s="131" t="s">
        <v>49</v>
      </c>
      <c r="AN1117" s="136" t="s">
        <v>4440</v>
      </c>
    </row>
    <row r="1118" spans="1:40" s="129" customFormat="1" x14ac:dyDescent="0.25">
      <c r="A1118" s="130">
        <v>1117</v>
      </c>
      <c r="B1118" s="130" t="s">
        <v>4428</v>
      </c>
      <c r="C1118" s="130" t="s">
        <v>38</v>
      </c>
      <c r="D1118" s="162">
        <v>9103651074</v>
      </c>
      <c r="E1118" s="132">
        <v>42442</v>
      </c>
      <c r="F1118" s="132" t="s">
        <v>7689</v>
      </c>
      <c r="G1118" s="132" t="s">
        <v>2883</v>
      </c>
      <c r="H1118" s="130" t="s">
        <v>5718</v>
      </c>
      <c r="I1118" s="132" t="s">
        <v>40</v>
      </c>
      <c r="J1118" s="131" t="s">
        <v>4432</v>
      </c>
      <c r="K1118" s="132" t="s">
        <v>4433</v>
      </c>
      <c r="L1118" s="163">
        <v>6376632</v>
      </c>
      <c r="M1118" s="132">
        <v>42439</v>
      </c>
      <c r="N1118" s="136" t="s">
        <v>3741</v>
      </c>
      <c r="O1118" s="130" t="s">
        <v>4436</v>
      </c>
      <c r="P1118" s="136" t="s">
        <v>4492</v>
      </c>
      <c r="Q1118" s="130">
        <v>38237090</v>
      </c>
      <c r="R1118" s="136">
        <v>44.87</v>
      </c>
      <c r="S1118" s="130" t="s">
        <v>70</v>
      </c>
      <c r="T1118" s="136" t="s">
        <v>44</v>
      </c>
      <c r="U1118" s="136" t="s">
        <v>53</v>
      </c>
      <c r="V1118" s="136">
        <v>0</v>
      </c>
      <c r="W1118" s="133">
        <f>(3.628*1306+41.25*1469)</f>
        <v>65334.417999999998</v>
      </c>
      <c r="X1118" s="136"/>
      <c r="Y1118" s="136"/>
      <c r="Z1118" s="136"/>
      <c r="AA1118" s="136"/>
      <c r="AB1118" s="131"/>
      <c r="AC1118" s="134">
        <f t="shared" si="53"/>
        <v>60412.860044809553</v>
      </c>
      <c r="AD1118" s="135">
        <v>66.95</v>
      </c>
      <c r="AE1118" s="136">
        <f t="shared" si="54"/>
        <v>4374139.2851</v>
      </c>
      <c r="AF1118" s="137">
        <v>4044640.98</v>
      </c>
      <c r="AG1118" s="138">
        <v>66.95</v>
      </c>
      <c r="AH1118" s="136" t="s">
        <v>7790</v>
      </c>
      <c r="AI1118" s="136">
        <v>65334.42</v>
      </c>
      <c r="AJ1118" s="132">
        <v>42482</v>
      </c>
      <c r="AK1118" s="136" t="s">
        <v>7791</v>
      </c>
      <c r="AL1118" s="132">
        <v>42485</v>
      </c>
      <c r="AM1118" s="131" t="s">
        <v>49</v>
      </c>
      <c r="AN1118" s="136" t="s">
        <v>4440</v>
      </c>
    </row>
    <row r="1119" spans="1:40" s="129" customFormat="1" x14ac:dyDescent="0.25">
      <c r="A1119" s="136">
        <v>1118</v>
      </c>
      <c r="B1119" s="130" t="s">
        <v>4428</v>
      </c>
      <c r="C1119" s="130" t="s">
        <v>38</v>
      </c>
      <c r="D1119" s="162">
        <v>9103651075</v>
      </c>
      <c r="E1119" s="132">
        <v>42445</v>
      </c>
      <c r="F1119" s="132" t="s">
        <v>7689</v>
      </c>
      <c r="G1119" s="132" t="s">
        <v>2880</v>
      </c>
      <c r="H1119" s="130" t="s">
        <v>5712</v>
      </c>
      <c r="I1119" s="132" t="s">
        <v>40</v>
      </c>
      <c r="J1119" s="131" t="s">
        <v>4432</v>
      </c>
      <c r="K1119" s="132" t="s">
        <v>4433</v>
      </c>
      <c r="L1119" s="136">
        <v>6376607</v>
      </c>
      <c r="M1119" s="132">
        <v>42439</v>
      </c>
      <c r="N1119" s="136" t="s">
        <v>4570</v>
      </c>
      <c r="O1119" s="130" t="s">
        <v>4436</v>
      </c>
      <c r="P1119" s="136" t="s">
        <v>143</v>
      </c>
      <c r="Q1119" s="130">
        <v>38237090</v>
      </c>
      <c r="R1119" s="136">
        <v>16</v>
      </c>
      <c r="S1119" s="130" t="s">
        <v>70</v>
      </c>
      <c r="T1119" s="136" t="s">
        <v>44</v>
      </c>
      <c r="U1119" s="136" t="s">
        <v>53</v>
      </c>
      <c r="V1119" s="136">
        <v>1250</v>
      </c>
      <c r="W1119" s="133">
        <f t="shared" si="52"/>
        <v>20000</v>
      </c>
      <c r="X1119" s="136">
        <v>6.6</v>
      </c>
      <c r="Y1119" s="136">
        <v>450</v>
      </c>
      <c r="Z1119" s="136">
        <v>0</v>
      </c>
      <c r="AA1119" s="136">
        <v>0</v>
      </c>
      <c r="AB1119" s="131">
        <v>42440</v>
      </c>
      <c r="AC1119" s="134">
        <f t="shared" si="53"/>
        <v>19543.399999999998</v>
      </c>
      <c r="AD1119" s="135">
        <v>66.95</v>
      </c>
      <c r="AE1119" s="136">
        <f t="shared" si="54"/>
        <v>1339000</v>
      </c>
      <c r="AF1119" s="137">
        <v>1308430.6299999999</v>
      </c>
      <c r="AG1119" s="138">
        <v>66.95</v>
      </c>
      <c r="AH1119" s="136" t="s">
        <v>7792</v>
      </c>
      <c r="AI1119" s="136">
        <v>20000</v>
      </c>
      <c r="AJ1119" s="132">
        <v>42489</v>
      </c>
      <c r="AK1119" s="136" t="s">
        <v>7793</v>
      </c>
      <c r="AL1119" s="132">
        <v>42490</v>
      </c>
      <c r="AM1119" s="131" t="s">
        <v>49</v>
      </c>
      <c r="AN1119" s="136" t="s">
        <v>4440</v>
      </c>
    </row>
    <row r="1120" spans="1:40" s="129" customFormat="1" x14ac:dyDescent="0.25">
      <c r="A1120" s="130">
        <v>1119</v>
      </c>
      <c r="B1120" s="130" t="s">
        <v>4428</v>
      </c>
      <c r="C1120" s="130" t="s">
        <v>38</v>
      </c>
      <c r="D1120" s="162">
        <v>9103651076</v>
      </c>
      <c r="E1120" s="132">
        <v>42444</v>
      </c>
      <c r="F1120" s="132" t="s">
        <v>7689</v>
      </c>
      <c r="G1120" s="132" t="s">
        <v>2885</v>
      </c>
      <c r="H1120" s="130" t="s">
        <v>4431</v>
      </c>
      <c r="I1120" s="132" t="s">
        <v>40</v>
      </c>
      <c r="J1120" s="131" t="s">
        <v>4432</v>
      </c>
      <c r="K1120" s="132" t="s">
        <v>4433</v>
      </c>
      <c r="L1120" s="163">
        <v>6376612</v>
      </c>
      <c r="M1120" s="132">
        <v>42439</v>
      </c>
      <c r="N1120" s="136" t="s">
        <v>6676</v>
      </c>
      <c r="O1120" s="130" t="s">
        <v>4436</v>
      </c>
      <c r="P1120" s="136" t="s">
        <v>4465</v>
      </c>
      <c r="Q1120" s="130">
        <v>38237090</v>
      </c>
      <c r="R1120" s="136">
        <v>12</v>
      </c>
      <c r="S1120" s="130" t="s">
        <v>70</v>
      </c>
      <c r="T1120" s="136" t="s">
        <v>44</v>
      </c>
      <c r="U1120" s="136" t="s">
        <v>53</v>
      </c>
      <c r="V1120" s="136">
        <v>3900</v>
      </c>
      <c r="W1120" s="133">
        <f t="shared" si="52"/>
        <v>46800</v>
      </c>
      <c r="X1120" s="136"/>
      <c r="Y1120" s="136"/>
      <c r="Z1120" s="136"/>
      <c r="AA1120" s="136"/>
      <c r="AB1120" s="131"/>
      <c r="AC1120" s="134">
        <f t="shared" si="53"/>
        <v>46749.55997012696</v>
      </c>
      <c r="AD1120" s="135">
        <v>66.95</v>
      </c>
      <c r="AE1120" s="136">
        <f t="shared" si="54"/>
        <v>3133260</v>
      </c>
      <c r="AF1120" s="137">
        <v>3129883.04</v>
      </c>
      <c r="AG1120" s="138">
        <v>66.95</v>
      </c>
      <c r="AH1120" s="136" t="s">
        <v>7794</v>
      </c>
      <c r="AI1120" s="136">
        <v>46605</v>
      </c>
      <c r="AJ1120" s="132">
        <v>42459</v>
      </c>
      <c r="AK1120" s="136" t="s">
        <v>7795</v>
      </c>
      <c r="AL1120" s="132">
        <v>42460</v>
      </c>
      <c r="AM1120" s="131" t="s">
        <v>49</v>
      </c>
      <c r="AN1120" s="136" t="s">
        <v>4440</v>
      </c>
    </row>
    <row r="1121" spans="1:40" s="129" customFormat="1" x14ac:dyDescent="0.2">
      <c r="A1121" s="136">
        <v>1120</v>
      </c>
      <c r="B1121" s="130" t="s">
        <v>4428</v>
      </c>
      <c r="C1121" s="130" t="s">
        <v>38</v>
      </c>
      <c r="D1121" s="162">
        <v>9103651077</v>
      </c>
      <c r="E1121" s="132">
        <v>42445</v>
      </c>
      <c r="F1121" s="132" t="s">
        <v>7689</v>
      </c>
      <c r="G1121" s="132" t="s">
        <v>2886</v>
      </c>
      <c r="H1121" s="130" t="s">
        <v>4556</v>
      </c>
      <c r="I1121" s="132" t="s">
        <v>40</v>
      </c>
      <c r="J1121" s="131" t="s">
        <v>4432</v>
      </c>
      <c r="K1121" s="132" t="s">
        <v>4433</v>
      </c>
      <c r="L1121" s="163">
        <v>6438534</v>
      </c>
      <c r="M1121" s="132">
        <v>42443</v>
      </c>
      <c r="N1121" s="136" t="s">
        <v>4557</v>
      </c>
      <c r="O1121" s="130" t="s">
        <v>4436</v>
      </c>
      <c r="P1121" s="136" t="s">
        <v>137</v>
      </c>
      <c r="Q1121" s="130" t="s">
        <v>4645</v>
      </c>
      <c r="R1121" s="136">
        <v>29.25</v>
      </c>
      <c r="S1121" s="130" t="s">
        <v>70</v>
      </c>
      <c r="T1121" s="136" t="s">
        <v>52</v>
      </c>
      <c r="U1121" s="136" t="s">
        <v>53</v>
      </c>
      <c r="V1121" s="136">
        <v>0</v>
      </c>
      <c r="W1121" s="133">
        <f>(28.5*1365+0.75*1490)</f>
        <v>40020</v>
      </c>
      <c r="X1121" s="136"/>
      <c r="Y1121" s="136"/>
      <c r="Z1121" s="136"/>
      <c r="AA1121" s="136"/>
      <c r="AB1121" s="131"/>
      <c r="AC1121" s="134">
        <f t="shared" si="53"/>
        <v>38820</v>
      </c>
      <c r="AD1121" s="135">
        <v>66.95</v>
      </c>
      <c r="AE1121" s="136">
        <f t="shared" si="54"/>
        <v>2679339</v>
      </c>
      <c r="AF1121" s="137">
        <v>2598999</v>
      </c>
      <c r="AG1121" s="138">
        <v>66.95</v>
      </c>
      <c r="AH1121" s="154" t="s">
        <v>7796</v>
      </c>
      <c r="AI1121" s="136">
        <v>40020</v>
      </c>
      <c r="AJ1121" s="132">
        <v>42620</v>
      </c>
      <c r="AK1121" s="136" t="s">
        <v>7797</v>
      </c>
      <c r="AL1121" s="132">
        <v>42621</v>
      </c>
      <c r="AM1121" s="131" t="s">
        <v>49</v>
      </c>
      <c r="AN1121" s="136" t="s">
        <v>4440</v>
      </c>
    </row>
    <row r="1122" spans="1:40" s="129" customFormat="1" x14ac:dyDescent="0.25">
      <c r="A1122" s="130">
        <v>1121</v>
      </c>
      <c r="B1122" s="130" t="s">
        <v>4428</v>
      </c>
      <c r="C1122" s="130" t="s">
        <v>38</v>
      </c>
      <c r="D1122" s="162">
        <v>9103651078</v>
      </c>
      <c r="E1122" s="132">
        <v>42449</v>
      </c>
      <c r="F1122" s="132" t="s">
        <v>7689</v>
      </c>
      <c r="G1122" s="132" t="s">
        <v>2887</v>
      </c>
      <c r="H1122" s="130" t="s">
        <v>4456</v>
      </c>
      <c r="I1122" s="132" t="s">
        <v>40</v>
      </c>
      <c r="J1122" s="131" t="s">
        <v>4432</v>
      </c>
      <c r="K1122" s="132" t="s">
        <v>4433</v>
      </c>
      <c r="L1122" s="163">
        <v>6459902</v>
      </c>
      <c r="M1122" s="132">
        <v>42444</v>
      </c>
      <c r="N1122" s="136" t="s">
        <v>4796</v>
      </c>
      <c r="O1122" s="130" t="s">
        <v>4436</v>
      </c>
      <c r="P1122" s="136" t="s">
        <v>243</v>
      </c>
      <c r="Q1122" s="130">
        <v>38237090</v>
      </c>
      <c r="R1122" s="136">
        <v>12</v>
      </c>
      <c r="S1122" s="130" t="s">
        <v>70</v>
      </c>
      <c r="T1122" s="136" t="s">
        <v>52</v>
      </c>
      <c r="U1122" s="136" t="s">
        <v>53</v>
      </c>
      <c r="V1122" s="136">
        <v>3815</v>
      </c>
      <c r="W1122" s="133">
        <f t="shared" si="52"/>
        <v>45780</v>
      </c>
      <c r="X1122" s="136">
        <v>0</v>
      </c>
      <c r="Y1122" s="136">
        <v>350</v>
      </c>
      <c r="Z1122" s="136">
        <v>0</v>
      </c>
      <c r="AA1122" s="136">
        <v>0</v>
      </c>
      <c r="AB1122" s="131">
        <v>42445</v>
      </c>
      <c r="AC1122" s="134">
        <f t="shared" si="53"/>
        <v>45430</v>
      </c>
      <c r="AD1122" s="135">
        <v>66.95</v>
      </c>
      <c r="AE1122" s="136">
        <f t="shared" si="54"/>
        <v>3064971</v>
      </c>
      <c r="AF1122" s="137">
        <v>3041538.5</v>
      </c>
      <c r="AG1122" s="138">
        <v>66.95</v>
      </c>
      <c r="AH1122" s="136" t="s">
        <v>7798</v>
      </c>
      <c r="AI1122" s="136">
        <v>45698</v>
      </c>
      <c r="AJ1122" s="132">
        <v>42516</v>
      </c>
      <c r="AK1122" s="136" t="s">
        <v>7799</v>
      </c>
      <c r="AL1122" s="132">
        <v>42517</v>
      </c>
      <c r="AM1122" s="131" t="s">
        <v>49</v>
      </c>
      <c r="AN1122" s="136" t="s">
        <v>4440</v>
      </c>
    </row>
    <row r="1123" spans="1:40" s="129" customFormat="1" x14ac:dyDescent="0.25">
      <c r="A1123" s="136">
        <v>1122</v>
      </c>
      <c r="B1123" s="130" t="s">
        <v>4428</v>
      </c>
      <c r="C1123" s="130" t="s">
        <v>38</v>
      </c>
      <c r="D1123" s="162">
        <v>9103651079</v>
      </c>
      <c r="E1123" s="132">
        <v>42446</v>
      </c>
      <c r="F1123" s="132" t="s">
        <v>7689</v>
      </c>
      <c r="G1123" s="132" t="s">
        <v>2888</v>
      </c>
      <c r="H1123" s="130" t="s">
        <v>4431</v>
      </c>
      <c r="I1123" s="132" t="s">
        <v>40</v>
      </c>
      <c r="J1123" s="131" t="s">
        <v>4432</v>
      </c>
      <c r="K1123" s="132" t="s">
        <v>4433</v>
      </c>
      <c r="L1123" s="163">
        <v>6459914</v>
      </c>
      <c r="M1123" s="132">
        <v>42444</v>
      </c>
      <c r="N1123" s="136" t="s">
        <v>5744</v>
      </c>
      <c r="O1123" s="130" t="s">
        <v>4436</v>
      </c>
      <c r="P1123" s="136" t="s">
        <v>361</v>
      </c>
      <c r="Q1123" s="130">
        <v>38237090</v>
      </c>
      <c r="R1123" s="136">
        <v>128</v>
      </c>
      <c r="S1123" s="130" t="s">
        <v>70</v>
      </c>
      <c r="T1123" s="136" t="s">
        <v>52</v>
      </c>
      <c r="U1123" s="136" t="s">
        <v>1117</v>
      </c>
      <c r="V1123" s="136">
        <v>92780</v>
      </c>
      <c r="W1123" s="133">
        <f t="shared" si="52"/>
        <v>11875840</v>
      </c>
      <c r="X1123" s="136">
        <v>0</v>
      </c>
      <c r="Y1123" s="136">
        <v>32136</v>
      </c>
      <c r="Z1123" s="136">
        <v>0</v>
      </c>
      <c r="AA1123" s="136">
        <v>715904</v>
      </c>
      <c r="AB1123" s="131">
        <v>42445</v>
      </c>
      <c r="AC1123" s="134">
        <f t="shared" si="53"/>
        <v>11843704</v>
      </c>
      <c r="AD1123" s="135">
        <v>1</v>
      </c>
      <c r="AE1123" s="136">
        <f t="shared" si="54"/>
        <v>11875840</v>
      </c>
      <c r="AF1123" s="130">
        <v>11843704</v>
      </c>
      <c r="AG1123" s="138">
        <v>1</v>
      </c>
      <c r="AH1123" s="136" t="s">
        <v>7800</v>
      </c>
      <c r="AI1123" s="136">
        <v>11860660.470000001</v>
      </c>
      <c r="AJ1123" s="132">
        <v>42485</v>
      </c>
      <c r="AK1123" s="136" t="s">
        <v>7801</v>
      </c>
      <c r="AL1123" s="132">
        <v>42486</v>
      </c>
      <c r="AM1123" s="131" t="s">
        <v>49</v>
      </c>
      <c r="AN1123" s="136" t="s">
        <v>4440</v>
      </c>
    </row>
    <row r="1124" spans="1:40" s="129" customFormat="1" x14ac:dyDescent="0.25">
      <c r="A1124" s="130">
        <v>1123</v>
      </c>
      <c r="B1124" s="130" t="s">
        <v>4428</v>
      </c>
      <c r="C1124" s="130" t="s">
        <v>38</v>
      </c>
      <c r="D1124" s="162">
        <v>9103651080</v>
      </c>
      <c r="E1124" s="132">
        <v>42447</v>
      </c>
      <c r="F1124" s="132" t="s">
        <v>7689</v>
      </c>
      <c r="G1124" s="132" t="s">
        <v>2889</v>
      </c>
      <c r="H1124" s="130" t="s">
        <v>5712</v>
      </c>
      <c r="I1124" s="132" t="s">
        <v>40</v>
      </c>
      <c r="J1124" s="131" t="s">
        <v>4432</v>
      </c>
      <c r="K1124" s="132" t="s">
        <v>4433</v>
      </c>
      <c r="L1124" s="136">
        <v>6467200</v>
      </c>
      <c r="M1124" s="132">
        <v>42444</v>
      </c>
      <c r="N1124" s="136" t="s">
        <v>4972</v>
      </c>
      <c r="O1124" s="130" t="s">
        <v>4436</v>
      </c>
      <c r="P1124" s="136" t="s">
        <v>90</v>
      </c>
      <c r="Q1124" s="130" t="s">
        <v>4645</v>
      </c>
      <c r="R1124" s="136">
        <v>12</v>
      </c>
      <c r="S1124" s="130" t="s">
        <v>70</v>
      </c>
      <c r="T1124" s="136" t="s">
        <v>44</v>
      </c>
      <c r="U1124" s="136" t="s">
        <v>53</v>
      </c>
      <c r="V1124" s="136">
        <v>0</v>
      </c>
      <c r="W1124" s="133">
        <f>(6*1400+2.4*1350+3.6*1450)</f>
        <v>16860</v>
      </c>
      <c r="X1124" s="136">
        <v>5.56</v>
      </c>
      <c r="Y1124" s="136">
        <v>600</v>
      </c>
      <c r="Z1124" s="136">
        <v>0</v>
      </c>
      <c r="AA1124" s="136">
        <v>0</v>
      </c>
      <c r="AB1124" s="131">
        <v>42445</v>
      </c>
      <c r="AC1124" s="134">
        <f t="shared" si="53"/>
        <v>16254.44002987304</v>
      </c>
      <c r="AD1124" s="135">
        <v>66.95</v>
      </c>
      <c r="AE1124" s="136">
        <f t="shared" si="54"/>
        <v>1128777</v>
      </c>
      <c r="AF1124" s="137">
        <v>1088234.76</v>
      </c>
      <c r="AG1124" s="138">
        <v>66.95</v>
      </c>
      <c r="AH1124" s="136" t="s">
        <v>7802</v>
      </c>
      <c r="AI1124" s="136">
        <v>16813</v>
      </c>
      <c r="AJ1124" s="132">
        <v>42489</v>
      </c>
      <c r="AK1124" s="136" t="s">
        <v>7803</v>
      </c>
      <c r="AL1124" s="132">
        <v>42490</v>
      </c>
      <c r="AM1124" s="131" t="s">
        <v>49</v>
      </c>
      <c r="AN1124" s="133" t="s">
        <v>4440</v>
      </c>
    </row>
    <row r="1125" spans="1:40" s="129" customFormat="1" x14ac:dyDescent="0.25">
      <c r="A1125" s="136">
        <v>1124</v>
      </c>
      <c r="B1125" s="130" t="s">
        <v>4428</v>
      </c>
      <c r="C1125" s="130" t="s">
        <v>38</v>
      </c>
      <c r="D1125" s="162">
        <v>9103651081</v>
      </c>
      <c r="E1125" s="132">
        <v>42452</v>
      </c>
      <c r="F1125" s="132" t="s">
        <v>7689</v>
      </c>
      <c r="G1125" s="132" t="s">
        <v>2890</v>
      </c>
      <c r="H1125" s="130" t="s">
        <v>4431</v>
      </c>
      <c r="I1125" s="132" t="s">
        <v>40</v>
      </c>
      <c r="J1125" s="131" t="s">
        <v>4432</v>
      </c>
      <c r="K1125" s="132" t="s">
        <v>4433</v>
      </c>
      <c r="L1125" s="163">
        <v>6467232</v>
      </c>
      <c r="M1125" s="132">
        <v>42444</v>
      </c>
      <c r="N1125" s="136" t="s">
        <v>6181</v>
      </c>
      <c r="O1125" s="130" t="s">
        <v>4436</v>
      </c>
      <c r="P1125" s="136" t="s">
        <v>4465</v>
      </c>
      <c r="Q1125" s="130">
        <v>38231900</v>
      </c>
      <c r="R1125" s="136">
        <v>19.95</v>
      </c>
      <c r="S1125" s="130" t="s">
        <v>70</v>
      </c>
      <c r="T1125" s="136" t="s">
        <v>44</v>
      </c>
      <c r="U1125" s="136" t="s">
        <v>53</v>
      </c>
      <c r="V1125" s="136">
        <v>1175</v>
      </c>
      <c r="W1125" s="133">
        <f t="shared" si="52"/>
        <v>23441.25</v>
      </c>
      <c r="X1125" s="136"/>
      <c r="Y1125" s="136"/>
      <c r="Z1125" s="136"/>
      <c r="AA1125" s="136"/>
      <c r="AB1125" s="131"/>
      <c r="AC1125" s="134">
        <f t="shared" si="53"/>
        <v>22983.510082150857</v>
      </c>
      <c r="AD1125" s="135">
        <v>66.95</v>
      </c>
      <c r="AE1125" s="136">
        <f t="shared" si="54"/>
        <v>1569391.6875</v>
      </c>
      <c r="AF1125" s="137">
        <v>1538746</v>
      </c>
      <c r="AG1125" s="138">
        <v>66.95</v>
      </c>
      <c r="AH1125" s="136" t="s">
        <v>7804</v>
      </c>
      <c r="AI1125" s="136">
        <v>23081.25</v>
      </c>
      <c r="AJ1125" s="132">
        <v>42494</v>
      </c>
      <c r="AK1125" s="136" t="s">
        <v>7805</v>
      </c>
      <c r="AL1125" s="132">
        <v>42495</v>
      </c>
      <c r="AM1125" s="131" t="s">
        <v>49</v>
      </c>
      <c r="AN1125" s="136" t="s">
        <v>4440</v>
      </c>
    </row>
    <row r="1126" spans="1:40" s="129" customFormat="1" x14ac:dyDescent="0.25">
      <c r="A1126" s="130">
        <v>1125</v>
      </c>
      <c r="B1126" s="130" t="s">
        <v>4428</v>
      </c>
      <c r="C1126" s="130" t="s">
        <v>38</v>
      </c>
      <c r="D1126" s="162">
        <v>9103651082</v>
      </c>
      <c r="E1126" s="132">
        <v>42451</v>
      </c>
      <c r="F1126" s="132" t="s">
        <v>7689</v>
      </c>
      <c r="G1126" s="132" t="s">
        <v>2891</v>
      </c>
      <c r="H1126" s="130" t="s">
        <v>4491</v>
      </c>
      <c r="I1126" s="132" t="s">
        <v>40</v>
      </c>
      <c r="J1126" s="131" t="s">
        <v>4432</v>
      </c>
      <c r="K1126" s="132" t="s">
        <v>4433</v>
      </c>
      <c r="L1126" s="136">
        <v>6467234</v>
      </c>
      <c r="M1126" s="132">
        <v>42444</v>
      </c>
      <c r="N1126" s="136" t="s">
        <v>3741</v>
      </c>
      <c r="O1126" s="130" t="s">
        <v>4436</v>
      </c>
      <c r="P1126" s="136" t="s">
        <v>4492</v>
      </c>
      <c r="Q1126" s="130">
        <v>38237090</v>
      </c>
      <c r="R1126" s="136">
        <v>18.48</v>
      </c>
      <c r="S1126" s="130" t="s">
        <v>70</v>
      </c>
      <c r="T1126" s="136" t="s">
        <v>44</v>
      </c>
      <c r="U1126" s="136" t="s">
        <v>53</v>
      </c>
      <c r="V1126" s="136">
        <v>1394</v>
      </c>
      <c r="W1126" s="133">
        <f t="shared" si="52"/>
        <v>25761.119999999999</v>
      </c>
      <c r="X1126" s="136">
        <v>8.5</v>
      </c>
      <c r="Y1126" s="136">
        <v>3400</v>
      </c>
      <c r="Z1126" s="136">
        <v>0</v>
      </c>
      <c r="AA1126" s="136">
        <v>0</v>
      </c>
      <c r="AB1126" s="131">
        <v>42445</v>
      </c>
      <c r="AC1126" s="134">
        <f t="shared" si="53"/>
        <v>22352.620014936518</v>
      </c>
      <c r="AD1126" s="135">
        <v>66.95</v>
      </c>
      <c r="AE1126" s="136">
        <f t="shared" si="54"/>
        <v>1724706.9839999999</v>
      </c>
      <c r="AF1126" s="137">
        <v>1496507.91</v>
      </c>
      <c r="AG1126" s="138">
        <v>66.95</v>
      </c>
      <c r="AH1126" s="136" t="s">
        <v>7806</v>
      </c>
      <c r="AI1126" s="136">
        <v>25761.119999999999</v>
      </c>
      <c r="AJ1126" s="132">
        <v>42482</v>
      </c>
      <c r="AK1126" s="136" t="s">
        <v>7807</v>
      </c>
      <c r="AL1126" s="132">
        <v>42485</v>
      </c>
      <c r="AM1126" s="131" t="s">
        <v>49</v>
      </c>
      <c r="AN1126" s="136" t="s">
        <v>4440</v>
      </c>
    </row>
    <row r="1127" spans="1:40" s="129" customFormat="1" x14ac:dyDescent="0.25">
      <c r="A1127" s="136">
        <v>1126</v>
      </c>
      <c r="B1127" s="130" t="s">
        <v>4428</v>
      </c>
      <c r="C1127" s="130" t="s">
        <v>38</v>
      </c>
      <c r="D1127" s="162">
        <v>9103651083</v>
      </c>
      <c r="E1127" s="132">
        <v>42452</v>
      </c>
      <c r="F1127" s="132" t="s">
        <v>7689</v>
      </c>
      <c r="G1127" s="132" t="s">
        <v>2892</v>
      </c>
      <c r="H1127" s="130" t="s">
        <v>4446</v>
      </c>
      <c r="I1127" s="132" t="s">
        <v>40</v>
      </c>
      <c r="J1127" s="131" t="s">
        <v>4432</v>
      </c>
      <c r="K1127" s="132" t="s">
        <v>4433</v>
      </c>
      <c r="L1127" s="163">
        <v>6487798</v>
      </c>
      <c r="M1127" s="132">
        <v>42445</v>
      </c>
      <c r="N1127" s="136" t="s">
        <v>4532</v>
      </c>
      <c r="O1127" s="130" t="s">
        <v>4436</v>
      </c>
      <c r="P1127" s="136" t="s">
        <v>690</v>
      </c>
      <c r="Q1127" s="130" t="s">
        <v>4645</v>
      </c>
      <c r="R1127" s="136">
        <v>16</v>
      </c>
      <c r="S1127" s="130" t="s">
        <v>70</v>
      </c>
      <c r="T1127" s="136" t="s">
        <v>52</v>
      </c>
      <c r="U1127" s="136" t="s">
        <v>53</v>
      </c>
      <c r="V1127" s="136">
        <v>1290</v>
      </c>
      <c r="W1127" s="133">
        <f t="shared" si="52"/>
        <v>20640</v>
      </c>
      <c r="X1127" s="136"/>
      <c r="Y1127" s="136"/>
      <c r="Z1127" s="136"/>
      <c r="AA1127" s="136"/>
      <c r="AB1127" s="131"/>
      <c r="AC1127" s="134">
        <f t="shared" si="53"/>
        <v>19465</v>
      </c>
      <c r="AD1127" s="135">
        <v>66.95</v>
      </c>
      <c r="AE1127" s="136">
        <f t="shared" si="54"/>
        <v>1381848</v>
      </c>
      <c r="AF1127" s="137">
        <v>1303181.75</v>
      </c>
      <c r="AG1127" s="138">
        <v>66.95</v>
      </c>
      <c r="AH1127" s="136" t="s">
        <v>7808</v>
      </c>
      <c r="AI1127" s="136">
        <v>20625</v>
      </c>
      <c r="AJ1127" s="132">
        <v>42611</v>
      </c>
      <c r="AK1127" s="136" t="s">
        <v>7809</v>
      </c>
      <c r="AL1127" s="132">
        <v>42612</v>
      </c>
      <c r="AM1127" s="131" t="s">
        <v>49</v>
      </c>
      <c r="AN1127" s="136" t="s">
        <v>4440</v>
      </c>
    </row>
    <row r="1128" spans="1:40" s="129" customFormat="1" x14ac:dyDescent="0.25">
      <c r="A1128" s="130">
        <v>1127</v>
      </c>
      <c r="B1128" s="130" t="s">
        <v>4428</v>
      </c>
      <c r="C1128" s="130" t="s">
        <v>38</v>
      </c>
      <c r="D1128" s="162">
        <v>9103651084</v>
      </c>
      <c r="E1128" s="132">
        <v>42449</v>
      </c>
      <c r="F1128" s="132" t="s">
        <v>7689</v>
      </c>
      <c r="G1128" s="132" t="s">
        <v>2893</v>
      </c>
      <c r="H1128" s="130" t="s">
        <v>5718</v>
      </c>
      <c r="I1128" s="132" t="s">
        <v>40</v>
      </c>
      <c r="J1128" s="131" t="s">
        <v>4432</v>
      </c>
      <c r="K1128" s="132" t="s">
        <v>4433</v>
      </c>
      <c r="L1128" s="163">
        <v>6490716</v>
      </c>
      <c r="M1128" s="132">
        <v>42445</v>
      </c>
      <c r="N1128" s="136" t="s">
        <v>3741</v>
      </c>
      <c r="O1128" s="130" t="s">
        <v>4436</v>
      </c>
      <c r="P1128" s="136" t="s">
        <v>4492</v>
      </c>
      <c r="Q1128" s="130">
        <v>38237090</v>
      </c>
      <c r="R1128" s="136">
        <v>39.46</v>
      </c>
      <c r="S1128" s="130" t="s">
        <v>70</v>
      </c>
      <c r="T1128" s="136" t="s">
        <v>44</v>
      </c>
      <c r="U1128" s="136" t="s">
        <v>53</v>
      </c>
      <c r="V1128" s="136">
        <v>1385</v>
      </c>
      <c r="W1128" s="133">
        <f t="shared" si="52"/>
        <v>54652.1</v>
      </c>
      <c r="X1128" s="136">
        <v>18.04</v>
      </c>
      <c r="Y1128" s="136">
        <v>2474</v>
      </c>
      <c r="Z1128" s="136">
        <v>0</v>
      </c>
      <c r="AA1128" s="136">
        <v>0</v>
      </c>
      <c r="AB1128" s="131"/>
      <c r="AC1128" s="134">
        <f t="shared" si="53"/>
        <v>52134.060044809557</v>
      </c>
      <c r="AD1128" s="135">
        <v>66.95</v>
      </c>
      <c r="AE1128" s="136">
        <f t="shared" si="54"/>
        <v>3658958.0950000002</v>
      </c>
      <c r="AF1128" s="137">
        <v>3490375.32</v>
      </c>
      <c r="AG1128" s="138">
        <v>66.95</v>
      </c>
      <c r="AH1128" s="136" t="s">
        <v>7810</v>
      </c>
      <c r="AI1128" s="136">
        <v>54652.1</v>
      </c>
      <c r="AJ1128" s="132">
        <v>42542</v>
      </c>
      <c r="AK1128" s="136" t="s">
        <v>7811</v>
      </c>
      <c r="AL1128" s="132">
        <v>42485</v>
      </c>
      <c r="AM1128" s="131" t="s">
        <v>49</v>
      </c>
      <c r="AN1128" s="136" t="s">
        <v>4440</v>
      </c>
    </row>
    <row r="1129" spans="1:40" s="129" customFormat="1" x14ac:dyDescent="0.25">
      <c r="A1129" s="136">
        <v>1128</v>
      </c>
      <c r="B1129" s="130" t="s">
        <v>4428</v>
      </c>
      <c r="C1129" s="130" t="s">
        <v>38</v>
      </c>
      <c r="D1129" s="162">
        <v>9103651085</v>
      </c>
      <c r="E1129" s="132">
        <v>42451</v>
      </c>
      <c r="F1129" s="132" t="s">
        <v>7689</v>
      </c>
      <c r="G1129" s="132" t="s">
        <v>2894</v>
      </c>
      <c r="H1129" s="130" t="s">
        <v>5712</v>
      </c>
      <c r="I1129" s="132" t="s">
        <v>40</v>
      </c>
      <c r="J1129" s="131" t="s">
        <v>4432</v>
      </c>
      <c r="K1129" s="132" t="s">
        <v>4433</v>
      </c>
      <c r="L1129" s="136">
        <v>6503028</v>
      </c>
      <c r="M1129" s="132">
        <v>42446</v>
      </c>
      <c r="N1129" s="136" t="s">
        <v>6858</v>
      </c>
      <c r="O1129" s="130" t="s">
        <v>4436</v>
      </c>
      <c r="P1129" s="136" t="s">
        <v>2958</v>
      </c>
      <c r="Q1129" s="130">
        <v>38237090</v>
      </c>
      <c r="R1129" s="136">
        <v>10</v>
      </c>
      <c r="S1129" s="130" t="s">
        <v>70</v>
      </c>
      <c r="T1129" s="136" t="s">
        <v>44</v>
      </c>
      <c r="U1129" s="136" t="s">
        <v>53</v>
      </c>
      <c r="V1129" s="136">
        <v>1335</v>
      </c>
      <c r="W1129" s="133">
        <f t="shared" si="52"/>
        <v>13350</v>
      </c>
      <c r="X1129" s="136">
        <v>4.41</v>
      </c>
      <c r="Y1129" s="136">
        <v>65</v>
      </c>
      <c r="Z1129" s="136">
        <v>0</v>
      </c>
      <c r="AA1129" s="136">
        <v>450</v>
      </c>
      <c r="AB1129" s="131">
        <v>42446</v>
      </c>
      <c r="AC1129" s="134">
        <f t="shared" si="53"/>
        <v>13280.589992531739</v>
      </c>
      <c r="AD1129" s="135">
        <v>66.95</v>
      </c>
      <c r="AE1129" s="136">
        <f t="shared" si="54"/>
        <v>893782.5</v>
      </c>
      <c r="AF1129" s="137">
        <v>889135.5</v>
      </c>
      <c r="AG1129" s="138">
        <v>66.95</v>
      </c>
      <c r="AH1129" s="136" t="s">
        <v>7812</v>
      </c>
      <c r="AI1129" s="136">
        <v>13350</v>
      </c>
      <c r="AJ1129" s="132">
        <v>42490</v>
      </c>
      <c r="AK1129" s="136" t="s">
        <v>7813</v>
      </c>
      <c r="AL1129" s="132">
        <v>42492</v>
      </c>
      <c r="AM1129" s="131" t="s">
        <v>49</v>
      </c>
      <c r="AN1129" s="136" t="s">
        <v>4440</v>
      </c>
    </row>
    <row r="1130" spans="1:40" s="129" customFormat="1" x14ac:dyDescent="0.25">
      <c r="A1130" s="130">
        <v>1129</v>
      </c>
      <c r="B1130" s="130" t="s">
        <v>4428</v>
      </c>
      <c r="C1130" s="130" t="s">
        <v>38</v>
      </c>
      <c r="D1130" s="162">
        <v>9103651086</v>
      </c>
      <c r="E1130" s="132">
        <v>42448</v>
      </c>
      <c r="F1130" s="132" t="s">
        <v>7689</v>
      </c>
      <c r="G1130" s="132" t="s">
        <v>2896</v>
      </c>
      <c r="H1130" s="130" t="s">
        <v>4456</v>
      </c>
      <c r="I1130" s="132" t="s">
        <v>40</v>
      </c>
      <c r="J1130" s="131" t="s">
        <v>4432</v>
      </c>
      <c r="K1130" s="132" t="s">
        <v>4433</v>
      </c>
      <c r="L1130" s="136">
        <v>6496527</v>
      </c>
      <c r="M1130" s="132">
        <v>42445</v>
      </c>
      <c r="N1130" s="136" t="s">
        <v>4527</v>
      </c>
      <c r="O1130" s="130" t="s">
        <v>4436</v>
      </c>
      <c r="P1130" s="136" t="s">
        <v>59</v>
      </c>
      <c r="Q1130" s="130">
        <v>38237090</v>
      </c>
      <c r="R1130" s="136">
        <v>93.31</v>
      </c>
      <c r="S1130" s="130" t="s">
        <v>70</v>
      </c>
      <c r="T1130" s="136" t="s">
        <v>52</v>
      </c>
      <c r="U1130" s="136" t="s">
        <v>4528</v>
      </c>
      <c r="V1130" s="136">
        <v>900</v>
      </c>
      <c r="W1130" s="133">
        <f t="shared" si="52"/>
        <v>83979</v>
      </c>
      <c r="X1130" s="136">
        <v>0</v>
      </c>
      <c r="Y1130" s="136">
        <v>2546.5100000000002</v>
      </c>
      <c r="Z1130" s="136">
        <v>0</v>
      </c>
      <c r="AA1130" s="136">
        <v>0</v>
      </c>
      <c r="AB1130" s="131">
        <v>42446</v>
      </c>
      <c r="AC1130" s="134">
        <f t="shared" si="53"/>
        <v>81432.490041493787</v>
      </c>
      <c r="AD1130" s="135">
        <v>72.3</v>
      </c>
      <c r="AE1130" s="136">
        <f t="shared" si="54"/>
        <v>6071681.7000000002</v>
      </c>
      <c r="AF1130" s="130">
        <v>5887569.0300000003</v>
      </c>
      <c r="AG1130" s="138">
        <v>72.3</v>
      </c>
      <c r="AH1130" s="136" t="s">
        <v>7814</v>
      </c>
      <c r="AI1130" s="136">
        <v>83979</v>
      </c>
      <c r="AJ1130" s="132">
        <v>42506</v>
      </c>
      <c r="AK1130" s="136" t="s">
        <v>7815</v>
      </c>
      <c r="AL1130" s="132">
        <v>42506</v>
      </c>
      <c r="AM1130" s="131" t="s">
        <v>49</v>
      </c>
      <c r="AN1130" s="136" t="s">
        <v>4440</v>
      </c>
    </row>
    <row r="1131" spans="1:40" s="129" customFormat="1" x14ac:dyDescent="0.25">
      <c r="A1131" s="136">
        <v>1130</v>
      </c>
      <c r="B1131" s="130" t="s">
        <v>4428</v>
      </c>
      <c r="C1131" s="130" t="s">
        <v>38</v>
      </c>
      <c r="D1131" s="162">
        <v>9103651087</v>
      </c>
      <c r="E1131" s="132">
        <v>42451</v>
      </c>
      <c r="F1131" s="132" t="s">
        <v>7689</v>
      </c>
      <c r="G1131" s="132" t="s">
        <v>2915</v>
      </c>
      <c r="H1131" s="130" t="s">
        <v>4463</v>
      </c>
      <c r="I1131" s="132" t="s">
        <v>40</v>
      </c>
      <c r="J1131" s="131" t="s">
        <v>4432</v>
      </c>
      <c r="K1131" s="132" t="s">
        <v>4433</v>
      </c>
      <c r="L1131" s="136">
        <v>6507131</v>
      </c>
      <c r="M1131" s="132">
        <v>42446</v>
      </c>
      <c r="N1131" s="136" t="s">
        <v>6642</v>
      </c>
      <c r="O1131" s="130" t="s">
        <v>4436</v>
      </c>
      <c r="P1131" s="136" t="s">
        <v>2958</v>
      </c>
      <c r="Q1131" s="130">
        <v>38237090</v>
      </c>
      <c r="R1131" s="136">
        <v>16</v>
      </c>
      <c r="S1131" s="130" t="s">
        <v>70</v>
      </c>
      <c r="T1131" s="136" t="s">
        <v>67</v>
      </c>
      <c r="U1131" s="136" t="s">
        <v>53</v>
      </c>
      <c r="V1131" s="136">
        <v>1210</v>
      </c>
      <c r="W1131" s="133">
        <f t="shared" si="52"/>
        <v>19360</v>
      </c>
      <c r="X1131" s="136">
        <v>0</v>
      </c>
      <c r="Y1131" s="136">
        <v>0</v>
      </c>
      <c r="Z1131" s="136">
        <v>0</v>
      </c>
      <c r="AA1131" s="136">
        <v>0</v>
      </c>
      <c r="AB1131" s="131">
        <v>42447</v>
      </c>
      <c r="AC1131" s="134">
        <f t="shared" si="53"/>
        <v>19360</v>
      </c>
      <c r="AD1131" s="135">
        <v>66.95</v>
      </c>
      <c r="AE1131" s="136">
        <f t="shared" si="54"/>
        <v>1296152</v>
      </c>
      <c r="AF1131" s="137">
        <v>1296152</v>
      </c>
      <c r="AG1131" s="138">
        <v>66.400000000000006</v>
      </c>
      <c r="AH1131" s="136" t="s">
        <v>7816</v>
      </c>
      <c r="AI1131" s="136">
        <v>19360</v>
      </c>
      <c r="AJ1131" s="132">
        <v>42490</v>
      </c>
      <c r="AK1131" s="136" t="s">
        <v>7817</v>
      </c>
      <c r="AL1131" s="132">
        <v>42492</v>
      </c>
      <c r="AM1131" s="131" t="s">
        <v>49</v>
      </c>
      <c r="AN1131" s="136" t="s">
        <v>4440</v>
      </c>
    </row>
    <row r="1132" spans="1:40" s="129" customFormat="1" x14ac:dyDescent="0.25">
      <c r="A1132" s="130">
        <v>1131</v>
      </c>
      <c r="B1132" s="130" t="s">
        <v>4428</v>
      </c>
      <c r="C1132" s="130" t="s">
        <v>38</v>
      </c>
      <c r="D1132" s="162">
        <v>9103651088</v>
      </c>
      <c r="E1132" s="132">
        <v>42452</v>
      </c>
      <c r="F1132" s="132" t="s">
        <v>7689</v>
      </c>
      <c r="G1132" s="132" t="s">
        <v>2895</v>
      </c>
      <c r="H1132" s="130" t="s">
        <v>4431</v>
      </c>
      <c r="I1132" s="132" t="s">
        <v>40</v>
      </c>
      <c r="J1132" s="131" t="s">
        <v>4432</v>
      </c>
      <c r="K1132" s="132" t="s">
        <v>4433</v>
      </c>
      <c r="L1132" s="163">
        <v>6507136</v>
      </c>
      <c r="M1132" s="132">
        <v>42446</v>
      </c>
      <c r="N1132" s="136" t="s">
        <v>5963</v>
      </c>
      <c r="O1132" s="130" t="s">
        <v>4436</v>
      </c>
      <c r="P1132" s="136" t="s">
        <v>4465</v>
      </c>
      <c r="Q1132" s="130">
        <v>38231200</v>
      </c>
      <c r="R1132" s="136">
        <v>39.700000000000003</v>
      </c>
      <c r="S1132" s="130" t="s">
        <v>70</v>
      </c>
      <c r="T1132" s="136" t="s">
        <v>44</v>
      </c>
      <c r="U1132" s="136" t="s">
        <v>53</v>
      </c>
      <c r="V1132" s="136">
        <v>710</v>
      </c>
      <c r="W1132" s="133">
        <f t="shared" si="52"/>
        <v>28187.000000000004</v>
      </c>
      <c r="X1132" s="136">
        <v>9.3000000000000007</v>
      </c>
      <c r="Y1132" s="136">
        <v>900</v>
      </c>
      <c r="Z1132" s="136">
        <v>0</v>
      </c>
      <c r="AA1132" s="136">
        <v>317.60000000000002</v>
      </c>
      <c r="AB1132" s="131"/>
      <c r="AC1132" s="134">
        <f t="shared" si="53"/>
        <v>27277.700074682598</v>
      </c>
      <c r="AD1132" s="135">
        <v>66.95</v>
      </c>
      <c r="AE1132" s="136">
        <f t="shared" si="54"/>
        <v>1887119.6500000004</v>
      </c>
      <c r="AF1132" s="137">
        <v>1826242.02</v>
      </c>
      <c r="AG1132" s="138">
        <v>66.95</v>
      </c>
      <c r="AH1132" s="136" t="s">
        <v>7818</v>
      </c>
      <c r="AI1132" s="136">
        <v>27947</v>
      </c>
      <c r="AJ1132" s="132">
        <v>42482</v>
      </c>
      <c r="AK1132" s="136" t="s">
        <v>7819</v>
      </c>
      <c r="AL1132" s="132">
        <v>42485</v>
      </c>
      <c r="AM1132" s="131" t="s">
        <v>49</v>
      </c>
      <c r="AN1132" s="136" t="s">
        <v>4440</v>
      </c>
    </row>
    <row r="1133" spans="1:40" s="129" customFormat="1" x14ac:dyDescent="0.25">
      <c r="A1133" s="136">
        <v>1132</v>
      </c>
      <c r="B1133" s="130" t="s">
        <v>4428</v>
      </c>
      <c r="C1133" s="130" t="s">
        <v>38</v>
      </c>
      <c r="D1133" s="162">
        <v>9103651089</v>
      </c>
      <c r="E1133" s="132">
        <v>42451</v>
      </c>
      <c r="F1133" s="132" t="s">
        <v>7689</v>
      </c>
      <c r="G1133" s="132" t="s">
        <v>2897</v>
      </c>
      <c r="H1133" s="130" t="s">
        <v>5718</v>
      </c>
      <c r="I1133" s="132" t="s">
        <v>40</v>
      </c>
      <c r="J1133" s="131" t="s">
        <v>4432</v>
      </c>
      <c r="K1133" s="132" t="s">
        <v>4433</v>
      </c>
      <c r="L1133" s="163">
        <v>6517184</v>
      </c>
      <c r="M1133" s="132">
        <v>42446</v>
      </c>
      <c r="N1133" s="136" t="s">
        <v>5018</v>
      </c>
      <c r="O1133" s="130" t="s">
        <v>4436</v>
      </c>
      <c r="P1133" s="136" t="s">
        <v>190</v>
      </c>
      <c r="Q1133" s="130">
        <v>38231190</v>
      </c>
      <c r="R1133" s="136">
        <v>29</v>
      </c>
      <c r="S1133" s="130" t="s">
        <v>70</v>
      </c>
      <c r="T1133" s="136" t="s">
        <v>44</v>
      </c>
      <c r="U1133" s="136" t="s">
        <v>53</v>
      </c>
      <c r="V1133" s="136">
        <v>738</v>
      </c>
      <c r="W1133" s="133">
        <f t="shared" si="52"/>
        <v>21402</v>
      </c>
      <c r="X1133" s="136"/>
      <c r="Y1133" s="136"/>
      <c r="Z1133" s="136"/>
      <c r="AA1133" s="136"/>
      <c r="AB1133" s="131"/>
      <c r="AC1133" s="134">
        <f t="shared" si="53"/>
        <v>19694.939955190439</v>
      </c>
      <c r="AD1133" s="135">
        <v>66.95</v>
      </c>
      <c r="AE1133" s="136">
        <f t="shared" si="54"/>
        <v>1432863.9000000001</v>
      </c>
      <c r="AF1133" s="137">
        <v>1318576.23</v>
      </c>
      <c r="AG1133" s="138">
        <v>66.95</v>
      </c>
      <c r="AH1133" s="136" t="s">
        <v>7820</v>
      </c>
      <c r="AI1133" s="136">
        <v>21387</v>
      </c>
      <c r="AJ1133" s="132">
        <v>42542</v>
      </c>
      <c r="AK1133" s="136" t="s">
        <v>7821</v>
      </c>
      <c r="AL1133" s="132">
        <v>42543</v>
      </c>
      <c r="AM1133" s="131" t="s">
        <v>49</v>
      </c>
      <c r="AN1133" s="136" t="s">
        <v>4440</v>
      </c>
    </row>
    <row r="1134" spans="1:40" s="129" customFormat="1" x14ac:dyDescent="0.25">
      <c r="A1134" s="130">
        <v>1133</v>
      </c>
      <c r="B1134" s="130" t="s">
        <v>4428</v>
      </c>
      <c r="C1134" s="130" t="s">
        <v>38</v>
      </c>
      <c r="D1134" s="162">
        <v>9103651090</v>
      </c>
      <c r="E1134" s="132">
        <v>42451</v>
      </c>
      <c r="F1134" s="132" t="s">
        <v>7689</v>
      </c>
      <c r="G1134" s="132" t="s">
        <v>2899</v>
      </c>
      <c r="H1134" s="130" t="s">
        <v>4431</v>
      </c>
      <c r="I1134" s="132" t="s">
        <v>40</v>
      </c>
      <c r="J1134" s="131" t="s">
        <v>4432</v>
      </c>
      <c r="K1134" s="132" t="s">
        <v>4433</v>
      </c>
      <c r="L1134" s="136">
        <v>6527811</v>
      </c>
      <c r="M1134" s="132">
        <v>42447</v>
      </c>
      <c r="N1134" s="136" t="s">
        <v>6378</v>
      </c>
      <c r="O1134" s="130" t="s">
        <v>4436</v>
      </c>
      <c r="P1134" s="136" t="s">
        <v>361</v>
      </c>
      <c r="Q1134" s="130">
        <v>38237090</v>
      </c>
      <c r="R1134" s="136">
        <v>206.82</v>
      </c>
      <c r="S1134" s="130" t="s">
        <v>70</v>
      </c>
      <c r="T1134" s="136" t="s">
        <v>52</v>
      </c>
      <c r="U1134" s="136" t="s">
        <v>1117</v>
      </c>
      <c r="V1134" s="136">
        <v>83388</v>
      </c>
      <c r="W1134" s="133">
        <f t="shared" si="52"/>
        <v>17246306.16</v>
      </c>
      <c r="X1134" s="136">
        <v>0</v>
      </c>
      <c r="Y1134" s="136">
        <v>489739.25</v>
      </c>
      <c r="Z1134" s="136">
        <v>0</v>
      </c>
      <c r="AA1134" s="136">
        <v>704842.55</v>
      </c>
      <c r="AB1134" s="131">
        <v>42447</v>
      </c>
      <c r="AC1134" s="134">
        <f t="shared" si="53"/>
        <v>16756566.91</v>
      </c>
      <c r="AD1134" s="135">
        <v>1</v>
      </c>
      <c r="AE1134" s="136">
        <f t="shared" si="54"/>
        <v>17246306.16</v>
      </c>
      <c r="AF1134" s="130">
        <v>16756566.91</v>
      </c>
      <c r="AG1134" s="138">
        <v>1</v>
      </c>
      <c r="AH1134" s="136" t="s">
        <v>7822</v>
      </c>
      <c r="AI1134" s="136">
        <v>17223465.449999999</v>
      </c>
      <c r="AJ1134" s="132">
        <v>42480</v>
      </c>
      <c r="AK1134" s="136" t="s">
        <v>7823</v>
      </c>
      <c r="AL1134" s="132">
        <v>42481</v>
      </c>
      <c r="AM1134" s="131" t="s">
        <v>49</v>
      </c>
      <c r="AN1134" s="136" t="s">
        <v>4440</v>
      </c>
    </row>
    <row r="1135" spans="1:40" s="129" customFormat="1" x14ac:dyDescent="0.25">
      <c r="A1135" s="136">
        <v>1134</v>
      </c>
      <c r="B1135" s="130" t="s">
        <v>4428</v>
      </c>
      <c r="C1135" s="130" t="s">
        <v>38</v>
      </c>
      <c r="D1135" s="162">
        <v>9103651091</v>
      </c>
      <c r="E1135" s="132">
        <v>42453</v>
      </c>
      <c r="F1135" s="132" t="s">
        <v>7689</v>
      </c>
      <c r="G1135" s="132" t="s">
        <v>2902</v>
      </c>
      <c r="H1135" s="130" t="s">
        <v>5712</v>
      </c>
      <c r="I1135" s="132" t="s">
        <v>40</v>
      </c>
      <c r="J1135" s="131" t="s">
        <v>4432</v>
      </c>
      <c r="K1135" s="132" t="s">
        <v>4433</v>
      </c>
      <c r="L1135" s="136">
        <v>6543596</v>
      </c>
      <c r="M1135" s="132">
        <v>42447</v>
      </c>
      <c r="N1135" s="136" t="s">
        <v>7824</v>
      </c>
      <c r="O1135" s="130" t="s">
        <v>4436</v>
      </c>
      <c r="P1135" s="136" t="s">
        <v>59</v>
      </c>
      <c r="Q1135" s="130">
        <v>29051700</v>
      </c>
      <c r="R1135" s="136">
        <v>16</v>
      </c>
      <c r="S1135" s="130" t="s">
        <v>70</v>
      </c>
      <c r="T1135" s="136" t="s">
        <v>52</v>
      </c>
      <c r="U1135" s="136" t="s">
        <v>53</v>
      </c>
      <c r="V1135" s="136">
        <v>1410</v>
      </c>
      <c r="W1135" s="133">
        <f t="shared" si="52"/>
        <v>22560</v>
      </c>
      <c r="X1135" s="136">
        <v>0</v>
      </c>
      <c r="Y1135" s="136">
        <v>1600</v>
      </c>
      <c r="Z1135" s="136">
        <v>0</v>
      </c>
      <c r="AA1135" s="136">
        <v>320</v>
      </c>
      <c r="AB1135" s="131">
        <v>42448</v>
      </c>
      <c r="AC1135" s="134">
        <f t="shared" si="53"/>
        <v>20960</v>
      </c>
      <c r="AD1135" s="135">
        <v>66.400000000000006</v>
      </c>
      <c r="AE1135" s="136">
        <f t="shared" si="54"/>
        <v>1497984.0000000002</v>
      </c>
      <c r="AF1135" s="137">
        <v>1391744</v>
      </c>
      <c r="AG1135" s="138">
        <v>66.400000000000006</v>
      </c>
      <c r="AH1135" s="136" t="s">
        <v>7825</v>
      </c>
      <c r="AI1135" s="136">
        <v>22527.5</v>
      </c>
      <c r="AJ1135" s="132">
        <v>42497</v>
      </c>
      <c r="AK1135" s="136" t="s">
        <v>7826</v>
      </c>
      <c r="AL1135" s="132">
        <v>42509</v>
      </c>
      <c r="AM1135" s="131" t="s">
        <v>49</v>
      </c>
      <c r="AN1135" s="133" t="s">
        <v>4440</v>
      </c>
    </row>
    <row r="1136" spans="1:40" s="129" customFormat="1" x14ac:dyDescent="0.25">
      <c r="A1136" s="130">
        <v>1135</v>
      </c>
      <c r="B1136" s="130" t="s">
        <v>4428</v>
      </c>
      <c r="C1136" s="130" t="s">
        <v>38</v>
      </c>
      <c r="D1136" s="162">
        <v>9103651092</v>
      </c>
      <c r="E1136" s="132">
        <v>42450</v>
      </c>
      <c r="F1136" s="132" t="s">
        <v>7689</v>
      </c>
      <c r="G1136" s="132" t="s">
        <v>2904</v>
      </c>
      <c r="H1136" s="130" t="s">
        <v>4456</v>
      </c>
      <c r="I1136" s="132" t="s">
        <v>40</v>
      </c>
      <c r="J1136" s="131" t="s">
        <v>4432</v>
      </c>
      <c r="K1136" s="132" t="s">
        <v>4433</v>
      </c>
      <c r="L1136" s="136">
        <v>6543595</v>
      </c>
      <c r="M1136" s="132">
        <v>42447</v>
      </c>
      <c r="N1136" s="136" t="s">
        <v>4527</v>
      </c>
      <c r="O1136" s="130" t="s">
        <v>4436</v>
      </c>
      <c r="P1136" s="136" t="s">
        <v>59</v>
      </c>
      <c r="Q1136" s="130">
        <v>38237090</v>
      </c>
      <c r="R1136" s="136">
        <v>73.22</v>
      </c>
      <c r="S1136" s="130" t="s">
        <v>70</v>
      </c>
      <c r="T1136" s="136" t="s">
        <v>52</v>
      </c>
      <c r="U1136" s="136" t="s">
        <v>4528</v>
      </c>
      <c r="V1136" s="136">
        <v>955</v>
      </c>
      <c r="W1136" s="133">
        <f t="shared" si="52"/>
        <v>69925.100000000006</v>
      </c>
      <c r="X1136" s="136">
        <v>0</v>
      </c>
      <c r="Y1136" s="136">
        <v>1968.73</v>
      </c>
      <c r="Z1136" s="136">
        <v>0</v>
      </c>
      <c r="AA1136" s="136">
        <v>0</v>
      </c>
      <c r="AB1136" s="131">
        <v>42448</v>
      </c>
      <c r="AC1136" s="134">
        <f t="shared" si="53"/>
        <v>67956.36994609164</v>
      </c>
      <c r="AD1136" s="135">
        <v>74.2</v>
      </c>
      <c r="AE1136" s="136">
        <f t="shared" si="54"/>
        <v>5188442.4200000009</v>
      </c>
      <c r="AF1136" s="130">
        <v>5042362.6500000004</v>
      </c>
      <c r="AG1136" s="138">
        <v>74.2</v>
      </c>
      <c r="AH1136" s="136" t="s">
        <v>7827</v>
      </c>
      <c r="AI1136" s="136">
        <v>69925.100000000006</v>
      </c>
      <c r="AJ1136" s="132">
        <v>42513</v>
      </c>
      <c r="AK1136" s="136" t="s">
        <v>7828</v>
      </c>
      <c r="AL1136" s="132">
        <v>42513</v>
      </c>
      <c r="AM1136" s="131" t="s">
        <v>49</v>
      </c>
      <c r="AN1136" s="136" t="s">
        <v>4440</v>
      </c>
    </row>
    <row r="1137" spans="1:40" s="129" customFormat="1" x14ac:dyDescent="0.25">
      <c r="A1137" s="136">
        <v>1136</v>
      </c>
      <c r="B1137" s="130" t="s">
        <v>4428</v>
      </c>
      <c r="C1137" s="130" t="s">
        <v>38</v>
      </c>
      <c r="D1137" s="162">
        <v>9103651093</v>
      </c>
      <c r="E1137" s="132">
        <v>42454</v>
      </c>
      <c r="F1137" s="132" t="s">
        <v>7689</v>
      </c>
      <c r="G1137" s="132" t="s">
        <v>2908</v>
      </c>
      <c r="H1137" s="130" t="s">
        <v>5718</v>
      </c>
      <c r="I1137" s="132" t="s">
        <v>40</v>
      </c>
      <c r="J1137" s="131" t="s">
        <v>4432</v>
      </c>
      <c r="K1137" s="132" t="s">
        <v>4433</v>
      </c>
      <c r="L1137" s="136">
        <v>6548684</v>
      </c>
      <c r="M1137" s="132">
        <v>42447</v>
      </c>
      <c r="N1137" s="136" t="s">
        <v>4858</v>
      </c>
      <c r="O1137" s="130" t="s">
        <v>4436</v>
      </c>
      <c r="P1137" s="136" t="s">
        <v>54</v>
      </c>
      <c r="Q1137" s="130">
        <v>38237090</v>
      </c>
      <c r="R1137" s="136">
        <v>24</v>
      </c>
      <c r="S1137" s="130" t="s">
        <v>70</v>
      </c>
      <c r="T1137" s="136" t="s">
        <v>44</v>
      </c>
      <c r="U1137" s="136" t="s">
        <v>53</v>
      </c>
      <c r="V1137" s="136">
        <v>3700</v>
      </c>
      <c r="W1137" s="133">
        <f t="shared" si="52"/>
        <v>88800</v>
      </c>
      <c r="X1137" s="136"/>
      <c r="Y1137" s="136"/>
      <c r="Z1137" s="136"/>
      <c r="AA1137" s="136"/>
      <c r="AB1137" s="131"/>
      <c r="AC1137" s="134">
        <f t="shared" si="53"/>
        <v>88640.7</v>
      </c>
      <c r="AD1137" s="135">
        <v>66.400000000000006</v>
      </c>
      <c r="AE1137" s="136">
        <f t="shared" si="54"/>
        <v>5896320.0000000009</v>
      </c>
      <c r="AF1137" s="137">
        <v>5885742.4800000004</v>
      </c>
      <c r="AG1137" s="138">
        <v>66.400000000000006</v>
      </c>
      <c r="AH1137" s="136" t="s">
        <v>7829</v>
      </c>
      <c r="AI1137" s="136">
        <v>88800</v>
      </c>
      <c r="AJ1137" s="132">
        <v>0</v>
      </c>
      <c r="AK1137" s="136" t="s">
        <v>7830</v>
      </c>
      <c r="AL1137" s="132">
        <v>42548</v>
      </c>
      <c r="AM1137" s="131" t="s">
        <v>49</v>
      </c>
      <c r="AN1137" s="133" t="s">
        <v>4440</v>
      </c>
    </row>
    <row r="1138" spans="1:40" s="129" customFormat="1" x14ac:dyDescent="0.25">
      <c r="A1138" s="130">
        <v>1137</v>
      </c>
      <c r="B1138" s="130" t="s">
        <v>4428</v>
      </c>
      <c r="C1138" s="130" t="s">
        <v>38</v>
      </c>
      <c r="D1138" s="162">
        <v>9103651094</v>
      </c>
      <c r="E1138" s="132">
        <v>42450</v>
      </c>
      <c r="F1138" s="132" t="s">
        <v>7689</v>
      </c>
      <c r="G1138" s="132" t="s">
        <v>2900</v>
      </c>
      <c r="H1138" s="130" t="s">
        <v>4456</v>
      </c>
      <c r="I1138" s="132" t="s">
        <v>40</v>
      </c>
      <c r="J1138" s="131" t="s">
        <v>4432</v>
      </c>
      <c r="K1138" s="132" t="s">
        <v>4433</v>
      </c>
      <c r="L1138" s="136">
        <v>6521723</v>
      </c>
      <c r="M1138" s="132">
        <v>42446</v>
      </c>
      <c r="N1138" s="136" t="s">
        <v>4527</v>
      </c>
      <c r="O1138" s="130" t="s">
        <v>4436</v>
      </c>
      <c r="P1138" s="136" t="s">
        <v>59</v>
      </c>
      <c r="Q1138" s="130">
        <v>38237090</v>
      </c>
      <c r="R1138" s="136">
        <v>37.19</v>
      </c>
      <c r="S1138" s="130" t="s">
        <v>70</v>
      </c>
      <c r="T1138" s="136" t="s">
        <v>52</v>
      </c>
      <c r="U1138" s="136" t="s">
        <v>4528</v>
      </c>
      <c r="V1138" s="136">
        <v>890</v>
      </c>
      <c r="W1138" s="133">
        <f t="shared" si="52"/>
        <v>33099.1</v>
      </c>
      <c r="X1138" s="136">
        <v>0</v>
      </c>
      <c r="Y1138" s="136">
        <v>1018.6</v>
      </c>
      <c r="Z1138" s="136">
        <v>0</v>
      </c>
      <c r="AA1138" s="136">
        <v>0</v>
      </c>
      <c r="AB1138" s="131">
        <v>42447</v>
      </c>
      <c r="AC1138" s="134">
        <f t="shared" si="53"/>
        <v>32080.5</v>
      </c>
      <c r="AD1138" s="135">
        <v>72.3</v>
      </c>
      <c r="AE1138" s="136">
        <f t="shared" si="54"/>
        <v>2393064.9299999997</v>
      </c>
      <c r="AF1138" s="130">
        <v>2319420.15</v>
      </c>
      <c r="AG1138" s="138">
        <v>74.2</v>
      </c>
      <c r="AH1138" s="136" t="s">
        <v>7831</v>
      </c>
      <c r="AI1138" s="136">
        <v>33099.1</v>
      </c>
      <c r="AJ1138" s="132">
        <v>42513</v>
      </c>
      <c r="AK1138" s="136" t="s">
        <v>7832</v>
      </c>
      <c r="AL1138" s="132">
        <v>42513</v>
      </c>
      <c r="AM1138" s="131" t="s">
        <v>49</v>
      </c>
      <c r="AN1138" s="136" t="s">
        <v>4440</v>
      </c>
    </row>
    <row r="1139" spans="1:40" s="129" customFormat="1" x14ac:dyDescent="0.25">
      <c r="A1139" s="136">
        <v>1138</v>
      </c>
      <c r="B1139" s="130" t="s">
        <v>4428</v>
      </c>
      <c r="C1139" s="130" t="s">
        <v>38</v>
      </c>
      <c r="D1139" s="162">
        <v>9103651095</v>
      </c>
      <c r="E1139" s="132">
        <v>42450</v>
      </c>
      <c r="F1139" s="132" t="s">
        <v>7689</v>
      </c>
      <c r="G1139" s="132" t="s">
        <v>2903</v>
      </c>
      <c r="H1139" s="130" t="s">
        <v>4456</v>
      </c>
      <c r="I1139" s="132" t="s">
        <v>40</v>
      </c>
      <c r="J1139" s="131" t="s">
        <v>4432</v>
      </c>
      <c r="K1139" s="132" t="s">
        <v>4433</v>
      </c>
      <c r="L1139" s="136">
        <v>6543585</v>
      </c>
      <c r="M1139" s="132">
        <v>42447</v>
      </c>
      <c r="N1139" s="136" t="s">
        <v>4527</v>
      </c>
      <c r="O1139" s="130" t="s">
        <v>4436</v>
      </c>
      <c r="P1139" s="136" t="s">
        <v>59</v>
      </c>
      <c r="Q1139" s="130">
        <v>38237090</v>
      </c>
      <c r="R1139" s="136">
        <v>55.95</v>
      </c>
      <c r="S1139" s="130" t="s">
        <v>70</v>
      </c>
      <c r="T1139" s="136" t="s">
        <v>52</v>
      </c>
      <c r="U1139" s="136" t="s">
        <v>4528</v>
      </c>
      <c r="V1139" s="136">
        <v>890</v>
      </c>
      <c r="W1139" s="133">
        <f t="shared" si="52"/>
        <v>49795.5</v>
      </c>
      <c r="X1139" s="136">
        <v>0</v>
      </c>
      <c r="Y1139" s="136">
        <v>1476.55</v>
      </c>
      <c r="Z1139" s="136">
        <v>0</v>
      </c>
      <c r="AA1139" s="136">
        <v>0</v>
      </c>
      <c r="AB1139" s="131">
        <v>42448</v>
      </c>
      <c r="AC1139" s="134">
        <f t="shared" si="53"/>
        <v>48318.95</v>
      </c>
      <c r="AD1139" s="135">
        <v>74.2</v>
      </c>
      <c r="AE1139" s="136">
        <f t="shared" si="54"/>
        <v>3694826.1</v>
      </c>
      <c r="AF1139" s="130">
        <v>3585266.09</v>
      </c>
      <c r="AG1139" s="138">
        <v>74.2</v>
      </c>
      <c r="AH1139" s="136" t="s">
        <v>7831</v>
      </c>
      <c r="AI1139" s="136">
        <v>49795.5</v>
      </c>
      <c r="AJ1139" s="132">
        <v>42513</v>
      </c>
      <c r="AK1139" s="136" t="s">
        <v>7833</v>
      </c>
      <c r="AL1139" s="132">
        <v>42513</v>
      </c>
      <c r="AM1139" s="131" t="s">
        <v>49</v>
      </c>
      <c r="AN1139" s="136" t="s">
        <v>4440</v>
      </c>
    </row>
    <row r="1140" spans="1:40" s="129" customFormat="1" x14ac:dyDescent="0.25">
      <c r="A1140" s="130">
        <v>1139</v>
      </c>
      <c r="B1140" s="130" t="s">
        <v>4428</v>
      </c>
      <c r="C1140" s="130" t="s">
        <v>38</v>
      </c>
      <c r="D1140" s="162">
        <v>9103651096</v>
      </c>
      <c r="E1140" s="132">
        <v>42454</v>
      </c>
      <c r="F1140" s="132" t="s">
        <v>7689</v>
      </c>
      <c r="G1140" s="132" t="s">
        <v>4356</v>
      </c>
      <c r="H1140" s="130" t="s">
        <v>5712</v>
      </c>
      <c r="I1140" s="132" t="s">
        <v>40</v>
      </c>
      <c r="J1140" s="131" t="s">
        <v>4432</v>
      </c>
      <c r="K1140" s="132" t="s">
        <v>4433</v>
      </c>
      <c r="L1140" s="136">
        <v>6548688</v>
      </c>
      <c r="M1140" s="132">
        <v>42447</v>
      </c>
      <c r="N1140" s="136" t="s">
        <v>7834</v>
      </c>
      <c r="O1140" s="130" t="s">
        <v>4436</v>
      </c>
      <c r="P1140" s="136" t="s">
        <v>7835</v>
      </c>
      <c r="Q1140" s="130">
        <v>29161990</v>
      </c>
      <c r="R1140" s="136">
        <v>58.79</v>
      </c>
      <c r="S1140" s="130" t="s">
        <v>70</v>
      </c>
      <c r="T1140" s="136" t="s">
        <v>44</v>
      </c>
      <c r="U1140" s="136" t="s">
        <v>53</v>
      </c>
      <c r="V1140" s="136">
        <v>2812</v>
      </c>
      <c r="W1140" s="133">
        <f t="shared" si="52"/>
        <v>165317.48000000001</v>
      </c>
      <c r="X1140" s="136"/>
      <c r="Y1140" s="136"/>
      <c r="Z1140" s="136"/>
      <c r="AA1140" s="136"/>
      <c r="AB1140" s="131"/>
      <c r="AC1140" s="134">
        <f t="shared" si="53"/>
        <v>165112.92996987951</v>
      </c>
      <c r="AD1140" s="135">
        <v>66.400000000000006</v>
      </c>
      <c r="AE1140" s="136">
        <f t="shared" si="54"/>
        <v>10977080.672000002</v>
      </c>
      <c r="AF1140" s="137">
        <v>10963498.550000001</v>
      </c>
      <c r="AG1140" s="138">
        <v>66.400000000000006</v>
      </c>
      <c r="AH1140" s="136" t="s">
        <v>7836</v>
      </c>
      <c r="AI1140" s="136">
        <v>164997.48000000001</v>
      </c>
      <c r="AJ1140" s="132">
        <v>42492</v>
      </c>
      <c r="AK1140" s="136" t="s">
        <v>7837</v>
      </c>
      <c r="AL1140" s="132">
        <v>42493</v>
      </c>
      <c r="AM1140" s="131" t="s">
        <v>49</v>
      </c>
      <c r="AN1140" s="136" t="s">
        <v>4440</v>
      </c>
    </row>
    <row r="1141" spans="1:40" s="129" customFormat="1" x14ac:dyDescent="0.25">
      <c r="A1141" s="136">
        <v>1140</v>
      </c>
      <c r="B1141" s="130" t="s">
        <v>4428</v>
      </c>
      <c r="C1141" s="130" t="s">
        <v>38</v>
      </c>
      <c r="D1141" s="162">
        <v>9103651097</v>
      </c>
      <c r="E1141" s="132">
        <v>42454</v>
      </c>
      <c r="F1141" s="132" t="s">
        <v>7689</v>
      </c>
      <c r="G1141" s="132" t="s">
        <v>2906</v>
      </c>
      <c r="H1141" s="130" t="s">
        <v>5712</v>
      </c>
      <c r="I1141" s="132" t="s">
        <v>40</v>
      </c>
      <c r="J1141" s="131" t="s">
        <v>4432</v>
      </c>
      <c r="K1141" s="132" t="s">
        <v>4433</v>
      </c>
      <c r="L1141" s="136">
        <v>6566677</v>
      </c>
      <c r="M1141" s="132">
        <v>42448</v>
      </c>
      <c r="N1141" s="136" t="s">
        <v>7838</v>
      </c>
      <c r="O1141" s="130" t="s">
        <v>4436</v>
      </c>
      <c r="P1141" s="136" t="s">
        <v>1756</v>
      </c>
      <c r="Q1141" s="130">
        <v>29051700</v>
      </c>
      <c r="R1141" s="136">
        <v>16</v>
      </c>
      <c r="S1141" s="130" t="s">
        <v>70</v>
      </c>
      <c r="T1141" s="136" t="s">
        <v>52</v>
      </c>
      <c r="U1141" s="136" t="s">
        <v>53</v>
      </c>
      <c r="V1141" s="136">
        <v>1287</v>
      </c>
      <c r="W1141" s="133">
        <f t="shared" si="52"/>
        <v>20592</v>
      </c>
      <c r="X1141" s="136">
        <v>0</v>
      </c>
      <c r="Y1141" s="136"/>
      <c r="Z1141" s="136">
        <v>0</v>
      </c>
      <c r="AA1141" s="136">
        <v>0</v>
      </c>
      <c r="AB1141" s="131"/>
      <c r="AC1141" s="134">
        <f t="shared" si="53"/>
        <v>19942</v>
      </c>
      <c r="AD1141" s="135">
        <v>66.400000000000006</v>
      </c>
      <c r="AE1141" s="136">
        <f t="shared" si="54"/>
        <v>1367308.8</v>
      </c>
      <c r="AF1141" s="137">
        <v>1324148.8</v>
      </c>
      <c r="AG1141" s="138">
        <v>66.400000000000006</v>
      </c>
      <c r="AH1141" s="136" t="s">
        <v>7839</v>
      </c>
      <c r="AI1141" s="136">
        <v>20573.400000000001</v>
      </c>
      <c r="AJ1141" s="132">
        <v>42496</v>
      </c>
      <c r="AK1141" s="136" t="s">
        <v>7840</v>
      </c>
      <c r="AL1141" s="132">
        <v>42497</v>
      </c>
      <c r="AM1141" s="131" t="s">
        <v>49</v>
      </c>
      <c r="AN1141" s="136" t="s">
        <v>4440</v>
      </c>
    </row>
    <row r="1142" spans="1:40" s="129" customFormat="1" x14ac:dyDescent="0.25">
      <c r="A1142" s="130">
        <v>1141</v>
      </c>
      <c r="B1142" s="130" t="s">
        <v>4428</v>
      </c>
      <c r="C1142" s="130" t="s">
        <v>38</v>
      </c>
      <c r="D1142" s="162">
        <v>9103651098</v>
      </c>
      <c r="E1142" s="132">
        <v>42452</v>
      </c>
      <c r="F1142" s="132" t="s">
        <v>7689</v>
      </c>
      <c r="G1142" s="132" t="s">
        <v>2907</v>
      </c>
      <c r="H1142" s="130" t="s">
        <v>4446</v>
      </c>
      <c r="I1142" s="132" t="s">
        <v>40</v>
      </c>
      <c r="J1142" s="131" t="s">
        <v>4432</v>
      </c>
      <c r="K1142" s="132" t="s">
        <v>4433</v>
      </c>
      <c r="L1142" s="136">
        <v>6566692</v>
      </c>
      <c r="M1142" s="132">
        <v>42448</v>
      </c>
      <c r="N1142" s="136" t="s">
        <v>4532</v>
      </c>
      <c r="O1142" s="130" t="s">
        <v>4436</v>
      </c>
      <c r="P1142" s="136" t="s">
        <v>690</v>
      </c>
      <c r="Q1142" s="130">
        <v>38237090</v>
      </c>
      <c r="R1142" s="136">
        <v>16</v>
      </c>
      <c r="S1142" s="130" t="s">
        <v>70</v>
      </c>
      <c r="T1142" s="136" t="s">
        <v>44</v>
      </c>
      <c r="U1142" s="136" t="s">
        <v>53</v>
      </c>
      <c r="V1142" s="136">
        <v>1200</v>
      </c>
      <c r="W1142" s="133">
        <f t="shared" si="52"/>
        <v>19200</v>
      </c>
      <c r="X1142" s="136">
        <v>6.34</v>
      </c>
      <c r="Y1142" s="136">
        <v>450</v>
      </c>
      <c r="Z1142" s="136">
        <v>0</v>
      </c>
      <c r="AA1142" s="136">
        <v>0</v>
      </c>
      <c r="AB1142" s="131">
        <v>42450</v>
      </c>
      <c r="AC1142" s="134">
        <f t="shared" si="53"/>
        <v>18743.659939759036</v>
      </c>
      <c r="AD1142" s="135">
        <v>66.400000000000006</v>
      </c>
      <c r="AE1142" s="136">
        <f t="shared" si="54"/>
        <v>1274880</v>
      </c>
      <c r="AF1142" s="137">
        <v>1244579.02</v>
      </c>
      <c r="AG1142" s="138">
        <v>66.400000000000006</v>
      </c>
      <c r="AH1142" s="136" t="s">
        <v>7841</v>
      </c>
      <c r="AI1142" s="136">
        <v>19200</v>
      </c>
      <c r="AJ1142" s="132">
        <v>42627</v>
      </c>
      <c r="AK1142" s="136" t="s">
        <v>7842</v>
      </c>
      <c r="AL1142" s="132">
        <v>42628</v>
      </c>
      <c r="AM1142" s="131" t="s">
        <v>49</v>
      </c>
      <c r="AN1142" s="136" t="s">
        <v>4440</v>
      </c>
    </row>
    <row r="1143" spans="1:40" s="129" customFormat="1" x14ac:dyDescent="0.25">
      <c r="A1143" s="136">
        <v>1142</v>
      </c>
      <c r="B1143" s="130" t="s">
        <v>4428</v>
      </c>
      <c r="C1143" s="130" t="s">
        <v>38</v>
      </c>
      <c r="D1143" s="162">
        <v>9103651099</v>
      </c>
      <c r="E1143" s="132">
        <v>42453</v>
      </c>
      <c r="F1143" s="132" t="s">
        <v>7689</v>
      </c>
      <c r="G1143" s="132" t="s">
        <v>2910</v>
      </c>
      <c r="H1143" s="130" t="s">
        <v>4446</v>
      </c>
      <c r="I1143" s="132" t="s">
        <v>40</v>
      </c>
      <c r="J1143" s="131" t="s">
        <v>4432</v>
      </c>
      <c r="K1143" s="132" t="s">
        <v>4433</v>
      </c>
      <c r="L1143" s="136">
        <v>6566679</v>
      </c>
      <c r="M1143" s="132">
        <v>42448</v>
      </c>
      <c r="N1143" s="136" t="s">
        <v>4532</v>
      </c>
      <c r="O1143" s="130" t="s">
        <v>4436</v>
      </c>
      <c r="P1143" s="136" t="s">
        <v>690</v>
      </c>
      <c r="Q1143" s="130" t="s">
        <v>4645</v>
      </c>
      <c r="R1143" s="136">
        <v>16</v>
      </c>
      <c r="S1143" s="130" t="s">
        <v>70</v>
      </c>
      <c r="T1143" s="136" t="s">
        <v>44</v>
      </c>
      <c r="U1143" s="136" t="s">
        <v>53</v>
      </c>
      <c r="V1143" s="136">
        <v>0</v>
      </c>
      <c r="W1143" s="133">
        <f>(8*1275+8*1240)</f>
        <v>20120</v>
      </c>
      <c r="X1143" s="136">
        <v>6.64</v>
      </c>
      <c r="Y1143" s="136">
        <v>450</v>
      </c>
      <c r="Z1143" s="136">
        <v>0</v>
      </c>
      <c r="AA1143" s="136">
        <v>0</v>
      </c>
      <c r="AB1143" s="131">
        <v>42450</v>
      </c>
      <c r="AC1143" s="134">
        <f t="shared" si="53"/>
        <v>19663.359939759037</v>
      </c>
      <c r="AD1143" s="135">
        <v>66.400000000000006</v>
      </c>
      <c r="AE1143" s="136">
        <f t="shared" si="54"/>
        <v>1335968</v>
      </c>
      <c r="AF1143" s="137">
        <v>1305647.1000000001</v>
      </c>
      <c r="AG1143" s="138">
        <v>66.400000000000006</v>
      </c>
      <c r="AH1143" s="136" t="s">
        <v>7843</v>
      </c>
      <c r="AI1143" s="136">
        <v>20120</v>
      </c>
      <c r="AJ1143" s="132">
        <v>42627</v>
      </c>
      <c r="AK1143" s="136" t="s">
        <v>7844</v>
      </c>
      <c r="AL1143" s="132">
        <v>42628</v>
      </c>
      <c r="AM1143" s="131" t="s">
        <v>49</v>
      </c>
      <c r="AN1143" s="136" t="s">
        <v>4440</v>
      </c>
    </row>
    <row r="1144" spans="1:40" s="129" customFormat="1" x14ac:dyDescent="0.25">
      <c r="A1144" s="130">
        <v>1143</v>
      </c>
      <c r="B1144" s="130" t="s">
        <v>4428</v>
      </c>
      <c r="C1144" s="130" t="s">
        <v>38</v>
      </c>
      <c r="D1144" s="162">
        <v>9103651100</v>
      </c>
      <c r="E1144" s="132">
        <v>42456</v>
      </c>
      <c r="F1144" s="132" t="s">
        <v>7689</v>
      </c>
      <c r="G1144" s="132" t="s">
        <v>2912</v>
      </c>
      <c r="H1144" s="130" t="s">
        <v>4491</v>
      </c>
      <c r="I1144" s="132" t="s">
        <v>40</v>
      </c>
      <c r="J1144" s="131" t="s">
        <v>4432</v>
      </c>
      <c r="K1144" s="132" t="s">
        <v>4433</v>
      </c>
      <c r="L1144" s="136">
        <v>6594171</v>
      </c>
      <c r="M1144" s="132">
        <v>42450</v>
      </c>
      <c r="N1144" s="136" t="s">
        <v>3741</v>
      </c>
      <c r="O1144" s="130" t="s">
        <v>4436</v>
      </c>
      <c r="P1144" s="136" t="s">
        <v>4492</v>
      </c>
      <c r="Q1144" s="130">
        <v>29051700</v>
      </c>
      <c r="R1144" s="136">
        <v>39.46</v>
      </c>
      <c r="S1144" s="130" t="s">
        <v>70</v>
      </c>
      <c r="T1144" s="136" t="s">
        <v>44</v>
      </c>
      <c r="U1144" s="136" t="s">
        <v>53</v>
      </c>
      <c r="V1144" s="136">
        <v>1292</v>
      </c>
      <c r="W1144" s="133">
        <f t="shared" si="52"/>
        <v>50982.32</v>
      </c>
      <c r="X1144" s="136">
        <v>16.82</v>
      </c>
      <c r="Y1144" s="136">
        <v>4700</v>
      </c>
      <c r="Z1144" s="136">
        <v>0</v>
      </c>
      <c r="AA1144" s="136">
        <v>0</v>
      </c>
      <c r="AB1144" s="131">
        <v>42452</v>
      </c>
      <c r="AC1144" s="134">
        <f t="shared" si="53"/>
        <v>46265.5</v>
      </c>
      <c r="AD1144" s="135">
        <v>66.400000000000006</v>
      </c>
      <c r="AE1144" s="136">
        <f t="shared" si="54"/>
        <v>3385226.0480000004</v>
      </c>
      <c r="AF1144" s="137">
        <v>3072029.2</v>
      </c>
      <c r="AG1144" s="138">
        <v>66.400000000000006</v>
      </c>
      <c r="AH1144" s="136" t="s">
        <v>7845</v>
      </c>
      <c r="AI1144" s="136">
        <v>50982.32</v>
      </c>
      <c r="AJ1144" s="132">
        <v>42482</v>
      </c>
      <c r="AK1144" s="136" t="s">
        <v>7846</v>
      </c>
      <c r="AL1144" s="132">
        <v>42485</v>
      </c>
      <c r="AM1144" s="131" t="s">
        <v>49</v>
      </c>
      <c r="AN1144" s="136" t="s">
        <v>4440</v>
      </c>
    </row>
    <row r="1145" spans="1:40" s="129" customFormat="1" x14ac:dyDescent="0.25">
      <c r="A1145" s="136">
        <v>1144</v>
      </c>
      <c r="B1145" s="130" t="s">
        <v>4428</v>
      </c>
      <c r="C1145" s="130" t="s">
        <v>38</v>
      </c>
      <c r="D1145" s="162">
        <v>9103651101</v>
      </c>
      <c r="E1145" s="132">
        <v>42460</v>
      </c>
      <c r="F1145" s="132" t="s">
        <v>7689</v>
      </c>
      <c r="G1145" s="132" t="s">
        <v>7847</v>
      </c>
      <c r="H1145" s="130" t="s">
        <v>2649</v>
      </c>
      <c r="I1145" s="132" t="s">
        <v>40</v>
      </c>
      <c r="J1145" s="131" t="s">
        <v>4432</v>
      </c>
      <c r="K1145" s="132" t="s">
        <v>4433</v>
      </c>
      <c r="L1145" s="136">
        <v>6407914</v>
      </c>
      <c r="M1145" s="132">
        <v>42441</v>
      </c>
      <c r="N1145" s="136" t="s">
        <v>6858</v>
      </c>
      <c r="O1145" s="130" t="s">
        <v>4436</v>
      </c>
      <c r="P1145" s="136" t="s">
        <v>2958</v>
      </c>
      <c r="Q1145" s="130">
        <v>38237090</v>
      </c>
      <c r="R1145" s="136">
        <v>0.05</v>
      </c>
      <c r="S1145" s="130" t="s">
        <v>70</v>
      </c>
      <c r="T1145" s="136" t="s">
        <v>302</v>
      </c>
      <c r="U1145" s="136" t="s">
        <v>53</v>
      </c>
      <c r="V1145" s="136"/>
      <c r="W1145" s="133">
        <f t="shared" si="52"/>
        <v>0</v>
      </c>
      <c r="X1145" s="136"/>
      <c r="Y1145" s="136"/>
      <c r="Z1145" s="136"/>
      <c r="AA1145" s="136"/>
      <c r="AB1145" s="131">
        <v>42443</v>
      </c>
      <c r="AC1145" s="134">
        <f t="shared" si="53"/>
        <v>66.749962658700511</v>
      </c>
      <c r="AD1145" s="135">
        <v>66.95</v>
      </c>
      <c r="AE1145" s="136">
        <f t="shared" si="54"/>
        <v>0</v>
      </c>
      <c r="AF1145" s="130">
        <v>4468.91</v>
      </c>
      <c r="AG1145" s="138">
        <v>66.95</v>
      </c>
      <c r="AH1145" s="136">
        <v>0</v>
      </c>
      <c r="AI1145" s="136">
        <v>0</v>
      </c>
      <c r="AJ1145" s="132"/>
      <c r="AK1145" s="132" t="s">
        <v>7847</v>
      </c>
      <c r="AL1145" s="132"/>
      <c r="AM1145" s="132" t="s">
        <v>7847</v>
      </c>
      <c r="AN1145" s="132" t="s">
        <v>7847</v>
      </c>
    </row>
    <row r="1146" spans="1:40" s="129" customFormat="1" x14ac:dyDescent="0.25">
      <c r="A1146" s="130">
        <v>1145</v>
      </c>
      <c r="B1146" s="130" t="s">
        <v>4428</v>
      </c>
      <c r="C1146" s="130" t="s">
        <v>38</v>
      </c>
      <c r="D1146" s="162">
        <v>9103651102</v>
      </c>
      <c r="E1146" s="132">
        <v>42456</v>
      </c>
      <c r="F1146" s="132" t="s">
        <v>7689</v>
      </c>
      <c r="G1146" s="132" t="s">
        <v>2905</v>
      </c>
      <c r="H1146" s="130" t="s">
        <v>4446</v>
      </c>
      <c r="I1146" s="132" t="s">
        <v>40</v>
      </c>
      <c r="J1146" s="131" t="s">
        <v>4432</v>
      </c>
      <c r="K1146" s="132" t="s">
        <v>4433</v>
      </c>
      <c r="L1146" s="136">
        <v>6548674</v>
      </c>
      <c r="M1146" s="132">
        <v>42447</v>
      </c>
      <c r="N1146" s="136" t="s">
        <v>4452</v>
      </c>
      <c r="O1146" s="130" t="s">
        <v>4436</v>
      </c>
      <c r="P1146" s="136" t="s">
        <v>75</v>
      </c>
      <c r="Q1146" s="130">
        <v>29161990</v>
      </c>
      <c r="R1146" s="136">
        <v>14.4</v>
      </c>
      <c r="S1146" s="130" t="s">
        <v>70</v>
      </c>
      <c r="T1146" s="136" t="s">
        <v>52</v>
      </c>
      <c r="U1146" s="136" t="s">
        <v>53</v>
      </c>
      <c r="V1146" s="136">
        <v>2980</v>
      </c>
      <c r="W1146" s="133">
        <f t="shared" si="52"/>
        <v>42912</v>
      </c>
      <c r="X1146" s="136">
        <v>0</v>
      </c>
      <c r="Y1146" s="136">
        <v>65</v>
      </c>
      <c r="Z1146" s="136">
        <v>0</v>
      </c>
      <c r="AA1146" s="136">
        <v>0</v>
      </c>
      <c r="AB1146" s="131">
        <v>42448</v>
      </c>
      <c r="AC1146" s="134">
        <f t="shared" si="53"/>
        <v>42846.999999999993</v>
      </c>
      <c r="AD1146" s="135">
        <v>66.400000000000006</v>
      </c>
      <c r="AE1146" s="136">
        <f t="shared" si="54"/>
        <v>2849356.8000000003</v>
      </c>
      <c r="AF1146" s="137">
        <v>2845040.8</v>
      </c>
      <c r="AG1146" s="138">
        <v>66.400000000000006</v>
      </c>
      <c r="AH1146" s="136" t="s">
        <v>7848</v>
      </c>
      <c r="AI1146" s="136">
        <v>42912</v>
      </c>
      <c r="AJ1146" s="132">
        <v>42488</v>
      </c>
      <c r="AK1146" s="136" t="s">
        <v>7849</v>
      </c>
      <c r="AL1146" s="132">
        <v>42489</v>
      </c>
      <c r="AM1146" s="131" t="s">
        <v>49</v>
      </c>
      <c r="AN1146" s="136" t="s">
        <v>4440</v>
      </c>
    </row>
    <row r="1147" spans="1:40" s="129" customFormat="1" x14ac:dyDescent="0.25">
      <c r="A1147" s="136">
        <v>1146</v>
      </c>
      <c r="B1147" s="130" t="s">
        <v>4428</v>
      </c>
      <c r="C1147" s="130" t="s">
        <v>38</v>
      </c>
      <c r="D1147" s="162">
        <v>9103651103</v>
      </c>
      <c r="E1147" s="132">
        <v>42454</v>
      </c>
      <c r="F1147" s="132" t="s">
        <v>7689</v>
      </c>
      <c r="G1147" s="132" t="s">
        <v>2914</v>
      </c>
      <c r="H1147" s="130" t="s">
        <v>5712</v>
      </c>
      <c r="I1147" s="132" t="s">
        <v>40</v>
      </c>
      <c r="J1147" s="131" t="s">
        <v>4432</v>
      </c>
      <c r="K1147" s="132" t="s">
        <v>4433</v>
      </c>
      <c r="L1147" s="136">
        <v>6611961</v>
      </c>
      <c r="M1147" s="132">
        <v>42451</v>
      </c>
      <c r="N1147" s="136" t="s">
        <v>4867</v>
      </c>
      <c r="O1147" s="130" t="s">
        <v>4436</v>
      </c>
      <c r="P1147" s="136" t="s">
        <v>90</v>
      </c>
      <c r="Q1147" s="130">
        <v>38231190</v>
      </c>
      <c r="R1147" s="136">
        <v>12</v>
      </c>
      <c r="S1147" s="130" t="s">
        <v>70</v>
      </c>
      <c r="T1147" s="136" t="s">
        <v>67</v>
      </c>
      <c r="U1147" s="136" t="s">
        <v>53</v>
      </c>
      <c r="V1147" s="136">
        <v>700</v>
      </c>
      <c r="W1147" s="133">
        <f t="shared" si="52"/>
        <v>8400</v>
      </c>
      <c r="X1147" s="136">
        <v>0</v>
      </c>
      <c r="Y1147" s="136">
        <v>0</v>
      </c>
      <c r="Z1147" s="136">
        <v>0</v>
      </c>
      <c r="AA1147" s="136">
        <v>0</v>
      </c>
      <c r="AB1147" s="131">
        <v>42452</v>
      </c>
      <c r="AC1147" s="134">
        <f t="shared" si="53"/>
        <v>8400</v>
      </c>
      <c r="AD1147" s="135">
        <v>66.400000000000006</v>
      </c>
      <c r="AE1147" s="136">
        <f t="shared" si="54"/>
        <v>557760</v>
      </c>
      <c r="AF1147" s="137">
        <v>557760</v>
      </c>
      <c r="AG1147" s="138">
        <v>66.400000000000006</v>
      </c>
      <c r="AH1147" s="136" t="s">
        <v>7850</v>
      </c>
      <c r="AI1147" s="136">
        <v>8379</v>
      </c>
      <c r="AJ1147" s="132">
        <v>42503</v>
      </c>
      <c r="AK1147" s="136" t="s">
        <v>7851</v>
      </c>
      <c r="AL1147" s="132">
        <v>42506</v>
      </c>
      <c r="AM1147" s="131" t="s">
        <v>49</v>
      </c>
      <c r="AN1147" s="133" t="s">
        <v>4440</v>
      </c>
    </row>
    <row r="1148" spans="1:40" s="129" customFormat="1" x14ac:dyDescent="0.25">
      <c r="A1148" s="130">
        <v>1147</v>
      </c>
      <c r="B1148" s="130" t="s">
        <v>4428</v>
      </c>
      <c r="C1148" s="130" t="s">
        <v>38</v>
      </c>
      <c r="D1148" s="162">
        <v>9103651104</v>
      </c>
      <c r="E1148" s="132">
        <v>42454</v>
      </c>
      <c r="F1148" s="132" t="s">
        <v>7689</v>
      </c>
      <c r="G1148" s="132" t="s">
        <v>2901</v>
      </c>
      <c r="H1148" s="130" t="s">
        <v>4456</v>
      </c>
      <c r="I1148" s="132" t="s">
        <v>40</v>
      </c>
      <c r="J1148" s="131" t="s">
        <v>4432</v>
      </c>
      <c r="K1148" s="132" t="s">
        <v>4433</v>
      </c>
      <c r="L1148" s="136">
        <v>6535365</v>
      </c>
      <c r="M1148" s="132">
        <v>42447</v>
      </c>
      <c r="N1148" s="136" t="s">
        <v>5009</v>
      </c>
      <c r="O1148" s="130" t="s">
        <v>4436</v>
      </c>
      <c r="P1148" s="136" t="s">
        <v>90</v>
      </c>
      <c r="Q1148" s="130" t="s">
        <v>6194</v>
      </c>
      <c r="R1148" s="136">
        <v>1.6749999999999998</v>
      </c>
      <c r="S1148" s="130" t="s">
        <v>70</v>
      </c>
      <c r="T1148" s="136" t="s">
        <v>44</v>
      </c>
      <c r="U1148" s="136" t="s">
        <v>53</v>
      </c>
      <c r="V1148" s="136">
        <v>0</v>
      </c>
      <c r="W1148" s="133">
        <f>(1.4*1560+0.075*1700+0.2*2000)</f>
        <v>2711.5</v>
      </c>
      <c r="X1148" s="136">
        <v>0.89</v>
      </c>
      <c r="Y1148" s="136">
        <v>50</v>
      </c>
      <c r="Z1148" s="136">
        <v>0</v>
      </c>
      <c r="AA1148" s="136">
        <v>0</v>
      </c>
      <c r="AB1148" s="131">
        <v>42447</v>
      </c>
      <c r="AC1148" s="134">
        <f t="shared" si="53"/>
        <v>2660.609939759036</v>
      </c>
      <c r="AD1148" s="135">
        <v>66.400000000000006</v>
      </c>
      <c r="AE1148" s="136">
        <f t="shared" si="54"/>
        <v>180043.6</v>
      </c>
      <c r="AF1148" s="137">
        <v>176664.5</v>
      </c>
      <c r="AG1148" s="138">
        <v>66.400000000000006</v>
      </c>
      <c r="AH1148" s="136" t="s">
        <v>7852</v>
      </c>
      <c r="AI1148" s="136">
        <v>2690.5</v>
      </c>
      <c r="AJ1148" s="132">
        <v>42487</v>
      </c>
      <c r="AK1148" s="136" t="s">
        <v>7853</v>
      </c>
      <c r="AL1148" s="132">
        <v>42488</v>
      </c>
      <c r="AM1148" s="131" t="s">
        <v>49</v>
      </c>
      <c r="AN1148" s="136" t="s">
        <v>4440</v>
      </c>
    </row>
    <row r="1149" spans="1:40" s="129" customFormat="1" x14ac:dyDescent="0.25">
      <c r="A1149" s="136">
        <v>1148</v>
      </c>
      <c r="B1149" s="130" t="s">
        <v>4428</v>
      </c>
      <c r="C1149" s="130" t="s">
        <v>38</v>
      </c>
      <c r="D1149" s="162">
        <v>9103651105</v>
      </c>
      <c r="E1149" s="132">
        <v>42458</v>
      </c>
      <c r="F1149" s="132" t="s">
        <v>7689</v>
      </c>
      <c r="G1149" s="132" t="s">
        <v>2911</v>
      </c>
      <c r="H1149" s="130" t="s">
        <v>4431</v>
      </c>
      <c r="I1149" s="132" t="s">
        <v>40</v>
      </c>
      <c r="J1149" s="131" t="s">
        <v>4432</v>
      </c>
      <c r="K1149" s="132" t="s">
        <v>4433</v>
      </c>
      <c r="L1149" s="136">
        <v>6583686</v>
      </c>
      <c r="M1149" s="132">
        <v>42450</v>
      </c>
      <c r="N1149" s="136" t="s">
        <v>4832</v>
      </c>
      <c r="O1149" s="130" t="s">
        <v>4436</v>
      </c>
      <c r="P1149" s="136" t="s">
        <v>6826</v>
      </c>
      <c r="Q1149" s="130">
        <v>29161990</v>
      </c>
      <c r="R1149" s="136">
        <v>43.2</v>
      </c>
      <c r="S1149" s="130" t="s">
        <v>70</v>
      </c>
      <c r="T1149" s="136" t="s">
        <v>44</v>
      </c>
      <c r="U1149" s="136" t="s">
        <v>53</v>
      </c>
      <c r="V1149" s="136">
        <v>2900</v>
      </c>
      <c r="W1149" s="133">
        <f t="shared" si="52"/>
        <v>125280.00000000001</v>
      </c>
      <c r="X1149" s="136">
        <v>41.34</v>
      </c>
      <c r="Y1149" s="136">
        <v>525</v>
      </c>
      <c r="Z1149" s="136">
        <v>0</v>
      </c>
      <c r="AA1149" s="136">
        <v>0</v>
      </c>
      <c r="AB1149" s="131">
        <v>42451</v>
      </c>
      <c r="AC1149" s="134">
        <f t="shared" si="53"/>
        <v>124713.65993975902</v>
      </c>
      <c r="AD1149" s="135">
        <v>66.400000000000006</v>
      </c>
      <c r="AE1149" s="136">
        <f t="shared" si="54"/>
        <v>8318592.0000000019</v>
      </c>
      <c r="AF1149" s="137">
        <v>8280987.0199999996</v>
      </c>
      <c r="AG1149" s="138">
        <v>66.400000000000006</v>
      </c>
      <c r="AH1149" s="136" t="s">
        <v>7854</v>
      </c>
      <c r="AI1149" s="136">
        <v>125280</v>
      </c>
      <c r="AJ1149" s="132">
        <v>42482</v>
      </c>
      <c r="AK1149" s="136" t="s">
        <v>7855</v>
      </c>
      <c r="AL1149" s="132">
        <v>42485</v>
      </c>
      <c r="AM1149" s="131" t="s">
        <v>49</v>
      </c>
      <c r="AN1149" s="136" t="s">
        <v>4440</v>
      </c>
    </row>
    <row r="1150" spans="1:40" s="129" customFormat="1" x14ac:dyDescent="0.25">
      <c r="A1150" s="130">
        <v>1149</v>
      </c>
      <c r="B1150" s="130" t="s">
        <v>4428</v>
      </c>
      <c r="C1150" s="130" t="s">
        <v>38</v>
      </c>
      <c r="D1150" s="162">
        <v>9103651106</v>
      </c>
      <c r="E1150" s="132">
        <v>42458</v>
      </c>
      <c r="F1150" s="132" t="s">
        <v>7689</v>
      </c>
      <c r="G1150" s="132" t="s">
        <v>2909</v>
      </c>
      <c r="H1150" s="130" t="s">
        <v>4431</v>
      </c>
      <c r="I1150" s="132" t="s">
        <v>40</v>
      </c>
      <c r="J1150" s="131" t="s">
        <v>4432</v>
      </c>
      <c r="K1150" s="132" t="s">
        <v>4433</v>
      </c>
      <c r="L1150" s="136">
        <v>6619296</v>
      </c>
      <c r="M1150" s="132">
        <v>42451</v>
      </c>
      <c r="N1150" s="136" t="s">
        <v>4832</v>
      </c>
      <c r="O1150" s="130" t="s">
        <v>4436</v>
      </c>
      <c r="P1150" s="136" t="s">
        <v>6826</v>
      </c>
      <c r="Q1150" s="130">
        <v>29161990</v>
      </c>
      <c r="R1150" s="136">
        <v>100.8</v>
      </c>
      <c r="S1150" s="130" t="s">
        <v>70</v>
      </c>
      <c r="T1150" s="136" t="s">
        <v>44</v>
      </c>
      <c r="U1150" s="136" t="s">
        <v>53</v>
      </c>
      <c r="V1150" s="136">
        <v>2900</v>
      </c>
      <c r="W1150" s="133">
        <f t="shared" ref="W1150:W1158" si="55">V1150*R1150</f>
        <v>292320</v>
      </c>
      <c r="X1150" s="136">
        <v>96.47</v>
      </c>
      <c r="Y1150" s="136">
        <v>1225</v>
      </c>
      <c r="Z1150" s="136">
        <v>0</v>
      </c>
      <c r="AA1150" s="136">
        <v>0</v>
      </c>
      <c r="AB1150" s="131">
        <v>42452</v>
      </c>
      <c r="AC1150" s="134">
        <f t="shared" si="53"/>
        <v>290998.52996987948</v>
      </c>
      <c r="AD1150" s="135">
        <v>66.400000000000006</v>
      </c>
      <c r="AE1150" s="136">
        <f t="shared" si="54"/>
        <v>19410048</v>
      </c>
      <c r="AF1150" s="137">
        <v>19322302.390000001</v>
      </c>
      <c r="AG1150" s="138">
        <v>66.400000000000006</v>
      </c>
      <c r="AH1150" s="136" t="s">
        <v>7854</v>
      </c>
      <c r="AI1150" s="136">
        <v>292320</v>
      </c>
      <c r="AJ1150" s="132">
        <v>42482</v>
      </c>
      <c r="AK1150" s="136" t="s">
        <v>7856</v>
      </c>
      <c r="AL1150" s="132">
        <v>42485</v>
      </c>
      <c r="AM1150" s="131" t="s">
        <v>49</v>
      </c>
      <c r="AN1150" s="136" t="s">
        <v>4440</v>
      </c>
    </row>
    <row r="1151" spans="1:40" s="129" customFormat="1" x14ac:dyDescent="0.25">
      <c r="A1151" s="136">
        <v>1150</v>
      </c>
      <c r="B1151" s="130" t="s">
        <v>4428</v>
      </c>
      <c r="C1151" s="130" t="s">
        <v>38</v>
      </c>
      <c r="D1151" s="162">
        <v>9103651107</v>
      </c>
      <c r="E1151" s="132">
        <v>42457</v>
      </c>
      <c r="F1151" s="132" t="s">
        <v>7689</v>
      </c>
      <c r="G1151" s="132" t="s">
        <v>2918</v>
      </c>
      <c r="H1151" s="130" t="s">
        <v>4491</v>
      </c>
      <c r="I1151" s="132" t="s">
        <v>40</v>
      </c>
      <c r="J1151" s="131" t="s">
        <v>4432</v>
      </c>
      <c r="K1151" s="132" t="s">
        <v>4433</v>
      </c>
      <c r="L1151" s="136">
        <v>6644913</v>
      </c>
      <c r="M1151" s="132">
        <v>42452</v>
      </c>
      <c r="N1151" s="136" t="s">
        <v>3741</v>
      </c>
      <c r="O1151" s="130" t="s">
        <v>4436</v>
      </c>
      <c r="P1151" s="136" t="s">
        <v>4492</v>
      </c>
      <c r="Q1151" s="130">
        <v>38237090</v>
      </c>
      <c r="R1151" s="136">
        <v>18.25</v>
      </c>
      <c r="S1151" s="130" t="s">
        <v>70</v>
      </c>
      <c r="T1151" s="136" t="s">
        <v>44</v>
      </c>
      <c r="U1151" s="136" t="s">
        <v>53</v>
      </c>
      <c r="V1151" s="136">
        <v>1394</v>
      </c>
      <c r="W1151" s="133">
        <f t="shared" si="55"/>
        <v>25440.5</v>
      </c>
      <c r="X1151" s="136">
        <v>8.4</v>
      </c>
      <c r="Y1151" s="136">
        <v>3400</v>
      </c>
      <c r="Z1151" s="136">
        <v>0</v>
      </c>
      <c r="AA1151" s="136">
        <v>0</v>
      </c>
      <c r="AB1151" s="131">
        <v>42454</v>
      </c>
      <c r="AC1151" s="134">
        <f t="shared" si="53"/>
        <v>22032.1</v>
      </c>
      <c r="AD1151" s="135">
        <v>66.400000000000006</v>
      </c>
      <c r="AE1151" s="136">
        <f t="shared" si="54"/>
        <v>1689249.2000000002</v>
      </c>
      <c r="AF1151" s="137">
        <v>1462931.44</v>
      </c>
      <c r="AG1151" s="138">
        <v>66.400000000000006</v>
      </c>
      <c r="AH1151" s="136" t="s">
        <v>7857</v>
      </c>
      <c r="AI1151" s="136">
        <v>25440.5</v>
      </c>
      <c r="AJ1151" s="132">
        <v>42482</v>
      </c>
      <c r="AK1151" s="136" t="s">
        <v>7858</v>
      </c>
      <c r="AL1151" s="132">
        <v>42485</v>
      </c>
      <c r="AM1151" s="131" t="s">
        <v>49</v>
      </c>
      <c r="AN1151" s="136" t="s">
        <v>4440</v>
      </c>
    </row>
    <row r="1152" spans="1:40" s="129" customFormat="1" x14ac:dyDescent="0.25">
      <c r="A1152" s="130">
        <v>1151</v>
      </c>
      <c r="B1152" s="130" t="s">
        <v>4428</v>
      </c>
      <c r="C1152" s="130" t="s">
        <v>38</v>
      </c>
      <c r="D1152" s="162">
        <v>9103651108</v>
      </c>
      <c r="E1152" s="132">
        <v>42458</v>
      </c>
      <c r="F1152" s="132" t="s">
        <v>7689</v>
      </c>
      <c r="G1152" s="132" t="s">
        <v>2919</v>
      </c>
      <c r="H1152" s="130" t="s">
        <v>5712</v>
      </c>
      <c r="I1152" s="132" t="s">
        <v>40</v>
      </c>
      <c r="J1152" s="131" t="s">
        <v>4432</v>
      </c>
      <c r="K1152" s="132" t="s">
        <v>4433</v>
      </c>
      <c r="L1152" s="136">
        <v>6649216</v>
      </c>
      <c r="M1152" s="132">
        <v>42452</v>
      </c>
      <c r="N1152" s="136" t="s">
        <v>7859</v>
      </c>
      <c r="O1152" s="130" t="s">
        <v>4436</v>
      </c>
      <c r="P1152" s="136" t="s">
        <v>361</v>
      </c>
      <c r="Q1152" s="130">
        <v>38237090</v>
      </c>
      <c r="R1152" s="136">
        <v>74.55</v>
      </c>
      <c r="S1152" s="130" t="s">
        <v>70</v>
      </c>
      <c r="T1152" s="136" t="s">
        <v>52</v>
      </c>
      <c r="U1152" s="136" t="s">
        <v>1117</v>
      </c>
      <c r="V1152" s="136">
        <v>79583</v>
      </c>
      <c r="W1152" s="133">
        <f t="shared" si="55"/>
        <v>5932912.6499999994</v>
      </c>
      <c r="X1152" s="136">
        <v>0</v>
      </c>
      <c r="Y1152" s="136">
        <v>171312</v>
      </c>
      <c r="Z1152" s="136">
        <v>0</v>
      </c>
      <c r="AA1152" s="136">
        <v>142763.25</v>
      </c>
      <c r="AB1152" s="131">
        <v>42458</v>
      </c>
      <c r="AC1152" s="134">
        <f t="shared" si="53"/>
        <v>5761600.6500000004</v>
      </c>
      <c r="AD1152" s="135">
        <v>1</v>
      </c>
      <c r="AE1152" s="136">
        <f t="shared" si="54"/>
        <v>5932912.6499999994</v>
      </c>
      <c r="AF1152" s="130">
        <v>5761600.6500000004</v>
      </c>
      <c r="AG1152" s="138">
        <v>1</v>
      </c>
      <c r="AH1152" s="136" t="s">
        <v>7860</v>
      </c>
      <c r="AI1152" s="136">
        <v>5932912.6500000004</v>
      </c>
      <c r="AJ1152" s="132">
        <v>42480</v>
      </c>
      <c r="AK1152" s="136" t="s">
        <v>7861</v>
      </c>
      <c r="AL1152" s="132">
        <v>42481</v>
      </c>
      <c r="AM1152" s="131" t="s">
        <v>49</v>
      </c>
      <c r="AN1152" s="136" t="s">
        <v>4440</v>
      </c>
    </row>
    <row r="1153" spans="1:40" s="129" customFormat="1" x14ac:dyDescent="0.25">
      <c r="A1153" s="136">
        <v>1152</v>
      </c>
      <c r="B1153" s="130" t="s">
        <v>4428</v>
      </c>
      <c r="C1153" s="130" t="s">
        <v>38</v>
      </c>
      <c r="D1153" s="162">
        <v>9103651109</v>
      </c>
      <c r="E1153" s="132">
        <v>42458</v>
      </c>
      <c r="F1153" s="132" t="s">
        <v>7689</v>
      </c>
      <c r="G1153" s="132" t="s">
        <v>2985</v>
      </c>
      <c r="H1153" s="130" t="s">
        <v>4431</v>
      </c>
      <c r="I1153" s="132" t="s">
        <v>40</v>
      </c>
      <c r="J1153" s="131" t="s">
        <v>4432</v>
      </c>
      <c r="K1153" s="132" t="s">
        <v>4433</v>
      </c>
      <c r="L1153" s="136">
        <v>6653744</v>
      </c>
      <c r="M1153" s="132">
        <v>42452</v>
      </c>
      <c r="N1153" s="136" t="s">
        <v>6378</v>
      </c>
      <c r="O1153" s="130" t="s">
        <v>4436</v>
      </c>
      <c r="P1153" s="136" t="s">
        <v>361</v>
      </c>
      <c r="Q1153" s="130">
        <v>38237090</v>
      </c>
      <c r="R1153" s="136">
        <v>92.49</v>
      </c>
      <c r="S1153" s="130" t="s">
        <v>70</v>
      </c>
      <c r="T1153" s="136" t="s">
        <v>52</v>
      </c>
      <c r="U1153" s="136" t="s">
        <v>1117</v>
      </c>
      <c r="V1153" s="136">
        <v>83388</v>
      </c>
      <c r="W1153" s="133">
        <f t="shared" si="55"/>
        <v>7712556.1199999992</v>
      </c>
      <c r="X1153" s="136">
        <v>0</v>
      </c>
      <c r="Y1153" s="136">
        <v>214140</v>
      </c>
      <c r="Z1153" s="136">
        <v>0</v>
      </c>
      <c r="AA1153" s="136">
        <v>315205.92</v>
      </c>
      <c r="AB1153" s="131">
        <v>42454</v>
      </c>
      <c r="AC1153" s="134">
        <f t="shared" si="53"/>
        <v>7498416.1200000001</v>
      </c>
      <c r="AD1153" s="135">
        <v>1</v>
      </c>
      <c r="AE1153" s="136">
        <f t="shared" si="54"/>
        <v>7712556.1199999992</v>
      </c>
      <c r="AF1153" s="130">
        <v>7498416.1200000001</v>
      </c>
      <c r="AG1153" s="138">
        <v>1</v>
      </c>
      <c r="AH1153" s="136" t="s">
        <v>7862</v>
      </c>
      <c r="AI1153" s="136">
        <v>7699249.1600000001</v>
      </c>
      <c r="AJ1153" s="132">
        <v>42488</v>
      </c>
      <c r="AK1153" s="136" t="s">
        <v>7863</v>
      </c>
      <c r="AL1153" s="132">
        <v>42537</v>
      </c>
      <c r="AM1153" s="132" t="s">
        <v>49</v>
      </c>
      <c r="AN1153" s="136" t="s">
        <v>4440</v>
      </c>
    </row>
    <row r="1154" spans="1:40" s="129" customFormat="1" x14ac:dyDescent="0.25">
      <c r="A1154" s="130">
        <v>1153</v>
      </c>
      <c r="B1154" s="130" t="s">
        <v>4428</v>
      </c>
      <c r="C1154" s="130" t="s">
        <v>38</v>
      </c>
      <c r="D1154" s="162">
        <v>9103651110</v>
      </c>
      <c r="E1154" s="132">
        <v>42457</v>
      </c>
      <c r="F1154" s="132" t="s">
        <v>7689</v>
      </c>
      <c r="G1154" s="132" t="s">
        <v>2986</v>
      </c>
      <c r="H1154" s="130" t="s">
        <v>5712</v>
      </c>
      <c r="I1154" s="132" t="s">
        <v>40</v>
      </c>
      <c r="J1154" s="131" t="s">
        <v>4432</v>
      </c>
      <c r="K1154" s="132" t="s">
        <v>4433</v>
      </c>
      <c r="L1154" s="136">
        <v>6653720</v>
      </c>
      <c r="M1154" s="132">
        <v>42452</v>
      </c>
      <c r="N1154" s="136" t="s">
        <v>4565</v>
      </c>
      <c r="O1154" s="130" t="s">
        <v>4436</v>
      </c>
      <c r="P1154" s="136" t="s">
        <v>6722</v>
      </c>
      <c r="Q1154" s="130" t="s">
        <v>6194</v>
      </c>
      <c r="R1154" s="136">
        <v>24</v>
      </c>
      <c r="S1154" s="130" t="s">
        <v>70</v>
      </c>
      <c r="T1154" s="136" t="s">
        <v>44</v>
      </c>
      <c r="U1154" s="136" t="s">
        <v>53</v>
      </c>
      <c r="V1154" s="136">
        <v>1200</v>
      </c>
      <c r="W1154" s="133">
        <f t="shared" si="55"/>
        <v>28800</v>
      </c>
      <c r="X1154" s="136">
        <v>9.5</v>
      </c>
      <c r="Y1154" s="136">
        <v>50</v>
      </c>
      <c r="Z1154" s="136">
        <v>0</v>
      </c>
      <c r="AA1154" s="136">
        <v>0</v>
      </c>
      <c r="AB1154" s="131">
        <v>42454</v>
      </c>
      <c r="AC1154" s="134">
        <f t="shared" si="53"/>
        <v>28740.499999999996</v>
      </c>
      <c r="AD1154" s="135">
        <v>66.400000000000006</v>
      </c>
      <c r="AE1154" s="136">
        <f t="shared" si="54"/>
        <v>1912320.0000000002</v>
      </c>
      <c r="AF1154" s="137">
        <v>1908369.2</v>
      </c>
      <c r="AG1154" s="138">
        <v>66.400000000000006</v>
      </c>
      <c r="AH1154" s="136" t="s">
        <v>7864</v>
      </c>
      <c r="AI1154" s="136">
        <v>28750</v>
      </c>
      <c r="AJ1154" s="132">
        <v>42563</v>
      </c>
      <c r="AK1154" s="136" t="s">
        <v>7865</v>
      </c>
      <c r="AL1154" s="132">
        <v>42564</v>
      </c>
      <c r="AM1154" s="132" t="s">
        <v>49</v>
      </c>
      <c r="AN1154" s="136" t="s">
        <v>4440</v>
      </c>
    </row>
    <row r="1155" spans="1:40" s="129" customFormat="1" x14ac:dyDescent="0.25">
      <c r="A1155" s="136">
        <v>1154</v>
      </c>
      <c r="B1155" s="130" t="s">
        <v>4428</v>
      </c>
      <c r="C1155" s="130" t="s">
        <v>38</v>
      </c>
      <c r="D1155" s="162">
        <v>9103651111</v>
      </c>
      <c r="E1155" s="132">
        <v>42457</v>
      </c>
      <c r="F1155" s="132" t="s">
        <v>7689</v>
      </c>
      <c r="G1155" s="132" t="s">
        <v>4337</v>
      </c>
      <c r="H1155" s="130" t="s">
        <v>4446</v>
      </c>
      <c r="I1155" s="132" t="s">
        <v>40</v>
      </c>
      <c r="J1155" s="131" t="s">
        <v>4432</v>
      </c>
      <c r="K1155" s="132" t="s">
        <v>4433</v>
      </c>
      <c r="L1155" s="136">
        <v>6653706</v>
      </c>
      <c r="M1155" s="132">
        <v>42452</v>
      </c>
      <c r="N1155" s="136" t="s">
        <v>4741</v>
      </c>
      <c r="O1155" s="130" t="s">
        <v>4436</v>
      </c>
      <c r="P1155" s="136" t="s">
        <v>47</v>
      </c>
      <c r="Q1155" s="130">
        <v>29051700</v>
      </c>
      <c r="R1155" s="136">
        <v>19.45</v>
      </c>
      <c r="S1155" s="130" t="s">
        <v>70</v>
      </c>
      <c r="T1155" s="136" t="s">
        <v>7866</v>
      </c>
      <c r="U1155" s="136" t="s">
        <v>53</v>
      </c>
      <c r="V1155" s="136">
        <v>1295</v>
      </c>
      <c r="W1155" s="133">
        <f t="shared" si="55"/>
        <v>25187.75</v>
      </c>
      <c r="X1155" s="136">
        <v>8.31</v>
      </c>
      <c r="Y1155" s="136">
        <v>1200</v>
      </c>
      <c r="Z1155" s="136">
        <v>0</v>
      </c>
      <c r="AA1155" s="136">
        <v>0</v>
      </c>
      <c r="AB1155" s="131">
        <v>42454</v>
      </c>
      <c r="AC1155" s="134">
        <f t="shared" si="53"/>
        <v>23979.440060240962</v>
      </c>
      <c r="AD1155" s="135">
        <v>66.400000000000006</v>
      </c>
      <c r="AE1155" s="136">
        <f t="shared" si="54"/>
        <v>1672466.6</v>
      </c>
      <c r="AF1155" s="137">
        <v>1592234.82</v>
      </c>
      <c r="AG1155" s="138">
        <v>66.400000000000006</v>
      </c>
      <c r="AH1155" s="136" t="s">
        <v>7867</v>
      </c>
      <c r="AI1155" s="136">
        <v>25187.75</v>
      </c>
      <c r="AJ1155" s="132">
        <v>42502</v>
      </c>
      <c r="AK1155" s="136" t="s">
        <v>7868</v>
      </c>
      <c r="AL1155" s="132">
        <v>42503</v>
      </c>
      <c r="AM1155" s="131" t="s">
        <v>49</v>
      </c>
      <c r="AN1155" s="136" t="s">
        <v>4440</v>
      </c>
    </row>
    <row r="1156" spans="1:40" s="129" customFormat="1" x14ac:dyDescent="0.25">
      <c r="A1156" s="130">
        <v>1155</v>
      </c>
      <c r="B1156" s="130" t="s">
        <v>4428</v>
      </c>
      <c r="C1156" s="130" t="s">
        <v>38</v>
      </c>
      <c r="D1156" s="162">
        <v>9103651112</v>
      </c>
      <c r="E1156" s="132">
        <v>42458</v>
      </c>
      <c r="F1156" s="132" t="s">
        <v>7689</v>
      </c>
      <c r="G1156" s="132" t="s">
        <v>2920</v>
      </c>
      <c r="H1156" s="130" t="s">
        <v>4456</v>
      </c>
      <c r="I1156" s="132" t="s">
        <v>40</v>
      </c>
      <c r="J1156" s="131" t="s">
        <v>4432</v>
      </c>
      <c r="K1156" s="132" t="s">
        <v>4433</v>
      </c>
      <c r="L1156" s="136">
        <v>6653743</v>
      </c>
      <c r="M1156" s="132">
        <v>42452</v>
      </c>
      <c r="N1156" s="136" t="s">
        <v>7869</v>
      </c>
      <c r="O1156" s="130" t="s">
        <v>4436</v>
      </c>
      <c r="P1156" s="136" t="s">
        <v>127</v>
      </c>
      <c r="Q1156" s="130">
        <v>29161990</v>
      </c>
      <c r="R1156" s="136">
        <v>19.54</v>
      </c>
      <c r="S1156" s="130" t="s">
        <v>70</v>
      </c>
      <c r="T1156" s="136" t="s">
        <v>44</v>
      </c>
      <c r="U1156" s="136" t="s">
        <v>53</v>
      </c>
      <c r="V1156" s="136">
        <v>2725</v>
      </c>
      <c r="W1156" s="133">
        <f t="shared" si="55"/>
        <v>53246.5</v>
      </c>
      <c r="X1156" s="136">
        <v>17.57</v>
      </c>
      <c r="Y1156" s="136">
        <v>750</v>
      </c>
      <c r="Z1156" s="136">
        <v>0</v>
      </c>
      <c r="AA1156" s="136">
        <v>0</v>
      </c>
      <c r="AB1156" s="131">
        <v>42454</v>
      </c>
      <c r="AC1156" s="134">
        <f t="shared" ref="AC1156" si="56">AF1156/AD1156</f>
        <v>52478.929969879515</v>
      </c>
      <c r="AD1156" s="135">
        <v>66.400000000000006</v>
      </c>
      <c r="AE1156" s="136">
        <f t="shared" ref="AE1156" si="57">AD1156*W1156</f>
        <v>3535567.6</v>
      </c>
      <c r="AF1156" s="137">
        <v>3484600.95</v>
      </c>
      <c r="AG1156" s="138">
        <v>66.400000000000006</v>
      </c>
      <c r="AH1156" s="136" t="s">
        <v>7870</v>
      </c>
      <c r="AI1156" s="136">
        <v>53199.5</v>
      </c>
      <c r="AJ1156" s="132">
        <v>42534</v>
      </c>
      <c r="AK1156" s="136" t="s">
        <v>7871</v>
      </c>
      <c r="AL1156" s="132">
        <v>42535</v>
      </c>
      <c r="AM1156" s="131" t="s">
        <v>49</v>
      </c>
      <c r="AN1156" s="136" t="s">
        <v>4440</v>
      </c>
    </row>
    <row r="1157" spans="1:40" s="129" customFormat="1" x14ac:dyDescent="0.25">
      <c r="A1157" s="136">
        <v>1156</v>
      </c>
      <c r="B1157" s="130" t="s">
        <v>4428</v>
      </c>
      <c r="C1157" s="130" t="s">
        <v>38</v>
      </c>
      <c r="D1157" s="162">
        <v>9114650017</v>
      </c>
      <c r="E1157" s="132">
        <v>42450</v>
      </c>
      <c r="F1157" s="132" t="s">
        <v>7689</v>
      </c>
      <c r="G1157" s="132" t="s">
        <v>7872</v>
      </c>
      <c r="H1157" s="130"/>
      <c r="I1157" s="132" t="s">
        <v>40</v>
      </c>
      <c r="J1157" s="131" t="s">
        <v>4432</v>
      </c>
      <c r="K1157" s="132" t="s">
        <v>4433</v>
      </c>
      <c r="L1157" s="136"/>
      <c r="M1157" s="136"/>
      <c r="N1157" s="136" t="s">
        <v>3820</v>
      </c>
      <c r="O1157" s="130" t="s">
        <v>4436</v>
      </c>
      <c r="P1157" s="136" t="s">
        <v>6722</v>
      </c>
      <c r="Q1157" s="130"/>
      <c r="R1157" s="136"/>
      <c r="S1157" s="130" t="s">
        <v>70</v>
      </c>
      <c r="T1157" s="136" t="s">
        <v>44</v>
      </c>
      <c r="U1157" s="136" t="s">
        <v>53</v>
      </c>
      <c r="V1157" s="136"/>
      <c r="W1157" s="133">
        <f t="shared" si="55"/>
        <v>0</v>
      </c>
      <c r="X1157" s="136"/>
      <c r="Y1157" s="136"/>
      <c r="Z1157" s="136"/>
      <c r="AA1157" s="136"/>
      <c r="AB1157" s="131"/>
      <c r="AC1157" s="134"/>
      <c r="AD1157" s="135"/>
      <c r="AE1157" s="136"/>
      <c r="AF1157" s="130"/>
      <c r="AG1157" s="138"/>
      <c r="AH1157" s="136"/>
      <c r="AI1157" s="136"/>
      <c r="AJ1157" s="132"/>
      <c r="AK1157" s="136"/>
      <c r="AL1157" s="132"/>
      <c r="AM1157" s="132" t="s">
        <v>7872</v>
      </c>
      <c r="AN1157" s="132" t="s">
        <v>7872</v>
      </c>
    </row>
    <row r="1158" spans="1:40" s="129" customFormat="1" x14ac:dyDescent="0.25">
      <c r="A1158" s="130">
        <v>1157</v>
      </c>
      <c r="B1158" s="165" t="s">
        <v>4428</v>
      </c>
      <c r="C1158" s="165" t="s">
        <v>38</v>
      </c>
      <c r="D1158" s="166">
        <v>9114650019</v>
      </c>
      <c r="E1158" s="157">
        <v>42450</v>
      </c>
      <c r="F1158" s="157" t="s">
        <v>7689</v>
      </c>
      <c r="G1158" s="132" t="s">
        <v>7872</v>
      </c>
      <c r="H1158" s="130"/>
      <c r="I1158" s="132" t="s">
        <v>40</v>
      </c>
      <c r="J1158" s="131" t="s">
        <v>4432</v>
      </c>
      <c r="K1158" s="132" t="s">
        <v>4433</v>
      </c>
      <c r="L1158" s="140"/>
      <c r="M1158" s="140"/>
      <c r="N1158" s="140" t="s">
        <v>3820</v>
      </c>
      <c r="O1158" s="130" t="s">
        <v>4436</v>
      </c>
      <c r="P1158" s="140" t="s">
        <v>6722</v>
      </c>
      <c r="Q1158" s="130"/>
      <c r="R1158" s="136"/>
      <c r="S1158" s="165" t="s">
        <v>70</v>
      </c>
      <c r="T1158" s="140" t="s">
        <v>44</v>
      </c>
      <c r="U1158" s="140" t="s">
        <v>53</v>
      </c>
      <c r="V1158" s="140"/>
      <c r="W1158" s="167">
        <f t="shared" si="55"/>
        <v>0</v>
      </c>
      <c r="X1158" s="140"/>
      <c r="Y1158" s="140"/>
      <c r="Z1158" s="140"/>
      <c r="AA1158" s="140"/>
      <c r="AB1158" s="168"/>
      <c r="AC1158" s="169"/>
      <c r="AD1158" s="135"/>
      <c r="AE1158" s="140"/>
      <c r="AF1158" s="130"/>
      <c r="AG1158" s="138"/>
      <c r="AH1158" s="140"/>
      <c r="AI1158" s="136"/>
      <c r="AJ1158" s="157"/>
      <c r="AK1158" s="140"/>
      <c r="AL1158" s="157"/>
      <c r="AM1158" s="132" t="s">
        <v>7872</v>
      </c>
      <c r="AN1158" s="132" t="s">
        <v>7872</v>
      </c>
    </row>
    <row r="1159" spans="1:40" ht="13.5" thickBot="1" x14ac:dyDescent="0.3">
      <c r="A1159" s="170"/>
      <c r="B1159" s="170"/>
      <c r="C1159" s="170"/>
      <c r="D1159" s="171" t="s">
        <v>7873</v>
      </c>
      <c r="E1159" s="172"/>
      <c r="F1159" s="172"/>
      <c r="G1159" s="170"/>
      <c r="H1159" s="170"/>
      <c r="I1159" s="172"/>
      <c r="J1159" s="172"/>
      <c r="K1159" s="170"/>
      <c r="L1159" s="173"/>
      <c r="M1159" s="173"/>
      <c r="N1159" s="170"/>
      <c r="O1159" s="170"/>
      <c r="P1159" s="170"/>
      <c r="Q1159" s="170"/>
      <c r="R1159" s="174"/>
      <c r="S1159" s="170"/>
      <c r="T1159" s="170"/>
      <c r="U1159" s="170"/>
      <c r="V1159" s="170"/>
      <c r="W1159" s="170"/>
      <c r="X1159" s="170"/>
      <c r="Y1159" s="170"/>
      <c r="Z1159" s="170"/>
      <c r="AA1159" s="170"/>
      <c r="AB1159" s="172"/>
      <c r="AC1159" s="175"/>
      <c r="AD1159" s="176">
        <f>SUM(AD2:AD1158)</f>
        <v>68841.749999999956</v>
      </c>
      <c r="AE1159" s="170"/>
      <c r="AF1159" s="177">
        <f>SUBTOTAL(9,AF2:AF1158)</f>
        <v>3912982613.4200068</v>
      </c>
      <c r="AG1159" s="176">
        <f>SUM(AG2:AG1158)</f>
        <v>68916.649999999892</v>
      </c>
      <c r="AH1159" s="170"/>
      <c r="AI1159" s="170"/>
      <c r="AJ1159" s="172"/>
      <c r="AK1159" s="170"/>
      <c r="AL1159" s="172"/>
      <c r="AM1159" s="172"/>
      <c r="AN1159" s="170"/>
    </row>
    <row r="1160" spans="1:40" ht="13.5" thickTop="1" x14ac:dyDescent="0.25">
      <c r="AB1160" s="178"/>
    </row>
    <row r="1161" spans="1:40" x14ac:dyDescent="0.25">
      <c r="AB1161" s="183"/>
    </row>
    <row r="1162" spans="1:40" x14ac:dyDescent="0.25">
      <c r="AB1162" s="183"/>
    </row>
    <row r="1163" spans="1:40" x14ac:dyDescent="0.25">
      <c r="AB1163" s="183"/>
    </row>
    <row r="1164" spans="1:40" x14ac:dyDescent="0.25">
      <c r="AB1164" s="183"/>
    </row>
    <row r="1165" spans="1:40" x14ac:dyDescent="0.25">
      <c r="AB1165" s="183"/>
    </row>
    <row r="1166" spans="1:40" x14ac:dyDescent="0.25">
      <c r="AB1166" s="183"/>
    </row>
  </sheetData>
  <autoFilter ref="A1:AN1158"/>
  <conditionalFormatting sqref="E1:F2 E400:E411 E690 E692:E700 I1:K2 E495:E517 E665:E688 E654:E663 I3:I13 E3:E22 E23:F23 I23:K23 E83:E98 I613:I652 F850:F881 E850:E880 E990:F1057 E518:F652 E701:F768 I654:I663 E907:E986 F883:F986 E25:F81 I25:K81 E100:E114 F83:F114 I852:K1057 E115:F399 E413:E493 F400:F493 I83:K612 E770:F849 J613:K851 I665:I851 E1062:E1071 E1073:F1158 AM1157:AM1158 F1062:F1072 I1062:K1158">
    <cfRule type="expression" priority="92">
      <formula>"date that contains April month"</formula>
    </cfRule>
  </conditionalFormatting>
  <conditionalFormatting sqref="E99">
    <cfRule type="expression" priority="91">
      <formula>"date that contains April month"</formula>
    </cfRule>
  </conditionalFormatting>
  <conditionalFormatting sqref="E412">
    <cfRule type="expression" priority="90">
      <formula>"date that contains April month"</formula>
    </cfRule>
  </conditionalFormatting>
  <conditionalFormatting sqref="AJ412">
    <cfRule type="containsText" dxfId="20" priority="87" operator="containsText" text="BKDN">
      <formula>NOT(ISERROR(SEARCH("BKDN",AJ412)))</formula>
    </cfRule>
    <cfRule type="containsText" dxfId="19" priority="88" operator="containsText" text="UTI">
      <formula>NOT(ISERROR(SEARCH("UTI",AJ412)))</formula>
    </cfRule>
    <cfRule type="containsText" dxfId="18" priority="89" operator="containsText" text="BKID">
      <formula>NOT(ISERROR(SEARCH("BKID",AJ412)))</formula>
    </cfRule>
  </conditionalFormatting>
  <conditionalFormatting sqref="E769:F769">
    <cfRule type="expression" priority="86">
      <formula>"date that contains April month"</formula>
    </cfRule>
  </conditionalFormatting>
  <conditionalFormatting sqref="E882:F882 E881 E883:E906">
    <cfRule type="expression" priority="85">
      <formula>"date that contains April month"</formula>
    </cfRule>
  </conditionalFormatting>
  <conditionalFormatting sqref="XBL689 E689">
    <cfRule type="expression" priority="79">
      <formula>"date that contains April month"</formula>
    </cfRule>
  </conditionalFormatting>
  <conditionalFormatting sqref="E987:F987 E988">
    <cfRule type="expression" priority="84">
      <formula>"date that contains April month"</formula>
    </cfRule>
  </conditionalFormatting>
  <conditionalFormatting sqref="F988">
    <cfRule type="expression" priority="82">
      <formula>"date that contains April month"</formula>
    </cfRule>
  </conditionalFormatting>
  <conditionalFormatting sqref="E1072">
    <cfRule type="expression" priority="83">
      <formula>"date that contains April month"</formula>
    </cfRule>
  </conditionalFormatting>
  <conditionalFormatting sqref="XBK989:XBM989 E989:F989">
    <cfRule type="expression" priority="81">
      <formula>"date that contains April month"</formula>
    </cfRule>
  </conditionalFormatting>
  <conditionalFormatting sqref="XBK691:XBM691 E691">
    <cfRule type="expression" priority="80">
      <formula>"date that contains April month"</formula>
    </cfRule>
  </conditionalFormatting>
  <conditionalFormatting sqref="XBJ689:XBK689 WZH689:WZJ689 C689">
    <cfRule type="expression" priority="78">
      <formula>"date that contains April month"</formula>
    </cfRule>
  </conditionalFormatting>
  <conditionalFormatting sqref="I1159">
    <cfRule type="expression" priority="77">
      <formula>"date that contains April month"</formula>
    </cfRule>
  </conditionalFormatting>
  <conditionalFormatting sqref="J1159">
    <cfRule type="expression" priority="75">
      <formula>"date that contains April month"</formula>
    </cfRule>
  </conditionalFormatting>
  <conditionalFormatting sqref="E1159:F1159">
    <cfRule type="expression" priority="76">
      <formula>"date that contains April month"</formula>
    </cfRule>
  </conditionalFormatting>
  <conditionalFormatting sqref="F3:F22">
    <cfRule type="expression" priority="74">
      <formula>"date that contains April month"</formula>
    </cfRule>
  </conditionalFormatting>
  <conditionalFormatting sqref="F495:F517">
    <cfRule type="expression" priority="73">
      <formula>"date that contains April month"</formula>
    </cfRule>
  </conditionalFormatting>
  <conditionalFormatting sqref="F665:F700 F654:F663">
    <cfRule type="expression" priority="72">
      <formula>"date that contains April month"</formula>
    </cfRule>
  </conditionalFormatting>
  <conditionalFormatting sqref="E494">
    <cfRule type="expression" priority="71">
      <formula>"date that contains April month"</formula>
    </cfRule>
  </conditionalFormatting>
  <conditionalFormatting sqref="F494">
    <cfRule type="expression" priority="70">
      <formula>"date that contains April month"</formula>
    </cfRule>
  </conditionalFormatting>
  <conditionalFormatting sqref="E653 I653">
    <cfRule type="expression" priority="67">
      <formula>"date that contains April month"</formula>
    </cfRule>
  </conditionalFormatting>
  <conditionalFormatting sqref="E664 I664">
    <cfRule type="expression" priority="69">
      <formula>"date that contains April month"</formula>
    </cfRule>
  </conditionalFormatting>
  <conditionalFormatting sqref="F664">
    <cfRule type="expression" priority="68">
      <formula>"date that contains April month"</formula>
    </cfRule>
  </conditionalFormatting>
  <conditionalFormatting sqref="F653">
    <cfRule type="expression" priority="66">
      <formula>"date that contains April month"</formula>
    </cfRule>
  </conditionalFormatting>
  <conditionalFormatting sqref="I14:I22">
    <cfRule type="expression" priority="65">
      <formula>"date that contains April month"</formula>
    </cfRule>
  </conditionalFormatting>
  <conditionalFormatting sqref="J3:K22">
    <cfRule type="expression" priority="64">
      <formula>"date that contains April month"</formula>
    </cfRule>
  </conditionalFormatting>
  <conditionalFormatting sqref="E24:F24 I24:K24">
    <cfRule type="expression" priority="63">
      <formula>"date that contains April month"</formula>
    </cfRule>
  </conditionalFormatting>
  <conditionalFormatting sqref="E82:F82 I82:K82">
    <cfRule type="expression" priority="62">
      <formula>"date that contains April month"</formula>
    </cfRule>
  </conditionalFormatting>
  <conditionalFormatting sqref="AN1157">
    <cfRule type="expression" priority="59">
      <formula>"date that contains April month"</formula>
    </cfRule>
  </conditionalFormatting>
  <conditionalFormatting sqref="AN1158">
    <cfRule type="expression" priority="58">
      <formula>"date that contains April month"</formula>
    </cfRule>
  </conditionalFormatting>
  <conditionalFormatting sqref="AN853">
    <cfRule type="expression" priority="57">
      <formula>"date that contains April month"</formula>
    </cfRule>
  </conditionalFormatting>
  <conditionalFormatting sqref="AN854">
    <cfRule type="expression" priority="56">
      <formula>"date that contains April month"</formula>
    </cfRule>
  </conditionalFormatting>
  <conditionalFormatting sqref="AN892">
    <cfRule type="expression" priority="55">
      <formula>"date that contains April month"</formula>
    </cfRule>
  </conditionalFormatting>
  <conditionalFormatting sqref="AN188">
    <cfRule type="expression" priority="49">
      <formula>"date that contains April month"</formula>
    </cfRule>
  </conditionalFormatting>
  <conditionalFormatting sqref="AN109">
    <cfRule type="expression" priority="48">
      <formula>"date that contains April month"</formula>
    </cfRule>
  </conditionalFormatting>
  <conditionalFormatting sqref="AN104">
    <cfRule type="expression" priority="47">
      <formula>"date that contains April month"</formula>
    </cfRule>
  </conditionalFormatting>
  <conditionalFormatting sqref="AN1145">
    <cfRule type="expression" priority="46">
      <formula>"date that contains April month"</formula>
    </cfRule>
  </conditionalFormatting>
  <conditionalFormatting sqref="AM1145 AM512 AM104 AM188 AM892 AM109">
    <cfRule type="expression" priority="44">
      <formula>"date that contains April month"</formula>
    </cfRule>
  </conditionalFormatting>
  <conditionalFormatting sqref="A1159:F1048576 A1:F3 AI1121 H795:K823 H543:K606 H144:K147 H843:N843 H1057:L1060 R906:AF906 H906:P906 H880:P881 H983:P983 H516:Q517 H907:AF908 H904:AF905 H395:AE395 L599:AG599 H206:AG206 H892:AG892 H868:AG868 H1121:AG1121 AJ937 AI892:AJ892 L144:AI144 L145:AH145 L146:AI147 H113:AH113 H1120:AI1120 H937:AH937 H115:AI143 H844:AJ844 H1145:AJ1145 N1058:AK1060 AJ115:XFD147 AM937:XFD937 AL844:XFD844 AL892:XFD892 AL1145:XFD1145 AJ1120:XFD1121 AI206:XFD206 AJ113:XFD113 AI868:XFD868 AI599:XFD599 AM1058:XFD1060 H1122:XFD1144 AG395:XFD395 S983:XFD983 S516:XFD517 AH904:XFD908 R880:XFD881 N806:XFD806 P843:XFD843 N1057:XFD1057 L795:XFD805 L807:XFD823 L543:XFD598 L600:XFD606 H114:XFD114 H893:XFD903 H869:XFD879 H207:XFD394 H882:XFD891 H938:XFD982 H909:XFD936 H518:XFD542 H984:XFD1056 H845:XFD867 H824:XFD842 H1:XFD112 H148:XFD205 H396:XFD515 H607:XFD794 B4:F1057 H1146:XFD1048576 H1061:XFD1119 B1062:F1158 A4:A1158">
    <cfRule type="containsText" dxfId="17" priority="43" operator="containsText" text="#REF!">
      <formula>NOT(ISERROR(SEARCH("#REF!",A1)))</formula>
    </cfRule>
  </conditionalFormatting>
  <conditionalFormatting sqref="B121:F123">
    <cfRule type="containsText" dxfId="16" priority="42" operator="containsText" text="#REF!">
      <formula>NOT(ISERROR(SEARCH("#REF!",B121)))</formula>
    </cfRule>
  </conditionalFormatting>
  <conditionalFormatting sqref="W1:W1057 W1062:W1048576">
    <cfRule type="cellIs" dxfId="15" priority="40" operator="equal">
      <formula>#REF!</formula>
    </cfRule>
    <cfRule type="containsText" dxfId="14" priority="41" operator="containsText" text="#REF!">
      <formula>NOT(ISERROR(SEARCH("#REF!",W1)))</formula>
    </cfRule>
  </conditionalFormatting>
  <conditionalFormatting sqref="AM1157">
    <cfRule type="expression" priority="39">
      <formula>"date that contains April month"</formula>
    </cfRule>
  </conditionalFormatting>
  <conditionalFormatting sqref="AM1158">
    <cfRule type="expression" priority="38">
      <formula>"date that contains April month"</formula>
    </cfRule>
  </conditionalFormatting>
  <conditionalFormatting sqref="AN892">
    <cfRule type="expression" priority="37">
      <formula>"date that contains April month"</formula>
    </cfRule>
  </conditionalFormatting>
  <conditionalFormatting sqref="AN892">
    <cfRule type="expression" priority="36">
      <formula>"date that contains April month"</formula>
    </cfRule>
  </conditionalFormatting>
  <conditionalFormatting sqref="AM892">
    <cfRule type="expression" priority="35">
      <formula>"date that contains April month"</formula>
    </cfRule>
  </conditionalFormatting>
  <conditionalFormatting sqref="AM892">
    <cfRule type="expression" priority="34">
      <formula>"date that contains April month"</formula>
    </cfRule>
  </conditionalFormatting>
  <conditionalFormatting sqref="AM892">
    <cfRule type="expression" priority="33">
      <formula>"date that contains April month"</formula>
    </cfRule>
  </conditionalFormatting>
  <conditionalFormatting sqref="Q983">
    <cfRule type="containsText" dxfId="13" priority="32" operator="containsText" text="#REF!">
      <formula>NOT(ISERROR(SEARCH("#REF!",Q983)))</formula>
    </cfRule>
  </conditionalFormatting>
  <conditionalFormatting sqref="E1058:F1061 I1058:K1061">
    <cfRule type="expression" priority="31">
      <formula>"date that contains April month"</formula>
    </cfRule>
  </conditionalFormatting>
  <conditionalFormatting sqref="B1058:F1061">
    <cfRule type="containsText" dxfId="12" priority="30" operator="containsText" text="#REF!">
      <formula>NOT(ISERROR(SEARCH("#REF!",B1058)))</formula>
    </cfRule>
  </conditionalFormatting>
  <conditionalFormatting sqref="W1058:W1061">
    <cfRule type="cellIs" dxfId="11" priority="28" operator="equal">
      <formula>#REF!</formula>
    </cfRule>
    <cfRule type="containsText" dxfId="10" priority="29" operator="containsText" text="#REF!">
      <formula>NOT(ISERROR(SEARCH("#REF!",W1058)))</formula>
    </cfRule>
  </conditionalFormatting>
  <conditionalFormatting sqref="AL1058:AL1060">
    <cfRule type="containsText" dxfId="9" priority="27" operator="containsText" text="#REF!">
      <formula>NOT(ISERROR(SEARCH("#REF!",AL1058)))</formula>
    </cfRule>
  </conditionalFormatting>
  <conditionalFormatting sqref="AG904:AG908">
    <cfRule type="containsText" dxfId="8" priority="26" operator="containsText" text="#REF!">
      <formula>NOT(ISERROR(SEARCH("#REF!",AG904)))</formula>
    </cfRule>
  </conditionalFormatting>
  <conditionalFormatting sqref="AI937">
    <cfRule type="containsText" dxfId="7" priority="25" operator="containsText" text="#REF!">
      <formula>NOT(ISERROR(SEARCH("#REF!",AI937)))</formula>
    </cfRule>
  </conditionalFormatting>
  <conditionalFormatting sqref="AK937:AL937">
    <cfRule type="containsText" dxfId="6" priority="24" operator="containsText" text="#REF!">
      <formula>NOT(ISERROR(SEARCH("#REF!",AK937)))</formula>
    </cfRule>
  </conditionalFormatting>
  <conditionalFormatting sqref="AM104">
    <cfRule type="expression" priority="23">
      <formula>"date that contains April month"</formula>
    </cfRule>
  </conditionalFormatting>
  <conditionalFormatting sqref="AM104">
    <cfRule type="expression" priority="22">
      <formula>"date that contains April month"</formula>
    </cfRule>
  </conditionalFormatting>
  <conditionalFormatting sqref="D110">
    <cfRule type="expression" priority="21">
      <formula>"date that contains April month"</formula>
    </cfRule>
  </conditionalFormatting>
  <conditionalFormatting sqref="D110">
    <cfRule type="expression" priority="20">
      <formula>"date that contains April month"</formula>
    </cfRule>
  </conditionalFormatting>
  <conditionalFormatting sqref="AH206">
    <cfRule type="cellIs" dxfId="5" priority="16" operator="equal">
      <formula>4821079825</formula>
    </cfRule>
  </conditionalFormatting>
  <conditionalFormatting sqref="AH868">
    <cfRule type="containsText" dxfId="4" priority="15" operator="containsText" text="#REF!">
      <formula>NOT(ISERROR(SEARCH("#REF!",AH868)))</formula>
    </cfRule>
  </conditionalFormatting>
  <conditionalFormatting sqref="O843">
    <cfRule type="containsText" dxfId="3" priority="14" operator="containsText" text="#REF!">
      <formula>NOT(ISERROR(SEARCH("#REF!",O843)))</formula>
    </cfRule>
  </conditionalFormatting>
  <conditionalFormatting sqref="AI145">
    <cfRule type="containsText" dxfId="2" priority="3" operator="containsText" text="#REF!">
      <formula>NOT(ISERROR(SEARCH("#REF!",AI145)))</formula>
    </cfRule>
  </conditionalFormatting>
  <conditionalFormatting sqref="AF395">
    <cfRule type="containsText" dxfId="1" priority="2" operator="containsText" text="#REF!">
      <formula>NOT(ISERROR(SEARCH("#REF!",AF395)))</formula>
    </cfRule>
  </conditionalFormatting>
  <conditionalFormatting sqref="M1057:M1060">
    <cfRule type="containsText" dxfId="0" priority="1" operator="containsText" text="#REF!">
      <formula>NOT(ISERROR(SEARCH("#REF!",M1057)))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14-15</vt:lpstr>
      <vt:lpstr>2015-16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Babasaheb Jadhav</dc:creator>
  <cp:lastModifiedBy>Varsha  Kamble</cp:lastModifiedBy>
  <cp:lastPrinted>2015-12-01T05:09:29Z</cp:lastPrinted>
  <dcterms:created xsi:type="dcterms:W3CDTF">2015-03-09T09:15:23Z</dcterms:created>
  <dcterms:modified xsi:type="dcterms:W3CDTF">2017-04-17T05:59:06Z</dcterms:modified>
</cp:coreProperties>
</file>