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Working" sheetId="1" r:id="rId1"/>
    <sheet name="Sheet2" sheetId="2" state="hidden" r:id="rId2"/>
    <sheet name="Bck up" sheetId="3" state="hidden" r:id="rId3"/>
    <sheet name="Summary" sheetId="4" r:id="rId4"/>
  </sheets>
  <calcPr calcId="145621"/>
</workbook>
</file>

<file path=xl/calcChain.xml><?xml version="1.0" encoding="utf-8"?>
<calcChain xmlns="http://schemas.openxmlformats.org/spreadsheetml/2006/main">
  <c r="J88" i="3" l="1"/>
  <c r="D10" i="4"/>
  <c r="E10" i="4"/>
  <c r="F10" i="4"/>
  <c r="C10" i="4"/>
  <c r="K88" i="3" l="1"/>
  <c r="K86" i="3"/>
  <c r="J86" i="3"/>
  <c r="J87" i="3"/>
  <c r="K87" i="3"/>
  <c r="K90" i="3"/>
  <c r="J90" i="3"/>
  <c r="K85" i="3"/>
  <c r="J85" i="3"/>
  <c r="I52" i="3"/>
  <c r="H52" i="3"/>
  <c r="G52" i="3"/>
  <c r="I74" i="3"/>
  <c r="H74" i="3"/>
  <c r="G74" i="3"/>
  <c r="H73" i="3"/>
  <c r="I73" i="3"/>
  <c r="I75" i="3" s="1"/>
  <c r="G73" i="3"/>
  <c r="I69" i="3"/>
  <c r="H69" i="3"/>
  <c r="G69" i="3"/>
  <c r="I68" i="3"/>
  <c r="H68" i="3"/>
  <c r="G68" i="3"/>
  <c r="I65" i="3"/>
  <c r="H65" i="3"/>
  <c r="G65" i="3"/>
  <c r="I62" i="3"/>
  <c r="H62" i="3"/>
  <c r="G62" i="3"/>
  <c r="I58" i="3"/>
  <c r="I87" i="3" s="1"/>
  <c r="H58" i="3"/>
  <c r="H87" i="3" s="1"/>
  <c r="I57" i="3"/>
  <c r="H57" i="3"/>
  <c r="I56" i="3"/>
  <c r="H56" i="3"/>
  <c r="I55" i="3"/>
  <c r="H55" i="3"/>
  <c r="F30" i="3"/>
  <c r="I86" i="3" l="1"/>
  <c r="I91" i="3" s="1"/>
  <c r="I90" i="3"/>
  <c r="D6" i="1"/>
  <c r="D9" i="1" s="1"/>
  <c r="I70" i="3"/>
  <c r="H88" i="3"/>
  <c r="I88" i="3"/>
  <c r="H86" i="3"/>
  <c r="H90" i="3"/>
  <c r="H85" i="3"/>
  <c r="I59" i="3"/>
  <c r="I85" i="3"/>
  <c r="K91" i="3"/>
  <c r="J91" i="3"/>
  <c r="H91" i="3" l="1"/>
  <c r="I78" i="3"/>
  <c r="H20" i="1" l="1"/>
  <c r="H21" i="1" s="1"/>
  <c r="H22" i="1" s="1"/>
  <c r="F20" i="1"/>
  <c r="F19" i="1"/>
  <c r="F17" i="1"/>
  <c r="F16" i="1"/>
  <c r="F15" i="1"/>
  <c r="F9" i="1"/>
  <c r="F6" i="1"/>
  <c r="F10" i="1" s="1"/>
  <c r="F11" i="1" s="1"/>
  <c r="E10" i="1" l="1"/>
  <c r="F22" i="1"/>
  <c r="E22" i="1" s="1"/>
  <c r="I22" i="1" l="1"/>
  <c r="I24" i="1" s="1"/>
  <c r="C5" i="4" s="1"/>
  <c r="C6" i="4" s="1"/>
</calcChain>
</file>

<file path=xl/comments1.xml><?xml version="1.0" encoding="utf-8"?>
<comments xmlns="http://schemas.openxmlformats.org/spreadsheetml/2006/main">
  <authors>
    <author>Author</author>
  </authors>
  <commentList>
    <comment ref="E1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With V1698 Credit</t>
        </r>
      </text>
    </comment>
  </commentList>
</comments>
</file>

<file path=xl/sharedStrings.xml><?xml version="1.0" encoding="utf-8"?>
<sst xmlns="http://schemas.openxmlformats.org/spreadsheetml/2006/main" count="178" uniqueCount="96">
  <si>
    <t xml:space="preserve">DFA 1898 - BERGACID </t>
  </si>
  <si>
    <t>SAVINGS</t>
  </si>
  <si>
    <t>PFAD</t>
  </si>
  <si>
    <t>B/P PKO</t>
  </si>
  <si>
    <t>B/P CNO</t>
  </si>
  <si>
    <t>TOTAL SAVINGS</t>
  </si>
  <si>
    <t xml:space="preserve">DFA 1898 - From PFAD </t>
  </si>
  <si>
    <t>With V1698 Credit</t>
  </si>
  <si>
    <t>Qty</t>
  </si>
  <si>
    <t>Rate</t>
  </si>
  <si>
    <t>Value</t>
  </si>
  <si>
    <t>Products</t>
  </si>
  <si>
    <t>DFA C16 rich</t>
  </si>
  <si>
    <t>DFA C18&gt;95%</t>
  </si>
  <si>
    <t>Spliting Cost</t>
  </si>
  <si>
    <t>Crude Gly</t>
  </si>
  <si>
    <t>Mix residue</t>
  </si>
  <si>
    <t>SPFAD</t>
  </si>
  <si>
    <t>Distillation Cost</t>
  </si>
  <si>
    <t xml:space="preserve"> - STEAM</t>
  </si>
  <si>
    <t>KGS</t>
  </si>
  <si>
    <t>SPFAD  for DFA C18&gt;95%</t>
  </si>
  <si>
    <t xml:space="preserve"> - COAL FOR TOH</t>
  </si>
  <si>
    <t xml:space="preserve"> - POWER</t>
  </si>
  <si>
    <t>KWH</t>
  </si>
  <si>
    <t>Berg Acid</t>
  </si>
  <si>
    <t>DFA 16 Rich</t>
  </si>
  <si>
    <t>Residue</t>
  </si>
  <si>
    <t>DFA 1898</t>
  </si>
  <si>
    <t>SAVINGS IN RS FOR TOTAL QTY</t>
  </si>
  <si>
    <t>Dec</t>
  </si>
  <si>
    <t>DFA C-16 rich</t>
  </si>
  <si>
    <t>B/P C1218</t>
  </si>
  <si>
    <t>B/P PKO for DFA C18 98%</t>
  </si>
  <si>
    <t>DFA C18 98%</t>
  </si>
  <si>
    <t>PKO Residue</t>
  </si>
  <si>
    <t>Aug</t>
  </si>
  <si>
    <t>August</t>
  </si>
  <si>
    <t>B/P CNO for C-18&gt;95%</t>
  </si>
  <si>
    <t>DMRFA (contamination removal)</t>
  </si>
  <si>
    <t xml:space="preserve">DFA C18&gt;95% </t>
  </si>
  <si>
    <t xml:space="preserve">Split Mix residue </t>
  </si>
  <si>
    <t>Mustard  Residue (contamination)</t>
  </si>
  <si>
    <t>Feb</t>
  </si>
  <si>
    <t>B/P of C1218 + B/P PKO</t>
  </si>
  <si>
    <t>Oliec-K</t>
  </si>
  <si>
    <t>Total</t>
  </si>
  <si>
    <t>B/P PKO + BP C1218+S BP CNO for DFA C1898</t>
  </si>
  <si>
    <t>DFA C1898 for Alochol</t>
  </si>
  <si>
    <t>PKO residue</t>
  </si>
  <si>
    <t>Feed</t>
  </si>
  <si>
    <t>K-3 M/D</t>
  </si>
  <si>
    <t>K- L/E</t>
  </si>
  <si>
    <t>C-1898% K-4 M/D</t>
  </si>
  <si>
    <t>K-4 B/P</t>
  </si>
  <si>
    <t>May.16</t>
  </si>
  <si>
    <t xml:space="preserve">B/P CNO for C-1898 </t>
  </si>
  <si>
    <t>DFA C-1898 %</t>
  </si>
  <si>
    <t xml:space="preserve">B/P C-1218 for C-1898 </t>
  </si>
  <si>
    <t>DFA C-1898 % (C-1218 B/P)</t>
  </si>
  <si>
    <t>SPFAD for C-1898</t>
  </si>
  <si>
    <t>DFA C-16 rich (PFAD base)</t>
  </si>
  <si>
    <t>DFA C-1898 % (SPFAD base)</t>
  </si>
  <si>
    <t>Augui.16</t>
  </si>
  <si>
    <t>Dec.16</t>
  </si>
  <si>
    <t>B/P PKO + C1218 for Oliec-K</t>
  </si>
  <si>
    <t xml:space="preserve">SPFAD </t>
  </si>
  <si>
    <t>Mar.17</t>
  </si>
  <si>
    <t xml:space="preserve"> B/P C-1218  for Oleic-k/C-18&gt;95%</t>
  </si>
  <si>
    <t xml:space="preserve"> B/P C1218</t>
  </si>
  <si>
    <t>DFA C16 Rich</t>
  </si>
  <si>
    <t>Oleic-k/ C18 &gt;95 %</t>
  </si>
  <si>
    <t>Oct.16</t>
  </si>
  <si>
    <t>S B/P CNO for C-18&gt;95%</t>
  </si>
  <si>
    <t>B/P CNO for DFA C18 98%</t>
  </si>
  <si>
    <t>April</t>
  </si>
  <si>
    <t>May</t>
  </si>
  <si>
    <t>June</t>
  </si>
  <si>
    <t>July</t>
  </si>
  <si>
    <t>Sept</t>
  </si>
  <si>
    <t>Oct</t>
  </si>
  <si>
    <t>Nov</t>
  </si>
  <si>
    <t>Jan.717</t>
  </si>
  <si>
    <t>Product</t>
  </si>
  <si>
    <t>b/p PKO</t>
  </si>
  <si>
    <t>March</t>
  </si>
  <si>
    <t>B/PC1218</t>
  </si>
  <si>
    <t>C16 rich</t>
  </si>
  <si>
    <t>Feed Qty</t>
  </si>
  <si>
    <t>B/P PKO + B/P 1218</t>
  </si>
  <si>
    <t>Product C1898</t>
  </si>
  <si>
    <t xml:space="preserve">Summary </t>
  </si>
  <si>
    <t>A.</t>
  </si>
  <si>
    <t>Price Comparison - C1898 from PFAD and Bergacid Acid.</t>
  </si>
  <si>
    <t xml:space="preserve">Total C1898 produced in plant from PFAD </t>
  </si>
  <si>
    <t>402 MT.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</si>
</sst>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_-[$$-409]* #,##0.00_ ;_-[$$-409]* \-#,##0.00\ ;_-[$$-409]* &quot;-&quot;??_ ;_-@_ "/>
    <numFmt numFmtId="167" formatCode="_-[$$-409]* #,##0_ ;_-[$$-409]* \-#,##0\ ;_-[$$-409]* &quot;-&quot;??_ ;_-@_ "/>
    <numFmt numFmtId="168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</cellStyleXfs>
  <cellXfs count="36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1" xfId="0" applyBorder="1"/>
    <xf numFmtId="0" fontId="2" fillId="0" borderId="1" xfId="0" applyFont="1" applyBorder="1" applyAlignment="1">
      <alignment horizontal="right"/>
    </xf>
    <xf numFmtId="164" fontId="0" fillId="0" borderId="1" xfId="2" applyFont="1" applyBorder="1"/>
    <xf numFmtId="0" fontId="2" fillId="0" borderId="1" xfId="0" applyFont="1" applyBorder="1"/>
    <xf numFmtId="164" fontId="2" fillId="0" borderId="1" xfId="2" applyFont="1" applyBorder="1"/>
    <xf numFmtId="165" fontId="2" fillId="0" borderId="1" xfId="1" applyNumberFormat="1" applyFont="1" applyBorder="1"/>
    <xf numFmtId="43" fontId="0" fillId="0" borderId="1" xfId="0" applyNumberFormat="1" applyBorder="1"/>
    <xf numFmtId="43" fontId="4" fillId="0" borderId="1" xfId="1" applyFont="1" applyBorder="1"/>
    <xf numFmtId="165" fontId="0" fillId="0" borderId="1" xfId="1" applyNumberFormat="1" applyFont="1" applyBorder="1"/>
    <xf numFmtId="166" fontId="0" fillId="0" borderId="0" xfId="0" applyNumberFormat="1"/>
    <xf numFmtId="165" fontId="0" fillId="0" borderId="0" xfId="1" applyNumberFormat="1" applyFont="1"/>
    <xf numFmtId="164" fontId="2" fillId="2" borderId="1" xfId="2" applyFont="1" applyFill="1" applyBorder="1"/>
    <xf numFmtId="43" fontId="0" fillId="2" borderId="1" xfId="1" applyNumberFormat="1" applyFont="1" applyFill="1" applyBorder="1"/>
    <xf numFmtId="164" fontId="0" fillId="3" borderId="0" xfId="0" applyNumberFormat="1" applyFill="1"/>
    <xf numFmtId="167" fontId="0" fillId="0" borderId="0" xfId="0" applyNumberFormat="1"/>
    <xf numFmtId="43" fontId="0" fillId="0" borderId="0" xfId="0" applyNumberFormat="1"/>
    <xf numFmtId="0" fontId="9" fillId="0" borderId="1" xfId="0" applyFont="1" applyBorder="1"/>
    <xf numFmtId="0" fontId="8" fillId="0" borderId="0" xfId="0" applyFont="1"/>
    <xf numFmtId="2" fontId="0" fillId="0" borderId="0" xfId="0" applyNumberFormat="1"/>
    <xf numFmtId="0" fontId="10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1" xfId="0" applyFont="1" applyBorder="1" applyAlignment="1"/>
    <xf numFmtId="0" fontId="11" fillId="0" borderId="1" xfId="0" applyFont="1" applyBorder="1" applyAlignment="1"/>
    <xf numFmtId="2" fontId="3" fillId="0" borderId="1" xfId="0" applyNumberFormat="1" applyFont="1" applyBorder="1" applyAlignment="1"/>
    <xf numFmtId="0" fontId="10" fillId="0" borderId="1" xfId="0" applyFont="1" applyBorder="1" applyAlignment="1"/>
    <xf numFmtId="0" fontId="3" fillId="0" borderId="0" xfId="0" applyFont="1"/>
    <xf numFmtId="0" fontId="3" fillId="0" borderId="1" xfId="0" applyFont="1" applyBorder="1"/>
    <xf numFmtId="0" fontId="10" fillId="0" borderId="1" xfId="0" applyFont="1" applyBorder="1"/>
    <xf numFmtId="0" fontId="12" fillId="0" borderId="1" xfId="0" applyFont="1" applyBorder="1"/>
    <xf numFmtId="168" fontId="13" fillId="0" borderId="1" xfId="0" applyNumberFormat="1" applyFont="1" applyBorder="1"/>
    <xf numFmtId="1" fontId="3" fillId="0" borderId="1" xfId="0" applyNumberFormat="1" applyFont="1" applyBorder="1"/>
    <xf numFmtId="2" fontId="10" fillId="0" borderId="0" xfId="0" applyNumberFormat="1" applyFont="1"/>
    <xf numFmtId="0" fontId="2" fillId="0" borderId="1" xfId="0" applyFont="1" applyBorder="1" applyAlignment="1">
      <alignment horizontal="center"/>
    </xf>
  </cellXfs>
  <cellStyles count="7">
    <cellStyle name="Comma" xfId="1" builtinId="3"/>
    <cellStyle name="Comma 2" xfId="2"/>
    <cellStyle name="Normal" xfId="0" builtinId="0"/>
    <cellStyle name="Normal 13" xfId="6"/>
    <cellStyle name="Normal 15" xfId="3"/>
    <cellStyle name="Normal 16 2" xfId="4"/>
    <cellStyle name="Normal 18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B7" sqref="B7"/>
    </sheetView>
  </sheetViews>
  <sheetFormatPr defaultRowHeight="15" x14ac:dyDescent="0.25"/>
  <cols>
    <col min="2" max="2" width="52.140625" customWidth="1"/>
    <col min="3" max="3" width="17.28515625" customWidth="1"/>
    <col min="5" max="5" width="10.28515625" bestFit="1" customWidth="1"/>
    <col min="6" max="6" width="10.5703125" bestFit="1" customWidth="1"/>
    <col min="7" max="7" width="16.85546875" bestFit="1" customWidth="1"/>
    <col min="8" max="8" width="14.5703125" bestFit="1" customWidth="1"/>
    <col min="9" max="9" width="16.42578125" bestFit="1" customWidth="1"/>
    <col min="10" max="10" width="9.5703125" bestFit="1" customWidth="1"/>
    <col min="11" max="11" width="18.28515625" bestFit="1" customWidth="1"/>
    <col min="14" max="14" width="8.85546875" customWidth="1"/>
  </cols>
  <sheetData>
    <row r="1" spans="1:7" ht="18.75" x14ac:dyDescent="0.3">
      <c r="B1" s="22" t="s">
        <v>94</v>
      </c>
      <c r="C1" s="23" t="s">
        <v>95</v>
      </c>
    </row>
    <row r="2" spans="1:7" ht="18.75" x14ac:dyDescent="0.3">
      <c r="A2" t="s">
        <v>92</v>
      </c>
      <c r="B2" s="28" t="s">
        <v>93</v>
      </c>
    </row>
    <row r="3" spans="1:7" ht="15.75" x14ac:dyDescent="0.25">
      <c r="B3" s="1" t="s">
        <v>6</v>
      </c>
      <c r="D3" s="35" t="s">
        <v>7</v>
      </c>
      <c r="E3" s="35"/>
      <c r="F3" s="35"/>
      <c r="G3" s="2"/>
    </row>
    <row r="4" spans="1:7" x14ac:dyDescent="0.25">
      <c r="B4" s="3"/>
      <c r="C4" s="3"/>
      <c r="D4" s="4" t="s">
        <v>8</v>
      </c>
      <c r="E4" s="4" t="s">
        <v>9</v>
      </c>
      <c r="F4" s="4" t="s">
        <v>10</v>
      </c>
    </row>
    <row r="5" spans="1:7" x14ac:dyDescent="0.25">
      <c r="B5" s="3"/>
      <c r="C5" s="3"/>
      <c r="D5" s="3"/>
      <c r="E5" s="3"/>
      <c r="F5" s="3"/>
    </row>
    <row r="6" spans="1:7" x14ac:dyDescent="0.25">
      <c r="B6" s="3" t="s">
        <v>17</v>
      </c>
      <c r="C6" s="3"/>
      <c r="D6" s="3">
        <f>'Bck up'!H52+'Bck up'!H55+'Bck up'!H73</f>
        <v>1006.217</v>
      </c>
      <c r="E6" s="5">
        <v>49.2</v>
      </c>
      <c r="F6" s="3">
        <f>+E6*D6</f>
        <v>49505.876400000001</v>
      </c>
      <c r="G6" s="18"/>
    </row>
    <row r="7" spans="1:7" x14ac:dyDescent="0.25">
      <c r="B7" s="3"/>
      <c r="C7" s="3"/>
      <c r="D7" s="3"/>
      <c r="E7" s="5"/>
      <c r="F7" s="3"/>
    </row>
    <row r="8" spans="1:7" x14ac:dyDescent="0.25">
      <c r="B8" s="3" t="s">
        <v>14</v>
      </c>
      <c r="C8" s="3"/>
      <c r="D8" s="3"/>
      <c r="E8" s="3"/>
      <c r="F8" s="3">
        <v>1520</v>
      </c>
    </row>
    <row r="9" spans="1:7" x14ac:dyDescent="0.25">
      <c r="B9" s="3" t="s">
        <v>15</v>
      </c>
      <c r="C9" s="3"/>
      <c r="D9" s="3">
        <f>D6*0.012</f>
        <v>12.074604000000001</v>
      </c>
      <c r="E9" s="5">
        <v>30.172000000000001</v>
      </c>
      <c r="F9" s="3">
        <f>+E9*D9</f>
        <v>364.31495188800005</v>
      </c>
      <c r="G9" s="18"/>
    </row>
    <row r="10" spans="1:7" x14ac:dyDescent="0.25">
      <c r="B10" s="6" t="s">
        <v>17</v>
      </c>
      <c r="C10" s="3"/>
      <c r="D10" s="6">
        <v>984</v>
      </c>
      <c r="E10" s="7">
        <f>+F10/D10</f>
        <v>51.485326674910567</v>
      </c>
      <c r="F10" s="6">
        <f>+F6+F8-F9</f>
        <v>50661.561448111999</v>
      </c>
      <c r="G10" s="18"/>
    </row>
    <row r="11" spans="1:7" x14ac:dyDescent="0.25">
      <c r="B11" s="6" t="s">
        <v>2</v>
      </c>
      <c r="C11" s="6"/>
      <c r="D11" s="6">
        <v>1000</v>
      </c>
      <c r="E11" s="7"/>
      <c r="F11" s="8">
        <f>+F10*D11/D10</f>
        <v>51485.326674910568</v>
      </c>
      <c r="G11" s="18"/>
    </row>
    <row r="12" spans="1:7" x14ac:dyDescent="0.25">
      <c r="B12" s="3"/>
      <c r="C12" s="3"/>
      <c r="D12" s="3"/>
      <c r="E12" s="5"/>
      <c r="F12" s="3"/>
    </row>
    <row r="13" spans="1:7" x14ac:dyDescent="0.25">
      <c r="B13" s="3"/>
      <c r="C13" s="3"/>
      <c r="D13" s="3"/>
      <c r="E13" s="5"/>
      <c r="F13" s="3"/>
    </row>
    <row r="14" spans="1:7" x14ac:dyDescent="0.25">
      <c r="B14" s="19" t="s">
        <v>18</v>
      </c>
      <c r="C14" s="3"/>
      <c r="D14" s="3"/>
      <c r="E14" s="3"/>
      <c r="F14" s="8">
        <v>1474</v>
      </c>
      <c r="G14" s="18"/>
    </row>
    <row r="15" spans="1:7" ht="15.75" x14ac:dyDescent="0.25">
      <c r="B15" s="3" t="s">
        <v>19</v>
      </c>
      <c r="C15" s="3" t="s">
        <v>20</v>
      </c>
      <c r="D15" s="9">
        <v>214.14</v>
      </c>
      <c r="E15" s="10">
        <v>1.58</v>
      </c>
      <c r="F15" s="11">
        <f>+E15*D15</f>
        <v>338.34120000000001</v>
      </c>
    </row>
    <row r="16" spans="1:7" ht="15.75" x14ac:dyDescent="0.25">
      <c r="B16" s="3" t="s">
        <v>22</v>
      </c>
      <c r="C16" s="3" t="s">
        <v>20</v>
      </c>
      <c r="D16" s="9">
        <v>134.4</v>
      </c>
      <c r="E16" s="10">
        <v>4.6399999999999997</v>
      </c>
      <c r="F16" s="11">
        <f>+E16*D16</f>
        <v>623.61599999999999</v>
      </c>
    </row>
    <row r="17" spans="2:9" ht="15.75" x14ac:dyDescent="0.25">
      <c r="B17" s="3" t="s">
        <v>23</v>
      </c>
      <c r="C17" s="3" t="s">
        <v>24</v>
      </c>
      <c r="D17" s="9">
        <v>86.86</v>
      </c>
      <c r="E17" s="10">
        <v>5.9</v>
      </c>
      <c r="F17" s="11">
        <f>+E17*D17</f>
        <v>512.47400000000005</v>
      </c>
      <c r="H17" s="1" t="s">
        <v>25</v>
      </c>
    </row>
    <row r="18" spans="2:9" x14ac:dyDescent="0.25">
      <c r="B18" s="3"/>
      <c r="C18" s="3"/>
      <c r="D18" s="3"/>
      <c r="E18" s="3"/>
      <c r="F18" s="11"/>
      <c r="H18" s="12">
        <v>1150</v>
      </c>
    </row>
    <row r="19" spans="2:9" x14ac:dyDescent="0.25">
      <c r="B19" s="3" t="s">
        <v>26</v>
      </c>
      <c r="C19" s="3"/>
      <c r="D19" s="3">
        <v>489.83600000000001</v>
      </c>
      <c r="E19" s="5">
        <v>61.8</v>
      </c>
      <c r="F19" s="11">
        <f>+E19*D19</f>
        <v>30271.864799999999</v>
      </c>
      <c r="H19" s="12">
        <v>28</v>
      </c>
    </row>
    <row r="20" spans="2:9" x14ac:dyDescent="0.25">
      <c r="B20" s="3" t="s">
        <v>27</v>
      </c>
      <c r="C20" s="3"/>
      <c r="D20" s="3">
        <v>109.21208200000001</v>
      </c>
      <c r="E20" s="5">
        <v>42.781999999999996</v>
      </c>
      <c r="F20" s="11">
        <f>+E20*D20</f>
        <v>4672.3112921239999</v>
      </c>
      <c r="G20" s="18"/>
      <c r="H20" s="12">
        <f>+H19+H18</f>
        <v>1178</v>
      </c>
    </row>
    <row r="21" spans="2:9" x14ac:dyDescent="0.25">
      <c r="B21" s="3"/>
      <c r="C21" s="3"/>
      <c r="D21" s="3"/>
      <c r="E21" s="3"/>
      <c r="F21" s="11"/>
      <c r="H21" s="13">
        <f>H20*65</f>
        <v>76570</v>
      </c>
    </row>
    <row r="22" spans="2:9" x14ac:dyDescent="0.25">
      <c r="B22" s="6" t="s">
        <v>28</v>
      </c>
      <c r="C22" s="3"/>
      <c r="D22" s="6">
        <v>402</v>
      </c>
      <c r="E22" s="14">
        <f>+F22/D22</f>
        <v>44.813807419867089</v>
      </c>
      <c r="F22" s="8">
        <f>+F11+F14-F19-F20</f>
        <v>18015.150582786569</v>
      </c>
      <c r="G22" s="18"/>
      <c r="H22" s="15">
        <f>+H21/1000</f>
        <v>76.569999999999993</v>
      </c>
      <c r="I22" s="16">
        <f>+H22-E22</f>
        <v>31.756192580132904</v>
      </c>
    </row>
    <row r="23" spans="2:9" x14ac:dyDescent="0.25">
      <c r="G23" s="18"/>
    </row>
    <row r="24" spans="2:9" ht="18.75" x14ac:dyDescent="0.3">
      <c r="E24" t="s">
        <v>29</v>
      </c>
      <c r="F24" s="17"/>
      <c r="G24" s="18"/>
      <c r="I24" s="34">
        <f>I22*D22*1000</f>
        <v>12765989.417213429</v>
      </c>
    </row>
    <row r="25" spans="2:9" x14ac:dyDescent="0.25">
      <c r="G25" s="18"/>
    </row>
  </sheetData>
  <mergeCells count="1">
    <mergeCell ref="D3:F3"/>
  </mergeCells>
  <pageMargins left="0.7" right="0.7" top="0.75" bottom="0.75" header="0.3" footer="0.3"/>
  <pageSetup scale="70" fitToWidth="2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14"/>
  <sheetViews>
    <sheetView workbookViewId="0">
      <selection activeCell="G19" sqref="G19"/>
    </sheetView>
  </sheetViews>
  <sheetFormatPr defaultRowHeight="15" x14ac:dyDescent="0.25"/>
  <sheetData>
    <row r="5" spans="3:3" x14ac:dyDescent="0.25">
      <c r="C5" t="s">
        <v>75</v>
      </c>
    </row>
    <row r="6" spans="3:3" x14ac:dyDescent="0.25">
      <c r="C6" t="s">
        <v>76</v>
      </c>
    </row>
    <row r="7" spans="3:3" x14ac:dyDescent="0.25">
      <c r="C7" t="s">
        <v>77</v>
      </c>
    </row>
    <row r="8" spans="3:3" x14ac:dyDescent="0.25">
      <c r="C8" t="s">
        <v>78</v>
      </c>
    </row>
    <row r="9" spans="3:3" x14ac:dyDescent="0.25">
      <c r="C9" t="s">
        <v>36</v>
      </c>
    </row>
    <row r="10" spans="3:3" x14ac:dyDescent="0.25">
      <c r="C10" t="s">
        <v>79</v>
      </c>
    </row>
    <row r="11" spans="3:3" x14ac:dyDescent="0.25">
      <c r="C11" t="s">
        <v>80</v>
      </c>
    </row>
    <row r="12" spans="3:3" x14ac:dyDescent="0.25">
      <c r="C12" t="s">
        <v>81</v>
      </c>
    </row>
    <row r="13" spans="3:3" x14ac:dyDescent="0.25">
      <c r="C13" t="s">
        <v>30</v>
      </c>
    </row>
    <row r="14" spans="3:3" x14ac:dyDescent="0.25">
      <c r="C14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9"/>
  <sheetViews>
    <sheetView topLeftCell="A68" zoomScaleNormal="100" workbookViewId="0">
      <pane xSplit="19980" topLeftCell="B1"/>
      <selection activeCell="G92" sqref="G92:H100"/>
      <selection pane="topRight" activeCell="K26" sqref="K26"/>
    </sheetView>
  </sheetViews>
  <sheetFormatPr defaultRowHeight="15" x14ac:dyDescent="0.25"/>
  <cols>
    <col min="1" max="1" width="16.28515625" customWidth="1"/>
    <col min="2" max="2" width="13.85546875" customWidth="1"/>
    <col min="3" max="3" width="14.42578125" customWidth="1"/>
    <col min="6" max="6" width="11.42578125" customWidth="1"/>
    <col min="7" max="7" width="31" customWidth="1"/>
    <col min="8" max="8" width="14.28515625" customWidth="1"/>
    <col min="9" max="9" width="22.28515625" customWidth="1"/>
    <col min="10" max="10" width="10.7109375" customWidth="1"/>
    <col min="11" max="11" width="20.85546875" customWidth="1"/>
    <col min="13" max="13" width="2.85546875" customWidth="1"/>
    <col min="17" max="17" width="9.140625" customWidth="1"/>
  </cols>
  <sheetData>
    <row r="1" spans="1:17" x14ac:dyDescent="0.25">
      <c r="G1" t="s">
        <v>63</v>
      </c>
    </row>
    <row r="2" spans="1:17" x14ac:dyDescent="0.25">
      <c r="A2" t="s">
        <v>72</v>
      </c>
      <c r="G2" t="s">
        <v>56</v>
      </c>
      <c r="K2" t="s">
        <v>64</v>
      </c>
      <c r="N2" t="s">
        <v>43</v>
      </c>
    </row>
    <row r="3" spans="1:17" x14ac:dyDescent="0.25">
      <c r="A3" t="s">
        <v>68</v>
      </c>
      <c r="C3" t="s">
        <v>55</v>
      </c>
      <c r="G3" t="s">
        <v>50</v>
      </c>
      <c r="K3" t="s">
        <v>44</v>
      </c>
      <c r="L3">
        <v>395.13400000000001</v>
      </c>
      <c r="N3" t="s">
        <v>38</v>
      </c>
      <c r="Q3">
        <v>0</v>
      </c>
    </row>
    <row r="4" spans="1:17" x14ac:dyDescent="0.25">
      <c r="A4" t="s">
        <v>50</v>
      </c>
      <c r="C4" t="s">
        <v>17</v>
      </c>
      <c r="D4">
        <v>104.959</v>
      </c>
      <c r="E4" s="20"/>
      <c r="G4" t="s">
        <v>56</v>
      </c>
      <c r="I4">
        <v>396.666</v>
      </c>
      <c r="J4" s="20"/>
      <c r="K4" t="s">
        <v>11</v>
      </c>
      <c r="N4" t="s">
        <v>50</v>
      </c>
      <c r="Q4">
        <v>0</v>
      </c>
    </row>
    <row r="5" spans="1:17" x14ac:dyDescent="0.25">
      <c r="A5" t="s">
        <v>69</v>
      </c>
      <c r="B5">
        <v>260.08800000000002</v>
      </c>
      <c r="C5" t="s">
        <v>11</v>
      </c>
      <c r="E5" s="20"/>
      <c r="G5" t="s">
        <v>11</v>
      </c>
      <c r="J5" s="20"/>
      <c r="L5">
        <v>0</v>
      </c>
      <c r="N5" t="s">
        <v>38</v>
      </c>
      <c r="Q5">
        <v>559.2315000000001</v>
      </c>
    </row>
    <row r="6" spans="1:17" x14ac:dyDescent="0.25">
      <c r="A6" t="s">
        <v>11</v>
      </c>
      <c r="C6" t="s">
        <v>51</v>
      </c>
      <c r="D6">
        <v>52.835999999999999</v>
      </c>
      <c r="E6" s="20"/>
      <c r="G6" t="s">
        <v>31</v>
      </c>
      <c r="I6">
        <v>185.589</v>
      </c>
      <c r="J6" s="20"/>
      <c r="K6" t="s">
        <v>12</v>
      </c>
      <c r="L6">
        <v>113.654</v>
      </c>
      <c r="N6" t="s">
        <v>11</v>
      </c>
      <c r="Q6">
        <v>0</v>
      </c>
    </row>
    <row r="7" spans="1:17" x14ac:dyDescent="0.25">
      <c r="A7" t="s">
        <v>70</v>
      </c>
      <c r="B7">
        <v>0</v>
      </c>
      <c r="C7" t="s">
        <v>52</v>
      </c>
      <c r="D7">
        <v>1.488</v>
      </c>
      <c r="E7" s="20"/>
      <c r="G7" t="s">
        <v>31</v>
      </c>
      <c r="I7">
        <v>8.3670000000000009</v>
      </c>
      <c r="J7" s="20"/>
      <c r="K7" t="s">
        <v>45</v>
      </c>
      <c r="L7">
        <v>221.637</v>
      </c>
      <c r="N7" t="s">
        <v>39</v>
      </c>
      <c r="Q7">
        <v>31.119999999999997</v>
      </c>
    </row>
    <row r="8" spans="1:17" x14ac:dyDescent="0.25">
      <c r="A8" t="s">
        <v>70</v>
      </c>
      <c r="B8">
        <v>97.296999999999997</v>
      </c>
      <c r="C8" t="s">
        <v>53</v>
      </c>
      <c r="D8">
        <v>41.421999999999997</v>
      </c>
      <c r="E8" s="20"/>
      <c r="G8" t="s">
        <v>57</v>
      </c>
      <c r="I8">
        <v>133.12899999999999</v>
      </c>
      <c r="J8" s="20"/>
      <c r="K8" t="s">
        <v>16</v>
      </c>
      <c r="L8">
        <v>59.843000000000004</v>
      </c>
      <c r="N8" t="s">
        <v>12</v>
      </c>
      <c r="Q8">
        <v>185.70100000000002</v>
      </c>
    </row>
    <row r="9" spans="1:17" x14ac:dyDescent="0.25">
      <c r="A9" t="s">
        <v>71</v>
      </c>
      <c r="B9">
        <v>142.44300000000001</v>
      </c>
      <c r="C9" t="s">
        <v>54</v>
      </c>
      <c r="D9">
        <v>10.491082000000002</v>
      </c>
      <c r="E9" s="20"/>
      <c r="G9" t="s">
        <v>49</v>
      </c>
      <c r="I9">
        <v>69.581000000000017</v>
      </c>
      <c r="J9" s="20"/>
      <c r="L9">
        <v>0</v>
      </c>
      <c r="N9" t="s">
        <v>40</v>
      </c>
      <c r="Q9">
        <v>291.50099999999998</v>
      </c>
    </row>
    <row r="10" spans="1:17" x14ac:dyDescent="0.25">
      <c r="B10">
        <v>0</v>
      </c>
      <c r="C10" t="s">
        <v>46</v>
      </c>
      <c r="D10">
        <v>106.237082</v>
      </c>
      <c r="G10" t="s">
        <v>46</v>
      </c>
      <c r="I10">
        <v>396.666</v>
      </c>
      <c r="L10">
        <v>0</v>
      </c>
      <c r="N10" t="s">
        <v>41</v>
      </c>
      <c r="Q10">
        <v>46.1295</v>
      </c>
    </row>
    <row r="11" spans="1:17" x14ac:dyDescent="0.25">
      <c r="A11" t="s">
        <v>35</v>
      </c>
      <c r="B11">
        <v>20.348000000000031</v>
      </c>
      <c r="G11" t="s">
        <v>58</v>
      </c>
      <c r="L11">
        <v>395.13400000000001</v>
      </c>
      <c r="Q11">
        <v>0</v>
      </c>
    </row>
    <row r="12" spans="1:17" x14ac:dyDescent="0.25">
      <c r="B12">
        <v>260.08800000000002</v>
      </c>
      <c r="G12" t="s">
        <v>50</v>
      </c>
      <c r="J12" s="20"/>
      <c r="N12" t="s">
        <v>42</v>
      </c>
      <c r="Q12">
        <v>4.7800000000000011</v>
      </c>
    </row>
    <row r="13" spans="1:17" x14ac:dyDescent="0.25">
      <c r="C13" t="s">
        <v>67</v>
      </c>
      <c r="G13" t="s">
        <v>58</v>
      </c>
      <c r="I13">
        <v>286.04699999999997</v>
      </c>
      <c r="J13" s="20"/>
      <c r="Q13">
        <v>559.2315000000001</v>
      </c>
    </row>
    <row r="14" spans="1:17" x14ac:dyDescent="0.25">
      <c r="G14" t="s">
        <v>11</v>
      </c>
      <c r="J14" s="20"/>
    </row>
    <row r="15" spans="1:17" x14ac:dyDescent="0.25">
      <c r="C15" t="s">
        <v>21</v>
      </c>
      <c r="G15" t="s">
        <v>31</v>
      </c>
      <c r="I15">
        <v>86.932999999999993</v>
      </c>
      <c r="J15" s="20"/>
      <c r="N15" t="s">
        <v>43</v>
      </c>
    </row>
    <row r="16" spans="1:17" x14ac:dyDescent="0.25">
      <c r="C16" t="s">
        <v>50</v>
      </c>
      <c r="G16" t="s">
        <v>31</v>
      </c>
      <c r="I16">
        <v>5.1710000000000003</v>
      </c>
      <c r="J16" s="20"/>
      <c r="N16" t="s">
        <v>65</v>
      </c>
    </row>
    <row r="17" spans="3:17" x14ac:dyDescent="0.25">
      <c r="C17" t="s">
        <v>66</v>
      </c>
      <c r="F17">
        <v>745.70299999999997</v>
      </c>
      <c r="G17" t="s">
        <v>59</v>
      </c>
      <c r="I17">
        <v>171.79300000000001</v>
      </c>
      <c r="J17" s="20"/>
      <c r="N17" t="s">
        <v>50</v>
      </c>
    </row>
    <row r="18" spans="3:17" x14ac:dyDescent="0.25">
      <c r="C18" t="s">
        <v>11</v>
      </c>
      <c r="F18">
        <v>0</v>
      </c>
      <c r="G18" t="s">
        <v>49</v>
      </c>
      <c r="I18">
        <v>22.15</v>
      </c>
      <c r="J18" s="20"/>
      <c r="N18" t="s">
        <v>47</v>
      </c>
      <c r="Q18">
        <v>307.03499999999997</v>
      </c>
    </row>
    <row r="19" spans="3:17" x14ac:dyDescent="0.25">
      <c r="C19" t="s">
        <v>12</v>
      </c>
      <c r="F19">
        <v>359.90300000000002</v>
      </c>
      <c r="G19" t="s">
        <v>46</v>
      </c>
      <c r="I19">
        <v>286.04699999999997</v>
      </c>
      <c r="N19" t="s">
        <v>11</v>
      </c>
      <c r="Q19">
        <v>0</v>
      </c>
    </row>
    <row r="20" spans="3:17" x14ac:dyDescent="0.25">
      <c r="C20" t="s">
        <v>13</v>
      </c>
      <c r="F20">
        <v>296.87600000000003</v>
      </c>
      <c r="G20" t="s">
        <v>60</v>
      </c>
      <c r="N20" t="s">
        <v>31</v>
      </c>
      <c r="Q20">
        <v>0</v>
      </c>
    </row>
    <row r="21" spans="3:17" x14ac:dyDescent="0.25">
      <c r="F21">
        <v>0</v>
      </c>
      <c r="G21" t="s">
        <v>50</v>
      </c>
      <c r="N21" t="s">
        <v>31</v>
      </c>
      <c r="Q21">
        <v>123.31400000000001</v>
      </c>
    </row>
    <row r="22" spans="3:17" x14ac:dyDescent="0.25">
      <c r="C22" t="s">
        <v>16</v>
      </c>
      <c r="F22">
        <v>88.923999999999992</v>
      </c>
      <c r="G22" t="s">
        <v>17</v>
      </c>
      <c r="I22">
        <v>155.55500000000001</v>
      </c>
      <c r="N22" t="s">
        <v>48</v>
      </c>
      <c r="Q22">
        <v>160.32</v>
      </c>
    </row>
    <row r="23" spans="3:17" x14ac:dyDescent="0.25">
      <c r="C23" t="s">
        <v>46</v>
      </c>
      <c r="F23">
        <v>745.70299999999997</v>
      </c>
      <c r="G23" t="s">
        <v>11</v>
      </c>
      <c r="N23" t="s">
        <v>49</v>
      </c>
      <c r="Q23">
        <v>23.400999999999996</v>
      </c>
    </row>
    <row r="24" spans="3:17" x14ac:dyDescent="0.25">
      <c r="G24" t="s">
        <v>61</v>
      </c>
      <c r="I24">
        <v>77.096999999999994</v>
      </c>
      <c r="N24" t="s">
        <v>46</v>
      </c>
      <c r="Q24">
        <v>307.03499999999997</v>
      </c>
    </row>
    <row r="25" spans="3:17" x14ac:dyDescent="0.25">
      <c r="G25" t="s">
        <v>61</v>
      </c>
      <c r="I25">
        <v>4.274</v>
      </c>
    </row>
    <row r="26" spans="3:17" x14ac:dyDescent="0.25">
      <c r="G26" t="s">
        <v>62</v>
      </c>
      <c r="I26">
        <v>64.387</v>
      </c>
    </row>
    <row r="27" spans="3:17" x14ac:dyDescent="0.25">
      <c r="G27" t="s">
        <v>16</v>
      </c>
      <c r="I27">
        <v>9.7970000000000113</v>
      </c>
    </row>
    <row r="28" spans="3:17" x14ac:dyDescent="0.25">
      <c r="G28" t="s">
        <v>46</v>
      </c>
      <c r="I28">
        <v>155.55500000000001</v>
      </c>
    </row>
    <row r="30" spans="3:17" x14ac:dyDescent="0.25">
      <c r="F30">
        <f>D8+F20+I8+I17+I26+Q9+Q22+L7+E36+I38+I47+B9</f>
        <v>1974.577</v>
      </c>
    </row>
    <row r="32" spans="3:17" x14ac:dyDescent="0.25">
      <c r="C32" t="s">
        <v>73</v>
      </c>
      <c r="E32">
        <v>158.6</v>
      </c>
      <c r="G32" t="s">
        <v>33</v>
      </c>
    </row>
    <row r="33" spans="3:9" x14ac:dyDescent="0.25">
      <c r="C33" t="s">
        <v>11</v>
      </c>
      <c r="E33">
        <v>0</v>
      </c>
      <c r="G33" t="s">
        <v>50</v>
      </c>
    </row>
    <row r="34" spans="3:9" x14ac:dyDescent="0.25">
      <c r="C34" t="s">
        <v>39</v>
      </c>
      <c r="E34">
        <v>0</v>
      </c>
      <c r="G34" t="s">
        <v>33</v>
      </c>
      <c r="I34">
        <v>444.67500000000013</v>
      </c>
    </row>
    <row r="35" spans="3:9" x14ac:dyDescent="0.25">
      <c r="C35" t="s">
        <v>12</v>
      </c>
      <c r="E35">
        <v>69.12</v>
      </c>
      <c r="G35" t="s">
        <v>11</v>
      </c>
    </row>
    <row r="36" spans="3:9" x14ac:dyDescent="0.25">
      <c r="C36" t="s">
        <v>40</v>
      </c>
      <c r="E36">
        <v>80.989999999999995</v>
      </c>
      <c r="G36" t="s">
        <v>31</v>
      </c>
      <c r="I36">
        <v>146.23099999999999</v>
      </c>
    </row>
    <row r="37" spans="3:9" x14ac:dyDescent="0.25">
      <c r="C37" t="s">
        <v>41</v>
      </c>
      <c r="E37">
        <v>8.495000000000001</v>
      </c>
      <c r="G37" t="s">
        <v>31</v>
      </c>
      <c r="I37">
        <v>29.414000000000001</v>
      </c>
    </row>
    <row r="38" spans="3:9" x14ac:dyDescent="0.25">
      <c r="E38">
        <v>0</v>
      </c>
      <c r="G38" t="s">
        <v>34</v>
      </c>
      <c r="I38">
        <v>224.23899999999995</v>
      </c>
    </row>
    <row r="39" spans="3:9" x14ac:dyDescent="0.25">
      <c r="C39" t="s">
        <v>42</v>
      </c>
      <c r="E39">
        <v>0</v>
      </c>
      <c r="G39" t="s">
        <v>35</v>
      </c>
      <c r="I39">
        <v>44.791000000000182</v>
      </c>
    </row>
    <row r="40" spans="3:9" x14ac:dyDescent="0.25">
      <c r="E40">
        <v>158.60499999999999</v>
      </c>
      <c r="G40" t="s">
        <v>46</v>
      </c>
      <c r="I40">
        <v>444.67500000000013</v>
      </c>
    </row>
    <row r="41" spans="3:9" x14ac:dyDescent="0.25">
      <c r="C41" t="s">
        <v>42</v>
      </c>
      <c r="G41" t="s">
        <v>74</v>
      </c>
    </row>
    <row r="42" spans="3:9" x14ac:dyDescent="0.25">
      <c r="G42" t="s">
        <v>50</v>
      </c>
    </row>
    <row r="43" spans="3:9" x14ac:dyDescent="0.25">
      <c r="G43" t="s">
        <v>74</v>
      </c>
      <c r="I43">
        <v>575.39</v>
      </c>
    </row>
    <row r="44" spans="3:9" x14ac:dyDescent="0.25">
      <c r="G44" t="s">
        <v>11</v>
      </c>
    </row>
    <row r="45" spans="3:9" x14ac:dyDescent="0.25">
      <c r="G45" t="s">
        <v>31</v>
      </c>
      <c r="I45">
        <v>319.33299999999997</v>
      </c>
    </row>
    <row r="46" spans="3:9" x14ac:dyDescent="0.25">
      <c r="G46" t="s">
        <v>31</v>
      </c>
      <c r="I46">
        <v>35.20000000000001</v>
      </c>
    </row>
    <row r="47" spans="3:9" x14ac:dyDescent="0.25">
      <c r="G47" t="s">
        <v>34</v>
      </c>
      <c r="I47">
        <v>145.84000000000009</v>
      </c>
    </row>
    <row r="48" spans="3:9" x14ac:dyDescent="0.25">
      <c r="G48" t="s">
        <v>35</v>
      </c>
      <c r="I48">
        <v>75.016999999999953</v>
      </c>
    </row>
    <row r="49" spans="7:10" x14ac:dyDescent="0.25">
      <c r="G49" t="s">
        <v>46</v>
      </c>
      <c r="I49">
        <v>575.39</v>
      </c>
    </row>
    <row r="51" spans="7:10" x14ac:dyDescent="0.25">
      <c r="G51" s="20" t="s">
        <v>76</v>
      </c>
      <c r="H51" s="20"/>
      <c r="I51" s="20"/>
    </row>
    <row r="52" spans="7:10" x14ac:dyDescent="0.25">
      <c r="G52" s="20" t="str">
        <f>C4</f>
        <v>SPFAD</v>
      </c>
      <c r="H52" s="20">
        <f>D4</f>
        <v>104.959</v>
      </c>
      <c r="I52" s="20">
        <f>D8</f>
        <v>41.421999999999997</v>
      </c>
    </row>
    <row r="53" spans="7:10" x14ac:dyDescent="0.25">
      <c r="G53" s="20"/>
      <c r="H53" s="20"/>
      <c r="I53" s="20"/>
    </row>
    <row r="54" spans="7:10" x14ac:dyDescent="0.25">
      <c r="G54" s="20" t="s">
        <v>37</v>
      </c>
      <c r="H54" s="20" t="s">
        <v>50</v>
      </c>
      <c r="I54" s="20" t="s">
        <v>83</v>
      </c>
    </row>
    <row r="55" spans="7:10" x14ac:dyDescent="0.25">
      <c r="G55" s="20" t="s">
        <v>2</v>
      </c>
      <c r="H55" s="20">
        <f>I22</f>
        <v>155.55500000000001</v>
      </c>
      <c r="I55" s="20">
        <f>I26</f>
        <v>64.387</v>
      </c>
    </row>
    <row r="56" spans="7:10" x14ac:dyDescent="0.25">
      <c r="G56" s="20" t="s">
        <v>86</v>
      </c>
      <c r="H56" s="20">
        <f>I13</f>
        <v>286.04699999999997</v>
      </c>
      <c r="I56" s="20">
        <f>I17</f>
        <v>171.79300000000001</v>
      </c>
    </row>
    <row r="57" spans="7:10" x14ac:dyDescent="0.25">
      <c r="G57" s="20" t="s">
        <v>4</v>
      </c>
      <c r="H57" s="20">
        <f>I4+I43</f>
        <v>972.05600000000004</v>
      </c>
      <c r="I57" s="20">
        <f>I8+I47</f>
        <v>278.96900000000005</v>
      </c>
    </row>
    <row r="58" spans="7:10" x14ac:dyDescent="0.25">
      <c r="G58" s="20" t="s">
        <v>84</v>
      </c>
      <c r="H58" s="20">
        <f>I34</f>
        <v>444.67500000000013</v>
      </c>
      <c r="I58" s="20">
        <f>I38</f>
        <v>224.23899999999995</v>
      </c>
    </row>
    <row r="59" spans="7:10" x14ac:dyDescent="0.25">
      <c r="G59" s="20"/>
      <c r="H59" s="20"/>
      <c r="I59" s="20">
        <f>SUM(I55:I58)</f>
        <v>739.38800000000003</v>
      </c>
    </row>
    <row r="60" spans="7:10" x14ac:dyDescent="0.25">
      <c r="G60" s="20"/>
      <c r="H60" s="20"/>
      <c r="I60" s="20"/>
    </row>
    <row r="61" spans="7:10" x14ac:dyDescent="0.25">
      <c r="G61" s="20" t="s">
        <v>80</v>
      </c>
      <c r="H61" s="20"/>
      <c r="I61" s="20"/>
      <c r="J61" s="20"/>
    </row>
    <row r="62" spans="7:10" x14ac:dyDescent="0.25">
      <c r="G62" s="20" t="str">
        <f>A3</f>
        <v xml:space="preserve"> B/P C-1218  for Oleic-k/C-18&gt;95%</v>
      </c>
      <c r="H62" s="20">
        <f>B5</f>
        <v>260.08800000000002</v>
      </c>
      <c r="I62" s="20">
        <f>B9</f>
        <v>142.44300000000001</v>
      </c>
      <c r="J62" s="20"/>
    </row>
    <row r="63" spans="7:10" x14ac:dyDescent="0.25">
      <c r="G63" s="20"/>
      <c r="H63" s="20"/>
      <c r="I63" s="20"/>
      <c r="J63" s="20"/>
    </row>
    <row r="64" spans="7:10" x14ac:dyDescent="0.25">
      <c r="G64" s="20" t="s">
        <v>30</v>
      </c>
      <c r="H64" s="20"/>
      <c r="I64" s="20"/>
      <c r="J64" s="20"/>
    </row>
    <row r="65" spans="7:10" x14ac:dyDescent="0.25">
      <c r="G65" s="20" t="str">
        <f>K3</f>
        <v>B/P of C1218 + B/P PKO</v>
      </c>
      <c r="H65" s="20">
        <f>L3</f>
        <v>395.13400000000001</v>
      </c>
      <c r="I65" s="20">
        <f>L7</f>
        <v>221.637</v>
      </c>
      <c r="J65" s="20"/>
    </row>
    <row r="66" spans="7:10" x14ac:dyDescent="0.25">
      <c r="G66" s="20"/>
      <c r="H66" s="20"/>
      <c r="I66" s="20"/>
      <c r="J66" s="20"/>
    </row>
    <row r="67" spans="7:10" x14ac:dyDescent="0.25">
      <c r="G67" s="20" t="s">
        <v>43</v>
      </c>
      <c r="H67" s="20"/>
      <c r="I67" s="20"/>
      <c r="J67" s="20"/>
    </row>
    <row r="68" spans="7:10" x14ac:dyDescent="0.25">
      <c r="G68" s="20" t="str">
        <f>N3</f>
        <v>B/P CNO for C-18&gt;95%</v>
      </c>
      <c r="H68" s="20">
        <f>Q5</f>
        <v>559.2315000000001</v>
      </c>
      <c r="I68" s="20">
        <f>Q9</f>
        <v>291.50099999999998</v>
      </c>
      <c r="J68" s="20"/>
    </row>
    <row r="69" spans="7:10" x14ac:dyDescent="0.25">
      <c r="G69" s="20" t="str">
        <f>N16</f>
        <v>B/P PKO + C1218 for Oliec-K</v>
      </c>
      <c r="H69" s="20">
        <f>Q18</f>
        <v>307.03499999999997</v>
      </c>
      <c r="I69" s="20">
        <f>Q22</f>
        <v>160.32</v>
      </c>
      <c r="J69" s="20"/>
    </row>
    <row r="70" spans="7:10" x14ac:dyDescent="0.25">
      <c r="G70" s="20"/>
      <c r="H70" s="20"/>
      <c r="I70" s="20">
        <f>SUM(I68:I69)</f>
        <v>451.82099999999997</v>
      </c>
      <c r="J70" s="20"/>
    </row>
    <row r="71" spans="7:10" x14ac:dyDescent="0.25">
      <c r="G71" s="20"/>
      <c r="H71" s="20"/>
      <c r="I71" s="20"/>
      <c r="J71" s="20"/>
    </row>
    <row r="72" spans="7:10" x14ac:dyDescent="0.25">
      <c r="G72" s="20" t="s">
        <v>85</v>
      </c>
      <c r="H72" s="20"/>
      <c r="I72" s="20"/>
      <c r="J72" s="20"/>
    </row>
    <row r="73" spans="7:10" x14ac:dyDescent="0.25">
      <c r="G73" s="20" t="str">
        <f>C4</f>
        <v>SPFAD</v>
      </c>
      <c r="H73" s="20">
        <f>F17</f>
        <v>745.70299999999997</v>
      </c>
      <c r="I73" s="20">
        <f>F20</f>
        <v>296.87600000000003</v>
      </c>
      <c r="J73" s="20"/>
    </row>
    <row r="74" spans="7:10" x14ac:dyDescent="0.25">
      <c r="G74" s="20" t="str">
        <f>C32</f>
        <v>S B/P CNO for C-18&gt;95%</v>
      </c>
      <c r="H74" s="20">
        <f>E32</f>
        <v>158.6</v>
      </c>
      <c r="I74" s="20">
        <f>E36</f>
        <v>80.989999999999995</v>
      </c>
      <c r="J74" s="20"/>
    </row>
    <row r="75" spans="7:10" x14ac:dyDescent="0.25">
      <c r="G75" s="20"/>
      <c r="H75" s="20"/>
      <c r="I75" s="20">
        <f>SUM(I73:I74)</f>
        <v>377.86600000000004</v>
      </c>
      <c r="J75" s="20"/>
    </row>
    <row r="76" spans="7:10" x14ac:dyDescent="0.25">
      <c r="G76" s="20"/>
      <c r="H76" s="20"/>
      <c r="I76" s="20"/>
      <c r="J76" s="20"/>
    </row>
    <row r="77" spans="7:10" x14ac:dyDescent="0.25">
      <c r="G77" s="20"/>
      <c r="H77" s="20"/>
      <c r="I77" s="20"/>
      <c r="J77" s="20"/>
    </row>
    <row r="78" spans="7:10" x14ac:dyDescent="0.25">
      <c r="G78" s="20"/>
      <c r="H78" s="20"/>
      <c r="I78" s="20">
        <f>I59+I62+I65+I70+I75+I52</f>
        <v>1974.577</v>
      </c>
      <c r="J78" s="20"/>
    </row>
    <row r="79" spans="7:10" x14ac:dyDescent="0.25">
      <c r="G79" s="20"/>
      <c r="H79" s="20"/>
      <c r="I79" s="20"/>
      <c r="J79" s="20"/>
    </row>
    <row r="80" spans="7:10" x14ac:dyDescent="0.25">
      <c r="G80" s="20" t="s">
        <v>45</v>
      </c>
      <c r="H80" s="20"/>
      <c r="I80" s="20"/>
      <c r="J80" s="20"/>
    </row>
    <row r="81" spans="7:14" x14ac:dyDescent="0.25">
      <c r="G81" s="20" t="s">
        <v>3</v>
      </c>
      <c r="H81" s="20"/>
      <c r="I81" s="20">
        <v>954</v>
      </c>
    </row>
    <row r="82" spans="7:14" x14ac:dyDescent="0.25">
      <c r="G82" s="20"/>
      <c r="H82" s="20"/>
      <c r="I82" s="20"/>
    </row>
    <row r="83" spans="7:14" ht="18.75" x14ac:dyDescent="0.3">
      <c r="G83" s="24"/>
      <c r="H83" s="24"/>
      <c r="I83" s="24"/>
      <c r="J83" s="24"/>
      <c r="K83" s="24"/>
    </row>
    <row r="84" spans="7:14" ht="18.75" x14ac:dyDescent="0.3">
      <c r="G84" s="24" t="s">
        <v>50</v>
      </c>
      <c r="H84" s="24" t="s">
        <v>88</v>
      </c>
      <c r="I84" s="24" t="s">
        <v>90</v>
      </c>
      <c r="J84" s="24" t="s">
        <v>87</v>
      </c>
      <c r="K84" s="24" t="s">
        <v>27</v>
      </c>
    </row>
    <row r="85" spans="7:14" ht="18.75" x14ac:dyDescent="0.3">
      <c r="G85" s="25" t="s">
        <v>17</v>
      </c>
      <c r="H85" s="26">
        <f>H52+H73+H55</f>
        <v>1006.2170000000001</v>
      </c>
      <c r="I85" s="26">
        <f>I52+I55+I73</f>
        <v>402.68500000000006</v>
      </c>
      <c r="J85" s="26">
        <f>D6+F19+I24</f>
        <v>489.83600000000001</v>
      </c>
      <c r="K85" s="26">
        <f>D9+F22+I27</f>
        <v>109.21208200000001</v>
      </c>
    </row>
    <row r="86" spans="7:14" ht="18.75" x14ac:dyDescent="0.3">
      <c r="G86" s="25" t="s">
        <v>32</v>
      </c>
      <c r="H86" s="26">
        <f>H56+H62</f>
        <v>546.13499999999999</v>
      </c>
      <c r="I86" s="26">
        <f>I56+I62</f>
        <v>314.23599999999999</v>
      </c>
      <c r="J86" s="26">
        <f>I15+I16+B8</f>
        <v>189.40100000000001</v>
      </c>
      <c r="K86" s="26">
        <f>I18+B11</f>
        <v>42.498000000000033</v>
      </c>
    </row>
    <row r="87" spans="7:14" ht="18.75" x14ac:dyDescent="0.3">
      <c r="G87" s="25" t="s">
        <v>3</v>
      </c>
      <c r="H87" s="26">
        <f>H58</f>
        <v>444.67500000000013</v>
      </c>
      <c r="I87" s="26">
        <f>I58</f>
        <v>224.23899999999995</v>
      </c>
      <c r="J87" s="26">
        <f>I36+I37</f>
        <v>175.64499999999998</v>
      </c>
      <c r="K87" s="26">
        <f>I39</f>
        <v>44.791000000000182</v>
      </c>
    </row>
    <row r="88" spans="7:14" ht="18.75" x14ac:dyDescent="0.3">
      <c r="G88" s="25" t="s">
        <v>4</v>
      </c>
      <c r="H88" s="26">
        <f>H57+H68+H74</f>
        <v>1689.8875</v>
      </c>
      <c r="I88" s="26">
        <f>I57+I68+I74</f>
        <v>651.46</v>
      </c>
      <c r="J88" s="26">
        <f>E35+I6+I7+I45+I46+Q8+40</f>
        <v>843.31000000000006</v>
      </c>
      <c r="K88" s="26">
        <f>I9+I48+Q10+E37</f>
        <v>199.22249999999997</v>
      </c>
    </row>
    <row r="89" spans="7:14" ht="18.75" x14ac:dyDescent="0.3">
      <c r="G89" s="25"/>
      <c r="H89" s="26"/>
      <c r="I89" s="26"/>
      <c r="J89" s="26"/>
      <c r="K89" s="26"/>
    </row>
    <row r="90" spans="7:14" ht="18.75" x14ac:dyDescent="0.3">
      <c r="G90" s="25" t="s">
        <v>89</v>
      </c>
      <c r="H90" s="26">
        <f>H69+H65</f>
        <v>702.16899999999998</v>
      </c>
      <c r="I90" s="26">
        <f>I69+I65</f>
        <v>381.95699999999999</v>
      </c>
      <c r="J90" s="26">
        <f>Q21+L6</f>
        <v>236.96800000000002</v>
      </c>
      <c r="K90" s="26">
        <f>Q23+L8</f>
        <v>83.244</v>
      </c>
    </row>
    <row r="91" spans="7:14" ht="18.75" x14ac:dyDescent="0.3">
      <c r="G91" s="24"/>
      <c r="H91" s="26">
        <f>SUM(H85:H90)</f>
        <v>4389.0835000000006</v>
      </c>
      <c r="I91" s="26">
        <f t="shared" ref="I91:K91" si="0">SUM(I85:I90)</f>
        <v>1974.5769999999998</v>
      </c>
      <c r="J91" s="26">
        <f t="shared" si="0"/>
        <v>1935.16</v>
      </c>
      <c r="K91" s="26">
        <f t="shared" si="0"/>
        <v>478.96758200000022</v>
      </c>
      <c r="L91" s="21"/>
      <c r="N91" s="21"/>
    </row>
    <row r="92" spans="7:14" ht="18.75" x14ac:dyDescent="0.3">
      <c r="G92" s="24"/>
      <c r="H92" s="24"/>
      <c r="I92" s="24"/>
      <c r="J92" s="24"/>
      <c r="K92" s="24"/>
    </row>
    <row r="93" spans="7:14" ht="18.75" x14ac:dyDescent="0.3">
      <c r="G93" s="27"/>
      <c r="H93" s="27"/>
      <c r="I93" s="24"/>
      <c r="J93" s="24"/>
      <c r="K93" s="24"/>
    </row>
    <row r="94" spans="7:14" ht="18.75" x14ac:dyDescent="0.3">
      <c r="G94" s="24"/>
      <c r="H94" s="24"/>
      <c r="I94" s="24"/>
      <c r="J94" s="24"/>
      <c r="K94" s="24"/>
    </row>
    <row r="95" spans="7:14" ht="18.75" x14ac:dyDescent="0.3">
      <c r="G95" s="24"/>
      <c r="H95" s="24"/>
      <c r="I95" s="24"/>
      <c r="J95" s="24"/>
      <c r="K95" s="24"/>
    </row>
    <row r="96" spans="7:14" ht="18.75" x14ac:dyDescent="0.3">
      <c r="G96" s="24"/>
      <c r="H96" s="24"/>
      <c r="I96" s="24"/>
      <c r="J96" s="24"/>
      <c r="K96" s="24"/>
    </row>
    <row r="97" spans="7:11" ht="18.75" x14ac:dyDescent="0.3">
      <c r="G97" s="24"/>
      <c r="H97" s="24"/>
      <c r="I97" s="24"/>
      <c r="J97" s="24"/>
      <c r="K97" s="24"/>
    </row>
    <row r="98" spans="7:11" ht="18.75" x14ac:dyDescent="0.3">
      <c r="G98" s="24"/>
      <c r="H98" s="24"/>
      <c r="I98" s="24"/>
      <c r="J98" s="24"/>
      <c r="K98" s="24"/>
    </row>
    <row r="99" spans="7:11" ht="18.75" x14ac:dyDescent="0.3">
      <c r="G99" s="24"/>
      <c r="H99" s="24"/>
      <c r="I99" s="24"/>
      <c r="J99" s="24"/>
      <c r="K99" s="24"/>
    </row>
  </sheetData>
  <pageMargins left="0.7" right="0.7" top="0.75" bottom="0.75" header="0.3" footer="0.3"/>
  <pageSetup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workbookViewId="0">
      <selection activeCell="F10" sqref="F10"/>
    </sheetView>
  </sheetViews>
  <sheetFormatPr defaultRowHeight="15" x14ac:dyDescent="0.25"/>
  <cols>
    <col min="2" max="2" width="26.7109375" bestFit="1" customWidth="1"/>
    <col min="3" max="3" width="17.140625" bestFit="1" customWidth="1"/>
    <col min="4" max="4" width="19.7109375" bestFit="1" customWidth="1"/>
    <col min="5" max="5" width="20.85546875" customWidth="1"/>
    <col min="6" max="6" width="23.140625" customWidth="1"/>
  </cols>
  <sheetData>
    <row r="3" spans="2:6" ht="18.75" x14ac:dyDescent="0.3">
      <c r="B3" s="29" t="s">
        <v>91</v>
      </c>
      <c r="C3" s="29"/>
      <c r="D3" s="29"/>
      <c r="E3" s="29"/>
      <c r="F3" s="29"/>
    </row>
    <row r="4" spans="2:6" ht="18.75" x14ac:dyDescent="0.3">
      <c r="B4" s="30" t="s">
        <v>0</v>
      </c>
      <c r="C4" s="30" t="s">
        <v>1</v>
      </c>
      <c r="D4" s="29"/>
      <c r="E4" s="29"/>
      <c r="F4" s="29"/>
    </row>
    <row r="5" spans="2:6" ht="18.75" x14ac:dyDescent="0.3">
      <c r="B5" s="29" t="s">
        <v>2</v>
      </c>
      <c r="C5" s="33">
        <f>Working!I24</f>
        <v>12765989.417213429</v>
      </c>
      <c r="D5" s="29"/>
      <c r="E5" s="29"/>
      <c r="F5" s="29"/>
    </row>
    <row r="6" spans="2:6" ht="18.75" x14ac:dyDescent="0.3">
      <c r="B6" s="30" t="s">
        <v>5</v>
      </c>
      <c r="C6" s="32">
        <f>SUM(C5:C5)</f>
        <v>12765989.417213429</v>
      </c>
      <c r="D6" s="29"/>
      <c r="E6" s="29"/>
      <c r="F6" s="29"/>
    </row>
    <row r="7" spans="2:6" ht="18.75" x14ac:dyDescent="0.3">
      <c r="B7" s="29"/>
      <c r="C7" s="29"/>
      <c r="D7" s="29"/>
      <c r="E7" s="29"/>
      <c r="F7" s="29"/>
    </row>
    <row r="8" spans="2:6" ht="21" x14ac:dyDescent="0.35">
      <c r="B8" s="31" t="s">
        <v>50</v>
      </c>
      <c r="C8" s="31" t="s">
        <v>88</v>
      </c>
      <c r="D8" s="31" t="s">
        <v>90</v>
      </c>
      <c r="E8" s="31" t="s">
        <v>87</v>
      </c>
      <c r="F8" s="31" t="s">
        <v>27</v>
      </c>
    </row>
    <row r="9" spans="2:6" ht="18.75" x14ac:dyDescent="0.3">
      <c r="B9" s="29" t="s">
        <v>17</v>
      </c>
      <c r="C9" s="29">
        <v>1006.2170000000001</v>
      </c>
      <c r="D9" s="29">
        <v>402.68500000000006</v>
      </c>
      <c r="E9" s="29">
        <v>489.83600000000001</v>
      </c>
      <c r="F9" s="29">
        <v>109.21208200000001</v>
      </c>
    </row>
    <row r="10" spans="2:6" ht="18.75" x14ac:dyDescent="0.3">
      <c r="B10" s="30" t="s">
        <v>46</v>
      </c>
      <c r="C10" s="29">
        <f>SUM(C9:C9)</f>
        <v>1006.2170000000001</v>
      </c>
      <c r="D10" s="29">
        <f>SUM(D9:D9)</f>
        <v>402.68500000000006</v>
      </c>
      <c r="E10" s="29">
        <f>SUM(E9:E9)</f>
        <v>489.83600000000001</v>
      </c>
      <c r="F10" s="29">
        <f>SUM(F9:F9)</f>
        <v>109.21208200000001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</vt:lpstr>
      <vt:lpstr>Sheet2</vt:lpstr>
      <vt:lpstr>Bck up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2017-04-24T09:58:47Z</dcterms:modified>
</cp:coreProperties>
</file>